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Override PartName="/xl/drawings/drawing4.xml" ContentType="application/vnd.openxmlformats-officedocument.drawin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checkCompatibility="1" defaultThemeVersion="124226"/>
  <bookViews>
    <workbookView xWindow="-15" yWindow="-15" windowWidth="20550" windowHeight="7755" tabRatio="779" activeTab="11"/>
  </bookViews>
  <sheets>
    <sheet name="Ships Table" sheetId="1" r:id="rId1"/>
    <sheet name="Computer Table" sheetId="6" r:id="rId2"/>
    <sheet name="Hull Table" sheetId="5" r:id="rId3"/>
    <sheet name="Engine Table" sheetId="3" r:id="rId4"/>
    <sheet name="Skill Calculator" sheetId="4" r:id="rId5"/>
    <sheet name="Reference Card" sheetId="8" state="hidden" r:id="rId6"/>
    <sheet name="image vaisseaux" sheetId="11" state="hidden" r:id="rId7"/>
    <sheet name="cout equipement" sheetId="12" r:id="rId8"/>
    <sheet name="trouver npc" sheetId="14" r:id="rId9"/>
    <sheet name="Weapons Table" sheetId="2" r:id="rId10"/>
    <sheet name="muntions" sheetId="15" r:id="rId11"/>
    <sheet name="Calculateur" sheetId="10" r:id="rId12"/>
    <sheet name="calculateur2" sheetId="17" r:id="rId13"/>
  </sheets>
  <definedNames>
    <definedName name="allowed1_1">'Ships Table'!$C$7:$AF$9</definedName>
    <definedName name="allowed1_2">'Ships Table'!$C$12:$AF$42</definedName>
    <definedName name="arme_def1">INDIRECT(VLOOKUP(calculateur2!$E$25,calculateur2!$AJ$99:$AM$102,4))</definedName>
    <definedName name="arme_def2">INDIRECT(VLOOKUP(calculateur2!$E$26,calculateur2!$AJ$99:$AM$102,4))</definedName>
    <definedName name="arme_def3">INDIRECT(VLOOKUP(calculateur2!$E$27,calculateur2!$AJ$99:$AM$102,4))</definedName>
    <definedName name="arme_def4">INDIRECT(VLOOKUP(calculateur2!$E$28,calculateur2!$AJ$99:$AM$102,4))</definedName>
    <definedName name="computer_table1">'Computer Table'!$B$2:$C$69</definedName>
    <definedName name="computer_table2">'Computer Table'!$D$2:$N$3</definedName>
    <definedName name="computer_table3">'Computer Table'!$O$2:$GL$3</definedName>
    <definedName name="computer_table4">'Computer Table'!$D$4:$GM$69</definedName>
    <definedName name="engine_table1">'Engine Table'!$B$1:$C$35</definedName>
    <definedName name="engine_table2">'Engine Table'!$D$1:$J$2</definedName>
    <definedName name="engine_table3">'Engine Table'!$K$1:$DS$2</definedName>
    <definedName name="engine_table4">'Engine Table'!$D$3:$DT$35</definedName>
    <definedName name="hull_table1">'Hull Table'!$A$2:$I$83</definedName>
    <definedName name="hull_table2">'Hull Table'!$J$4:$J$44</definedName>
    <definedName name="hull_table3">'Hull Table'!$J$65:$J$83</definedName>
    <definedName name="hull_table4">'Hull Table'!$K$2:$CS$83</definedName>
    <definedName name="icone_arme_chasseur1">INDIRECT(VLOOKUP(calculateur2!$E$13,calculateur2!$AJ$77:$AM$96,4))</definedName>
    <definedName name="icone_arme_chasseur2">INDIRECT(VLOOKUP(calculateur2!$E$14,calculateur2!$AJ$77:$AM$96,4))</definedName>
    <definedName name="icone_arme6">INDIRECT(VLOOKUP(calculateur2!$E$18,calculateur2!$AJ$77:$AM$96,4))</definedName>
    <definedName name="icone_arme8">INDIRECT(VLOOKUP(calculateur2!$E$20,calculateur2!$AJ$77:$AM$96,4))</definedName>
    <definedName name="icone_armes3">INDIRECT(VLOOKUP(calculateur2!$E$15,calculateur2!$AJ$77:$AM$96,4))</definedName>
    <definedName name="icone_armes4">INDIRECT(VLOOKUP(calculateur2!$E$16,calculateur2!$AJ$77:$AM$96,4))</definedName>
    <definedName name="icone_armes5">INDIRECT(VLOOKUP(calculateur2!$E$17,calculateur2!$AJ$77:$AM$96,4))</definedName>
    <definedName name="icone_armes7">INDIRECT(VLOOKUP(calculateur2!$E$19,calculateur2!$AJ$77:$AM$96,4))</definedName>
    <definedName name="icone_armes9">INDIRECT(VLOOKUP(calculateur2!$E$21,calculateur2!$AJ$77:$AM$96,4))</definedName>
    <definedName name="image_vaisseaux">INDIRECT(VLOOKUP(Calculateur!$F$3,Calculateur!$DU$244:$DX$258,4))</definedName>
    <definedName name="image_vaisseaux2">INDIRECT(VLOOKUP(calculateur2!$L$2,calculateur2!$L$60:$O$74,4))</definedName>
    <definedName name="reference_card1">'Reference Card'!$AA$10:$EB$351</definedName>
    <definedName name="reference_card10">'Reference Card'!$D$22:$G$22</definedName>
    <definedName name="reference_card11">'Reference Card'!$D$24:$G$24</definedName>
    <definedName name="reference_card12">'Reference Card'!$D$26:$G$39</definedName>
    <definedName name="reference_card13">'Reference Card'!$D$41:$G$41</definedName>
    <definedName name="reference_card14">'Reference Card'!$D$43:$G$43</definedName>
    <definedName name="reference_card15">'Reference Card'!$D$45:$G$45</definedName>
    <definedName name="reference_card16">'Reference Card'!$D$47:$G$47</definedName>
    <definedName name="reference_card17">'Reference Card'!$D$49:$G$49</definedName>
    <definedName name="reference_card18">'Reference Card'!$D$51:$G$51</definedName>
    <definedName name="reference_card19">'Reference Card'!$D$53:$G$66</definedName>
    <definedName name="reference_card20">'Reference Card'!$D$68:$G$68</definedName>
    <definedName name="reference_card21">'Reference Card'!$D$70:$G$70</definedName>
    <definedName name="reference_card22">'Reference Card'!$D$72:$G$72</definedName>
    <definedName name="reference_card23">'Reference Card'!$D$74:$G$74</definedName>
    <definedName name="reference_card24">'Reference Card'!$D$76:$G$76</definedName>
    <definedName name="reference_card25">'Reference Card'!$D$78:$G$78</definedName>
    <definedName name="reference_card26">'Reference Card'!$D$80:$G$89</definedName>
    <definedName name="reference_card27">'Reference Card'!$D$91:$G$91</definedName>
    <definedName name="reference_card28">'Reference Card'!$D$93:$G$93</definedName>
    <definedName name="reference_card29">'Reference Card'!$D$95:$G$95</definedName>
    <definedName name="reference_card3">'Reference Card'!$H$10:$K$96</definedName>
    <definedName name="reference_card30">'Reference Card'!$L$10:$W$12</definedName>
    <definedName name="reference_card31">'Reference Card'!$S$13:$W$14</definedName>
    <definedName name="reference_card32">'Reference Card'!$L$14:$M$14</definedName>
    <definedName name="reference_card33">'Reference Card'!$O$14</definedName>
    <definedName name="reference_card34">'Reference Card'!$Q$14</definedName>
    <definedName name="reference_card35">'Reference Card'!$L$15:$W$39</definedName>
    <definedName name="reference_card36">'Reference Card'!$S$40:$W$41</definedName>
    <definedName name="reference_card37">'Reference Card'!$L$41:$M$41</definedName>
    <definedName name="reference_card38">'Reference Card'!$O$41</definedName>
    <definedName name="reference_card39">'Reference Card'!$Q$41:$R$41</definedName>
    <definedName name="reference_card4">'Reference Card'!$B$10:$B$97</definedName>
    <definedName name="reference_card40">'Reference Card'!$L$42:$W$66</definedName>
    <definedName name="reference_card41">'Reference Card'!$S$67:$W$68</definedName>
    <definedName name="reference_card42">'Reference Card'!$L$68:$M$68</definedName>
    <definedName name="reference_card43">'Reference Card'!$O$68</definedName>
    <definedName name="reference_card44">'Reference Card'!$Q$68:$R$68</definedName>
    <definedName name="reference_card45">'Reference Card'!$L$69:$W$89</definedName>
    <definedName name="reference_card46">'Reference Card'!$S$90:$W$91</definedName>
    <definedName name="reference_card47">'Reference Card'!$L$91:$M$91</definedName>
    <definedName name="reference_card48">'Reference Card'!$O$91:$P$91</definedName>
    <definedName name="reference_card49">'Reference Card'!$Q$91:$R$91</definedName>
    <definedName name="reference_card5">'Reference Card'!$D$10:$G$12</definedName>
    <definedName name="reference_card50">'Reference Card'!$L$92:$W$96</definedName>
    <definedName name="reference_card51">'Reference Card'!$X$10:$AC$11</definedName>
    <definedName name="reference_card52">'Reference Card'!$X$24:$AC$38</definedName>
    <definedName name="reference_card53">'Reference Card'!$X$50:$AC$65</definedName>
    <definedName name="reference_card54">'Reference Card'!$X$75:$AC$88</definedName>
    <definedName name="reference_card55">'Reference Card'!$X$96:$Z$96</definedName>
    <definedName name="reference_card6">'Reference Card'!$D$14:$G$14</definedName>
    <definedName name="reference_card7">'Reference Card'!$D$16:$G$16</definedName>
    <definedName name="reference_card8">'Reference Card'!$D$18:$G$18</definedName>
    <definedName name="reference_card9">'Reference Card'!$D$20:$G$20</definedName>
    <definedName name="ships_table1">'Ships Table'!$C$3:$AF$6</definedName>
    <definedName name="ships_table2">'Ships Table'!$B$3:$B$42</definedName>
    <definedName name="ships_table3">'Ships Table'!$C$10:$AF$10</definedName>
    <definedName name="ships_table4">'Ships Table'!$B$44:$AF$47</definedName>
    <definedName name="skill_calculator1">'Skill Calculator'!$B$4:$CI$5</definedName>
    <definedName name="skill_calculator2">'Skill Calculator'!$B$6:$C$76</definedName>
    <definedName name="skill_calculator3">'Skill Calculator'!$H$6:$CI$76</definedName>
    <definedName name="skill_calculator4">'Skill Calculator'!$B$78:$CI$86</definedName>
    <definedName name="vaisseaux">INDIRECT(VLOOKUP(Calculateur!$F$3,'image vaisseaux'!$A$7:$D$21,4))</definedName>
    <definedName name="weapons_table1">'Weapons Table'!$D$2:$L$4</definedName>
    <definedName name="weapons_table2">'Weapons Table'!$N$2:$EE$4</definedName>
    <definedName name="weapons_table3">'Weapons Table'!$M$4</definedName>
    <definedName name="weapons_table4">'Weapons Table'!$D$5:$EE$72</definedName>
  </definedNames>
  <calcPr calcId="125725"/>
</workbook>
</file>

<file path=xl/calcChain.xml><?xml version="1.0" encoding="utf-8"?>
<calcChain xmlns="http://schemas.openxmlformats.org/spreadsheetml/2006/main">
  <c r="AI106" i="17"/>
  <c r="AI107"/>
  <c r="AI108"/>
  <c r="AI105"/>
  <c r="AE106"/>
  <c r="AE107"/>
  <c r="AE108"/>
  <c r="AE105"/>
  <c r="AA106"/>
  <c r="AA107"/>
  <c r="AA108"/>
  <c r="AA105"/>
  <c r="W106"/>
  <c r="W107"/>
  <c r="W108"/>
  <c r="W105"/>
  <c r="S106"/>
  <c r="S107"/>
  <c r="S108"/>
  <c r="S105"/>
  <c r="AI100"/>
  <c r="AI101"/>
  <c r="AI102"/>
  <c r="AI99"/>
  <c r="AE100"/>
  <c r="AE101"/>
  <c r="AE102"/>
  <c r="AE99"/>
  <c r="AA100"/>
  <c r="AA101"/>
  <c r="AA102"/>
  <c r="AA99"/>
  <c r="W100"/>
  <c r="W101"/>
  <c r="W102"/>
  <c r="W99"/>
  <c r="S100"/>
  <c r="S101"/>
  <c r="S102"/>
  <c r="S99"/>
  <c r="AE78"/>
  <c r="AE79"/>
  <c r="AE80"/>
  <c r="AE81"/>
  <c r="AE82"/>
  <c r="AE83"/>
  <c r="AE84"/>
  <c r="AE85"/>
  <c r="AE86"/>
  <c r="AE87"/>
  <c r="AE88"/>
  <c r="AE89"/>
  <c r="AE90"/>
  <c r="AE91"/>
  <c r="AE92"/>
  <c r="AE93"/>
  <c r="AE94"/>
  <c r="AE95"/>
  <c r="AE96"/>
  <c r="AI78"/>
  <c r="AI79"/>
  <c r="AI80"/>
  <c r="AI81"/>
  <c r="AI82"/>
  <c r="AI83"/>
  <c r="AI84"/>
  <c r="AI85"/>
  <c r="AI86"/>
  <c r="AI87"/>
  <c r="AI88"/>
  <c r="AI89"/>
  <c r="AI90"/>
  <c r="AI91"/>
  <c r="AI92"/>
  <c r="AI93"/>
  <c r="AI94"/>
  <c r="AI95"/>
  <c r="AI96"/>
  <c r="AI77"/>
  <c r="AE77"/>
  <c r="AA78"/>
  <c r="AA79"/>
  <c r="AA80"/>
  <c r="AA81"/>
  <c r="AA82"/>
  <c r="AA83"/>
  <c r="AA84"/>
  <c r="AA85"/>
  <c r="AA86"/>
  <c r="AA87"/>
  <c r="AA88"/>
  <c r="AA89"/>
  <c r="AA90"/>
  <c r="AA91"/>
  <c r="AA92"/>
  <c r="AA93"/>
  <c r="AA94"/>
  <c r="AA95"/>
  <c r="AA77"/>
  <c r="W78"/>
  <c r="W79"/>
  <c r="W80"/>
  <c r="W81"/>
  <c r="W82"/>
  <c r="W83"/>
  <c r="W84"/>
  <c r="W85"/>
  <c r="W86"/>
  <c r="W87"/>
  <c r="W88"/>
  <c r="W89"/>
  <c r="W90"/>
  <c r="W91"/>
  <c r="W92"/>
  <c r="W93"/>
  <c r="W77"/>
  <c r="P12" i="10" l="1"/>
  <c r="H1" l="1"/>
  <c r="G1" s="1"/>
  <c r="B7" s="1"/>
  <c r="S92" i="17"/>
  <c r="S93"/>
  <c r="S94"/>
  <c r="S95"/>
  <c r="S96"/>
  <c r="S79"/>
  <c r="S80"/>
  <c r="S81"/>
  <c r="S82"/>
  <c r="S83"/>
  <c r="S84"/>
  <c r="S85"/>
  <c r="S86"/>
  <c r="S87"/>
  <c r="S88"/>
  <c r="S89"/>
  <c r="S90"/>
  <c r="S91"/>
  <c r="S78"/>
  <c r="S77"/>
  <c r="R79" i="2"/>
  <c r="S79"/>
  <c r="R80"/>
  <c r="S80"/>
  <c r="R81"/>
  <c r="S81"/>
  <c r="R82"/>
  <c r="S82"/>
  <c r="R83"/>
  <c r="S83"/>
  <c r="R84"/>
  <c r="S84"/>
  <c r="R85"/>
  <c r="S85"/>
  <c r="R86"/>
  <c r="S86"/>
  <c r="R87"/>
  <c r="S87"/>
  <c r="R88"/>
  <c r="S88"/>
  <c r="R89"/>
  <c r="S89"/>
  <c r="R90"/>
  <c r="S90"/>
  <c r="R91"/>
  <c r="S91"/>
  <c r="R92"/>
  <c r="S92"/>
  <c r="R93"/>
  <c r="S93"/>
  <c r="R78"/>
  <c r="S78"/>
  <c r="R66"/>
  <c r="S66"/>
  <c r="R68"/>
  <c r="S68"/>
  <c r="R69"/>
  <c r="S69"/>
  <c r="R70"/>
  <c r="S70"/>
  <c r="R71"/>
  <c r="S71"/>
  <c r="R72"/>
  <c r="S72"/>
  <c r="R73"/>
  <c r="S73"/>
  <c r="R74"/>
  <c r="S74"/>
  <c r="R75"/>
  <c r="S75"/>
  <c r="R67"/>
  <c r="S67"/>
  <c r="R47"/>
  <c r="S47"/>
  <c r="R48"/>
  <c r="S48"/>
  <c r="R49"/>
  <c r="S49"/>
  <c r="R50"/>
  <c r="S50"/>
  <c r="R51"/>
  <c r="S51"/>
  <c r="R52"/>
  <c r="S52"/>
  <c r="R53"/>
  <c r="S53"/>
  <c r="R54"/>
  <c r="S54"/>
  <c r="R55"/>
  <c r="S55"/>
  <c r="R56"/>
  <c r="S56"/>
  <c r="R57"/>
  <c r="S57"/>
  <c r="R58"/>
  <c r="S58"/>
  <c r="R59"/>
  <c r="S59"/>
  <c r="R60"/>
  <c r="S60"/>
  <c r="R61"/>
  <c r="S61"/>
  <c r="R62"/>
  <c r="S62"/>
  <c r="R63"/>
  <c r="S63"/>
  <c r="R45"/>
  <c r="S45"/>
  <c r="R46"/>
  <c r="S46"/>
  <c r="R27"/>
  <c r="R29"/>
  <c r="R30"/>
  <c r="R31"/>
  <c r="R32"/>
  <c r="R33"/>
  <c r="R34"/>
  <c r="R35"/>
  <c r="R36"/>
  <c r="R37"/>
  <c r="R38"/>
  <c r="R39"/>
  <c r="R40"/>
  <c r="R41"/>
  <c r="R42"/>
  <c r="R43"/>
  <c r="R28"/>
  <c r="R6"/>
  <c r="S6"/>
  <c r="R8"/>
  <c r="S8"/>
  <c r="R9"/>
  <c r="S9"/>
  <c r="R10"/>
  <c r="S10"/>
  <c r="R11"/>
  <c r="S11"/>
  <c r="R12"/>
  <c r="S12"/>
  <c r="R13"/>
  <c r="S13"/>
  <c r="R14"/>
  <c r="S14"/>
  <c r="R15"/>
  <c r="S15"/>
  <c r="R16"/>
  <c r="S16"/>
  <c r="R17"/>
  <c r="S17"/>
  <c r="R18"/>
  <c r="S18"/>
  <c r="R19"/>
  <c r="S19"/>
  <c r="R20"/>
  <c r="S20"/>
  <c r="R21"/>
  <c r="S21"/>
  <c r="R22"/>
  <c r="S22"/>
  <c r="R23"/>
  <c r="S23"/>
  <c r="R24"/>
  <c r="S24"/>
  <c r="R25"/>
  <c r="S25"/>
  <c r="S7"/>
  <c r="R7"/>
  <c r="E86"/>
  <c r="F86"/>
  <c r="G86"/>
  <c r="H86"/>
  <c r="I86"/>
  <c r="J86"/>
  <c r="K86"/>
  <c r="L86"/>
  <c r="M86"/>
  <c r="N86"/>
  <c r="O86"/>
  <c r="P86"/>
  <c r="Q86"/>
  <c r="AX86"/>
  <c r="BN86"/>
  <c r="CB86"/>
  <c r="CP86"/>
  <c r="DD86"/>
  <c r="DR86"/>
  <c r="AV86"/>
  <c r="AU86"/>
  <c r="AT86"/>
  <c r="BJ86"/>
  <c r="BX86"/>
  <c r="CL86"/>
  <c r="CZ86"/>
  <c r="DN86"/>
  <c r="AN86"/>
  <c r="BD86"/>
  <c r="BR86"/>
  <c r="CF86"/>
  <c r="CT86"/>
  <c r="DH86"/>
  <c r="AM86"/>
  <c r="BC86" s="1"/>
  <c r="BQ86"/>
  <c r="CE86"/>
  <c r="CS86"/>
  <c r="DG86"/>
  <c r="AX78"/>
  <c r="AV78"/>
  <c r="AU78"/>
  <c r="AT78"/>
  <c r="AN78"/>
  <c r="AM78"/>
  <c r="I78"/>
  <c r="L78"/>
  <c r="P78"/>
  <c r="H78"/>
  <c r="G78"/>
  <c r="H129"/>
  <c r="H130"/>
  <c r="H131"/>
  <c r="H133"/>
  <c r="H134"/>
  <c r="H135"/>
  <c r="H128"/>
  <c r="G124"/>
  <c r="G125"/>
  <c r="G126"/>
  <c r="G128"/>
  <c r="G129"/>
  <c r="G130"/>
  <c r="G132"/>
  <c r="G133"/>
  <c r="G134"/>
  <c r="G123"/>
  <c r="F103"/>
  <c r="F104"/>
  <c r="F105"/>
  <c r="F106"/>
  <c r="F107"/>
  <c r="F108"/>
  <c r="F109"/>
  <c r="F110"/>
  <c r="F111"/>
  <c r="F112"/>
  <c r="F113"/>
  <c r="F114"/>
  <c r="F115"/>
  <c r="F116"/>
  <c r="F117"/>
  <c r="F118"/>
  <c r="F119"/>
  <c r="F120"/>
  <c r="F102"/>
  <c r="E103"/>
  <c r="E104"/>
  <c r="E105"/>
  <c r="E106"/>
  <c r="E107"/>
  <c r="E108"/>
  <c r="E109"/>
  <c r="E110"/>
  <c r="E111"/>
  <c r="E112"/>
  <c r="E113"/>
  <c r="E114"/>
  <c r="E115"/>
  <c r="E116"/>
  <c r="E117"/>
  <c r="E118"/>
  <c r="E102"/>
  <c r="D103"/>
  <c r="D104"/>
  <c r="D105"/>
  <c r="D106"/>
  <c r="D107"/>
  <c r="D108"/>
  <c r="D109"/>
  <c r="D110"/>
  <c r="D111"/>
  <c r="D112"/>
  <c r="D113"/>
  <c r="D114"/>
  <c r="D115"/>
  <c r="D116"/>
  <c r="D117"/>
  <c r="D118"/>
  <c r="D119"/>
  <c r="D120"/>
  <c r="D121"/>
  <c r="D102"/>
  <c r="O74" i="17" l="1"/>
  <c r="O73"/>
  <c r="O72"/>
  <c r="O71"/>
  <c r="O70"/>
  <c r="O69"/>
  <c r="O68"/>
  <c r="O67"/>
  <c r="O66"/>
  <c r="O65"/>
  <c r="O64"/>
  <c r="O63"/>
  <c r="O62"/>
  <c r="O61"/>
  <c r="O60"/>
  <c r="M5"/>
  <c r="C7"/>
  <c r="F7" s="1"/>
  <c r="H5"/>
  <c r="H6" s="1"/>
  <c r="N49" i="1"/>
  <c r="N50"/>
  <c r="N51"/>
  <c r="N52"/>
  <c r="N53"/>
  <c r="N48"/>
  <c r="D7" i="17" l="1"/>
  <c r="E7"/>
  <c r="G7"/>
  <c r="E123" i="10"/>
  <c r="K24" i="15"/>
  <c r="CX99" i="10"/>
  <c r="DF99" s="1"/>
  <c r="CX82"/>
  <c r="U11" i="2"/>
  <c r="V11"/>
  <c r="CX81" i="10"/>
  <c r="CX80"/>
  <c r="CN79"/>
  <c r="D7" i="11"/>
  <c r="AV25" i="2"/>
  <c r="AX24"/>
  <c r="BN24" s="1"/>
  <c r="AV24"/>
  <c r="AQ18"/>
  <c r="AM7"/>
  <c r="AN7"/>
  <c r="AX7"/>
  <c r="AL7"/>
  <c r="EE11"/>
  <c r="AX11"/>
  <c r="DR11" s="1"/>
  <c r="AR11"/>
  <c r="DX258" i="10"/>
  <c r="DX257"/>
  <c r="DX256"/>
  <c r="DX255"/>
  <c r="DX254"/>
  <c r="DX253"/>
  <c r="DX252"/>
  <c r="DX251"/>
  <c r="DX250"/>
  <c r="DX249"/>
  <c r="DX248"/>
  <c r="DX247"/>
  <c r="DX246"/>
  <c r="DX245"/>
  <c r="DX244"/>
  <c r="D8" i="11"/>
  <c r="D10"/>
  <c r="D11"/>
  <c r="D12"/>
  <c r="D13"/>
  <c r="D14"/>
  <c r="D15"/>
  <c r="D16"/>
  <c r="D17"/>
  <c r="D18"/>
  <c r="D19"/>
  <c r="D20"/>
  <c r="D21"/>
  <c r="D9"/>
  <c r="FR72" i="6"/>
  <c r="FQ72"/>
  <c r="FP72"/>
  <c r="FO72"/>
  <c r="FN72"/>
  <c r="FM72"/>
  <c r="FL72"/>
  <c r="FK72"/>
  <c r="FJ72"/>
  <c r="FI72"/>
  <c r="FH72"/>
  <c r="FG72"/>
  <c r="FF72"/>
  <c r="FE72"/>
  <c r="FD72"/>
  <c r="FC72"/>
  <c r="FB72"/>
  <c r="FA72"/>
  <c r="EW72"/>
  <c r="EV72"/>
  <c r="EU72"/>
  <c r="ET72"/>
  <c r="ES72"/>
  <c r="ER72"/>
  <c r="EQ72"/>
  <c r="EP72"/>
  <c r="EO72"/>
  <c r="EN72"/>
  <c r="EM72"/>
  <c r="EL72"/>
  <c r="EK72"/>
  <c r="EJ72"/>
  <c r="EI72"/>
  <c r="EH72"/>
  <c r="EG72"/>
  <c r="EF72"/>
  <c r="EB72"/>
  <c r="EA72"/>
  <c r="DZ72"/>
  <c r="DY72"/>
  <c r="DX72"/>
  <c r="DW72"/>
  <c r="DV72"/>
  <c r="DU72"/>
  <c r="DT72"/>
  <c r="DS72"/>
  <c r="DR72"/>
  <c r="DQ72"/>
  <c r="DP72"/>
  <c r="DO72"/>
  <c r="DN72"/>
  <c r="DM72"/>
  <c r="DL72"/>
  <c r="DK72"/>
  <c r="DG72"/>
  <c r="DF72"/>
  <c r="DE72"/>
  <c r="DD72"/>
  <c r="DC72"/>
  <c r="DB72"/>
  <c r="DA72"/>
  <c r="CZ72"/>
  <c r="CY72"/>
  <c r="CX72"/>
  <c r="CW72"/>
  <c r="CV72"/>
  <c r="CU72"/>
  <c r="CT72"/>
  <c r="CS72"/>
  <c r="CR72"/>
  <c r="CQ72"/>
  <c r="CP72"/>
  <c r="CL72"/>
  <c r="CK72"/>
  <c r="CJ72"/>
  <c r="CI72"/>
  <c r="CH72"/>
  <c r="CG72"/>
  <c r="CF72"/>
  <c r="CE72"/>
  <c r="CD72"/>
  <c r="CC72"/>
  <c r="CB72"/>
  <c r="CA72"/>
  <c r="BZ72"/>
  <c r="BY72"/>
  <c r="BX72"/>
  <c r="BW72"/>
  <c r="BV72"/>
  <c r="BU72"/>
  <c r="BR72"/>
  <c r="FS72" s="1"/>
  <c r="BQ72"/>
  <c r="R72"/>
  <c r="Q72"/>
  <c r="AO77" i="5"/>
  <c r="AI77"/>
  <c r="AO72"/>
  <c r="AI72"/>
  <c r="AO67"/>
  <c r="AI67"/>
  <c r="P62" i="10"/>
  <c r="F144"/>
  <c r="F145"/>
  <c r="F146"/>
  <c r="F147"/>
  <c r="F148"/>
  <c r="F149"/>
  <c r="F150"/>
  <c r="F151"/>
  <c r="F152"/>
  <c r="F153"/>
  <c r="F154"/>
  <c r="F155"/>
  <c r="F156"/>
  <c r="F157"/>
  <c r="F158"/>
  <c r="F159"/>
  <c r="F160"/>
  <c r="F161"/>
  <c r="F162"/>
  <c r="F163"/>
  <c r="F164"/>
  <c r="F165"/>
  <c r="BE65"/>
  <c r="T69"/>
  <c r="H110"/>
  <c r="T56"/>
  <c r="C6" i="12"/>
  <c r="C7"/>
  <c r="C8"/>
  <c r="C9"/>
  <c r="C10"/>
  <c r="C11"/>
  <c r="C12"/>
  <c r="C13"/>
  <c r="C14"/>
  <c r="C15"/>
  <c r="C16"/>
  <c r="C17"/>
  <c r="C18"/>
  <c r="C19"/>
  <c r="C20"/>
  <c r="C21"/>
  <c r="F7" i="2"/>
  <c r="G7"/>
  <c r="H7"/>
  <c r="I7"/>
  <c r="J7"/>
  <c r="L7"/>
  <c r="N7"/>
  <c r="P7"/>
  <c r="AM67"/>
  <c r="I109" i="10"/>
  <c r="T43"/>
  <c r="T42"/>
  <c r="T25"/>
  <c r="K49" i="2"/>
  <c r="K31"/>
  <c r="E63"/>
  <c r="F63"/>
  <c r="G63"/>
  <c r="H63"/>
  <c r="I63"/>
  <c r="J63"/>
  <c r="M63"/>
  <c r="N63"/>
  <c r="O63"/>
  <c r="P63"/>
  <c r="Q63"/>
  <c r="E43"/>
  <c r="F43"/>
  <c r="G43"/>
  <c r="H43"/>
  <c r="I43"/>
  <c r="J43"/>
  <c r="M43"/>
  <c r="N43"/>
  <c r="O43"/>
  <c r="P43"/>
  <c r="Q43"/>
  <c r="AT25" i="15"/>
  <c r="AT29"/>
  <c r="AT30"/>
  <c r="AT33"/>
  <c r="AT37"/>
  <c r="AT38"/>
  <c r="AT39"/>
  <c r="AT40"/>
  <c r="AT41"/>
  <c r="AT42"/>
  <c r="AT43"/>
  <c r="AT47"/>
  <c r="AT51"/>
  <c r="AT55"/>
  <c r="AT6"/>
  <c r="A25"/>
  <c r="A29"/>
  <c r="A30"/>
  <c r="A31"/>
  <c r="A32"/>
  <c r="A33"/>
  <c r="A34"/>
  <c r="A35"/>
  <c r="A39"/>
  <c r="A43"/>
  <c r="A47"/>
  <c r="A6"/>
  <c r="K8"/>
  <c r="K10"/>
  <c r="K11"/>
  <c r="K12"/>
  <c r="K13"/>
  <c r="K14"/>
  <c r="K15"/>
  <c r="K16"/>
  <c r="K17"/>
  <c r="K18"/>
  <c r="K19"/>
  <c r="K20"/>
  <c r="K21"/>
  <c r="K22"/>
  <c r="K23"/>
  <c r="K25"/>
  <c r="K29"/>
  <c r="K30"/>
  <c r="K31"/>
  <c r="K32"/>
  <c r="K33"/>
  <c r="K34"/>
  <c r="K35"/>
  <c r="K39"/>
  <c r="K43"/>
  <c r="K47"/>
  <c r="K6"/>
  <c r="U25"/>
  <c r="U29"/>
  <c r="U30"/>
  <c r="U33"/>
  <c r="U37"/>
  <c r="U38"/>
  <c r="U39"/>
  <c r="U40"/>
  <c r="U41"/>
  <c r="U42"/>
  <c r="U43"/>
  <c r="U47"/>
  <c r="U51"/>
  <c r="U6"/>
  <c r="AE7"/>
  <c r="AE25"/>
  <c r="AE26"/>
  <c r="AE27"/>
  <c r="AE28"/>
  <c r="AE29"/>
  <c r="AE30"/>
  <c r="AE33"/>
  <c r="AE34"/>
  <c r="AE37"/>
  <c r="AE38"/>
  <c r="AE39"/>
  <c r="AE6"/>
  <c r="AU52"/>
  <c r="AT52" s="1"/>
  <c r="AJ40"/>
  <c r="AJ41" s="1"/>
  <c r="AJ42" s="1"/>
  <c r="AE42" s="1"/>
  <c r="AJ35"/>
  <c r="AJ36" s="1"/>
  <c r="AE36" s="1"/>
  <c r="AJ31"/>
  <c r="AJ32" s="1"/>
  <c r="AE32" s="1"/>
  <c r="AJ8"/>
  <c r="AJ9" s="1"/>
  <c r="AJ10" s="1"/>
  <c r="AJ11" s="1"/>
  <c r="AJ12" s="1"/>
  <c r="AJ13" s="1"/>
  <c r="AJ14" s="1"/>
  <c r="AJ15" s="1"/>
  <c r="AJ16" s="1"/>
  <c r="AJ17" s="1"/>
  <c r="AJ18" s="1"/>
  <c r="AJ19" s="1"/>
  <c r="AJ20" s="1"/>
  <c r="AJ21" s="1"/>
  <c r="AJ22" s="1"/>
  <c r="AJ23" s="1"/>
  <c r="AE23" s="1"/>
  <c r="AU56"/>
  <c r="AU57" s="1"/>
  <c r="AU58" s="1"/>
  <c r="AT58" s="1"/>
  <c r="AU48"/>
  <c r="AU49" s="1"/>
  <c r="AU50" s="1"/>
  <c r="AT50" s="1"/>
  <c r="AU44"/>
  <c r="AU45" s="1"/>
  <c r="AU46" s="1"/>
  <c r="AT46" s="1"/>
  <c r="AU34"/>
  <c r="AU35" s="1"/>
  <c r="AU36" s="1"/>
  <c r="AT36" s="1"/>
  <c r="AU31"/>
  <c r="AU32" s="1"/>
  <c r="AT32" s="1"/>
  <c r="AU26"/>
  <c r="AU27" s="1"/>
  <c r="AU28" s="1"/>
  <c r="AT28" s="1"/>
  <c r="AU7"/>
  <c r="AU8" s="1"/>
  <c r="AU9" s="1"/>
  <c r="AU10" s="1"/>
  <c r="AU11" s="1"/>
  <c r="AU12" s="1"/>
  <c r="AU13" s="1"/>
  <c r="AU14" s="1"/>
  <c r="AU15" s="1"/>
  <c r="AU16" s="1"/>
  <c r="AU17" s="1"/>
  <c r="AU18" s="1"/>
  <c r="AU19" s="1"/>
  <c r="AU20" s="1"/>
  <c r="AU21" s="1"/>
  <c r="AU22" s="1"/>
  <c r="AU23" s="1"/>
  <c r="AT23" s="1"/>
  <c r="Z52"/>
  <c r="Z53" s="1"/>
  <c r="Z54" s="1"/>
  <c r="U54" s="1"/>
  <c r="Z48"/>
  <c r="Z49" s="1"/>
  <c r="Z50" s="1"/>
  <c r="U50" s="1"/>
  <c r="Z44"/>
  <c r="Z45" s="1"/>
  <c r="Z46" s="1"/>
  <c r="U46" s="1"/>
  <c r="Z34"/>
  <c r="Z35" s="1"/>
  <c r="Z36" s="1"/>
  <c r="U36" s="1"/>
  <c r="Z31"/>
  <c r="Z32" s="1"/>
  <c r="U32" s="1"/>
  <c r="Z26"/>
  <c r="Z27" s="1"/>
  <c r="Z28" s="1"/>
  <c r="U28" s="1"/>
  <c r="Z7"/>
  <c r="Z8" s="1"/>
  <c r="Z9" s="1"/>
  <c r="Z10" s="1"/>
  <c r="Z11" s="1"/>
  <c r="Z12" s="1"/>
  <c r="Z13" s="1"/>
  <c r="Z14" s="1"/>
  <c r="Z15" s="1"/>
  <c r="Z16" s="1"/>
  <c r="Z17" s="1"/>
  <c r="Z18" s="1"/>
  <c r="Z19" s="1"/>
  <c r="Z20" s="1"/>
  <c r="Z21" s="1"/>
  <c r="Z22" s="1"/>
  <c r="Z23" s="1"/>
  <c r="U23" s="1"/>
  <c r="P48"/>
  <c r="P49" s="1"/>
  <c r="P50" s="1"/>
  <c r="K50" s="1"/>
  <c r="P44"/>
  <c r="P45" s="1"/>
  <c r="P46" s="1"/>
  <c r="K46" s="1"/>
  <c r="P40"/>
  <c r="P41" s="1"/>
  <c r="P42" s="1"/>
  <c r="K42" s="1"/>
  <c r="P36"/>
  <c r="P37" s="1"/>
  <c r="P38" s="1"/>
  <c r="K38" s="1"/>
  <c r="P26"/>
  <c r="P27" s="1"/>
  <c r="P28" s="1"/>
  <c r="K28" s="1"/>
  <c r="P9"/>
  <c r="K9" s="1"/>
  <c r="P7"/>
  <c r="K7" s="1"/>
  <c r="F48"/>
  <c r="F49" s="1"/>
  <c r="F50" s="1"/>
  <c r="A50" s="1"/>
  <c r="F44"/>
  <c r="F45" s="1"/>
  <c r="F46" s="1"/>
  <c r="A46" s="1"/>
  <c r="F40"/>
  <c r="F41" s="1"/>
  <c r="F42" s="1"/>
  <c r="A42" s="1"/>
  <c r="F36"/>
  <c r="F37" s="1"/>
  <c r="F38" s="1"/>
  <c r="A38" s="1"/>
  <c r="F26"/>
  <c r="F27" s="1"/>
  <c r="F28" s="1"/>
  <c r="A28" s="1"/>
  <c r="F7"/>
  <c r="F8" s="1"/>
  <c r="F9" s="1"/>
  <c r="F10" s="1"/>
  <c r="F11" s="1"/>
  <c r="F12" s="1"/>
  <c r="F13" s="1"/>
  <c r="F14" s="1"/>
  <c r="F15" s="1"/>
  <c r="F16" s="1"/>
  <c r="F17" s="1"/>
  <c r="F18" s="1"/>
  <c r="F19" s="1"/>
  <c r="F20" s="1"/>
  <c r="F21" s="1"/>
  <c r="F22" s="1"/>
  <c r="F23" s="1"/>
  <c r="A23" s="1"/>
  <c r="T29" i="10"/>
  <c r="T28"/>
  <c r="V28" s="1"/>
  <c r="T27"/>
  <c r="W27" s="1"/>
  <c r="T26"/>
  <c r="Q11" i="2"/>
  <c r="P11"/>
  <c r="O11"/>
  <c r="N11"/>
  <c r="M11"/>
  <c r="L11"/>
  <c r="K11"/>
  <c r="O24"/>
  <c r="P24"/>
  <c r="Q24"/>
  <c r="O25"/>
  <c r="P25"/>
  <c r="Q25"/>
  <c r="N24"/>
  <c r="N25"/>
  <c r="M24"/>
  <c r="M25"/>
  <c r="J24"/>
  <c r="J25"/>
  <c r="I24"/>
  <c r="I25"/>
  <c r="H24"/>
  <c r="H25"/>
  <c r="G24"/>
  <c r="G25"/>
  <c r="F24"/>
  <c r="F25"/>
  <c r="E24"/>
  <c r="E25"/>
  <c r="G18"/>
  <c r="N45" i="1"/>
  <c r="J45"/>
  <c r="DM13" i="8"/>
  <c r="DH27"/>
  <c r="DG36"/>
  <c r="DH13"/>
  <c r="DH19" s="1"/>
  <c r="DI18"/>
  <c r="C206" i="12"/>
  <c r="C205"/>
  <c r="AN71" i="2"/>
  <c r="AM71"/>
  <c r="AN67"/>
  <c r="AU75"/>
  <c r="AU74"/>
  <c r="AQ74"/>
  <c r="AN74"/>
  <c r="AM74"/>
  <c r="AM75"/>
  <c r="C168" i="12"/>
  <c r="C167"/>
  <c r="C144"/>
  <c r="C143"/>
  <c r="C142"/>
  <c r="C145"/>
  <c r="C141"/>
  <c r="C146"/>
  <c r="C138"/>
  <c r="C137"/>
  <c r="C135"/>
  <c r="C129"/>
  <c r="C128"/>
  <c r="C126"/>
  <c r="C124"/>
  <c r="C123"/>
  <c r="C110"/>
  <c r="C109"/>
  <c r="C87"/>
  <c r="C86"/>
  <c r="C85"/>
  <c r="C84"/>
  <c r="C83"/>
  <c r="C82"/>
  <c r="C79"/>
  <c r="C78"/>
  <c r="C76"/>
  <c r="C72"/>
  <c r="C71"/>
  <c r="C70"/>
  <c r="C69"/>
  <c r="C22"/>
  <c r="C62"/>
  <c r="C67"/>
  <c r="C53"/>
  <c r="C52"/>
  <c r="C41"/>
  <c r="C42"/>
  <c r="C27"/>
  <c r="C26"/>
  <c r="C25"/>
  <c r="C24"/>
  <c r="C29"/>
  <c r="C28"/>
  <c r="C181"/>
  <c r="C182"/>
  <c r="C183"/>
  <c r="C186"/>
  <c r="C187"/>
  <c r="C188"/>
  <c r="C189"/>
  <c r="C190"/>
  <c r="C191"/>
  <c r="C192"/>
  <c r="C193"/>
  <c r="C194"/>
  <c r="C195"/>
  <c r="C196"/>
  <c r="C197"/>
  <c r="C198"/>
  <c r="C199"/>
  <c r="C200"/>
  <c r="C201"/>
  <c r="C202"/>
  <c r="C203"/>
  <c r="C204"/>
  <c r="C180"/>
  <c r="C127"/>
  <c r="C130"/>
  <c r="C131"/>
  <c r="C132"/>
  <c r="C134"/>
  <c r="C125"/>
  <c r="C133"/>
  <c r="C136"/>
  <c r="C139"/>
  <c r="C140"/>
  <c r="C148"/>
  <c r="C147"/>
  <c r="C149"/>
  <c r="C150"/>
  <c r="C151"/>
  <c r="C152"/>
  <c r="C153"/>
  <c r="C154"/>
  <c r="C155"/>
  <c r="C157"/>
  <c r="C158"/>
  <c r="C159"/>
  <c r="C160"/>
  <c r="C161"/>
  <c r="C162"/>
  <c r="C163"/>
  <c r="C164"/>
  <c r="C165"/>
  <c r="C166"/>
  <c r="C169"/>
  <c r="C171"/>
  <c r="C172"/>
  <c r="C173"/>
  <c r="C174"/>
  <c r="C175"/>
  <c r="C176"/>
  <c r="C177"/>
  <c r="C156"/>
  <c r="C170"/>
  <c r="C122"/>
  <c r="C92"/>
  <c r="C93"/>
  <c r="C94"/>
  <c r="C95"/>
  <c r="C96"/>
  <c r="C97"/>
  <c r="C99"/>
  <c r="C100"/>
  <c r="C101"/>
  <c r="C102"/>
  <c r="C103"/>
  <c r="C104"/>
  <c r="C105"/>
  <c r="C106"/>
  <c r="C107"/>
  <c r="C108"/>
  <c r="C111"/>
  <c r="C113"/>
  <c r="C114"/>
  <c r="C115"/>
  <c r="C116"/>
  <c r="C117"/>
  <c r="C118"/>
  <c r="C119"/>
  <c r="C98"/>
  <c r="C112"/>
  <c r="C80"/>
  <c r="C81"/>
  <c r="C89"/>
  <c r="C88"/>
  <c r="C90"/>
  <c r="C91"/>
  <c r="C66"/>
  <c r="C73"/>
  <c r="C75"/>
  <c r="C68"/>
  <c r="C74"/>
  <c r="C77"/>
  <c r="C65"/>
  <c r="C5"/>
  <c r="AV9" i="3"/>
  <c r="C23" i="12"/>
  <c r="C31"/>
  <c r="C30"/>
  <c r="C32"/>
  <c r="C33"/>
  <c r="C34"/>
  <c r="C35"/>
  <c r="C36"/>
  <c r="C37"/>
  <c r="C38"/>
  <c r="C39"/>
  <c r="C43"/>
  <c r="C44"/>
  <c r="C45"/>
  <c r="C46"/>
  <c r="C47"/>
  <c r="C48"/>
  <c r="C49"/>
  <c r="C50"/>
  <c r="C51"/>
  <c r="C54"/>
  <c r="C56"/>
  <c r="C57"/>
  <c r="C58"/>
  <c r="C59"/>
  <c r="C60"/>
  <c r="C61"/>
  <c r="C40"/>
  <c r="C55"/>
  <c r="U1" i="2"/>
  <c r="DQ109"/>
  <c r="DP109"/>
  <c r="DO109"/>
  <c r="DN109"/>
  <c r="DM109"/>
  <c r="DK109"/>
  <c r="DJ109"/>
  <c r="DI109"/>
  <c r="DC109"/>
  <c r="DB109"/>
  <c r="DA109"/>
  <c r="CZ109"/>
  <c r="CY109"/>
  <c r="CW109"/>
  <c r="CV109"/>
  <c r="CU109"/>
  <c r="CO109"/>
  <c r="CN109"/>
  <c r="CM109"/>
  <c r="CL109"/>
  <c r="CK109"/>
  <c r="CI109"/>
  <c r="CH109"/>
  <c r="CG109"/>
  <c r="CA109"/>
  <c r="BZ109"/>
  <c r="BY109"/>
  <c r="BX109"/>
  <c r="BW109"/>
  <c r="BU109"/>
  <c r="BT109"/>
  <c r="BS109"/>
  <c r="BN109"/>
  <c r="BM109"/>
  <c r="BL109"/>
  <c r="BK109"/>
  <c r="BJ109"/>
  <c r="BI109"/>
  <c r="BG109"/>
  <c r="BF109"/>
  <c r="BE109"/>
  <c r="BD109"/>
  <c r="DD109"/>
  <c r="CT109"/>
  <c r="DG109"/>
  <c r="EE109"/>
  <c r="DQ106"/>
  <c r="DM106"/>
  <c r="DL106"/>
  <c r="DK106"/>
  <c r="DJ106"/>
  <c r="DI106"/>
  <c r="DH106"/>
  <c r="DG106"/>
  <c r="DC106"/>
  <c r="CY106"/>
  <c r="CX106"/>
  <c r="CW106"/>
  <c r="CV106"/>
  <c r="CU106"/>
  <c r="CT106"/>
  <c r="CS106"/>
  <c r="CO106"/>
  <c r="CK106"/>
  <c r="CJ106"/>
  <c r="CI106"/>
  <c r="CH106"/>
  <c r="CG106"/>
  <c r="CF106"/>
  <c r="CE106"/>
  <c r="CA106"/>
  <c r="BW106"/>
  <c r="BV106"/>
  <c r="BU106"/>
  <c r="BT106"/>
  <c r="BS106"/>
  <c r="BR106"/>
  <c r="BQ106"/>
  <c r="BM106"/>
  <c r="BI106"/>
  <c r="BH106"/>
  <c r="BG106"/>
  <c r="BF106"/>
  <c r="BE106"/>
  <c r="BD106"/>
  <c r="BC106"/>
  <c r="DR106"/>
  <c r="DO106"/>
  <c r="EE106"/>
  <c r="DQ105"/>
  <c r="DN105"/>
  <c r="DM105"/>
  <c r="DL105"/>
  <c r="DJ105"/>
  <c r="DI105"/>
  <c r="DH105"/>
  <c r="DG105"/>
  <c r="DC105"/>
  <c r="CZ105"/>
  <c r="CY105"/>
  <c r="CX105"/>
  <c r="CV105"/>
  <c r="CU105"/>
  <c r="CT105"/>
  <c r="CS105"/>
  <c r="CO105"/>
  <c r="CL105"/>
  <c r="CK105"/>
  <c r="CJ105"/>
  <c r="CH105"/>
  <c r="CG105"/>
  <c r="CF105"/>
  <c r="CE105"/>
  <c r="CA105"/>
  <c r="BX105"/>
  <c r="BW105"/>
  <c r="BV105"/>
  <c r="BT105"/>
  <c r="BS105"/>
  <c r="BR105"/>
  <c r="BQ105"/>
  <c r="BM105"/>
  <c r="BJ105"/>
  <c r="BI105"/>
  <c r="BH105"/>
  <c r="BF105"/>
  <c r="BE105"/>
  <c r="BD105"/>
  <c r="BC105"/>
  <c r="DR105"/>
  <c r="DP105"/>
  <c r="DK105"/>
  <c r="EC105"/>
  <c r="DQ104"/>
  <c r="DM104"/>
  <c r="DL104"/>
  <c r="DK104"/>
  <c r="DJ104"/>
  <c r="DI104"/>
  <c r="DH104"/>
  <c r="DG104"/>
  <c r="DC104"/>
  <c r="CY104"/>
  <c r="CX104"/>
  <c r="CW104"/>
  <c r="CV104"/>
  <c r="CU104"/>
  <c r="CT104"/>
  <c r="CS104"/>
  <c r="CO104"/>
  <c r="CK104"/>
  <c r="CJ104"/>
  <c r="CI104"/>
  <c r="CH104"/>
  <c r="CG104"/>
  <c r="CF104"/>
  <c r="CE104"/>
  <c r="CA104"/>
  <c r="BW104"/>
  <c r="BV104"/>
  <c r="BU104"/>
  <c r="BT104"/>
  <c r="BS104"/>
  <c r="BR104"/>
  <c r="BQ104"/>
  <c r="BM104"/>
  <c r="BI104"/>
  <c r="BH104"/>
  <c r="BG104"/>
  <c r="BF104"/>
  <c r="BE104"/>
  <c r="BD104"/>
  <c r="BC104"/>
  <c r="DR104"/>
  <c r="DP104"/>
  <c r="DN104"/>
  <c r="ED104"/>
  <c r="DQ103"/>
  <c r="DM103"/>
  <c r="DL103"/>
  <c r="DK103"/>
  <c r="DJ103"/>
  <c r="DI103"/>
  <c r="DH103"/>
  <c r="DG103"/>
  <c r="DC103"/>
  <c r="CY103"/>
  <c r="CX103"/>
  <c r="CW103"/>
  <c r="CV103"/>
  <c r="CU103"/>
  <c r="CT103"/>
  <c r="CS103"/>
  <c r="CO103"/>
  <c r="CK103"/>
  <c r="CJ103"/>
  <c r="CI103"/>
  <c r="CH103"/>
  <c r="CG103"/>
  <c r="CF103"/>
  <c r="CE103"/>
  <c r="CA103"/>
  <c r="BW103"/>
  <c r="BV103"/>
  <c r="BU103"/>
  <c r="BT103"/>
  <c r="BS103"/>
  <c r="BR103"/>
  <c r="BQ103"/>
  <c r="BM103"/>
  <c r="BI103"/>
  <c r="BH103"/>
  <c r="BG103"/>
  <c r="BF103"/>
  <c r="BE103"/>
  <c r="BD103"/>
  <c r="BC103"/>
  <c r="DR103"/>
  <c r="DP103"/>
  <c r="DA104"/>
  <c r="DN103"/>
  <c r="EE103"/>
  <c r="DQ102"/>
  <c r="DN102"/>
  <c r="DM102"/>
  <c r="DL102"/>
  <c r="DJ102"/>
  <c r="DI102"/>
  <c r="DH102"/>
  <c r="DG102"/>
  <c r="DC102"/>
  <c r="CZ102"/>
  <c r="CY102"/>
  <c r="CX102"/>
  <c r="CV102"/>
  <c r="CU102"/>
  <c r="CT102"/>
  <c r="CS102"/>
  <c r="CO102"/>
  <c r="CL102"/>
  <c r="CK102"/>
  <c r="CJ102"/>
  <c r="CH102"/>
  <c r="CG102"/>
  <c r="CF102"/>
  <c r="CE102"/>
  <c r="CA102"/>
  <c r="BX102"/>
  <c r="BW102"/>
  <c r="BV102"/>
  <c r="BT102"/>
  <c r="BS102"/>
  <c r="BR102"/>
  <c r="BQ102"/>
  <c r="BM102"/>
  <c r="BJ102"/>
  <c r="BI102"/>
  <c r="BH102"/>
  <c r="BF102"/>
  <c r="BE102"/>
  <c r="BD102"/>
  <c r="BC102"/>
  <c r="DR102"/>
  <c r="DP102"/>
  <c r="DO102"/>
  <c r="DK102"/>
  <c r="EE102"/>
  <c r="DQ101"/>
  <c r="DN101"/>
  <c r="DM101"/>
  <c r="DL101"/>
  <c r="DJ101"/>
  <c r="DI101"/>
  <c r="DH101"/>
  <c r="DG101"/>
  <c r="DC101"/>
  <c r="CZ101"/>
  <c r="CY101"/>
  <c r="CX101"/>
  <c r="CV101"/>
  <c r="CU101"/>
  <c r="CT101"/>
  <c r="CS101"/>
  <c r="CO101"/>
  <c r="CL101"/>
  <c r="CK101"/>
  <c r="CJ101"/>
  <c r="CH101"/>
  <c r="CG101"/>
  <c r="CF101"/>
  <c r="CE101"/>
  <c r="CA101"/>
  <c r="BX101"/>
  <c r="BW101"/>
  <c r="BV101"/>
  <c r="BT101"/>
  <c r="BS101"/>
  <c r="BR101"/>
  <c r="BQ101"/>
  <c r="BM101"/>
  <c r="BJ101"/>
  <c r="BI101"/>
  <c r="BH101"/>
  <c r="BF101"/>
  <c r="BE101"/>
  <c r="BD101"/>
  <c r="BC101"/>
  <c r="DR101"/>
  <c r="DP101"/>
  <c r="DO101"/>
  <c r="DK101"/>
  <c r="EE101"/>
  <c r="DQ100"/>
  <c r="DP100"/>
  <c r="DO100"/>
  <c r="DN100"/>
  <c r="DM100"/>
  <c r="DL100"/>
  <c r="DK100"/>
  <c r="DJ100"/>
  <c r="DI100"/>
  <c r="DC100"/>
  <c r="DB100"/>
  <c r="DA100"/>
  <c r="CZ100"/>
  <c r="CY100"/>
  <c r="CW100"/>
  <c r="CV100"/>
  <c r="CU100"/>
  <c r="CO100"/>
  <c r="CN100"/>
  <c r="CM100"/>
  <c r="CL100"/>
  <c r="CK100"/>
  <c r="CJ100"/>
  <c r="CI100"/>
  <c r="CH100"/>
  <c r="CG100"/>
  <c r="CA100"/>
  <c r="BZ100"/>
  <c r="BY100"/>
  <c r="BX100"/>
  <c r="BW100"/>
  <c r="BU100"/>
  <c r="BT100"/>
  <c r="BS100"/>
  <c r="BM100"/>
  <c r="BL100"/>
  <c r="BK100"/>
  <c r="BJ100"/>
  <c r="BI100"/>
  <c r="BH100"/>
  <c r="BG100"/>
  <c r="BF100"/>
  <c r="BE100"/>
  <c r="DR100"/>
  <c r="CX100"/>
  <c r="DH100"/>
  <c r="DG100"/>
  <c r="EB99"/>
  <c r="DX99"/>
  <c r="DT99"/>
  <c r="DQ99"/>
  <c r="DP99"/>
  <c r="DO99"/>
  <c r="DN99"/>
  <c r="DM99"/>
  <c r="DK99"/>
  <c r="DJ99"/>
  <c r="DI99"/>
  <c r="DC99"/>
  <c r="DB99"/>
  <c r="DA99"/>
  <c r="CZ99"/>
  <c r="CY99"/>
  <c r="CW99"/>
  <c r="CV99"/>
  <c r="CU99"/>
  <c r="CO99"/>
  <c r="CN99"/>
  <c r="CM99"/>
  <c r="CL99"/>
  <c r="CK99"/>
  <c r="CI99"/>
  <c r="CH99"/>
  <c r="CG99"/>
  <c r="CA99"/>
  <c r="BZ99"/>
  <c r="BY99"/>
  <c r="BX99"/>
  <c r="BW99"/>
  <c r="BU99"/>
  <c r="BT99"/>
  <c r="BS99"/>
  <c r="BM99"/>
  <c r="BL99"/>
  <c r="BK99"/>
  <c r="BJ99"/>
  <c r="BI99"/>
  <c r="BG99"/>
  <c r="BF99"/>
  <c r="BE99"/>
  <c r="DR99"/>
  <c r="DL99"/>
  <c r="DH99"/>
  <c r="DG99"/>
  <c r="EE99"/>
  <c r="DQ97"/>
  <c r="DP97"/>
  <c r="DO97"/>
  <c r="DM97"/>
  <c r="DL97"/>
  <c r="DK97"/>
  <c r="DJ97"/>
  <c r="DI97"/>
  <c r="DC97"/>
  <c r="DB97"/>
  <c r="DA97"/>
  <c r="CY97"/>
  <c r="CX97"/>
  <c r="CW97"/>
  <c r="CV97"/>
  <c r="CU97"/>
  <c r="CO97"/>
  <c r="CN97"/>
  <c r="CM97"/>
  <c r="CK97"/>
  <c r="CJ97"/>
  <c r="CI97"/>
  <c r="CH97"/>
  <c r="CG97"/>
  <c r="CA97"/>
  <c r="BZ97"/>
  <c r="BY97"/>
  <c r="BW97"/>
  <c r="BV97"/>
  <c r="BU97"/>
  <c r="BT97"/>
  <c r="BS97"/>
  <c r="BM97"/>
  <c r="BL97"/>
  <c r="BK97"/>
  <c r="BI97"/>
  <c r="BH97"/>
  <c r="BG97"/>
  <c r="BF97"/>
  <c r="BE97"/>
  <c r="DR97"/>
  <c r="CZ97"/>
  <c r="DH97"/>
  <c r="DG97"/>
  <c r="EE97"/>
  <c r="ED96"/>
  <c r="DZ96"/>
  <c r="DV96"/>
  <c r="DQ96"/>
  <c r="DP96"/>
  <c r="DO96"/>
  <c r="DN96"/>
  <c r="DM96"/>
  <c r="DK96"/>
  <c r="DJ96"/>
  <c r="DI96"/>
  <c r="DC96"/>
  <c r="DB96"/>
  <c r="DA96"/>
  <c r="CZ96"/>
  <c r="CY96"/>
  <c r="CW96"/>
  <c r="CV96"/>
  <c r="CU96"/>
  <c r="CO96"/>
  <c r="CN96"/>
  <c r="CM96"/>
  <c r="CL96"/>
  <c r="CK96"/>
  <c r="CI96"/>
  <c r="CH96"/>
  <c r="CG96"/>
  <c r="CA96"/>
  <c r="BZ96"/>
  <c r="BY96"/>
  <c r="BX96"/>
  <c r="BW96"/>
  <c r="BU96"/>
  <c r="BT96"/>
  <c r="BS96"/>
  <c r="BM96"/>
  <c r="BL96"/>
  <c r="BK96"/>
  <c r="BJ96"/>
  <c r="BI96"/>
  <c r="BG96"/>
  <c r="BF96"/>
  <c r="BE96"/>
  <c r="DR96"/>
  <c r="DH96"/>
  <c r="DG96"/>
  <c r="EE96"/>
  <c r="DQ95"/>
  <c r="DP95"/>
  <c r="DO95"/>
  <c r="DM95"/>
  <c r="DL95"/>
  <c r="DK95"/>
  <c r="DJ95"/>
  <c r="DI95"/>
  <c r="DC95"/>
  <c r="DB95"/>
  <c r="DA95"/>
  <c r="CY95"/>
  <c r="CX95"/>
  <c r="CW95"/>
  <c r="CV95"/>
  <c r="CU95"/>
  <c r="CO95"/>
  <c r="CN95"/>
  <c r="CM95"/>
  <c r="CK95"/>
  <c r="CJ95"/>
  <c r="CI95"/>
  <c r="CH95"/>
  <c r="CG95"/>
  <c r="CA95"/>
  <c r="BZ95"/>
  <c r="BY95"/>
  <c r="BW95"/>
  <c r="BV95"/>
  <c r="BU95"/>
  <c r="BT95"/>
  <c r="BS95"/>
  <c r="BM95"/>
  <c r="BL95"/>
  <c r="BK95"/>
  <c r="BI95"/>
  <c r="BH95"/>
  <c r="BG95"/>
  <c r="BF95"/>
  <c r="BE95"/>
  <c r="DR95"/>
  <c r="CZ95"/>
  <c r="DH95"/>
  <c r="DG95"/>
  <c r="EE95"/>
  <c r="DQ94"/>
  <c r="DP94"/>
  <c r="DO94"/>
  <c r="DN94"/>
  <c r="DM94"/>
  <c r="DK94"/>
  <c r="DJ94"/>
  <c r="DI94"/>
  <c r="DC94"/>
  <c r="DB94"/>
  <c r="DA94"/>
  <c r="CZ94"/>
  <c r="CY94"/>
  <c r="CW94"/>
  <c r="CV94"/>
  <c r="CU94"/>
  <c r="CO94"/>
  <c r="CN94"/>
  <c r="CM94"/>
  <c r="CL94"/>
  <c r="CK94"/>
  <c r="CI94"/>
  <c r="CH94"/>
  <c r="CG94"/>
  <c r="CA94"/>
  <c r="BZ94"/>
  <c r="BY94"/>
  <c r="BX94"/>
  <c r="BW94"/>
  <c r="BU94"/>
  <c r="BT94"/>
  <c r="BS94"/>
  <c r="BM94"/>
  <c r="BL94"/>
  <c r="BK94"/>
  <c r="BJ94"/>
  <c r="BI94"/>
  <c r="BG94"/>
  <c r="BF94"/>
  <c r="BE94"/>
  <c r="DR94"/>
  <c r="DH94"/>
  <c r="DG94"/>
  <c r="EE94"/>
  <c r="DQ93"/>
  <c r="DP93"/>
  <c r="DO93"/>
  <c r="DN93"/>
  <c r="DM93"/>
  <c r="DL93"/>
  <c r="DK93"/>
  <c r="DJ93"/>
  <c r="DI93"/>
  <c r="DC93"/>
  <c r="DB93"/>
  <c r="DA93"/>
  <c r="CY93"/>
  <c r="CX93"/>
  <c r="CW93"/>
  <c r="CV93"/>
  <c r="CU93"/>
  <c r="CO93"/>
  <c r="CN93"/>
  <c r="CM93"/>
  <c r="CL93"/>
  <c r="CK93"/>
  <c r="CJ93"/>
  <c r="CI93"/>
  <c r="CH93"/>
  <c r="CG93"/>
  <c r="CA93"/>
  <c r="BZ93"/>
  <c r="BY93"/>
  <c r="BW93"/>
  <c r="BV93"/>
  <c r="BU93"/>
  <c r="BT93"/>
  <c r="BS93"/>
  <c r="BM93"/>
  <c r="BL93"/>
  <c r="BK93"/>
  <c r="BJ93"/>
  <c r="BI93"/>
  <c r="BH93"/>
  <c r="BG93"/>
  <c r="BF93"/>
  <c r="BE93"/>
  <c r="DR93"/>
  <c r="CZ93"/>
  <c r="DH93"/>
  <c r="DG93"/>
  <c r="EE93"/>
  <c r="EB92"/>
  <c r="DX92"/>
  <c r="DT92"/>
  <c r="DQ92"/>
  <c r="DP92"/>
  <c r="DO92"/>
  <c r="DM92"/>
  <c r="DL92"/>
  <c r="DK92"/>
  <c r="DJ92"/>
  <c r="DI92"/>
  <c r="DC92"/>
  <c r="DB92"/>
  <c r="DA92"/>
  <c r="CY92"/>
  <c r="CX92"/>
  <c r="CW92"/>
  <c r="CV92"/>
  <c r="CU92"/>
  <c r="CO92"/>
  <c r="CN92"/>
  <c r="CM92"/>
  <c r="CK92"/>
  <c r="CJ92"/>
  <c r="CI92"/>
  <c r="CH92"/>
  <c r="CG92"/>
  <c r="CA92"/>
  <c r="BZ92"/>
  <c r="BY92"/>
  <c r="BW92"/>
  <c r="BV92"/>
  <c r="BU92"/>
  <c r="BT92"/>
  <c r="BS92"/>
  <c r="BM92"/>
  <c r="BL92"/>
  <c r="BK92"/>
  <c r="BI92"/>
  <c r="BH92"/>
  <c r="BG92"/>
  <c r="BF92"/>
  <c r="BE92"/>
  <c r="DR92"/>
  <c r="DN92"/>
  <c r="DH92"/>
  <c r="DG92"/>
  <c r="EE92"/>
  <c r="DQ91"/>
  <c r="DP91"/>
  <c r="DO91"/>
  <c r="DN91"/>
  <c r="DM91"/>
  <c r="DK91"/>
  <c r="DJ91"/>
  <c r="DI91"/>
  <c r="DC91"/>
  <c r="DB91"/>
  <c r="DA91"/>
  <c r="CZ91"/>
  <c r="CY91"/>
  <c r="CW91"/>
  <c r="CV91"/>
  <c r="CU91"/>
  <c r="CO91"/>
  <c r="CN91"/>
  <c r="CM91"/>
  <c r="CL91"/>
  <c r="CK91"/>
  <c r="CI91"/>
  <c r="CH91"/>
  <c r="CG91"/>
  <c r="CA91"/>
  <c r="BZ91"/>
  <c r="BY91"/>
  <c r="BX91"/>
  <c r="BW91"/>
  <c r="BU91"/>
  <c r="BT91"/>
  <c r="BS91"/>
  <c r="BM91"/>
  <c r="BL91"/>
  <c r="BK91"/>
  <c r="BJ91"/>
  <c r="BI91"/>
  <c r="BG91"/>
  <c r="BF91"/>
  <c r="BE91"/>
  <c r="DR91"/>
  <c r="DH91"/>
  <c r="DG91"/>
  <c r="EE91"/>
  <c r="H79"/>
  <c r="H80"/>
  <c r="H81"/>
  <c r="H82"/>
  <c r="H83"/>
  <c r="H84"/>
  <c r="H85"/>
  <c r="H87"/>
  <c r="H88"/>
  <c r="H89"/>
  <c r="H90"/>
  <c r="H91"/>
  <c r="H92"/>
  <c r="H93"/>
  <c r="H75"/>
  <c r="H74"/>
  <c r="H72"/>
  <c r="H71"/>
  <c r="H68"/>
  <c r="H69"/>
  <c r="H67"/>
  <c r="H47"/>
  <c r="H48"/>
  <c r="H50"/>
  <c r="H49" s="1"/>
  <c r="H51"/>
  <c r="H52"/>
  <c r="H53"/>
  <c r="H54"/>
  <c r="H55"/>
  <c r="H56"/>
  <c r="H57"/>
  <c r="H58"/>
  <c r="H59"/>
  <c r="H60"/>
  <c r="H61"/>
  <c r="H62"/>
  <c r="H46"/>
  <c r="H29"/>
  <c r="H30"/>
  <c r="H32"/>
  <c r="H31" s="1"/>
  <c r="H33"/>
  <c r="H34"/>
  <c r="H35"/>
  <c r="H36"/>
  <c r="H37"/>
  <c r="H38"/>
  <c r="H39"/>
  <c r="H40"/>
  <c r="H41"/>
  <c r="H42"/>
  <c r="H28"/>
  <c r="H9"/>
  <c r="H10"/>
  <c r="H12"/>
  <c r="H11" s="1"/>
  <c r="H13"/>
  <c r="H14"/>
  <c r="H15"/>
  <c r="H16"/>
  <c r="H17"/>
  <c r="H18"/>
  <c r="H19"/>
  <c r="H20"/>
  <c r="H21"/>
  <c r="H22"/>
  <c r="H23"/>
  <c r="H8"/>
  <c r="P46" i="10"/>
  <c r="P34"/>
  <c r="AN75" i="2"/>
  <c r="BD75" s="1"/>
  <c r="AM76"/>
  <c r="BC76" s="1"/>
  <c r="CE75"/>
  <c r="I75"/>
  <c r="L75"/>
  <c r="P75"/>
  <c r="G75"/>
  <c r="AX75"/>
  <c r="CP75" s="1"/>
  <c r="AX76"/>
  <c r="BN76" s="1"/>
  <c r="AV75"/>
  <c r="CN75" s="1"/>
  <c r="AV76"/>
  <c r="BK75"/>
  <c r="AU76"/>
  <c r="BJ75"/>
  <c r="AT76"/>
  <c r="AN76"/>
  <c r="AN79"/>
  <c r="AN80"/>
  <c r="AL75"/>
  <c r="DV75" s="1"/>
  <c r="BU75"/>
  <c r="BL75"/>
  <c r="BE75"/>
  <c r="BF75"/>
  <c r="BG75"/>
  <c r="BH75"/>
  <c r="BI75"/>
  <c r="BM75"/>
  <c r="BS75"/>
  <c r="BT75"/>
  <c r="BV75"/>
  <c r="BW75"/>
  <c r="BX75"/>
  <c r="CA75"/>
  <c r="CG75"/>
  <c r="CH75"/>
  <c r="CJ75"/>
  <c r="CK75"/>
  <c r="CO75"/>
  <c r="CT75"/>
  <c r="CU75"/>
  <c r="CV75"/>
  <c r="CX75"/>
  <c r="CY75"/>
  <c r="DC75"/>
  <c r="DH75"/>
  <c r="DI75"/>
  <c r="DJ75"/>
  <c r="DL75"/>
  <c r="DM75"/>
  <c r="DP75"/>
  <c r="DQ75"/>
  <c r="DR75"/>
  <c r="BV74"/>
  <c r="BG74"/>
  <c r="AQ67"/>
  <c r="AQ68"/>
  <c r="AL9"/>
  <c r="AL10"/>
  <c r="AL12"/>
  <c r="AL13"/>
  <c r="AL14"/>
  <c r="AL15"/>
  <c r="AL16"/>
  <c r="AL17"/>
  <c r="AL18"/>
  <c r="AL19"/>
  <c r="AL20"/>
  <c r="AL21"/>
  <c r="AL22"/>
  <c r="AL23"/>
  <c r="AL26"/>
  <c r="AL27"/>
  <c r="AL28"/>
  <c r="AL29"/>
  <c r="AL30"/>
  <c r="AL32"/>
  <c r="AL33"/>
  <c r="AL34"/>
  <c r="AL35"/>
  <c r="AL36"/>
  <c r="AL37"/>
  <c r="AL38"/>
  <c r="AL39"/>
  <c r="AL40"/>
  <c r="AL41"/>
  <c r="AL42"/>
  <c r="AL44"/>
  <c r="AL45"/>
  <c r="AL46"/>
  <c r="AL47"/>
  <c r="AL48"/>
  <c r="AL50"/>
  <c r="AL51"/>
  <c r="AL52"/>
  <c r="AL53"/>
  <c r="AL54"/>
  <c r="AL55"/>
  <c r="AL56"/>
  <c r="AL57"/>
  <c r="AL58"/>
  <c r="AL59"/>
  <c r="AL60"/>
  <c r="EE60" s="1"/>
  <c r="AL61"/>
  <c r="AL62"/>
  <c r="AL64"/>
  <c r="AL66"/>
  <c r="AL67"/>
  <c r="AL68"/>
  <c r="AL69"/>
  <c r="AL70"/>
  <c r="AL71"/>
  <c r="AL72"/>
  <c r="AL73"/>
  <c r="AL74"/>
  <c r="AL76"/>
  <c r="AL78"/>
  <c r="AL79"/>
  <c r="AL80"/>
  <c r="AL81"/>
  <c r="AL82"/>
  <c r="AL83"/>
  <c r="AL84"/>
  <c r="AL85"/>
  <c r="AL8"/>
  <c r="DT8" s="1"/>
  <c r="P73"/>
  <c r="P74"/>
  <c r="P79"/>
  <c r="P80"/>
  <c r="P81"/>
  <c r="P82"/>
  <c r="P83"/>
  <c r="P84"/>
  <c r="P85"/>
  <c r="L72"/>
  <c r="L73"/>
  <c r="L74"/>
  <c r="L79"/>
  <c r="L80"/>
  <c r="L81"/>
  <c r="L82"/>
  <c r="L83"/>
  <c r="L84"/>
  <c r="L85"/>
  <c r="I73"/>
  <c r="I74"/>
  <c r="I79"/>
  <c r="I80"/>
  <c r="I81"/>
  <c r="I82"/>
  <c r="I83"/>
  <c r="I84"/>
  <c r="I85"/>
  <c r="G73"/>
  <c r="G74"/>
  <c r="G79"/>
  <c r="G80"/>
  <c r="G81"/>
  <c r="G82"/>
  <c r="G83"/>
  <c r="G84"/>
  <c r="G85"/>
  <c r="BE73"/>
  <c r="BF73"/>
  <c r="BI73"/>
  <c r="BJ73"/>
  <c r="BM73"/>
  <c r="BS73"/>
  <c r="BT73"/>
  <c r="BW73"/>
  <c r="BX73"/>
  <c r="CA73"/>
  <c r="CG73"/>
  <c r="CH73"/>
  <c r="CK73"/>
  <c r="CL73"/>
  <c r="CO73"/>
  <c r="CU73"/>
  <c r="CV73"/>
  <c r="CY73"/>
  <c r="CZ73"/>
  <c r="DC73"/>
  <c r="DI73"/>
  <c r="DJ73"/>
  <c r="DM73"/>
  <c r="DN73"/>
  <c r="DQ73"/>
  <c r="BE74"/>
  <c r="BF74"/>
  <c r="BH74"/>
  <c r="BI74"/>
  <c r="BM74"/>
  <c r="BS74"/>
  <c r="BT74"/>
  <c r="BW74"/>
  <c r="CA74"/>
  <c r="CG74"/>
  <c r="CH74"/>
  <c r="CJ74"/>
  <c r="CK74"/>
  <c r="CO74"/>
  <c r="CU74"/>
  <c r="CV74"/>
  <c r="CY74"/>
  <c r="DC74"/>
  <c r="DI74"/>
  <c r="DJ74"/>
  <c r="DL74"/>
  <c r="DM74"/>
  <c r="DQ74"/>
  <c r="BE76"/>
  <c r="BF76"/>
  <c r="BI76"/>
  <c r="BM76"/>
  <c r="BS76"/>
  <c r="BT76"/>
  <c r="BW76"/>
  <c r="CA76"/>
  <c r="CG76"/>
  <c r="CH76"/>
  <c r="CK76"/>
  <c r="CO76"/>
  <c r="CU76"/>
  <c r="CV76"/>
  <c r="CY76"/>
  <c r="DC76"/>
  <c r="DI76"/>
  <c r="DJ76"/>
  <c r="DM76"/>
  <c r="DQ76"/>
  <c r="BE78"/>
  <c r="BF78"/>
  <c r="BI78"/>
  <c r="BM78"/>
  <c r="BS78"/>
  <c r="BT78"/>
  <c r="BW78"/>
  <c r="CA78"/>
  <c r="CG78"/>
  <c r="CH78"/>
  <c r="CK78"/>
  <c r="CO78"/>
  <c r="CU78"/>
  <c r="CV78"/>
  <c r="CY78"/>
  <c r="DC78"/>
  <c r="DI78"/>
  <c r="DJ78"/>
  <c r="DM78"/>
  <c r="DQ78"/>
  <c r="BE79"/>
  <c r="BF79"/>
  <c r="BI79"/>
  <c r="BM79"/>
  <c r="BS79"/>
  <c r="BT79"/>
  <c r="BW79"/>
  <c r="CA79"/>
  <c r="CG79"/>
  <c r="CH79"/>
  <c r="CK79"/>
  <c r="CO79"/>
  <c r="CU79"/>
  <c r="CV79"/>
  <c r="CY79"/>
  <c r="DC79"/>
  <c r="DI79"/>
  <c r="DJ79"/>
  <c r="DM79"/>
  <c r="DQ79"/>
  <c r="BE80"/>
  <c r="BF80"/>
  <c r="BI80"/>
  <c r="BM80"/>
  <c r="BS80"/>
  <c r="BT80"/>
  <c r="BW80"/>
  <c r="CA80"/>
  <c r="CG80"/>
  <c r="CH80"/>
  <c r="CK80"/>
  <c r="CO80"/>
  <c r="CU80"/>
  <c r="CV80"/>
  <c r="CY80"/>
  <c r="DC80"/>
  <c r="DI80"/>
  <c r="DJ80"/>
  <c r="DM80"/>
  <c r="DQ80"/>
  <c r="BE81"/>
  <c r="BF81"/>
  <c r="BI81"/>
  <c r="BM81"/>
  <c r="BS81"/>
  <c r="BT81"/>
  <c r="BW81"/>
  <c r="CA81"/>
  <c r="CG81"/>
  <c r="CH81"/>
  <c r="CK81"/>
  <c r="CO81"/>
  <c r="CU81"/>
  <c r="CV81"/>
  <c r="CY81"/>
  <c r="DC81"/>
  <c r="DI81"/>
  <c r="DJ81"/>
  <c r="DM81"/>
  <c r="DQ81"/>
  <c r="BE82"/>
  <c r="BF82"/>
  <c r="BI82"/>
  <c r="BM82"/>
  <c r="BS82"/>
  <c r="BT82"/>
  <c r="BW82"/>
  <c r="CA82"/>
  <c r="CG82"/>
  <c r="CH82"/>
  <c r="CK82"/>
  <c r="CO82"/>
  <c r="CU82"/>
  <c r="CV82"/>
  <c r="CY82"/>
  <c r="DC82"/>
  <c r="DI82"/>
  <c r="DJ82"/>
  <c r="DM82"/>
  <c r="DQ82"/>
  <c r="BE83"/>
  <c r="BF83"/>
  <c r="BI83"/>
  <c r="BM83"/>
  <c r="BS83"/>
  <c r="BT83"/>
  <c r="BW83"/>
  <c r="CA83"/>
  <c r="CG83"/>
  <c r="CH83"/>
  <c r="CK83"/>
  <c r="CO83"/>
  <c r="CU83"/>
  <c r="CV83"/>
  <c r="CY83"/>
  <c r="DC83"/>
  <c r="DI83"/>
  <c r="DJ83"/>
  <c r="DM83"/>
  <c r="DQ83"/>
  <c r="BE84"/>
  <c r="BF84"/>
  <c r="BI84"/>
  <c r="BM84"/>
  <c r="BS84"/>
  <c r="BT84"/>
  <c r="BW84"/>
  <c r="CA84"/>
  <c r="CG84"/>
  <c r="CH84"/>
  <c r="CK84"/>
  <c r="CO84"/>
  <c r="CU84"/>
  <c r="CV84"/>
  <c r="CY84"/>
  <c r="DC84"/>
  <c r="DI84"/>
  <c r="DJ84"/>
  <c r="DM84"/>
  <c r="DQ84"/>
  <c r="BE85"/>
  <c r="BF85"/>
  <c r="BI85"/>
  <c r="BM85"/>
  <c r="BS85"/>
  <c r="BT85"/>
  <c r="BW85"/>
  <c r="CA85"/>
  <c r="CG85"/>
  <c r="CH85"/>
  <c r="CK85"/>
  <c r="CO85"/>
  <c r="CU85"/>
  <c r="CV85"/>
  <c r="CY85"/>
  <c r="DC85"/>
  <c r="DI85"/>
  <c r="DJ85"/>
  <c r="DM85"/>
  <c r="DQ85"/>
  <c r="AX73"/>
  <c r="BN73" s="1"/>
  <c r="AX74"/>
  <c r="BN74" s="1"/>
  <c r="BN78"/>
  <c r="AX79"/>
  <c r="BN79" s="1"/>
  <c r="AX80"/>
  <c r="BN80" s="1"/>
  <c r="AX81"/>
  <c r="BN81" s="1"/>
  <c r="AX82"/>
  <c r="BN82" s="1"/>
  <c r="AX83"/>
  <c r="BN83" s="1"/>
  <c r="AX84"/>
  <c r="BN84" s="1"/>
  <c r="AX85"/>
  <c r="CB85" s="1"/>
  <c r="AV73"/>
  <c r="BL73" s="1"/>
  <c r="AV74"/>
  <c r="BL74" s="1"/>
  <c r="BZ76"/>
  <c r="BL78"/>
  <c r="AV79"/>
  <c r="BL79" s="1"/>
  <c r="AV80"/>
  <c r="BL80" s="1"/>
  <c r="AV81"/>
  <c r="BL81" s="1"/>
  <c r="AV82"/>
  <c r="BL82" s="1"/>
  <c r="AV83"/>
  <c r="BL83" s="1"/>
  <c r="AV84"/>
  <c r="BL84" s="1"/>
  <c r="AV85"/>
  <c r="BZ85" s="1"/>
  <c r="AU73"/>
  <c r="BK73" s="1"/>
  <c r="BK74"/>
  <c r="BK76"/>
  <c r="BK78"/>
  <c r="BK79"/>
  <c r="BK80"/>
  <c r="BK81"/>
  <c r="AU82"/>
  <c r="BK82" s="1"/>
  <c r="AU83"/>
  <c r="BK83" s="1"/>
  <c r="AU84"/>
  <c r="BK84" s="1"/>
  <c r="AU85"/>
  <c r="BJ74"/>
  <c r="BJ76"/>
  <c r="BJ78"/>
  <c r="AT79"/>
  <c r="BJ79" s="1"/>
  <c r="AT80"/>
  <c r="BJ80" s="1"/>
  <c r="AT81"/>
  <c r="BJ81" s="1"/>
  <c r="AT82"/>
  <c r="BJ82" s="1"/>
  <c r="AT83"/>
  <c r="BJ83" s="1"/>
  <c r="AT84"/>
  <c r="BJ84" s="1"/>
  <c r="AT85"/>
  <c r="BX85" s="1"/>
  <c r="AR73"/>
  <c r="BH73" s="1"/>
  <c r="AR76"/>
  <c r="BH76" s="1"/>
  <c r="BH78"/>
  <c r="BH79"/>
  <c r="BH80"/>
  <c r="BH81"/>
  <c r="BH82"/>
  <c r="BH83"/>
  <c r="BH84"/>
  <c r="BH85"/>
  <c r="AQ73"/>
  <c r="BU73" s="1"/>
  <c r="AQ76"/>
  <c r="BG76" s="1"/>
  <c r="BG78"/>
  <c r="BG79"/>
  <c r="BG80"/>
  <c r="BG81"/>
  <c r="BG82"/>
  <c r="BG83"/>
  <c r="BG84"/>
  <c r="BG85"/>
  <c r="AN72"/>
  <c r="AN73"/>
  <c r="BD73" s="1"/>
  <c r="BD74"/>
  <c r="BD76"/>
  <c r="BD78"/>
  <c r="BD79"/>
  <c r="BD80"/>
  <c r="AN81"/>
  <c r="BD81" s="1"/>
  <c r="AN82"/>
  <c r="BD82" s="1"/>
  <c r="AN83"/>
  <c r="BD83" s="1"/>
  <c r="AN84"/>
  <c r="BD84" s="1"/>
  <c r="AN85"/>
  <c r="BR85" s="1"/>
  <c r="AM73"/>
  <c r="BC73" s="1"/>
  <c r="BC74"/>
  <c r="BC78"/>
  <c r="AM79"/>
  <c r="BC79" s="1"/>
  <c r="AM80"/>
  <c r="BC80" s="1"/>
  <c r="AM81"/>
  <c r="BC81" s="1"/>
  <c r="AM82"/>
  <c r="BC82" s="1"/>
  <c r="AM83"/>
  <c r="BC83" s="1"/>
  <c r="AM84"/>
  <c r="BC84" s="1"/>
  <c r="AM72"/>
  <c r="AM85"/>
  <c r="BC85" s="1"/>
  <c r="AC43" i="5"/>
  <c r="AC44"/>
  <c r="AC45"/>
  <c r="AC46"/>
  <c r="AB43"/>
  <c r="AB44"/>
  <c r="AB45"/>
  <c r="AB46"/>
  <c r="AA43"/>
  <c r="AA44"/>
  <c r="AA45"/>
  <c r="AA46"/>
  <c r="Z4"/>
  <c r="Z8" s="1"/>
  <c r="AA6"/>
  <c r="AB42"/>
  <c r="AC42"/>
  <c r="FN70" i="6"/>
  <c r="FO70"/>
  <c r="FP70"/>
  <c r="FR70"/>
  <c r="FN73"/>
  <c r="FO73"/>
  <c r="FP73"/>
  <c r="FR73"/>
  <c r="FN74"/>
  <c r="FO74"/>
  <c r="FP74"/>
  <c r="FR74"/>
  <c r="FN75"/>
  <c r="FO75"/>
  <c r="FP75"/>
  <c r="FR75"/>
  <c r="FN76"/>
  <c r="FO76"/>
  <c r="FP76"/>
  <c r="FR76"/>
  <c r="FD70"/>
  <c r="FD73"/>
  <c r="FD74"/>
  <c r="FD75"/>
  <c r="FD76"/>
  <c r="EW70"/>
  <c r="FC70"/>
  <c r="EW73"/>
  <c r="FC73"/>
  <c r="EW74"/>
  <c r="FC74"/>
  <c r="EW75"/>
  <c r="FC75"/>
  <c r="EW76"/>
  <c r="FC76"/>
  <c r="ES70"/>
  <c r="ET70"/>
  <c r="EU70"/>
  <c r="ES73"/>
  <c r="ET73"/>
  <c r="EU73"/>
  <c r="ES74"/>
  <c r="ET74"/>
  <c r="EU74"/>
  <c r="ES75"/>
  <c r="ET75"/>
  <c r="EU75"/>
  <c r="ES76"/>
  <c r="ET76"/>
  <c r="EU76"/>
  <c r="EH70"/>
  <c r="EI70"/>
  <c r="EH73"/>
  <c r="EI73"/>
  <c r="EH74"/>
  <c r="EI74"/>
  <c r="EH75"/>
  <c r="EI75"/>
  <c r="EH76"/>
  <c r="EI76"/>
  <c r="EB70"/>
  <c r="EB73"/>
  <c r="EB74"/>
  <c r="EB75"/>
  <c r="EB76"/>
  <c r="DX70"/>
  <c r="DY70"/>
  <c r="DZ70"/>
  <c r="DX73"/>
  <c r="DY73"/>
  <c r="DZ73"/>
  <c r="DX74"/>
  <c r="DY74"/>
  <c r="DZ74"/>
  <c r="DX75"/>
  <c r="DY75"/>
  <c r="DZ75"/>
  <c r="DX76"/>
  <c r="DY76"/>
  <c r="DZ76"/>
  <c r="DM70"/>
  <c r="DN70"/>
  <c r="DM73"/>
  <c r="DN73"/>
  <c r="DM74"/>
  <c r="DN74"/>
  <c r="DM75"/>
  <c r="DN75"/>
  <c r="DM76"/>
  <c r="DN76"/>
  <c r="DC70"/>
  <c r="DD70"/>
  <c r="DE70"/>
  <c r="DG70"/>
  <c r="DC73"/>
  <c r="DD73"/>
  <c r="DE73"/>
  <c r="DG73"/>
  <c r="DC74"/>
  <c r="DD74"/>
  <c r="DE74"/>
  <c r="DG74"/>
  <c r="DC75"/>
  <c r="DD75"/>
  <c r="DE75"/>
  <c r="DG75"/>
  <c r="DC76"/>
  <c r="DD76"/>
  <c r="DE76"/>
  <c r="DG76"/>
  <c r="CR70"/>
  <c r="CS70"/>
  <c r="CR73"/>
  <c r="CS73"/>
  <c r="CR74"/>
  <c r="CS74"/>
  <c r="CR75"/>
  <c r="CS75"/>
  <c r="CR76"/>
  <c r="CS76"/>
  <c r="CH70"/>
  <c r="CI70"/>
  <c r="CJ70"/>
  <c r="CL70"/>
  <c r="CH73"/>
  <c r="CI73"/>
  <c r="CJ73"/>
  <c r="CL73"/>
  <c r="CH74"/>
  <c r="CI74"/>
  <c r="CJ74"/>
  <c r="CL74"/>
  <c r="CH75"/>
  <c r="CI75"/>
  <c r="CJ75"/>
  <c r="CL75"/>
  <c r="CH76"/>
  <c r="CI76"/>
  <c r="CJ76"/>
  <c r="CL76"/>
  <c r="BX70"/>
  <c r="BX73"/>
  <c r="BX74"/>
  <c r="BX75"/>
  <c r="BX76"/>
  <c r="BW70"/>
  <c r="BW73"/>
  <c r="BW74"/>
  <c r="BW75"/>
  <c r="BW76"/>
  <c r="BR70"/>
  <c r="FS70" s="1"/>
  <c r="BR73"/>
  <c r="FS73" s="1"/>
  <c r="BR74"/>
  <c r="FS74" s="1"/>
  <c r="BR75"/>
  <c r="FS75" s="1"/>
  <c r="BR76"/>
  <c r="FS76" s="1"/>
  <c r="BQ70"/>
  <c r="BQ73"/>
  <c r="BQ74"/>
  <c r="BQ75"/>
  <c r="BQ76"/>
  <c r="BP70"/>
  <c r="FQ70" s="1"/>
  <c r="BP73"/>
  <c r="FQ73" s="1"/>
  <c r="BP74"/>
  <c r="FQ74" s="1"/>
  <c r="BP75"/>
  <c r="FQ75" s="1"/>
  <c r="BP76"/>
  <c r="FQ76" s="1"/>
  <c r="BL70"/>
  <c r="FM70" s="1"/>
  <c r="BL73"/>
  <c r="FM73" s="1"/>
  <c r="BL74"/>
  <c r="FM74" s="1"/>
  <c r="BL75"/>
  <c r="FM75" s="1"/>
  <c r="BL76"/>
  <c r="FM76" s="1"/>
  <c r="BK70"/>
  <c r="EQ70" s="1"/>
  <c r="BK73"/>
  <c r="EQ73" s="1"/>
  <c r="BK74"/>
  <c r="EQ74" s="1"/>
  <c r="BK75"/>
  <c r="EQ75" s="1"/>
  <c r="BK76"/>
  <c r="EQ76" s="1"/>
  <c r="BJ70"/>
  <c r="FK70" s="1"/>
  <c r="BJ73"/>
  <c r="FK73" s="1"/>
  <c r="BJ74"/>
  <c r="FK74" s="1"/>
  <c r="BJ75"/>
  <c r="FK75" s="1"/>
  <c r="BJ76"/>
  <c r="FK76" s="1"/>
  <c r="BI70"/>
  <c r="EO70" s="1"/>
  <c r="BI73"/>
  <c r="EO73" s="1"/>
  <c r="BI74"/>
  <c r="EO74" s="1"/>
  <c r="BI75"/>
  <c r="EO75" s="1"/>
  <c r="BI76"/>
  <c r="EO76" s="1"/>
  <c r="BH70"/>
  <c r="FI70" s="1"/>
  <c r="BH73"/>
  <c r="FI73" s="1"/>
  <c r="BH74"/>
  <c r="FI74" s="1"/>
  <c r="BH75"/>
  <c r="FI75" s="1"/>
  <c r="BH76"/>
  <c r="FI76" s="1"/>
  <c r="BG70"/>
  <c r="EM70" s="1"/>
  <c r="BG73"/>
  <c r="EM73" s="1"/>
  <c r="BG74"/>
  <c r="EM74" s="1"/>
  <c r="BG75"/>
  <c r="EM75" s="1"/>
  <c r="BG76"/>
  <c r="EM76" s="1"/>
  <c r="BF70"/>
  <c r="FG70" s="1"/>
  <c r="BF73"/>
  <c r="FG73" s="1"/>
  <c r="BF74"/>
  <c r="FG74" s="1"/>
  <c r="BF75"/>
  <c r="FG75" s="1"/>
  <c r="BF76"/>
  <c r="FG76" s="1"/>
  <c r="BE70"/>
  <c r="EK70" s="1"/>
  <c r="BE73"/>
  <c r="EK73" s="1"/>
  <c r="BE74"/>
  <c r="EK74" s="1"/>
  <c r="BE75"/>
  <c r="EK75" s="1"/>
  <c r="BE76"/>
  <c r="EK76" s="1"/>
  <c r="BA68"/>
  <c r="BA70"/>
  <c r="EG70" s="1"/>
  <c r="BA73"/>
  <c r="EG73" s="1"/>
  <c r="BA74"/>
  <c r="EG74" s="1"/>
  <c r="BA75"/>
  <c r="EG75" s="1"/>
  <c r="BA76"/>
  <c r="EG76" s="1"/>
  <c r="AZ68"/>
  <c r="AZ70"/>
  <c r="FA70" s="1"/>
  <c r="AZ73"/>
  <c r="FA73" s="1"/>
  <c r="AZ74"/>
  <c r="FA74" s="1"/>
  <c r="AZ75"/>
  <c r="FA75" s="1"/>
  <c r="AZ76"/>
  <c r="FA76" s="1"/>
  <c r="BD70"/>
  <c r="FE70" s="1"/>
  <c r="BD73"/>
  <c r="FE73" s="1"/>
  <c r="BD74"/>
  <c r="FE74" s="1"/>
  <c r="BD75"/>
  <c r="FE75" s="1"/>
  <c r="BD76"/>
  <c r="FE76" s="1"/>
  <c r="AE58"/>
  <c r="AR57" i="2"/>
  <c r="P72" i="10"/>
  <c r="AG174" s="1"/>
  <c r="AK174" s="1"/>
  <c r="J63" i="5"/>
  <c r="AG65" s="1"/>
  <c r="AG69" s="1"/>
  <c r="P92" i="10"/>
  <c r="P85"/>
  <c r="AG179" s="1"/>
  <c r="AM179" s="1"/>
  <c r="I33" i="5"/>
  <c r="I31"/>
  <c r="I30"/>
  <c r="H32"/>
  <c r="G32"/>
  <c r="G31"/>
  <c r="H30"/>
  <c r="G23"/>
  <c r="H22"/>
  <c r="I21"/>
  <c r="H20"/>
  <c r="G20"/>
  <c r="G19"/>
  <c r="I19"/>
  <c r="I18"/>
  <c r="H18"/>
  <c r="G11"/>
  <c r="I9"/>
  <c r="H10"/>
  <c r="I7"/>
  <c r="I6"/>
  <c r="H8"/>
  <c r="H6"/>
  <c r="G7"/>
  <c r="G8"/>
  <c r="F6" i="4"/>
  <c r="F8" s="1"/>
  <c r="F10" s="1"/>
  <c r="AE80" i="10"/>
  <c r="D32" i="1"/>
  <c r="AC4" i="6"/>
  <c r="GG3" s="1"/>
  <c r="U3" i="3"/>
  <c r="DO2" s="1"/>
  <c r="DI277" i="8"/>
  <c r="DI278" s="1"/>
  <c r="DI279" s="1"/>
  <c r="DI280" s="1"/>
  <c r="DI281" s="1"/>
  <c r="DI282" s="1"/>
  <c r="DO276"/>
  <c r="DN276"/>
  <c r="DM276"/>
  <c r="DH276"/>
  <c r="DH282" s="1"/>
  <c r="DG282" s="1"/>
  <c r="DI275"/>
  <c r="DO274"/>
  <c r="DN274"/>
  <c r="DM274"/>
  <c r="DH274"/>
  <c r="DH275" s="1"/>
  <c r="DG275" s="1"/>
  <c r="DI271"/>
  <c r="DI272" s="1"/>
  <c r="DI273" s="1"/>
  <c r="DO270"/>
  <c r="DN270"/>
  <c r="DM270"/>
  <c r="DH270"/>
  <c r="DH273" s="1"/>
  <c r="DG273" s="1"/>
  <c r="DI267"/>
  <c r="DI268" s="1"/>
  <c r="DI269" s="1"/>
  <c r="DO266"/>
  <c r="DN266"/>
  <c r="DM266"/>
  <c r="DH266"/>
  <c r="DH269" s="1"/>
  <c r="DG269" s="1"/>
  <c r="DI262"/>
  <c r="DI263" s="1"/>
  <c r="DI264" s="1"/>
  <c r="DI265" s="1"/>
  <c r="DO261"/>
  <c r="DN261"/>
  <c r="DM261"/>
  <c r="DH261"/>
  <c r="DH265" s="1"/>
  <c r="DG265" s="1"/>
  <c r="DI242"/>
  <c r="DI243" s="1"/>
  <c r="DI244" s="1"/>
  <c r="DI245" s="1"/>
  <c r="DI246" s="1"/>
  <c r="DI247" s="1"/>
  <c r="DI248" s="1"/>
  <c r="DI249" s="1"/>
  <c r="DI250" s="1"/>
  <c r="DI251" s="1"/>
  <c r="DI252" s="1"/>
  <c r="DI253" s="1"/>
  <c r="DI254" s="1"/>
  <c r="DI255" s="1"/>
  <c r="DI256" s="1"/>
  <c r="DI257" s="1"/>
  <c r="DI258" s="1"/>
  <c r="DI259" s="1"/>
  <c r="DI260" s="1"/>
  <c r="DO241"/>
  <c r="DN241"/>
  <c r="DM241"/>
  <c r="DH241"/>
  <c r="DH260" s="1"/>
  <c r="DG260" s="1"/>
  <c r="BV241"/>
  <c r="BZ241" s="1"/>
  <c r="BT241" s="1"/>
  <c r="BV240"/>
  <c r="BZ240" s="1"/>
  <c r="BT240" s="1"/>
  <c r="BV239"/>
  <c r="BZ239" s="1"/>
  <c r="BT239" s="1"/>
  <c r="AU239"/>
  <c r="AU240" s="1"/>
  <c r="AU241" s="1"/>
  <c r="BV238"/>
  <c r="BZ238" s="1"/>
  <c r="BT238" s="1"/>
  <c r="AT238"/>
  <c r="AT240" s="1"/>
  <c r="AH238"/>
  <c r="AH241" s="1"/>
  <c r="AG238"/>
  <c r="AF238"/>
  <c r="AF240" s="1"/>
  <c r="BV237"/>
  <c r="BX237" s="1"/>
  <c r="BR237" s="1"/>
  <c r="BV236"/>
  <c r="BX236" s="1"/>
  <c r="BR236" s="1"/>
  <c r="AU236"/>
  <c r="AU237" s="1"/>
  <c r="BV235"/>
  <c r="BX235" s="1"/>
  <c r="BR235" s="1"/>
  <c r="AT235"/>
  <c r="AH235"/>
  <c r="AG235"/>
  <c r="AG236" s="1"/>
  <c r="AF235"/>
  <c r="BV234"/>
  <c r="BZ234" s="1"/>
  <c r="BT234" s="1"/>
  <c r="BV233"/>
  <c r="BZ233" s="1"/>
  <c r="BT233" s="1"/>
  <c r="BV232"/>
  <c r="BZ232" s="1"/>
  <c r="BT232" s="1"/>
  <c r="AU232"/>
  <c r="AU233" s="1"/>
  <c r="AU234" s="1"/>
  <c r="BV231"/>
  <c r="BZ231" s="1"/>
  <c r="BT231" s="1"/>
  <c r="AT231"/>
  <c r="AT234" s="1"/>
  <c r="AH231"/>
  <c r="AH232" s="1"/>
  <c r="AG231"/>
  <c r="AF231"/>
  <c r="AF234" s="1"/>
  <c r="BV230"/>
  <c r="BZ230" s="1"/>
  <c r="BT230" s="1"/>
  <c r="BV229"/>
  <c r="BZ229" s="1"/>
  <c r="BT229" s="1"/>
  <c r="DI228"/>
  <c r="DI229" s="1"/>
  <c r="DI230" s="1"/>
  <c r="DI231" s="1"/>
  <c r="DI232" s="1"/>
  <c r="DI233" s="1"/>
  <c r="DI234" s="1"/>
  <c r="DI235" s="1"/>
  <c r="DI236" s="1"/>
  <c r="DI237" s="1"/>
  <c r="DI238" s="1"/>
  <c r="DI239" s="1"/>
  <c r="BV228"/>
  <c r="BZ228" s="1"/>
  <c r="BT228" s="1"/>
  <c r="DR227"/>
  <c r="DO227"/>
  <c r="DN227"/>
  <c r="DM227"/>
  <c r="DH227"/>
  <c r="DH229" s="1"/>
  <c r="DG229" s="1"/>
  <c r="CG227"/>
  <c r="CF227"/>
  <c r="CF230" s="1"/>
  <c r="CE227"/>
  <c r="CD227"/>
  <c r="BV227"/>
  <c r="BZ227" s="1"/>
  <c r="BT227" s="1"/>
  <c r="AU227"/>
  <c r="AU228" s="1"/>
  <c r="AU229" s="1"/>
  <c r="AU230" s="1"/>
  <c r="AT226" s="1"/>
  <c r="DQ226"/>
  <c r="DX226" s="1"/>
  <c r="CC226"/>
  <c r="CC228" s="1"/>
  <c r="BV226"/>
  <c r="BY226" s="1"/>
  <c r="BS226" s="1"/>
  <c r="AH226"/>
  <c r="AO226" s="1"/>
  <c r="AG226"/>
  <c r="AG230" s="1"/>
  <c r="AF226"/>
  <c r="DI212"/>
  <c r="DI213" s="1"/>
  <c r="DI214" s="1"/>
  <c r="DI215" s="1"/>
  <c r="DI216" s="1"/>
  <c r="DI217" s="1"/>
  <c r="DO211"/>
  <c r="DN211"/>
  <c r="DM211"/>
  <c r="DH211"/>
  <c r="DH217" s="1"/>
  <c r="DG217" s="1"/>
  <c r="DI208"/>
  <c r="DI209" s="1"/>
  <c r="DI210" s="1"/>
  <c r="DO207"/>
  <c r="DN207"/>
  <c r="DM207"/>
  <c r="DH207"/>
  <c r="DH209" s="1"/>
  <c r="DG209" s="1"/>
  <c r="DI204"/>
  <c r="DI205" s="1"/>
  <c r="DI206" s="1"/>
  <c r="DH203" s="1"/>
  <c r="DO203"/>
  <c r="DN203"/>
  <c r="DM203"/>
  <c r="DI200"/>
  <c r="DI201" s="1"/>
  <c r="DI202" s="1"/>
  <c r="DO199"/>
  <c r="DN199"/>
  <c r="DM199"/>
  <c r="DH199"/>
  <c r="DH201" s="1"/>
  <c r="DG201" s="1"/>
  <c r="DI195"/>
  <c r="DI196" s="1"/>
  <c r="DI197" s="1"/>
  <c r="DI198" s="1"/>
  <c r="DO194"/>
  <c r="DN194"/>
  <c r="DM194"/>
  <c r="DH194"/>
  <c r="DH197" s="1"/>
  <c r="BV194"/>
  <c r="BZ194" s="1"/>
  <c r="BT194" s="1"/>
  <c r="BV193"/>
  <c r="BZ193" s="1"/>
  <c r="BT193" s="1"/>
  <c r="BV192"/>
  <c r="BZ192" s="1"/>
  <c r="BT192" s="1"/>
  <c r="BV191"/>
  <c r="BZ191" s="1"/>
  <c r="BT191" s="1"/>
  <c r="AU191"/>
  <c r="AU192" s="1"/>
  <c r="AU193" s="1"/>
  <c r="AU194" s="1"/>
  <c r="BV190"/>
  <c r="BZ190" s="1"/>
  <c r="BT190" s="1"/>
  <c r="AT190"/>
  <c r="AT194" s="1"/>
  <c r="AH190"/>
  <c r="AG190"/>
  <c r="AP190" s="1"/>
  <c r="AF190"/>
  <c r="AF194" s="1"/>
  <c r="BV189"/>
  <c r="BY189" s="1"/>
  <c r="BS189" s="1"/>
  <c r="BV188"/>
  <c r="BZ188" s="1"/>
  <c r="BT188" s="1"/>
  <c r="BV187"/>
  <c r="BY187" s="1"/>
  <c r="BS187" s="1"/>
  <c r="AU187"/>
  <c r="AU188" s="1"/>
  <c r="AU189" s="1"/>
  <c r="BV186"/>
  <c r="BY186" s="1"/>
  <c r="BS186" s="1"/>
  <c r="AT186"/>
  <c r="AH186"/>
  <c r="AH189" s="1"/>
  <c r="AG186"/>
  <c r="AF186"/>
  <c r="AF188" s="1"/>
  <c r="BV185"/>
  <c r="BZ185" s="1"/>
  <c r="BT185" s="1"/>
  <c r="BV184"/>
  <c r="BX184" s="1"/>
  <c r="BR184" s="1"/>
  <c r="BV183"/>
  <c r="BX183" s="1"/>
  <c r="BR183" s="1"/>
  <c r="AU183"/>
  <c r="AU184" s="1"/>
  <c r="AU185" s="1"/>
  <c r="BV182"/>
  <c r="BX182" s="1"/>
  <c r="BR182" s="1"/>
  <c r="AT182"/>
  <c r="AH182"/>
  <c r="AG182"/>
  <c r="AP182" s="1"/>
  <c r="AF182"/>
  <c r="BV181"/>
  <c r="BY181" s="1"/>
  <c r="BS181" s="1"/>
  <c r="BV180"/>
  <c r="BZ180" s="1"/>
  <c r="BT180" s="1"/>
  <c r="BV179"/>
  <c r="BY179" s="1"/>
  <c r="BS179" s="1"/>
  <c r="BV178"/>
  <c r="BZ178" s="1"/>
  <c r="BT178" s="1"/>
  <c r="BV177"/>
  <c r="BY177" s="1"/>
  <c r="BS177" s="1"/>
  <c r="BV176"/>
  <c r="BZ176" s="1"/>
  <c r="BT176" s="1"/>
  <c r="AU176"/>
  <c r="AU177" s="1"/>
  <c r="AU178" s="1"/>
  <c r="AU179" s="1"/>
  <c r="AU180" s="1"/>
  <c r="AU181" s="1"/>
  <c r="DI175"/>
  <c r="DI176" s="1"/>
  <c r="DI177" s="1"/>
  <c r="DI178" s="1"/>
  <c r="DI179" s="1"/>
  <c r="DI180" s="1"/>
  <c r="DI181" s="1"/>
  <c r="DI182" s="1"/>
  <c r="DI183" s="1"/>
  <c r="DI184" s="1"/>
  <c r="DI185" s="1"/>
  <c r="DI186" s="1"/>
  <c r="DI187" s="1"/>
  <c r="DI188" s="1"/>
  <c r="DI189" s="1"/>
  <c r="DI190" s="1"/>
  <c r="DI191" s="1"/>
  <c r="DI192" s="1"/>
  <c r="DI193" s="1"/>
  <c r="BV175"/>
  <c r="BZ175" s="1"/>
  <c r="BT175" s="1"/>
  <c r="AH175"/>
  <c r="AH181" s="1"/>
  <c r="AG175"/>
  <c r="AG176" s="1"/>
  <c r="AP176" s="1"/>
  <c r="AF175"/>
  <c r="AF181" s="1"/>
  <c r="DO174"/>
  <c r="DN174"/>
  <c r="DM174"/>
  <c r="BV174"/>
  <c r="BZ174" s="1"/>
  <c r="BT174" s="1"/>
  <c r="BV173"/>
  <c r="BZ173" s="1"/>
  <c r="BT173" s="1"/>
  <c r="BV172"/>
  <c r="BZ172" s="1"/>
  <c r="BT172" s="1"/>
  <c r="BV171"/>
  <c r="BZ171" s="1"/>
  <c r="BT171" s="1"/>
  <c r="BV170"/>
  <c r="BZ170" s="1"/>
  <c r="BT170" s="1"/>
  <c r="BV169"/>
  <c r="BZ169" s="1"/>
  <c r="BT169" s="1"/>
  <c r="AU169"/>
  <c r="AU170" s="1"/>
  <c r="AU171" s="1"/>
  <c r="BV168"/>
  <c r="BZ168" s="1"/>
  <c r="BT168" s="1"/>
  <c r="AH168"/>
  <c r="AH174" s="1"/>
  <c r="AG168"/>
  <c r="AP168" s="1"/>
  <c r="AF168"/>
  <c r="AF174" s="1"/>
  <c r="DR167"/>
  <c r="DR168" s="1"/>
  <c r="BV167"/>
  <c r="BZ167" s="1"/>
  <c r="BT167" s="1"/>
  <c r="DQ166"/>
  <c r="DQ168" s="1"/>
  <c r="BV166"/>
  <c r="BZ166" s="1"/>
  <c r="BT166" s="1"/>
  <c r="BV165"/>
  <c r="BZ165" s="1"/>
  <c r="BT165" s="1"/>
  <c r="AU165"/>
  <c r="AU166" s="1"/>
  <c r="DR164"/>
  <c r="BV164"/>
  <c r="BZ164" s="1"/>
  <c r="BT164" s="1"/>
  <c r="AH164"/>
  <c r="AH167" s="1"/>
  <c r="AG164"/>
  <c r="AG167" s="1"/>
  <c r="AF164"/>
  <c r="AF167" s="1"/>
  <c r="DQ163"/>
  <c r="DQ164" s="1"/>
  <c r="BV163"/>
  <c r="BZ163" s="1"/>
  <c r="BT163" s="1"/>
  <c r="BV162"/>
  <c r="BX162" s="1"/>
  <c r="BR162" s="1"/>
  <c r="DQ161"/>
  <c r="DW161" s="1"/>
  <c r="DI161"/>
  <c r="DI162" s="1"/>
  <c r="DI163" s="1"/>
  <c r="DI164" s="1"/>
  <c r="DI165" s="1"/>
  <c r="DI166" s="1"/>
  <c r="DI167" s="1"/>
  <c r="DI168" s="1"/>
  <c r="DI169" s="1"/>
  <c r="DI170" s="1"/>
  <c r="DI171" s="1"/>
  <c r="DI172" s="1"/>
  <c r="BV161"/>
  <c r="BZ161" s="1"/>
  <c r="BT161" s="1"/>
  <c r="DO160"/>
  <c r="DN160"/>
  <c r="DM160"/>
  <c r="DH160"/>
  <c r="DH172" s="1"/>
  <c r="CG160"/>
  <c r="CG163" s="1"/>
  <c r="CF160"/>
  <c r="CF162" s="1"/>
  <c r="CE160"/>
  <c r="CE163" s="1"/>
  <c r="CD160"/>
  <c r="CC159" s="1"/>
  <c r="BV160"/>
  <c r="BZ160" s="1"/>
  <c r="BT160" s="1"/>
  <c r="AU160"/>
  <c r="AU161" s="1"/>
  <c r="AU162" s="1"/>
  <c r="AU163" s="1"/>
  <c r="DQ159"/>
  <c r="DW159" s="1"/>
  <c r="BV159"/>
  <c r="BZ159" s="1"/>
  <c r="BT159" s="1"/>
  <c r="AT159"/>
  <c r="AT163" s="1"/>
  <c r="AH159"/>
  <c r="AH163" s="1"/>
  <c r="AG159"/>
  <c r="AG162" s="1"/>
  <c r="AF159"/>
  <c r="AF163" s="1"/>
  <c r="DI145"/>
  <c r="DI146" s="1"/>
  <c r="DI147" s="1"/>
  <c r="DI148" s="1"/>
  <c r="DI149" s="1"/>
  <c r="DI150" s="1"/>
  <c r="DH144"/>
  <c r="DH149" s="1"/>
  <c r="DI141"/>
  <c r="DI142" s="1"/>
  <c r="DI143" s="1"/>
  <c r="DH140"/>
  <c r="DI137"/>
  <c r="DI138" s="1"/>
  <c r="DI139" s="1"/>
  <c r="DH136"/>
  <c r="DI133"/>
  <c r="DI134" s="1"/>
  <c r="DI135" s="1"/>
  <c r="DH132"/>
  <c r="DI129"/>
  <c r="DI130" s="1"/>
  <c r="DI131" s="1"/>
  <c r="BV128"/>
  <c r="BY128" s="1"/>
  <c r="BS128" s="1"/>
  <c r="BV127"/>
  <c r="BZ127" s="1"/>
  <c r="BT127" s="1"/>
  <c r="BV126"/>
  <c r="BZ126" s="1"/>
  <c r="BT126" s="1"/>
  <c r="BV125"/>
  <c r="BZ125" s="1"/>
  <c r="BT125" s="1"/>
  <c r="AU125"/>
  <c r="AU126" s="1"/>
  <c r="AU127" s="1"/>
  <c r="AU128" s="1"/>
  <c r="DI124"/>
  <c r="DH123" s="1"/>
  <c r="DG123" s="1"/>
  <c r="DO123" s="1"/>
  <c r="BV124"/>
  <c r="BY124" s="1"/>
  <c r="BS124" s="1"/>
  <c r="AH124"/>
  <c r="AH128" s="1"/>
  <c r="AG124"/>
  <c r="AF124"/>
  <c r="AF127" s="1"/>
  <c r="BV123"/>
  <c r="BZ123" s="1"/>
  <c r="BT123" s="1"/>
  <c r="BV122"/>
  <c r="BZ122" s="1"/>
  <c r="BT122" s="1"/>
  <c r="BV121"/>
  <c r="BZ121" s="1"/>
  <c r="BT121" s="1"/>
  <c r="AU121"/>
  <c r="AU122" s="1"/>
  <c r="AU123" s="1"/>
  <c r="BV120"/>
  <c r="BZ120" s="1"/>
  <c r="BT120" s="1"/>
  <c r="AH120"/>
  <c r="AH122" s="1"/>
  <c r="AG120"/>
  <c r="AF120"/>
  <c r="AF123" s="1"/>
  <c r="BV119"/>
  <c r="BX119" s="1"/>
  <c r="BR119" s="1"/>
  <c r="BV118"/>
  <c r="BX118" s="1"/>
  <c r="BR118" s="1"/>
  <c r="BV117"/>
  <c r="BX117" s="1"/>
  <c r="BR117" s="1"/>
  <c r="AU117"/>
  <c r="AU118" s="1"/>
  <c r="AU119" s="1"/>
  <c r="BV116"/>
  <c r="BX116" s="1"/>
  <c r="BR116" s="1"/>
  <c r="AH116"/>
  <c r="AG116"/>
  <c r="AG119" s="1"/>
  <c r="AF116"/>
  <c r="BV115"/>
  <c r="BZ115" s="1"/>
  <c r="BT115" s="1"/>
  <c r="BV114"/>
  <c r="BY114" s="1"/>
  <c r="BS114" s="1"/>
  <c r="V114"/>
  <c r="BV113"/>
  <c r="BY113" s="1"/>
  <c r="BS113" s="1"/>
  <c r="U113"/>
  <c r="BV112"/>
  <c r="BY112" s="1"/>
  <c r="BS112" s="1"/>
  <c r="V112"/>
  <c r="BV111"/>
  <c r="BY111" s="1"/>
  <c r="BS111" s="1"/>
  <c r="DR110"/>
  <c r="DI110"/>
  <c r="DI111" s="1"/>
  <c r="DI112" s="1"/>
  <c r="DI113" s="1"/>
  <c r="DI114" s="1"/>
  <c r="DI115" s="1"/>
  <c r="DI116" s="1"/>
  <c r="DI117" s="1"/>
  <c r="DI118" s="1"/>
  <c r="DI119" s="1"/>
  <c r="DI120" s="1"/>
  <c r="DI121" s="1"/>
  <c r="DI122" s="1"/>
  <c r="BV110"/>
  <c r="BX110" s="1"/>
  <c r="BR110" s="1"/>
  <c r="AU110"/>
  <c r="DQ109"/>
  <c r="DW109" s="1"/>
  <c r="DH109"/>
  <c r="BV109"/>
  <c r="BY109" s="1"/>
  <c r="BS109" s="1"/>
  <c r="AH109"/>
  <c r="AO109" s="1"/>
  <c r="AG109"/>
  <c r="AF109"/>
  <c r="AF111" s="1"/>
  <c r="BV108"/>
  <c r="BX108" s="1"/>
  <c r="BR108" s="1"/>
  <c r="DQ107"/>
  <c r="BV107"/>
  <c r="BZ107" s="1"/>
  <c r="BT107" s="1"/>
  <c r="DQ106"/>
  <c r="BV106"/>
  <c r="BX106" s="1"/>
  <c r="BR106" s="1"/>
  <c r="DQ105"/>
  <c r="BV105"/>
  <c r="BY105" s="1"/>
  <c r="BS105" s="1"/>
  <c r="DR104"/>
  <c r="DQ104"/>
  <c r="BV104"/>
  <c r="BX104" s="1"/>
  <c r="BR104" s="1"/>
  <c r="DQ103"/>
  <c r="DW103" s="1"/>
  <c r="BV103"/>
  <c r="BX103" s="1"/>
  <c r="BR103" s="1"/>
  <c r="AU103"/>
  <c r="AU104" s="1"/>
  <c r="AU105" s="1"/>
  <c r="BV102"/>
  <c r="BX102" s="1"/>
  <c r="BR102" s="1"/>
  <c r="AH102"/>
  <c r="AH105" s="1"/>
  <c r="AG102"/>
  <c r="AG106" s="1"/>
  <c r="AF102"/>
  <c r="AF107" s="1"/>
  <c r="BV101"/>
  <c r="BX101" s="1"/>
  <c r="BR101" s="1"/>
  <c r="DR100"/>
  <c r="DR101" s="1"/>
  <c r="BV100"/>
  <c r="BY100" s="1"/>
  <c r="BS100" s="1"/>
  <c r="DQ99"/>
  <c r="DW99" s="1"/>
  <c r="BV99"/>
  <c r="BY99" s="1"/>
  <c r="BS99" s="1"/>
  <c r="BV98"/>
  <c r="BY98" s="1"/>
  <c r="BS98" s="1"/>
  <c r="AU98"/>
  <c r="AU99" s="1"/>
  <c r="AU100" s="1"/>
  <c r="AU101" s="1"/>
  <c r="BV97"/>
  <c r="BX97" s="1"/>
  <c r="BR97" s="1"/>
  <c r="AH97"/>
  <c r="AH98" s="1"/>
  <c r="AG97"/>
  <c r="AP97" s="1"/>
  <c r="AF97"/>
  <c r="AF101" s="1"/>
  <c r="DI96"/>
  <c r="DI97" s="1"/>
  <c r="DI98" s="1"/>
  <c r="DI99" s="1"/>
  <c r="DI100" s="1"/>
  <c r="DI101" s="1"/>
  <c r="DI102" s="1"/>
  <c r="DI103" s="1"/>
  <c r="DI104" s="1"/>
  <c r="DI105" s="1"/>
  <c r="DI106" s="1"/>
  <c r="DI107" s="1"/>
  <c r="BV96"/>
  <c r="BY96" s="1"/>
  <c r="BS96" s="1"/>
  <c r="DR95"/>
  <c r="DR96" s="1"/>
  <c r="DR97" s="1"/>
  <c r="DH95"/>
  <c r="DH106" s="1"/>
  <c r="CG95"/>
  <c r="CF95"/>
  <c r="CE95"/>
  <c r="CD95"/>
  <c r="CD96" s="1"/>
  <c r="CD97" s="1"/>
  <c r="BV95"/>
  <c r="BZ95" s="1"/>
  <c r="BT95" s="1"/>
  <c r="AU95"/>
  <c r="AU96" s="1"/>
  <c r="DQ94"/>
  <c r="DW94" s="1"/>
  <c r="BV94"/>
  <c r="BY94" s="1"/>
  <c r="BS94" s="1"/>
  <c r="AH94"/>
  <c r="AH95" s="1"/>
  <c r="AG94"/>
  <c r="AG95" s="1"/>
  <c r="AF94"/>
  <c r="AF95" s="1"/>
  <c r="DI77"/>
  <c r="DI78" s="1"/>
  <c r="DI79" s="1"/>
  <c r="DI80" s="1"/>
  <c r="DI81" s="1"/>
  <c r="DI85" s="1"/>
  <c r="DO76"/>
  <c r="DN76"/>
  <c r="DM76"/>
  <c r="DH76"/>
  <c r="DH79" s="1"/>
  <c r="DI73"/>
  <c r="DI74" s="1"/>
  <c r="DI75" s="1"/>
  <c r="DO72"/>
  <c r="DN72"/>
  <c r="DM72"/>
  <c r="DH72"/>
  <c r="DH74" s="1"/>
  <c r="DI69"/>
  <c r="DI70" s="1"/>
  <c r="DI71" s="1"/>
  <c r="DO68"/>
  <c r="DN68"/>
  <c r="DM68"/>
  <c r="DH68"/>
  <c r="DH70" s="1"/>
  <c r="DG70" s="1"/>
  <c r="DI65"/>
  <c r="DI66" s="1"/>
  <c r="DI67" s="1"/>
  <c r="DH64" s="1"/>
  <c r="DO64"/>
  <c r="DN64"/>
  <c r="DM64"/>
  <c r="DI54"/>
  <c r="DI62" s="1"/>
  <c r="DI63" s="1"/>
  <c r="BV54"/>
  <c r="BZ54" s="1"/>
  <c r="BT54" s="1"/>
  <c r="DO53"/>
  <c r="DN53"/>
  <c r="DM53"/>
  <c r="DH53"/>
  <c r="DH54" s="1"/>
  <c r="BV53"/>
  <c r="BZ53" s="1"/>
  <c r="BT53" s="1"/>
  <c r="BV52"/>
  <c r="BZ52" s="1"/>
  <c r="BT52" s="1"/>
  <c r="BV51"/>
  <c r="BZ51" s="1"/>
  <c r="BT51" s="1"/>
  <c r="AU51"/>
  <c r="AU52" s="1"/>
  <c r="AU53" s="1"/>
  <c r="AU54" s="1"/>
  <c r="BV50"/>
  <c r="BZ50" s="1"/>
  <c r="BT50" s="1"/>
  <c r="AT53"/>
  <c r="AH50"/>
  <c r="AH53" s="1"/>
  <c r="AG50"/>
  <c r="AG53" s="1"/>
  <c r="AF50"/>
  <c r="AF53" s="1"/>
  <c r="DI49"/>
  <c r="DI50" s="1"/>
  <c r="DI51" s="1"/>
  <c r="DI52" s="1"/>
  <c r="BV49"/>
  <c r="BZ49" s="1"/>
  <c r="BT49" s="1"/>
  <c r="DR48"/>
  <c r="DO48"/>
  <c r="DN48"/>
  <c r="DM48"/>
  <c r="DH48"/>
  <c r="DH52" s="1"/>
  <c r="DG52" s="1"/>
  <c r="BV48"/>
  <c r="BZ48" s="1"/>
  <c r="BT48" s="1"/>
  <c r="DQ47"/>
  <c r="DQ53" s="1"/>
  <c r="BV47"/>
  <c r="BY47" s="1"/>
  <c r="BS47" s="1"/>
  <c r="AU47"/>
  <c r="AU48" s="1"/>
  <c r="AU49" s="1"/>
  <c r="BV46"/>
  <c r="BY46" s="1"/>
  <c r="BS46" s="1"/>
  <c r="AH46"/>
  <c r="AG46"/>
  <c r="AG48" s="1"/>
  <c r="AF46"/>
  <c r="BV45"/>
  <c r="BZ45" s="1"/>
  <c r="BT45" s="1"/>
  <c r="DR44"/>
  <c r="BV44"/>
  <c r="BZ44" s="1"/>
  <c r="BT44" s="1"/>
  <c r="DQ43"/>
  <c r="DQ44" s="1"/>
  <c r="DX44" s="1"/>
  <c r="BV43"/>
  <c r="BZ43" s="1"/>
  <c r="BT43" s="1"/>
  <c r="AU43"/>
  <c r="AU44" s="1"/>
  <c r="AU45" s="1"/>
  <c r="BV42"/>
  <c r="BZ42" s="1"/>
  <c r="BT42" s="1"/>
  <c r="AH42"/>
  <c r="AH45" s="1"/>
  <c r="AG42"/>
  <c r="AG45" s="1"/>
  <c r="AF42"/>
  <c r="AF45" s="1"/>
  <c r="DQ41"/>
  <c r="DW41" s="1"/>
  <c r="BV41"/>
  <c r="BZ41" s="1"/>
  <c r="BT41" s="1"/>
  <c r="BV40"/>
  <c r="BY40" s="1"/>
  <c r="BS40" s="1"/>
  <c r="BV39"/>
  <c r="BY39" s="1"/>
  <c r="BS39" s="1"/>
  <c r="BV38"/>
  <c r="BZ38" s="1"/>
  <c r="BT38" s="1"/>
  <c r="BV37"/>
  <c r="BZ37" s="1"/>
  <c r="BT37" s="1"/>
  <c r="BV36"/>
  <c r="BZ36" s="1"/>
  <c r="BT36" s="1"/>
  <c r="DI34"/>
  <c r="DI36" s="1"/>
  <c r="DI37" s="1"/>
  <c r="DI38" s="1"/>
  <c r="DI39" s="1"/>
  <c r="DI40" s="1"/>
  <c r="DI41" s="1"/>
  <c r="DI42" s="1"/>
  <c r="BV35"/>
  <c r="BY35" s="1"/>
  <c r="BS35" s="1"/>
  <c r="AU35"/>
  <c r="AU36" s="1"/>
  <c r="AU37" s="1"/>
  <c r="AU38" s="1"/>
  <c r="AU39" s="1"/>
  <c r="AU40" s="1"/>
  <c r="AU41" s="1"/>
  <c r="DO27"/>
  <c r="DN27"/>
  <c r="DM27"/>
  <c r="BV27"/>
  <c r="BZ27" s="1"/>
  <c r="BT27" s="1"/>
  <c r="AH27"/>
  <c r="AH40" s="1"/>
  <c r="AG27"/>
  <c r="AG40" s="1"/>
  <c r="AF27"/>
  <c r="AF40" s="1"/>
  <c r="BV26"/>
  <c r="BZ26" s="1"/>
  <c r="BT26" s="1"/>
  <c r="BV25"/>
  <c r="BZ25" s="1"/>
  <c r="BT25" s="1"/>
  <c r="BV24"/>
  <c r="BY24" s="1"/>
  <c r="BS24" s="1"/>
  <c r="DR23"/>
  <c r="BV23"/>
  <c r="BX23" s="1"/>
  <c r="BR23" s="1"/>
  <c r="DQ22"/>
  <c r="DW22" s="1"/>
  <c r="BV22"/>
  <c r="BY22" s="1"/>
  <c r="BS22" s="1"/>
  <c r="BV21"/>
  <c r="BZ21" s="1"/>
  <c r="BT21" s="1"/>
  <c r="AU21"/>
  <c r="AU22" s="1"/>
  <c r="AU23" s="1"/>
  <c r="BV20"/>
  <c r="BY20" s="1"/>
  <c r="BS20" s="1"/>
  <c r="AH20"/>
  <c r="AG20"/>
  <c r="AF20"/>
  <c r="AF26" s="1"/>
  <c r="BV19"/>
  <c r="BZ19" s="1"/>
  <c r="BT19" s="1"/>
  <c r="BV18"/>
  <c r="BY18" s="1"/>
  <c r="BS18" s="1"/>
  <c r="BV17"/>
  <c r="BX17" s="1"/>
  <c r="BR17" s="1"/>
  <c r="BV16"/>
  <c r="BX16" s="1"/>
  <c r="BR16" s="1"/>
  <c r="AU16"/>
  <c r="AU17" s="1"/>
  <c r="AU18" s="1"/>
  <c r="AU19" s="1"/>
  <c r="BV15"/>
  <c r="BX15" s="1"/>
  <c r="BR15" s="1"/>
  <c r="AH15"/>
  <c r="AH19" s="1"/>
  <c r="AG15"/>
  <c r="AG19" s="1"/>
  <c r="AP19" s="1"/>
  <c r="AF15"/>
  <c r="DI14"/>
  <c r="DI15" s="1"/>
  <c r="DI16" s="1"/>
  <c r="DI17" s="1"/>
  <c r="DI19" s="1"/>
  <c r="DI20" s="1"/>
  <c r="DI21" s="1"/>
  <c r="DI22" s="1"/>
  <c r="DI23" s="1"/>
  <c r="DI24" s="1"/>
  <c r="DI25" s="1"/>
  <c r="BV14"/>
  <c r="BX14" s="1"/>
  <c r="BR14" s="1"/>
  <c r="DR13"/>
  <c r="DR14" s="1"/>
  <c r="DO13"/>
  <c r="DN13"/>
  <c r="CG13"/>
  <c r="CG17" s="1"/>
  <c r="CF13"/>
  <c r="CF16" s="1"/>
  <c r="CE13"/>
  <c r="CE17" s="1"/>
  <c r="CD13"/>
  <c r="CD14" s="1"/>
  <c r="BV13"/>
  <c r="BX13" s="1"/>
  <c r="BR13" s="1"/>
  <c r="AU13"/>
  <c r="AU14" s="1"/>
  <c r="BV12"/>
  <c r="BY12" s="1"/>
  <c r="BS12" s="1"/>
  <c r="AH12"/>
  <c r="AG12"/>
  <c r="AG13" s="1"/>
  <c r="AF12"/>
  <c r="FR69" i="6"/>
  <c r="FQ69"/>
  <c r="FP69"/>
  <c r="FO69"/>
  <c r="FN69"/>
  <c r="FM69"/>
  <c r="FL69"/>
  <c r="FK69"/>
  <c r="FJ69"/>
  <c r="FI69"/>
  <c r="FH69"/>
  <c r="FG69"/>
  <c r="FF69"/>
  <c r="FE69"/>
  <c r="FD69"/>
  <c r="FC69"/>
  <c r="FB69"/>
  <c r="FA69"/>
  <c r="EW69"/>
  <c r="EV69"/>
  <c r="EU69"/>
  <c r="ET69"/>
  <c r="ES69"/>
  <c r="ER69"/>
  <c r="EQ69"/>
  <c r="EP69"/>
  <c r="EO69"/>
  <c r="EN69"/>
  <c r="EM69"/>
  <c r="EL69"/>
  <c r="EK69"/>
  <c r="EJ69"/>
  <c r="EI69"/>
  <c r="EH69"/>
  <c r="EG69"/>
  <c r="EF69"/>
  <c r="EB69"/>
  <c r="EA69"/>
  <c r="DZ69"/>
  <c r="DY69"/>
  <c r="DX69"/>
  <c r="DW69"/>
  <c r="DV69"/>
  <c r="DU69"/>
  <c r="DT69"/>
  <c r="DS69"/>
  <c r="DR69"/>
  <c r="DQ69"/>
  <c r="DP69"/>
  <c r="DO69"/>
  <c r="DN69"/>
  <c r="DM69"/>
  <c r="DL69"/>
  <c r="DK69"/>
  <c r="DG69"/>
  <c r="DF69"/>
  <c r="DE69"/>
  <c r="DD69"/>
  <c r="DC69"/>
  <c r="DB69"/>
  <c r="DA69"/>
  <c r="CZ69"/>
  <c r="CY69"/>
  <c r="CX69"/>
  <c r="CW69"/>
  <c r="CV69"/>
  <c r="CU69"/>
  <c r="CT69"/>
  <c r="CS69"/>
  <c r="CR69"/>
  <c r="CQ69"/>
  <c r="CP69"/>
  <c r="CL69"/>
  <c r="CK69"/>
  <c r="CJ69"/>
  <c r="CI69"/>
  <c r="CH69"/>
  <c r="CG69"/>
  <c r="CF69"/>
  <c r="CE69"/>
  <c r="CD69"/>
  <c r="CC69"/>
  <c r="CB69"/>
  <c r="CA69"/>
  <c r="BZ69"/>
  <c r="BY69"/>
  <c r="BX69"/>
  <c r="BW69"/>
  <c r="BV69"/>
  <c r="BU69"/>
  <c r="BR69"/>
  <c r="FS69" s="1"/>
  <c r="BQ69"/>
  <c r="FR68"/>
  <c r="FP68"/>
  <c r="FO68"/>
  <c r="FN68"/>
  <c r="FM68"/>
  <c r="FK68"/>
  <c r="FJ68"/>
  <c r="FI68"/>
  <c r="FH68"/>
  <c r="FD68"/>
  <c r="FC68"/>
  <c r="FB68"/>
  <c r="FA68"/>
  <c r="EW68"/>
  <c r="EU68"/>
  <c r="ET68"/>
  <c r="ES68"/>
  <c r="ER68"/>
  <c r="EP68"/>
  <c r="EO68"/>
  <c r="EN68"/>
  <c r="EM68"/>
  <c r="EI68"/>
  <c r="EH68"/>
  <c r="EG68"/>
  <c r="EF68"/>
  <c r="EB68"/>
  <c r="DZ68"/>
  <c r="DY68"/>
  <c r="DX68"/>
  <c r="DW68"/>
  <c r="DU68"/>
  <c r="DT68"/>
  <c r="DS68"/>
  <c r="DR68"/>
  <c r="DN68"/>
  <c r="DM68"/>
  <c r="DL68"/>
  <c r="DK68"/>
  <c r="DG68"/>
  <c r="DE68"/>
  <c r="DD68"/>
  <c r="DC68"/>
  <c r="DB68"/>
  <c r="CZ68"/>
  <c r="CY68"/>
  <c r="CX68"/>
  <c r="CW68"/>
  <c r="CS68"/>
  <c r="CR68"/>
  <c r="CQ68"/>
  <c r="CP68"/>
  <c r="CL68"/>
  <c r="CJ68"/>
  <c r="CI68"/>
  <c r="CH68"/>
  <c r="CG68"/>
  <c r="CE68"/>
  <c r="CD68"/>
  <c r="CC68"/>
  <c r="CB68"/>
  <c r="BX68"/>
  <c r="BW68"/>
  <c r="BV68"/>
  <c r="BU68"/>
  <c r="BR68"/>
  <c r="EX68" s="1"/>
  <c r="BP68"/>
  <c r="EV68" s="1"/>
  <c r="BK68"/>
  <c r="FL68" s="1"/>
  <c r="BF68"/>
  <c r="EL68" s="1"/>
  <c r="BE68"/>
  <c r="FF68" s="1"/>
  <c r="BD68"/>
  <c r="EJ68" s="1"/>
  <c r="Q68"/>
  <c r="FR65"/>
  <c r="FP65"/>
  <c r="FO65"/>
  <c r="FN65"/>
  <c r="FJ65"/>
  <c r="FI65"/>
  <c r="FH65"/>
  <c r="FG65"/>
  <c r="FF65"/>
  <c r="FE65"/>
  <c r="FD65"/>
  <c r="FC65"/>
  <c r="FB65"/>
  <c r="FA65"/>
  <c r="EW65"/>
  <c r="EU65"/>
  <c r="ET65"/>
  <c r="ES65"/>
  <c r="EO65"/>
  <c r="EN65"/>
  <c r="EM65"/>
  <c r="EL65"/>
  <c r="EK65"/>
  <c r="EJ65"/>
  <c r="EI65"/>
  <c r="EH65"/>
  <c r="EG65"/>
  <c r="EF65"/>
  <c r="EB65"/>
  <c r="DZ65"/>
  <c r="DY65"/>
  <c r="DX65"/>
  <c r="DT65"/>
  <c r="DS65"/>
  <c r="DR65"/>
  <c r="DQ65"/>
  <c r="DP65"/>
  <c r="DO65"/>
  <c r="DN65"/>
  <c r="DM65"/>
  <c r="DL65"/>
  <c r="DK65"/>
  <c r="DG65"/>
  <c r="DE65"/>
  <c r="DD65"/>
  <c r="DC65"/>
  <c r="CY65"/>
  <c r="CX65"/>
  <c r="CW65"/>
  <c r="CV65"/>
  <c r="CU65"/>
  <c r="CT65"/>
  <c r="CS65"/>
  <c r="CR65"/>
  <c r="CQ65"/>
  <c r="CP65"/>
  <c r="CL65"/>
  <c r="CJ65"/>
  <c r="CI65"/>
  <c r="CH65"/>
  <c r="CD65"/>
  <c r="CC65"/>
  <c r="CB65"/>
  <c r="CA65"/>
  <c r="BZ65"/>
  <c r="BY65"/>
  <c r="BX65"/>
  <c r="BW65"/>
  <c r="BV65"/>
  <c r="BU65"/>
  <c r="BR65"/>
  <c r="FS65" s="1"/>
  <c r="BP65"/>
  <c r="FQ65" s="1"/>
  <c r="BL65"/>
  <c r="FM65" s="1"/>
  <c r="BK65"/>
  <c r="EQ65" s="1"/>
  <c r="BJ65"/>
  <c r="FK65" s="1"/>
  <c r="Q65"/>
  <c r="FR64"/>
  <c r="FP64"/>
  <c r="FO64"/>
  <c r="FN64"/>
  <c r="FM64"/>
  <c r="FL64"/>
  <c r="FK64"/>
  <c r="FG64"/>
  <c r="FF64"/>
  <c r="FE64"/>
  <c r="FD64"/>
  <c r="FC64"/>
  <c r="FB64"/>
  <c r="FA64"/>
  <c r="EW64"/>
  <c r="EU64"/>
  <c r="ET64"/>
  <c r="ES64"/>
  <c r="ER64"/>
  <c r="EQ64"/>
  <c r="EP64"/>
  <c r="EL64"/>
  <c r="EK64"/>
  <c r="EJ64"/>
  <c r="EI64"/>
  <c r="EH64"/>
  <c r="EG64"/>
  <c r="EF64"/>
  <c r="EB64"/>
  <c r="DZ64"/>
  <c r="DY64"/>
  <c r="DX64"/>
  <c r="DW64"/>
  <c r="DV64"/>
  <c r="DU64"/>
  <c r="DQ64"/>
  <c r="DP64"/>
  <c r="DO64"/>
  <c r="DN64"/>
  <c r="DM64"/>
  <c r="DL64"/>
  <c r="DK64"/>
  <c r="DG64"/>
  <c r="DE64"/>
  <c r="DD64"/>
  <c r="DC64"/>
  <c r="DB64"/>
  <c r="DA64"/>
  <c r="CZ64"/>
  <c r="CV64"/>
  <c r="CU64"/>
  <c r="CT64"/>
  <c r="CS64"/>
  <c r="CR64"/>
  <c r="CQ64"/>
  <c r="CP64"/>
  <c r="CL64"/>
  <c r="CJ64"/>
  <c r="CI64"/>
  <c r="CH64"/>
  <c r="CG64"/>
  <c r="CF64"/>
  <c r="CE64"/>
  <c r="CA64"/>
  <c r="BZ64"/>
  <c r="BY64"/>
  <c r="BX64"/>
  <c r="BW64"/>
  <c r="BV64"/>
  <c r="BU64"/>
  <c r="BR64"/>
  <c r="EX64" s="1"/>
  <c r="BP64"/>
  <c r="EV64" s="1"/>
  <c r="BI64"/>
  <c r="FJ64" s="1"/>
  <c r="BH64"/>
  <c r="EN64" s="1"/>
  <c r="BG64"/>
  <c r="FH64" s="1"/>
  <c r="Q64"/>
  <c r="FR63"/>
  <c r="FP63"/>
  <c r="FO63"/>
  <c r="FN63"/>
  <c r="FM63"/>
  <c r="FL63"/>
  <c r="FK63"/>
  <c r="FJ63"/>
  <c r="FI63"/>
  <c r="FH63"/>
  <c r="FG63"/>
  <c r="FF63"/>
  <c r="FD63"/>
  <c r="FC63"/>
  <c r="FB63"/>
  <c r="FA63"/>
  <c r="EW63"/>
  <c r="EU63"/>
  <c r="ET63"/>
  <c r="ES63"/>
  <c r="ER63"/>
  <c r="EQ63"/>
  <c r="EP63"/>
  <c r="EO63"/>
  <c r="EN63"/>
  <c r="EM63"/>
  <c r="EL63"/>
  <c r="EK63"/>
  <c r="EI63"/>
  <c r="EH63"/>
  <c r="EG63"/>
  <c r="EF63"/>
  <c r="EB63"/>
  <c r="DZ63"/>
  <c r="DY63"/>
  <c r="DX63"/>
  <c r="DW63"/>
  <c r="DV63"/>
  <c r="DU63"/>
  <c r="DT63"/>
  <c r="DS63"/>
  <c r="DR63"/>
  <c r="DQ63"/>
  <c r="DP63"/>
  <c r="DN63"/>
  <c r="DM63"/>
  <c r="DL63"/>
  <c r="DK63"/>
  <c r="DG63"/>
  <c r="DE63"/>
  <c r="DD63"/>
  <c r="DC63"/>
  <c r="DB63"/>
  <c r="DA63"/>
  <c r="CZ63"/>
  <c r="CY63"/>
  <c r="CX63"/>
  <c r="CW63"/>
  <c r="CV63"/>
  <c r="CU63"/>
  <c r="CS63"/>
  <c r="CR63"/>
  <c r="CQ63"/>
  <c r="CP63"/>
  <c r="CL63"/>
  <c r="CJ63"/>
  <c r="CI63"/>
  <c r="CH63"/>
  <c r="CG63"/>
  <c r="CF63"/>
  <c r="CE63"/>
  <c r="CD63"/>
  <c r="CC63"/>
  <c r="CB63"/>
  <c r="CA63"/>
  <c r="BZ63"/>
  <c r="BX63"/>
  <c r="BW63"/>
  <c r="BV63"/>
  <c r="BU63"/>
  <c r="BR63"/>
  <c r="FS63" s="1"/>
  <c r="BP63"/>
  <c r="FQ63" s="1"/>
  <c r="BD63"/>
  <c r="FE63" s="1"/>
  <c r="Q63"/>
  <c r="FR62"/>
  <c r="FP62"/>
  <c r="FO62"/>
  <c r="FN62"/>
  <c r="FM62"/>
  <c r="FL62"/>
  <c r="FK62"/>
  <c r="FJ62"/>
  <c r="FI62"/>
  <c r="FH62"/>
  <c r="FG62"/>
  <c r="FF62"/>
  <c r="FE62"/>
  <c r="FD62"/>
  <c r="FC62"/>
  <c r="EW62"/>
  <c r="EU62"/>
  <c r="ET62"/>
  <c r="ES62"/>
  <c r="ER62"/>
  <c r="EQ62"/>
  <c r="EP62"/>
  <c r="EO62"/>
  <c r="EN62"/>
  <c r="EM62"/>
  <c r="EL62"/>
  <c r="EK62"/>
  <c r="EJ62"/>
  <c r="EI62"/>
  <c r="EH62"/>
  <c r="EB62"/>
  <c r="DZ62"/>
  <c r="DY62"/>
  <c r="DX62"/>
  <c r="DW62"/>
  <c r="DV62"/>
  <c r="DU62"/>
  <c r="DT62"/>
  <c r="DS62"/>
  <c r="DR62"/>
  <c r="DQ62"/>
  <c r="DP62"/>
  <c r="DO62"/>
  <c r="DN62"/>
  <c r="DM62"/>
  <c r="DG62"/>
  <c r="DE62"/>
  <c r="DD62"/>
  <c r="DC62"/>
  <c r="DB62"/>
  <c r="DA62"/>
  <c r="CZ62"/>
  <c r="CY62"/>
  <c r="CX62"/>
  <c r="CW62"/>
  <c r="CV62"/>
  <c r="CU62"/>
  <c r="CT62"/>
  <c r="CS62"/>
  <c r="CR62"/>
  <c r="CL62"/>
  <c r="CJ62"/>
  <c r="CI62"/>
  <c r="CH62"/>
  <c r="CG62"/>
  <c r="CF62"/>
  <c r="CE62"/>
  <c r="CD62"/>
  <c r="CC62"/>
  <c r="CB62"/>
  <c r="CA62"/>
  <c r="BZ62"/>
  <c r="BY62"/>
  <c r="BX62"/>
  <c r="BW62"/>
  <c r="BR62"/>
  <c r="EX62" s="1"/>
  <c r="BP62"/>
  <c r="EV62" s="1"/>
  <c r="BA62"/>
  <c r="FB62" s="1"/>
  <c r="AZ62"/>
  <c r="EF62" s="1"/>
  <c r="Q62"/>
  <c r="FR61"/>
  <c r="FP61"/>
  <c r="FO61"/>
  <c r="FN61"/>
  <c r="FJ61"/>
  <c r="FI61"/>
  <c r="FH61"/>
  <c r="FG61"/>
  <c r="FF61"/>
  <c r="FE61"/>
  <c r="FD61"/>
  <c r="FC61"/>
  <c r="FB61"/>
  <c r="FA61"/>
  <c r="EW61"/>
  <c r="EU61"/>
  <c r="ET61"/>
  <c r="ES61"/>
  <c r="EO61"/>
  <c r="EN61"/>
  <c r="EM61"/>
  <c r="EL61"/>
  <c r="EK61"/>
  <c r="EJ61"/>
  <c r="EI61"/>
  <c r="EH61"/>
  <c r="EG61"/>
  <c r="EF61"/>
  <c r="EB61"/>
  <c r="DZ61"/>
  <c r="DY61"/>
  <c r="DX61"/>
  <c r="DT61"/>
  <c r="DS61"/>
  <c r="DR61"/>
  <c r="DQ61"/>
  <c r="DP61"/>
  <c r="DO61"/>
  <c r="DN61"/>
  <c r="DM61"/>
  <c r="DL61"/>
  <c r="DK61"/>
  <c r="DG61"/>
  <c r="DE61"/>
  <c r="DD61"/>
  <c r="DC61"/>
  <c r="CY61"/>
  <c r="CX61"/>
  <c r="CW61"/>
  <c r="CV61"/>
  <c r="CU61"/>
  <c r="CT61"/>
  <c r="CS61"/>
  <c r="CR61"/>
  <c r="CQ61"/>
  <c r="CP61"/>
  <c r="CL61"/>
  <c r="CJ61"/>
  <c r="CI61"/>
  <c r="CH61"/>
  <c r="CD61"/>
  <c r="CC61"/>
  <c r="CB61"/>
  <c r="CA61"/>
  <c r="BZ61"/>
  <c r="BY61"/>
  <c r="BX61"/>
  <c r="BW61"/>
  <c r="BV61"/>
  <c r="BU61"/>
  <c r="BR61"/>
  <c r="FS61" s="1"/>
  <c r="BP61"/>
  <c r="FQ61" s="1"/>
  <c r="BL61"/>
  <c r="FM61" s="1"/>
  <c r="BK61"/>
  <c r="EQ61" s="1"/>
  <c r="BJ61"/>
  <c r="FK61" s="1"/>
  <c r="Q61"/>
  <c r="FR60"/>
  <c r="FP60"/>
  <c r="FO60"/>
  <c r="FN60"/>
  <c r="FM60"/>
  <c r="FL60"/>
  <c r="FK60"/>
  <c r="FG60"/>
  <c r="FF60"/>
  <c r="FE60"/>
  <c r="FD60"/>
  <c r="FC60"/>
  <c r="FB60"/>
  <c r="FA60"/>
  <c r="EW60"/>
  <c r="EU60"/>
  <c r="ET60"/>
  <c r="ES60"/>
  <c r="ER60"/>
  <c r="EQ60"/>
  <c r="EP60"/>
  <c r="EL60"/>
  <c r="EK60"/>
  <c r="EJ60"/>
  <c r="EI60"/>
  <c r="EH60"/>
  <c r="EG60"/>
  <c r="EF60"/>
  <c r="EB60"/>
  <c r="DZ60"/>
  <c r="DY60"/>
  <c r="DX60"/>
  <c r="DW60"/>
  <c r="DV60"/>
  <c r="DU60"/>
  <c r="DQ60"/>
  <c r="DP60"/>
  <c r="DO60"/>
  <c r="DN60"/>
  <c r="DM60"/>
  <c r="DL60"/>
  <c r="DK60"/>
  <c r="DG60"/>
  <c r="DE60"/>
  <c r="DD60"/>
  <c r="DC60"/>
  <c r="DB60"/>
  <c r="DA60"/>
  <c r="CZ60"/>
  <c r="CV60"/>
  <c r="CU60"/>
  <c r="CT60"/>
  <c r="CS60"/>
  <c r="CR60"/>
  <c r="CQ60"/>
  <c r="CP60"/>
  <c r="CL60"/>
  <c r="CJ60"/>
  <c r="CI60"/>
  <c r="CH60"/>
  <c r="CG60"/>
  <c r="CF60"/>
  <c r="CE60"/>
  <c r="CA60"/>
  <c r="BZ60"/>
  <c r="BY60"/>
  <c r="BX60"/>
  <c r="BW60"/>
  <c r="BV60"/>
  <c r="BU60"/>
  <c r="BR60"/>
  <c r="EX60" s="1"/>
  <c r="BP60"/>
  <c r="EV60" s="1"/>
  <c r="BI60"/>
  <c r="FJ60" s="1"/>
  <c r="BH60"/>
  <c r="EN60" s="1"/>
  <c r="BG60"/>
  <c r="FH60" s="1"/>
  <c r="Q60"/>
  <c r="FR59"/>
  <c r="FP59"/>
  <c r="FO59"/>
  <c r="FN59"/>
  <c r="FM59"/>
  <c r="FL59"/>
  <c r="FK59"/>
  <c r="FJ59"/>
  <c r="FI59"/>
  <c r="FH59"/>
  <c r="FG59"/>
  <c r="FF59"/>
  <c r="FD59"/>
  <c r="FC59"/>
  <c r="FB59"/>
  <c r="FA59"/>
  <c r="EW59"/>
  <c r="EU59"/>
  <c r="ET59"/>
  <c r="ES59"/>
  <c r="ER59"/>
  <c r="EQ59"/>
  <c r="EP59"/>
  <c r="EO59"/>
  <c r="EN59"/>
  <c r="EM59"/>
  <c r="EL59"/>
  <c r="EK59"/>
  <c r="EI59"/>
  <c r="EH59"/>
  <c r="EG59"/>
  <c r="EF59"/>
  <c r="EB59"/>
  <c r="DZ59"/>
  <c r="DY59"/>
  <c r="DX59"/>
  <c r="DW59"/>
  <c r="DV59"/>
  <c r="DU59"/>
  <c r="DT59"/>
  <c r="DS59"/>
  <c r="DR59"/>
  <c r="DQ59"/>
  <c r="DP59"/>
  <c r="DN59"/>
  <c r="DM59"/>
  <c r="DL59"/>
  <c r="DK59"/>
  <c r="DG59"/>
  <c r="DE59"/>
  <c r="DD59"/>
  <c r="DC59"/>
  <c r="DB59"/>
  <c r="DA59"/>
  <c r="CZ59"/>
  <c r="CY59"/>
  <c r="CX59"/>
  <c r="CW59"/>
  <c r="CV59"/>
  <c r="CU59"/>
  <c r="CS59"/>
  <c r="CR59"/>
  <c r="CQ59"/>
  <c r="CP59"/>
  <c r="CL59"/>
  <c r="CJ59"/>
  <c r="CI59"/>
  <c r="CH59"/>
  <c r="CG59"/>
  <c r="CF59"/>
  <c r="CE59"/>
  <c r="CD59"/>
  <c r="CC59"/>
  <c r="CB59"/>
  <c r="CA59"/>
  <c r="BZ59"/>
  <c r="BX59"/>
  <c r="BW59"/>
  <c r="BV59"/>
  <c r="BU59"/>
  <c r="BR59"/>
  <c r="FS59" s="1"/>
  <c r="BP59"/>
  <c r="FQ59" s="1"/>
  <c r="BD59"/>
  <c r="FE59" s="1"/>
  <c r="Q59"/>
  <c r="FR58"/>
  <c r="FP58"/>
  <c r="FO58"/>
  <c r="FN58"/>
  <c r="FM58"/>
  <c r="FL58"/>
  <c r="FK58"/>
  <c r="FJ58"/>
  <c r="FI58"/>
  <c r="FH58"/>
  <c r="FG58"/>
  <c r="FF58"/>
  <c r="FD58"/>
  <c r="FC58"/>
  <c r="EW58"/>
  <c r="EU58"/>
  <c r="ET58"/>
  <c r="ES58"/>
  <c r="ER58"/>
  <c r="EQ58"/>
  <c r="EP58"/>
  <c r="EO58"/>
  <c r="EN58"/>
  <c r="EM58"/>
  <c r="EL58"/>
  <c r="EK58"/>
  <c r="EI58"/>
  <c r="EH58"/>
  <c r="EB58"/>
  <c r="DZ58"/>
  <c r="DY58"/>
  <c r="DX58"/>
  <c r="DW58"/>
  <c r="DV58"/>
  <c r="DU58"/>
  <c r="DT58"/>
  <c r="DS58"/>
  <c r="DR58"/>
  <c r="DQ58"/>
  <c r="DP58"/>
  <c r="DN58"/>
  <c r="DM58"/>
  <c r="DG58"/>
  <c r="DE58"/>
  <c r="DD58"/>
  <c r="DC58"/>
  <c r="DB58"/>
  <c r="DA58"/>
  <c r="CZ58"/>
  <c r="CY58"/>
  <c r="CX58"/>
  <c r="CW58"/>
  <c r="CV58"/>
  <c r="CU58"/>
  <c r="CS58"/>
  <c r="CR58"/>
  <c r="CL58"/>
  <c r="CJ58"/>
  <c r="CI58"/>
  <c r="CH58"/>
  <c r="CG58"/>
  <c r="CF58"/>
  <c r="CE58"/>
  <c r="CD58"/>
  <c r="CC58"/>
  <c r="CB58"/>
  <c r="CA58"/>
  <c r="BZ58"/>
  <c r="BX58"/>
  <c r="BW58"/>
  <c r="BR58"/>
  <c r="EX58" s="1"/>
  <c r="BP58"/>
  <c r="EV58" s="1"/>
  <c r="AI58"/>
  <c r="BD58" s="1"/>
  <c r="AF58"/>
  <c r="BA58" s="1"/>
  <c r="FB58" s="1"/>
  <c r="AZ58"/>
  <c r="Q58"/>
  <c r="FR57"/>
  <c r="FP57"/>
  <c r="FO57"/>
  <c r="FN57"/>
  <c r="FM57"/>
  <c r="FL57"/>
  <c r="FK57"/>
  <c r="FJ57"/>
  <c r="FI57"/>
  <c r="FH57"/>
  <c r="FG57"/>
  <c r="FF57"/>
  <c r="FE57"/>
  <c r="FD57"/>
  <c r="FC57"/>
  <c r="EW57"/>
  <c r="EU57"/>
  <c r="ET57"/>
  <c r="ES57"/>
  <c r="ER57"/>
  <c r="EQ57"/>
  <c r="EP57"/>
  <c r="EO57"/>
  <c r="EN57"/>
  <c r="EM57"/>
  <c r="EL57"/>
  <c r="EK57"/>
  <c r="EJ57"/>
  <c r="EI57"/>
  <c r="EH57"/>
  <c r="EB57"/>
  <c r="DZ57"/>
  <c r="DY57"/>
  <c r="DX57"/>
  <c r="DW57"/>
  <c r="DV57"/>
  <c r="DU57"/>
  <c r="DT57"/>
  <c r="DS57"/>
  <c r="DR57"/>
  <c r="DQ57"/>
  <c r="DP57"/>
  <c r="DO57"/>
  <c r="DN57"/>
  <c r="DM57"/>
  <c r="DG57"/>
  <c r="DE57"/>
  <c r="DD57"/>
  <c r="DC57"/>
  <c r="DB57"/>
  <c r="DA57"/>
  <c r="CZ57"/>
  <c r="CY57"/>
  <c r="CX57"/>
  <c r="CW57"/>
  <c r="CV57"/>
  <c r="CU57"/>
  <c r="CT57"/>
  <c r="CS57"/>
  <c r="CR57"/>
  <c r="CL57"/>
  <c r="CJ57"/>
  <c r="CI57"/>
  <c r="CH57"/>
  <c r="CG57"/>
  <c r="CF57"/>
  <c r="CE57"/>
  <c r="CD57"/>
  <c r="CC57"/>
  <c r="CB57"/>
  <c r="CA57"/>
  <c r="BZ57"/>
  <c r="BY57"/>
  <c r="BX57"/>
  <c r="BW57"/>
  <c r="BR57"/>
  <c r="EX57" s="1"/>
  <c r="BP57"/>
  <c r="EV57" s="1"/>
  <c r="BA57"/>
  <c r="FB57" s="1"/>
  <c r="AZ57"/>
  <c r="EF57" s="1"/>
  <c r="Q57"/>
  <c r="FR56"/>
  <c r="FQ56"/>
  <c r="FP56"/>
  <c r="FO56"/>
  <c r="FN56"/>
  <c r="FK56"/>
  <c r="FJ56"/>
  <c r="FI56"/>
  <c r="FH56"/>
  <c r="FG56"/>
  <c r="FF56"/>
  <c r="FE56"/>
  <c r="FD56"/>
  <c r="FC56"/>
  <c r="FB56"/>
  <c r="FA56"/>
  <c r="EW56"/>
  <c r="EV56"/>
  <c r="EU56"/>
  <c r="ET56"/>
  <c r="ES56"/>
  <c r="EP56"/>
  <c r="EO56"/>
  <c r="EN56"/>
  <c r="EM56"/>
  <c r="EL56"/>
  <c r="EK56"/>
  <c r="EJ56"/>
  <c r="EI56"/>
  <c r="EH56"/>
  <c r="EG56"/>
  <c r="EF56"/>
  <c r="EB56"/>
  <c r="EA56"/>
  <c r="DZ56"/>
  <c r="DY56"/>
  <c r="DX56"/>
  <c r="DU56"/>
  <c r="DT56"/>
  <c r="DS56"/>
  <c r="DR56"/>
  <c r="DQ56"/>
  <c r="DP56"/>
  <c r="DO56"/>
  <c r="DN56"/>
  <c r="DM56"/>
  <c r="DL56"/>
  <c r="DK56"/>
  <c r="DG56"/>
  <c r="DF56"/>
  <c r="DE56"/>
  <c r="DD56"/>
  <c r="DC56"/>
  <c r="CZ56"/>
  <c r="CY56"/>
  <c r="CX56"/>
  <c r="CW56"/>
  <c r="CV56"/>
  <c r="CU56"/>
  <c r="CT56"/>
  <c r="CS56"/>
  <c r="CR56"/>
  <c r="CQ56"/>
  <c r="CP56"/>
  <c r="CL56"/>
  <c r="CK56"/>
  <c r="CJ56"/>
  <c r="CI56"/>
  <c r="CH56"/>
  <c r="CE56"/>
  <c r="CD56"/>
  <c r="CC56"/>
  <c r="CB56"/>
  <c r="CA56"/>
  <c r="BZ56"/>
  <c r="BY56"/>
  <c r="BX56"/>
  <c r="BW56"/>
  <c r="BV56"/>
  <c r="BU56"/>
  <c r="BR56"/>
  <c r="FS56" s="1"/>
  <c r="BL56"/>
  <c r="FM56" s="1"/>
  <c r="BK56"/>
  <c r="EQ56" s="1"/>
  <c r="FR55"/>
  <c r="FQ55"/>
  <c r="FP55"/>
  <c r="FO55"/>
  <c r="FN55"/>
  <c r="FL55"/>
  <c r="FK55"/>
  <c r="FJ55"/>
  <c r="FI55"/>
  <c r="FH55"/>
  <c r="FG55"/>
  <c r="FF55"/>
  <c r="FE55"/>
  <c r="FD55"/>
  <c r="FC55"/>
  <c r="FB55"/>
  <c r="FA55"/>
  <c r="EW55"/>
  <c r="EV55"/>
  <c r="EU55"/>
  <c r="ET55"/>
  <c r="ES55"/>
  <c r="EQ55"/>
  <c r="EP55"/>
  <c r="EO55"/>
  <c r="EN55"/>
  <c r="EM55"/>
  <c r="EL55"/>
  <c r="EK55"/>
  <c r="EJ55"/>
  <c r="EI55"/>
  <c r="EH55"/>
  <c r="EG55"/>
  <c r="EF55"/>
  <c r="EB55"/>
  <c r="EA55"/>
  <c r="DZ55"/>
  <c r="DY55"/>
  <c r="DX55"/>
  <c r="DV55"/>
  <c r="DU55"/>
  <c r="DT55"/>
  <c r="DS55"/>
  <c r="DR55"/>
  <c r="DQ55"/>
  <c r="DP55"/>
  <c r="DO55"/>
  <c r="DN55"/>
  <c r="DM55"/>
  <c r="DL55"/>
  <c r="DK55"/>
  <c r="DG55"/>
  <c r="DF55"/>
  <c r="DE55"/>
  <c r="DD55"/>
  <c r="DC55"/>
  <c r="DA55"/>
  <c r="CZ55"/>
  <c r="CY55"/>
  <c r="CX55"/>
  <c r="CW55"/>
  <c r="CV55"/>
  <c r="CU55"/>
  <c r="CT55"/>
  <c r="CS55"/>
  <c r="CR55"/>
  <c r="CQ55"/>
  <c r="CP55"/>
  <c r="CL55"/>
  <c r="CK55"/>
  <c r="CJ55"/>
  <c r="CI55"/>
  <c r="CH55"/>
  <c r="CF55"/>
  <c r="CE55"/>
  <c r="CD55"/>
  <c r="CC55"/>
  <c r="CB55"/>
  <c r="CA55"/>
  <c r="BZ55"/>
  <c r="BY55"/>
  <c r="BX55"/>
  <c r="BW55"/>
  <c r="BV55"/>
  <c r="BU55"/>
  <c r="BR55"/>
  <c r="EX55" s="1"/>
  <c r="BL55"/>
  <c r="ER55" s="1"/>
  <c r="FR54"/>
  <c r="FQ54"/>
  <c r="FP54"/>
  <c r="FO54"/>
  <c r="FN54"/>
  <c r="FM54"/>
  <c r="FK54"/>
  <c r="FJ54"/>
  <c r="FI54"/>
  <c r="FH54"/>
  <c r="FG54"/>
  <c r="FF54"/>
  <c r="FE54"/>
  <c r="FD54"/>
  <c r="FC54"/>
  <c r="FB54"/>
  <c r="FA54"/>
  <c r="EW54"/>
  <c r="EV54"/>
  <c r="EU54"/>
  <c r="ET54"/>
  <c r="ES54"/>
  <c r="ER54"/>
  <c r="EP54"/>
  <c r="EO54"/>
  <c r="EN54"/>
  <c r="EM54"/>
  <c r="EL54"/>
  <c r="EK54"/>
  <c r="EJ54"/>
  <c r="EI54"/>
  <c r="EH54"/>
  <c r="EG54"/>
  <c r="EF54"/>
  <c r="EB54"/>
  <c r="EA54"/>
  <c r="DZ54"/>
  <c r="DY54"/>
  <c r="DX54"/>
  <c r="DW54"/>
  <c r="DU54"/>
  <c r="DT54"/>
  <c r="DS54"/>
  <c r="DR54"/>
  <c r="DQ54"/>
  <c r="DP54"/>
  <c r="DO54"/>
  <c r="DN54"/>
  <c r="DM54"/>
  <c r="DL54"/>
  <c r="DK54"/>
  <c r="DG54"/>
  <c r="DF54"/>
  <c r="DE54"/>
  <c r="DD54"/>
  <c r="DC54"/>
  <c r="DB54"/>
  <c r="CZ54"/>
  <c r="CY54"/>
  <c r="CX54"/>
  <c r="CW54"/>
  <c r="CV54"/>
  <c r="CU54"/>
  <c r="CT54"/>
  <c r="CS54"/>
  <c r="CR54"/>
  <c r="CQ54"/>
  <c r="CP54"/>
  <c r="CL54"/>
  <c r="CK54"/>
  <c r="CJ54"/>
  <c r="CI54"/>
  <c r="CH54"/>
  <c r="CG54"/>
  <c r="CE54"/>
  <c r="CD54"/>
  <c r="CC54"/>
  <c r="CB54"/>
  <c r="CA54"/>
  <c r="BZ54"/>
  <c r="BY54"/>
  <c r="BX54"/>
  <c r="BW54"/>
  <c r="BV54"/>
  <c r="BU54"/>
  <c r="BR54"/>
  <c r="FS54" s="1"/>
  <c r="BK54"/>
  <c r="EQ54" s="1"/>
  <c r="FR53"/>
  <c r="FP53"/>
  <c r="FO53"/>
  <c r="FN53"/>
  <c r="FM53"/>
  <c r="FL53"/>
  <c r="FK53"/>
  <c r="FJ53"/>
  <c r="FI53"/>
  <c r="FH53"/>
  <c r="FG53"/>
  <c r="FF53"/>
  <c r="FE53"/>
  <c r="FD53"/>
  <c r="FC53"/>
  <c r="FB53"/>
  <c r="FA53"/>
  <c r="EW53"/>
  <c r="EU53"/>
  <c r="ET53"/>
  <c r="ES53"/>
  <c r="ER53"/>
  <c r="EQ53"/>
  <c r="EP53"/>
  <c r="EO53"/>
  <c r="EN53"/>
  <c r="EM53"/>
  <c r="EL53"/>
  <c r="EK53"/>
  <c r="EJ53"/>
  <c r="EI53"/>
  <c r="EH53"/>
  <c r="EG53"/>
  <c r="EF53"/>
  <c r="EB53"/>
  <c r="DZ53"/>
  <c r="DY53"/>
  <c r="DX53"/>
  <c r="DW53"/>
  <c r="DV53"/>
  <c r="DU53"/>
  <c r="DT53"/>
  <c r="DS53"/>
  <c r="DR53"/>
  <c r="DQ53"/>
  <c r="DP53"/>
  <c r="DO53"/>
  <c r="DN53"/>
  <c r="DM53"/>
  <c r="DL53"/>
  <c r="DK53"/>
  <c r="DG53"/>
  <c r="DE53"/>
  <c r="DD53"/>
  <c r="DC53"/>
  <c r="DB53"/>
  <c r="DA53"/>
  <c r="CZ53"/>
  <c r="CY53"/>
  <c r="CX53"/>
  <c r="CW53"/>
  <c r="CV53"/>
  <c r="CU53"/>
  <c r="CT53"/>
  <c r="CS53"/>
  <c r="CR53"/>
  <c r="CQ53"/>
  <c r="CP53"/>
  <c r="CL53"/>
  <c r="CJ53"/>
  <c r="CI53"/>
  <c r="CH53"/>
  <c r="CG53"/>
  <c r="CF53"/>
  <c r="CE53"/>
  <c r="CD53"/>
  <c r="CC53"/>
  <c r="CB53"/>
  <c r="CA53"/>
  <c r="BZ53"/>
  <c r="BY53"/>
  <c r="BX53"/>
  <c r="BW53"/>
  <c r="BV53"/>
  <c r="BU53"/>
  <c r="BR53"/>
  <c r="EX53" s="1"/>
  <c r="BP53"/>
  <c r="EV53" s="1"/>
  <c r="FR52"/>
  <c r="FP52"/>
  <c r="FO52"/>
  <c r="FN52"/>
  <c r="FM52"/>
  <c r="FL52"/>
  <c r="FK52"/>
  <c r="FJ52"/>
  <c r="FI52"/>
  <c r="FH52"/>
  <c r="FG52"/>
  <c r="FF52"/>
  <c r="FE52"/>
  <c r="FD52"/>
  <c r="FC52"/>
  <c r="FB52"/>
  <c r="FA52"/>
  <c r="EW52"/>
  <c r="EU52"/>
  <c r="ET52"/>
  <c r="ES52"/>
  <c r="ER52"/>
  <c r="EQ52"/>
  <c r="EP52"/>
  <c r="EO52"/>
  <c r="EN52"/>
  <c r="EM52"/>
  <c r="EL52"/>
  <c r="EK52"/>
  <c r="EJ52"/>
  <c r="EI52"/>
  <c r="EH52"/>
  <c r="EG52"/>
  <c r="EF52"/>
  <c r="EB52"/>
  <c r="DZ52"/>
  <c r="DY52"/>
  <c r="DX52"/>
  <c r="DW52"/>
  <c r="DV52"/>
  <c r="DU52"/>
  <c r="DT52"/>
  <c r="DS52"/>
  <c r="DR52"/>
  <c r="DQ52"/>
  <c r="DP52"/>
  <c r="DO52"/>
  <c r="DN52"/>
  <c r="DM52"/>
  <c r="DL52"/>
  <c r="DK52"/>
  <c r="DG52"/>
  <c r="DE52"/>
  <c r="DD52"/>
  <c r="DC52"/>
  <c r="DB52"/>
  <c r="DA52"/>
  <c r="CZ52"/>
  <c r="CY52"/>
  <c r="CX52"/>
  <c r="CW52"/>
  <c r="CV52"/>
  <c r="CU52"/>
  <c r="CT52"/>
  <c r="CS52"/>
  <c r="CR52"/>
  <c r="CQ52"/>
  <c r="CP52"/>
  <c r="CL52"/>
  <c r="CJ52"/>
  <c r="CI52"/>
  <c r="CH52"/>
  <c r="CG52"/>
  <c r="CF52"/>
  <c r="CE52"/>
  <c r="CD52"/>
  <c r="CC52"/>
  <c r="CB52"/>
  <c r="CA52"/>
  <c r="BZ52"/>
  <c r="BY52"/>
  <c r="BX52"/>
  <c r="BW52"/>
  <c r="BV52"/>
  <c r="BU52"/>
  <c r="BR52"/>
  <c r="FS52" s="1"/>
  <c r="BP52"/>
  <c r="FQ52" s="1"/>
  <c r="Q52"/>
  <c r="FR51"/>
  <c r="FQ51"/>
  <c r="FP51"/>
  <c r="FO51"/>
  <c r="FN51"/>
  <c r="FM51"/>
  <c r="FL51"/>
  <c r="FK51"/>
  <c r="FJ51"/>
  <c r="FI51"/>
  <c r="FH51"/>
  <c r="FG51"/>
  <c r="FF51"/>
  <c r="FE51"/>
  <c r="FD51"/>
  <c r="FB51"/>
  <c r="FA51"/>
  <c r="EW51"/>
  <c r="EV51"/>
  <c r="EU51"/>
  <c r="ET51"/>
  <c r="ES51"/>
  <c r="ER51"/>
  <c r="EQ51"/>
  <c r="EP51"/>
  <c r="EO51"/>
  <c r="EN51"/>
  <c r="EM51"/>
  <c r="EL51"/>
  <c r="EK51"/>
  <c r="EJ51"/>
  <c r="EI51"/>
  <c r="EG51"/>
  <c r="EF51"/>
  <c r="EB51"/>
  <c r="EA51"/>
  <c r="DZ51"/>
  <c r="DY51"/>
  <c r="DX51"/>
  <c r="DW51"/>
  <c r="DV51"/>
  <c r="DU51"/>
  <c r="DT51"/>
  <c r="DS51"/>
  <c r="DR51"/>
  <c r="DQ51"/>
  <c r="DP51"/>
  <c r="DO51"/>
  <c r="DN51"/>
  <c r="DL51"/>
  <c r="DK51"/>
  <c r="DG51"/>
  <c r="DF51"/>
  <c r="DE51"/>
  <c r="DD51"/>
  <c r="DC51"/>
  <c r="DB51"/>
  <c r="DA51"/>
  <c r="CZ51"/>
  <c r="CY51"/>
  <c r="CX51"/>
  <c r="CW51"/>
  <c r="CV51"/>
  <c r="CU51"/>
  <c r="CT51"/>
  <c r="CS51"/>
  <c r="CQ51"/>
  <c r="CP51"/>
  <c r="CL51"/>
  <c r="CK51"/>
  <c r="CJ51"/>
  <c r="CI51"/>
  <c r="CH51"/>
  <c r="CG51"/>
  <c r="CF51"/>
  <c r="CE51"/>
  <c r="CD51"/>
  <c r="CC51"/>
  <c r="CB51"/>
  <c r="CA51"/>
  <c r="BZ51"/>
  <c r="BY51"/>
  <c r="BX51"/>
  <c r="BV51"/>
  <c r="BU51"/>
  <c r="BR51"/>
  <c r="EX51" s="1"/>
  <c r="BB51"/>
  <c r="EH51" s="1"/>
  <c r="FR50"/>
  <c r="FQ50"/>
  <c r="FP50"/>
  <c r="FO50"/>
  <c r="FN50"/>
  <c r="FM50"/>
  <c r="FL50"/>
  <c r="FK50"/>
  <c r="FJ50"/>
  <c r="FI50"/>
  <c r="FH50"/>
  <c r="FG50"/>
  <c r="FF50"/>
  <c r="FE50"/>
  <c r="FD50"/>
  <c r="FC50"/>
  <c r="FB50"/>
  <c r="FA50"/>
  <c r="EW50"/>
  <c r="EV50"/>
  <c r="EU50"/>
  <c r="ET50"/>
  <c r="ES50"/>
  <c r="ER50"/>
  <c r="EQ50"/>
  <c r="EP50"/>
  <c r="EO50"/>
  <c r="EN50"/>
  <c r="EM50"/>
  <c r="EL50"/>
  <c r="EK50"/>
  <c r="EJ50"/>
  <c r="EI50"/>
  <c r="EH50"/>
  <c r="EG50"/>
  <c r="EF50"/>
  <c r="EB50"/>
  <c r="EA50"/>
  <c r="DZ50"/>
  <c r="DY50"/>
  <c r="DX50"/>
  <c r="DW50"/>
  <c r="DV50"/>
  <c r="DU50"/>
  <c r="DT50"/>
  <c r="DS50"/>
  <c r="DR50"/>
  <c r="DQ50"/>
  <c r="DP50"/>
  <c r="DO50"/>
  <c r="DN50"/>
  <c r="DM50"/>
  <c r="DL50"/>
  <c r="DK50"/>
  <c r="DG50"/>
  <c r="DF50"/>
  <c r="DE50"/>
  <c r="DD50"/>
  <c r="DC50"/>
  <c r="DB50"/>
  <c r="DA50"/>
  <c r="CZ50"/>
  <c r="CY50"/>
  <c r="CX50"/>
  <c r="CW50"/>
  <c r="CV50"/>
  <c r="CU50"/>
  <c r="CT50"/>
  <c r="CS50"/>
  <c r="CR50"/>
  <c r="CQ50"/>
  <c r="CP50"/>
  <c r="CL50"/>
  <c r="CK50"/>
  <c r="CJ50"/>
  <c r="CI50"/>
  <c r="CH50"/>
  <c r="CG50"/>
  <c r="CF50"/>
  <c r="CE50"/>
  <c r="CD50"/>
  <c r="CC50"/>
  <c r="CB50"/>
  <c r="CA50"/>
  <c r="BZ50"/>
  <c r="BY50"/>
  <c r="BX50"/>
  <c r="BW50"/>
  <c r="BV50"/>
  <c r="BU50"/>
  <c r="BR50"/>
  <c r="DH50" s="1"/>
  <c r="BQ50"/>
  <c r="Q50"/>
  <c r="FR49"/>
  <c r="FQ49"/>
  <c r="FP49"/>
  <c r="FO49"/>
  <c r="FN49"/>
  <c r="FM49"/>
  <c r="FL49"/>
  <c r="FK49"/>
  <c r="FJ49"/>
  <c r="FI49"/>
  <c r="FH49"/>
  <c r="FG49"/>
  <c r="FF49"/>
  <c r="FE49"/>
  <c r="FD49"/>
  <c r="FC49"/>
  <c r="FB49"/>
  <c r="FA49"/>
  <c r="EW49"/>
  <c r="EV49"/>
  <c r="EU49"/>
  <c r="ET49"/>
  <c r="ES49"/>
  <c r="ER49"/>
  <c r="EQ49"/>
  <c r="EP49"/>
  <c r="EO49"/>
  <c r="EN49"/>
  <c r="EM49"/>
  <c r="EL49"/>
  <c r="EK49"/>
  <c r="EJ49"/>
  <c r="EI49"/>
  <c r="EH49"/>
  <c r="EG49"/>
  <c r="EF49"/>
  <c r="EB49"/>
  <c r="EA49"/>
  <c r="DZ49"/>
  <c r="DY49"/>
  <c r="DX49"/>
  <c r="DW49"/>
  <c r="DV49"/>
  <c r="DU49"/>
  <c r="DT49"/>
  <c r="DS49"/>
  <c r="DR49"/>
  <c r="DQ49"/>
  <c r="DP49"/>
  <c r="DO49"/>
  <c r="DN49"/>
  <c r="DM49"/>
  <c r="DL49"/>
  <c r="DK49"/>
  <c r="DG49"/>
  <c r="DF49"/>
  <c r="DE49"/>
  <c r="DD49"/>
  <c r="DC49"/>
  <c r="DB49"/>
  <c r="DA49"/>
  <c r="CZ49"/>
  <c r="CY49"/>
  <c r="CX49"/>
  <c r="CW49"/>
  <c r="CV49"/>
  <c r="CU49"/>
  <c r="CT49"/>
  <c r="CS49"/>
  <c r="CR49"/>
  <c r="CQ49"/>
  <c r="CP49"/>
  <c r="CL49"/>
  <c r="CK49"/>
  <c r="CJ49"/>
  <c r="CI49"/>
  <c r="CH49"/>
  <c r="CG49"/>
  <c r="CF49"/>
  <c r="CE49"/>
  <c r="CD49"/>
  <c r="CC49"/>
  <c r="CB49"/>
  <c r="CA49"/>
  <c r="BZ49"/>
  <c r="BY49"/>
  <c r="BX49"/>
  <c r="BW49"/>
  <c r="BV49"/>
  <c r="BU49"/>
  <c r="BR49"/>
  <c r="DH49" s="1"/>
  <c r="BQ49"/>
  <c r="Q49"/>
  <c r="FR48"/>
  <c r="FQ48"/>
  <c r="FP48"/>
  <c r="FO48"/>
  <c r="FN48"/>
  <c r="FM48"/>
  <c r="FL48"/>
  <c r="FJ48"/>
  <c r="FI48"/>
  <c r="FH48"/>
  <c r="FG48"/>
  <c r="FF48"/>
  <c r="FE48"/>
  <c r="FD48"/>
  <c r="FC48"/>
  <c r="FB48"/>
  <c r="FA48"/>
  <c r="EW48"/>
  <c r="EV48"/>
  <c r="EU48"/>
  <c r="ET48"/>
  <c r="ES48"/>
  <c r="ER48"/>
  <c r="EQ48"/>
  <c r="EO48"/>
  <c r="EN48"/>
  <c r="EM48"/>
  <c r="EL48"/>
  <c r="EK48"/>
  <c r="EJ48"/>
  <c r="EI48"/>
  <c r="EH48"/>
  <c r="EG48"/>
  <c r="EF48"/>
  <c r="EB48"/>
  <c r="EA48"/>
  <c r="DZ48"/>
  <c r="DY48"/>
  <c r="DX48"/>
  <c r="DW48"/>
  <c r="DV48"/>
  <c r="DT48"/>
  <c r="DS48"/>
  <c r="DR48"/>
  <c r="DQ48"/>
  <c r="DP48"/>
  <c r="DO48"/>
  <c r="DN48"/>
  <c r="DM48"/>
  <c r="DL48"/>
  <c r="DK48"/>
  <c r="DG48"/>
  <c r="DF48"/>
  <c r="DE48"/>
  <c r="DD48"/>
  <c r="DC48"/>
  <c r="DB48"/>
  <c r="DA48"/>
  <c r="CY48"/>
  <c r="CX48"/>
  <c r="CW48"/>
  <c r="CV48"/>
  <c r="CU48"/>
  <c r="CT48"/>
  <c r="CS48"/>
  <c r="CR48"/>
  <c r="CQ48"/>
  <c r="CP48"/>
  <c r="CL48"/>
  <c r="CK48"/>
  <c r="CJ48"/>
  <c r="CI48"/>
  <c r="CH48"/>
  <c r="CG48"/>
  <c r="CF48"/>
  <c r="CD48"/>
  <c r="CC48"/>
  <c r="CB48"/>
  <c r="CA48"/>
  <c r="BZ48"/>
  <c r="BY48"/>
  <c r="BX48"/>
  <c r="BW48"/>
  <c r="BV48"/>
  <c r="BU48"/>
  <c r="BR48"/>
  <c r="BJ48"/>
  <c r="FK48" s="1"/>
  <c r="FR45"/>
  <c r="FP45"/>
  <c r="FO45"/>
  <c r="FN45"/>
  <c r="FJ45"/>
  <c r="FI45"/>
  <c r="FH45"/>
  <c r="FG45"/>
  <c r="FF45"/>
  <c r="FE45"/>
  <c r="FD45"/>
  <c r="FC45"/>
  <c r="FB45"/>
  <c r="FA45"/>
  <c r="EW45"/>
  <c r="EU45"/>
  <c r="ET45"/>
  <c r="ES45"/>
  <c r="EO45"/>
  <c r="EN45"/>
  <c r="EM45"/>
  <c r="EL45"/>
  <c r="EK45"/>
  <c r="EJ45"/>
  <c r="EI45"/>
  <c r="EH45"/>
  <c r="EG45"/>
  <c r="EF45"/>
  <c r="EB45"/>
  <c r="DZ45"/>
  <c r="DY45"/>
  <c r="DX45"/>
  <c r="DT45"/>
  <c r="DS45"/>
  <c r="DR45"/>
  <c r="DQ45"/>
  <c r="DP45"/>
  <c r="DO45"/>
  <c r="DN45"/>
  <c r="DM45"/>
  <c r="DL45"/>
  <c r="DK45"/>
  <c r="DG45"/>
  <c r="DE45"/>
  <c r="DD45"/>
  <c r="DC45"/>
  <c r="CY45"/>
  <c r="CX45"/>
  <c r="CW45"/>
  <c r="CV45"/>
  <c r="CU45"/>
  <c r="CT45"/>
  <c r="CS45"/>
  <c r="CR45"/>
  <c r="CQ45"/>
  <c r="CP45"/>
  <c r="CL45"/>
  <c r="CJ45"/>
  <c r="CI45"/>
  <c r="CH45"/>
  <c r="CD45"/>
  <c r="CC45"/>
  <c r="CB45"/>
  <c r="CA45"/>
  <c r="BZ45"/>
  <c r="BY45"/>
  <c r="BX45"/>
  <c r="BW45"/>
  <c r="BV45"/>
  <c r="BU45"/>
  <c r="BR45"/>
  <c r="EX45" s="1"/>
  <c r="BP45"/>
  <c r="FQ45" s="1"/>
  <c r="BL45"/>
  <c r="ER45" s="1"/>
  <c r="BK45"/>
  <c r="EQ45" s="1"/>
  <c r="BJ45"/>
  <c r="EP45" s="1"/>
  <c r="Q45"/>
  <c r="FR44"/>
  <c r="FP44"/>
  <c r="FO44"/>
  <c r="FN44"/>
  <c r="FM44"/>
  <c r="FL44"/>
  <c r="FK44"/>
  <c r="FG44"/>
  <c r="FF44"/>
  <c r="FE44"/>
  <c r="FD44"/>
  <c r="FC44"/>
  <c r="FB44"/>
  <c r="FA44"/>
  <c r="EW44"/>
  <c r="EU44"/>
  <c r="ET44"/>
  <c r="ES44"/>
  <c r="ER44"/>
  <c r="EQ44"/>
  <c r="EP44"/>
  <c r="EL44"/>
  <c r="EK44"/>
  <c r="EJ44"/>
  <c r="EI44"/>
  <c r="EH44"/>
  <c r="EG44"/>
  <c r="EF44"/>
  <c r="EB44"/>
  <c r="DZ44"/>
  <c r="DY44"/>
  <c r="DX44"/>
  <c r="DW44"/>
  <c r="DV44"/>
  <c r="DU44"/>
  <c r="DQ44"/>
  <c r="DP44"/>
  <c r="DO44"/>
  <c r="DN44"/>
  <c r="DM44"/>
  <c r="DL44"/>
  <c r="DK44"/>
  <c r="DG44"/>
  <c r="DE44"/>
  <c r="DD44"/>
  <c r="DC44"/>
  <c r="DB44"/>
  <c r="DA44"/>
  <c r="CZ44"/>
  <c r="CV44"/>
  <c r="CU44"/>
  <c r="CT44"/>
  <c r="CS44"/>
  <c r="CR44"/>
  <c r="CQ44"/>
  <c r="CP44"/>
  <c r="CL44"/>
  <c r="CJ44"/>
  <c r="CI44"/>
  <c r="CH44"/>
  <c r="CG44"/>
  <c r="CF44"/>
  <c r="CE44"/>
  <c r="CA44"/>
  <c r="BZ44"/>
  <c r="BY44"/>
  <c r="BX44"/>
  <c r="BW44"/>
  <c r="BV44"/>
  <c r="BU44"/>
  <c r="BR44"/>
  <c r="DH44" s="1"/>
  <c r="BP44"/>
  <c r="FQ44" s="1"/>
  <c r="BI44"/>
  <c r="CD44" s="1"/>
  <c r="BH44"/>
  <c r="FI44" s="1"/>
  <c r="BG44"/>
  <c r="DR44" s="1"/>
  <c r="Q44"/>
  <c r="FR43"/>
  <c r="FP43"/>
  <c r="FO43"/>
  <c r="FN43"/>
  <c r="FM43"/>
  <c r="FL43"/>
  <c r="FK43"/>
  <c r="FJ43"/>
  <c r="FI43"/>
  <c r="FH43"/>
  <c r="FG43"/>
  <c r="FF43"/>
  <c r="FD43"/>
  <c r="FC43"/>
  <c r="FB43"/>
  <c r="FA43"/>
  <c r="EW43"/>
  <c r="EU43"/>
  <c r="ET43"/>
  <c r="ES43"/>
  <c r="ER43"/>
  <c r="EQ43"/>
  <c r="EP43"/>
  <c r="EO43"/>
  <c r="EN43"/>
  <c r="EM43"/>
  <c r="EL43"/>
  <c r="EK43"/>
  <c r="EI43"/>
  <c r="EH43"/>
  <c r="EG43"/>
  <c r="EF43"/>
  <c r="EB43"/>
  <c r="DZ43"/>
  <c r="DY43"/>
  <c r="DX43"/>
  <c r="DW43"/>
  <c r="DV43"/>
  <c r="DU43"/>
  <c r="DT43"/>
  <c r="DS43"/>
  <c r="DR43"/>
  <c r="DQ43"/>
  <c r="DP43"/>
  <c r="DN43"/>
  <c r="DM43"/>
  <c r="DL43"/>
  <c r="DK43"/>
  <c r="DG43"/>
  <c r="DE43"/>
  <c r="DD43"/>
  <c r="DC43"/>
  <c r="DB43"/>
  <c r="DA43"/>
  <c r="CZ43"/>
  <c r="CY43"/>
  <c r="CX43"/>
  <c r="CW43"/>
  <c r="CV43"/>
  <c r="CU43"/>
  <c r="CS43"/>
  <c r="CR43"/>
  <c r="CQ43"/>
  <c r="CP43"/>
  <c r="CL43"/>
  <c r="CJ43"/>
  <c r="CI43"/>
  <c r="CH43"/>
  <c r="CG43"/>
  <c r="CF43"/>
  <c r="CE43"/>
  <c r="CD43"/>
  <c r="CC43"/>
  <c r="CB43"/>
  <c r="CA43"/>
  <c r="BZ43"/>
  <c r="BX43"/>
  <c r="BW43"/>
  <c r="BV43"/>
  <c r="BU43"/>
  <c r="BR43"/>
  <c r="EX43" s="1"/>
  <c r="BP43"/>
  <c r="EA43" s="1"/>
  <c r="BD43"/>
  <c r="EJ43" s="1"/>
  <c r="Q43"/>
  <c r="FR42"/>
  <c r="FP42"/>
  <c r="FO42"/>
  <c r="FN42"/>
  <c r="FM42"/>
  <c r="FL42"/>
  <c r="FK42"/>
  <c r="FJ42"/>
  <c r="FI42"/>
  <c r="FH42"/>
  <c r="FG42"/>
  <c r="FF42"/>
  <c r="FE42"/>
  <c r="FD42"/>
  <c r="FC42"/>
  <c r="EW42"/>
  <c r="EU42"/>
  <c r="ET42"/>
  <c r="ES42"/>
  <c r="ER42"/>
  <c r="EQ42"/>
  <c r="EP42"/>
  <c r="EO42"/>
  <c r="EN42"/>
  <c r="EM42"/>
  <c r="EL42"/>
  <c r="EK42"/>
  <c r="EJ42"/>
  <c r="EI42"/>
  <c r="EH42"/>
  <c r="EB42"/>
  <c r="DZ42"/>
  <c r="DY42"/>
  <c r="DX42"/>
  <c r="DW42"/>
  <c r="DV42"/>
  <c r="DU42"/>
  <c r="DT42"/>
  <c r="DS42"/>
  <c r="DR42"/>
  <c r="DQ42"/>
  <c r="DP42"/>
  <c r="DO42"/>
  <c r="DN42"/>
  <c r="DM42"/>
  <c r="DG42"/>
  <c r="DE42"/>
  <c r="DD42"/>
  <c r="DC42"/>
  <c r="DB42"/>
  <c r="DA42"/>
  <c r="CZ42"/>
  <c r="CY42"/>
  <c r="CX42"/>
  <c r="CW42"/>
  <c r="CV42"/>
  <c r="CU42"/>
  <c r="CT42"/>
  <c r="CS42"/>
  <c r="CR42"/>
  <c r="CL42"/>
  <c r="CJ42"/>
  <c r="CI42"/>
  <c r="CH42"/>
  <c r="CG42"/>
  <c r="CF42"/>
  <c r="CE42"/>
  <c r="CD42"/>
  <c r="CC42"/>
  <c r="CB42"/>
  <c r="CA42"/>
  <c r="BZ42"/>
  <c r="BY42"/>
  <c r="BX42"/>
  <c r="BW42"/>
  <c r="BR42"/>
  <c r="BP42"/>
  <c r="FQ42" s="1"/>
  <c r="BA42"/>
  <c r="FB42" s="1"/>
  <c r="AZ42"/>
  <c r="FA42" s="1"/>
  <c r="Q42"/>
  <c r="FR41"/>
  <c r="FP41"/>
  <c r="FO41"/>
  <c r="FN41"/>
  <c r="FJ41"/>
  <c r="FI41"/>
  <c r="FH41"/>
  <c r="FG41"/>
  <c r="FF41"/>
  <c r="FE41"/>
  <c r="FD41"/>
  <c r="FC41"/>
  <c r="FB41"/>
  <c r="FA41"/>
  <c r="EW41"/>
  <c r="EU41"/>
  <c r="ET41"/>
  <c r="ES41"/>
  <c r="EO41"/>
  <c r="EN41"/>
  <c r="EM41"/>
  <c r="EL41"/>
  <c r="EK41"/>
  <c r="EJ41"/>
  <c r="EI41"/>
  <c r="EH41"/>
  <c r="EG41"/>
  <c r="EF41"/>
  <c r="EB41"/>
  <c r="DZ41"/>
  <c r="DY41"/>
  <c r="DX41"/>
  <c r="DT41"/>
  <c r="DS41"/>
  <c r="DR41"/>
  <c r="DQ41"/>
  <c r="DP41"/>
  <c r="DO41"/>
  <c r="DN41"/>
  <c r="DM41"/>
  <c r="DL41"/>
  <c r="DK41"/>
  <c r="DG41"/>
  <c r="DE41"/>
  <c r="DD41"/>
  <c r="DC41"/>
  <c r="CY41"/>
  <c r="CX41"/>
  <c r="CW41"/>
  <c r="CV41"/>
  <c r="CU41"/>
  <c r="CT41"/>
  <c r="CS41"/>
  <c r="CR41"/>
  <c r="CQ41"/>
  <c r="CP41"/>
  <c r="CL41"/>
  <c r="CJ41"/>
  <c r="CI41"/>
  <c r="CH41"/>
  <c r="CD41"/>
  <c r="CC41"/>
  <c r="CB41"/>
  <c r="CA41"/>
  <c r="BZ41"/>
  <c r="BY41"/>
  <c r="BX41"/>
  <c r="BW41"/>
  <c r="BV41"/>
  <c r="BU41"/>
  <c r="BR41"/>
  <c r="EX41" s="1"/>
  <c r="BP41"/>
  <c r="FQ41" s="1"/>
  <c r="BL41"/>
  <c r="ER41" s="1"/>
  <c r="BK41"/>
  <c r="EQ41" s="1"/>
  <c r="BJ41"/>
  <c r="EP41" s="1"/>
  <c r="Q41"/>
  <c r="FR40"/>
  <c r="FP40"/>
  <c r="FO40"/>
  <c r="FN40"/>
  <c r="FM40"/>
  <c r="FL40"/>
  <c r="FK40"/>
  <c r="FG40"/>
  <c r="FF40"/>
  <c r="FE40"/>
  <c r="FD40"/>
  <c r="FC40"/>
  <c r="FB40"/>
  <c r="FA40"/>
  <c r="EW40"/>
  <c r="EU40"/>
  <c r="ET40"/>
  <c r="ES40"/>
  <c r="ER40"/>
  <c r="EQ40"/>
  <c r="EP40"/>
  <c r="EL40"/>
  <c r="EK40"/>
  <c r="EJ40"/>
  <c r="EI40"/>
  <c r="EH40"/>
  <c r="EG40"/>
  <c r="EF40"/>
  <c r="EB40"/>
  <c r="DZ40"/>
  <c r="DY40"/>
  <c r="DX40"/>
  <c r="DW40"/>
  <c r="DV40"/>
  <c r="DU40"/>
  <c r="DQ40"/>
  <c r="DP40"/>
  <c r="DO40"/>
  <c r="DN40"/>
  <c r="DM40"/>
  <c r="DL40"/>
  <c r="DK40"/>
  <c r="DG40"/>
  <c r="DE40"/>
  <c r="DD40"/>
  <c r="DC40"/>
  <c r="DB40"/>
  <c r="DA40"/>
  <c r="CZ40"/>
  <c r="CV40"/>
  <c r="CU40"/>
  <c r="CT40"/>
  <c r="CS40"/>
  <c r="CR40"/>
  <c r="CQ40"/>
  <c r="CP40"/>
  <c r="CL40"/>
  <c r="CJ40"/>
  <c r="CI40"/>
  <c r="CH40"/>
  <c r="CG40"/>
  <c r="CF40"/>
  <c r="CE40"/>
  <c r="CA40"/>
  <c r="BZ40"/>
  <c r="BY40"/>
  <c r="BX40"/>
  <c r="BW40"/>
  <c r="BV40"/>
  <c r="BU40"/>
  <c r="BR40"/>
  <c r="DH40" s="1"/>
  <c r="BP40"/>
  <c r="FQ40" s="1"/>
  <c r="BI40"/>
  <c r="FJ40" s="1"/>
  <c r="BH40"/>
  <c r="FI40" s="1"/>
  <c r="BG40"/>
  <c r="DR40" s="1"/>
  <c r="Q40"/>
  <c r="FR39"/>
  <c r="FP39"/>
  <c r="FO39"/>
  <c r="FN39"/>
  <c r="FM39"/>
  <c r="FL39"/>
  <c r="FK39"/>
  <c r="FJ39"/>
  <c r="FI39"/>
  <c r="FH39"/>
  <c r="FG39"/>
  <c r="FF39"/>
  <c r="FD39"/>
  <c r="FC39"/>
  <c r="FB39"/>
  <c r="FA39"/>
  <c r="EW39"/>
  <c r="EU39"/>
  <c r="ET39"/>
  <c r="ES39"/>
  <c r="ER39"/>
  <c r="EQ39"/>
  <c r="EP39"/>
  <c r="EO39"/>
  <c r="EN39"/>
  <c r="EM39"/>
  <c r="EL39"/>
  <c r="EK39"/>
  <c r="EI39"/>
  <c r="EH39"/>
  <c r="EG39"/>
  <c r="EF39"/>
  <c r="EB39"/>
  <c r="DZ39"/>
  <c r="DY39"/>
  <c r="DX39"/>
  <c r="DW39"/>
  <c r="DV39"/>
  <c r="DU39"/>
  <c r="DT39"/>
  <c r="DS39"/>
  <c r="DR39"/>
  <c r="DQ39"/>
  <c r="DP39"/>
  <c r="DN39"/>
  <c r="DM39"/>
  <c r="DL39"/>
  <c r="DK39"/>
  <c r="DG39"/>
  <c r="DE39"/>
  <c r="DD39"/>
  <c r="DC39"/>
  <c r="DB39"/>
  <c r="DA39"/>
  <c r="CZ39"/>
  <c r="CY39"/>
  <c r="CX39"/>
  <c r="CW39"/>
  <c r="CV39"/>
  <c r="CU39"/>
  <c r="CS39"/>
  <c r="CR39"/>
  <c r="CQ39"/>
  <c r="CP39"/>
  <c r="CL39"/>
  <c r="CJ39"/>
  <c r="CI39"/>
  <c r="CH39"/>
  <c r="CG39"/>
  <c r="CF39"/>
  <c r="CE39"/>
  <c r="CD39"/>
  <c r="CC39"/>
  <c r="CB39"/>
  <c r="CA39"/>
  <c r="BZ39"/>
  <c r="BX39"/>
  <c r="BW39"/>
  <c r="BV39"/>
  <c r="BU39"/>
  <c r="BR39"/>
  <c r="EX39" s="1"/>
  <c r="BP39"/>
  <c r="EA39" s="1"/>
  <c r="BD39"/>
  <c r="EJ39" s="1"/>
  <c r="Q39"/>
  <c r="FR38"/>
  <c r="FP38"/>
  <c r="FO38"/>
  <c r="FN38"/>
  <c r="FM38"/>
  <c r="FL38"/>
  <c r="FK38"/>
  <c r="FJ38"/>
  <c r="FI38"/>
  <c r="FH38"/>
  <c r="FG38"/>
  <c r="FF38"/>
  <c r="FD38"/>
  <c r="FC38"/>
  <c r="EW38"/>
  <c r="EU38"/>
  <c r="ET38"/>
  <c r="ES38"/>
  <c r="ER38"/>
  <c r="EQ38"/>
  <c r="EP38"/>
  <c r="EO38"/>
  <c r="EN38"/>
  <c r="EM38"/>
  <c r="EL38"/>
  <c r="EK38"/>
  <c r="EI38"/>
  <c r="EH38"/>
  <c r="EB38"/>
  <c r="DZ38"/>
  <c r="DY38"/>
  <c r="DX38"/>
  <c r="DW38"/>
  <c r="DV38"/>
  <c r="DU38"/>
  <c r="DT38"/>
  <c r="DS38"/>
  <c r="DR38"/>
  <c r="DQ38"/>
  <c r="DP38"/>
  <c r="DN38"/>
  <c r="DM38"/>
  <c r="DG38"/>
  <c r="DE38"/>
  <c r="DD38"/>
  <c r="DC38"/>
  <c r="DB38"/>
  <c r="DA38"/>
  <c r="CZ38"/>
  <c r="CY38"/>
  <c r="CX38"/>
  <c r="CW38"/>
  <c r="CV38"/>
  <c r="CU38"/>
  <c r="CS38"/>
  <c r="CR38"/>
  <c r="CL38"/>
  <c r="CJ38"/>
  <c r="CI38"/>
  <c r="CH38"/>
  <c r="CG38"/>
  <c r="CF38"/>
  <c r="CE38"/>
  <c r="CD38"/>
  <c r="CC38"/>
  <c r="CB38"/>
  <c r="CA38"/>
  <c r="BZ38"/>
  <c r="BX38"/>
  <c r="BW38"/>
  <c r="BR38"/>
  <c r="DH38" s="1"/>
  <c r="BP38"/>
  <c r="FQ38" s="1"/>
  <c r="AI38"/>
  <c r="BD38" s="1"/>
  <c r="CT38" s="1"/>
  <c r="AF38"/>
  <c r="BA38" s="1"/>
  <c r="DL38" s="1"/>
  <c r="AE38"/>
  <c r="AZ38" s="1"/>
  <c r="CP38" s="1"/>
  <c r="Q38"/>
  <c r="FR37"/>
  <c r="FP37"/>
  <c r="FO37"/>
  <c r="FN37"/>
  <c r="FM37"/>
  <c r="FL37"/>
  <c r="FK37"/>
  <c r="FJ37"/>
  <c r="FI37"/>
  <c r="FH37"/>
  <c r="FG37"/>
  <c r="FF37"/>
  <c r="FE37"/>
  <c r="FD37"/>
  <c r="FC37"/>
  <c r="EW37"/>
  <c r="EU37"/>
  <c r="ET37"/>
  <c r="ES37"/>
  <c r="ER37"/>
  <c r="EQ37"/>
  <c r="EP37"/>
  <c r="EO37"/>
  <c r="EN37"/>
  <c r="EM37"/>
  <c r="EL37"/>
  <c r="EK37"/>
  <c r="EJ37"/>
  <c r="EI37"/>
  <c r="EH37"/>
  <c r="EB37"/>
  <c r="DZ37"/>
  <c r="DY37"/>
  <c r="DX37"/>
  <c r="DW37"/>
  <c r="DV37"/>
  <c r="DU37"/>
  <c r="DT37"/>
  <c r="DS37"/>
  <c r="DR37"/>
  <c r="DQ37"/>
  <c r="DP37"/>
  <c r="DO37"/>
  <c r="DN37"/>
  <c r="DM37"/>
  <c r="DG37"/>
  <c r="DE37"/>
  <c r="DD37"/>
  <c r="DC37"/>
  <c r="DB37"/>
  <c r="DA37"/>
  <c r="CZ37"/>
  <c r="CY37"/>
  <c r="CX37"/>
  <c r="CW37"/>
  <c r="CV37"/>
  <c r="CU37"/>
  <c r="CT37"/>
  <c r="CS37"/>
  <c r="CR37"/>
  <c r="CL37"/>
  <c r="CJ37"/>
  <c r="CI37"/>
  <c r="CH37"/>
  <c r="CG37"/>
  <c r="CF37"/>
  <c r="CE37"/>
  <c r="CD37"/>
  <c r="CC37"/>
  <c r="CB37"/>
  <c r="CA37"/>
  <c r="BZ37"/>
  <c r="BY37"/>
  <c r="BX37"/>
  <c r="BW37"/>
  <c r="BR37"/>
  <c r="BP37"/>
  <c r="FQ37" s="1"/>
  <c r="BA37"/>
  <c r="FB37" s="1"/>
  <c r="AZ37"/>
  <c r="FA37" s="1"/>
  <c r="Q37"/>
  <c r="FR36"/>
  <c r="FQ36"/>
  <c r="FP36"/>
  <c r="FO36"/>
  <c r="FN36"/>
  <c r="FK36"/>
  <c r="FJ36"/>
  <c r="FI36"/>
  <c r="FH36"/>
  <c r="FG36"/>
  <c r="FF36"/>
  <c r="FE36"/>
  <c r="FD36"/>
  <c r="FC36"/>
  <c r="FB36"/>
  <c r="FA36"/>
  <c r="EW36"/>
  <c r="EV36"/>
  <c r="EU36"/>
  <c r="ET36"/>
  <c r="ES36"/>
  <c r="EP36"/>
  <c r="EO36"/>
  <c r="EN36"/>
  <c r="EM36"/>
  <c r="EL36"/>
  <c r="EK36"/>
  <c r="EJ36"/>
  <c r="EI36"/>
  <c r="EH36"/>
  <c r="EG36"/>
  <c r="EF36"/>
  <c r="EB36"/>
  <c r="EA36"/>
  <c r="DZ36"/>
  <c r="DY36"/>
  <c r="DX36"/>
  <c r="DU36"/>
  <c r="DT36"/>
  <c r="DS36"/>
  <c r="DR36"/>
  <c r="DQ36"/>
  <c r="DP36"/>
  <c r="DO36"/>
  <c r="DN36"/>
  <c r="DM36"/>
  <c r="DL36"/>
  <c r="DK36"/>
  <c r="DG36"/>
  <c r="DF36"/>
  <c r="DE36"/>
  <c r="DD36"/>
  <c r="DC36"/>
  <c r="CZ36"/>
  <c r="CY36"/>
  <c r="CX36"/>
  <c r="CW36"/>
  <c r="CV36"/>
  <c r="CU36"/>
  <c r="CT36"/>
  <c r="CS36"/>
  <c r="CR36"/>
  <c r="CQ36"/>
  <c r="CP36"/>
  <c r="CL36"/>
  <c r="CK36"/>
  <c r="CJ36"/>
  <c r="CI36"/>
  <c r="CH36"/>
  <c r="CE36"/>
  <c r="CD36"/>
  <c r="CC36"/>
  <c r="CB36"/>
  <c r="CA36"/>
  <c r="BZ36"/>
  <c r="BY36"/>
  <c r="BX36"/>
  <c r="BW36"/>
  <c r="BV36"/>
  <c r="BU36"/>
  <c r="BR36"/>
  <c r="EX36" s="1"/>
  <c r="BL36"/>
  <c r="FM36" s="1"/>
  <c r="BK36"/>
  <c r="FL36" s="1"/>
  <c r="FR35"/>
  <c r="FQ35"/>
  <c r="FP35"/>
  <c r="FO35"/>
  <c r="FN35"/>
  <c r="FL35"/>
  <c r="FK35"/>
  <c r="FJ35"/>
  <c r="FI35"/>
  <c r="FH35"/>
  <c r="FG35"/>
  <c r="FF35"/>
  <c r="FE35"/>
  <c r="FD35"/>
  <c r="FC35"/>
  <c r="FB35"/>
  <c r="FA35"/>
  <c r="EW35"/>
  <c r="EV35"/>
  <c r="EU35"/>
  <c r="ET35"/>
  <c r="ES35"/>
  <c r="EQ35"/>
  <c r="EP35"/>
  <c r="EO35"/>
  <c r="EN35"/>
  <c r="EM35"/>
  <c r="EL35"/>
  <c r="EK35"/>
  <c r="EJ35"/>
  <c r="EI35"/>
  <c r="EH35"/>
  <c r="EG35"/>
  <c r="EF35"/>
  <c r="EB35"/>
  <c r="EA35"/>
  <c r="DZ35"/>
  <c r="DY35"/>
  <c r="DX35"/>
  <c r="DV35"/>
  <c r="DU35"/>
  <c r="DT35"/>
  <c r="DS35"/>
  <c r="DR35"/>
  <c r="DQ35"/>
  <c r="DP35"/>
  <c r="DO35"/>
  <c r="DN35"/>
  <c r="DM35"/>
  <c r="DL35"/>
  <c r="DK35"/>
  <c r="DG35"/>
  <c r="DF35"/>
  <c r="DE35"/>
  <c r="DD35"/>
  <c r="DC35"/>
  <c r="DA35"/>
  <c r="CZ35"/>
  <c r="CY35"/>
  <c r="CX35"/>
  <c r="CW35"/>
  <c r="CV35"/>
  <c r="CU35"/>
  <c r="CT35"/>
  <c r="CS35"/>
  <c r="CR35"/>
  <c r="CQ35"/>
  <c r="CP35"/>
  <c r="CL35"/>
  <c r="CK35"/>
  <c r="CJ35"/>
  <c r="CI35"/>
  <c r="CH35"/>
  <c r="CF35"/>
  <c r="CE35"/>
  <c r="CD35"/>
  <c r="CC35"/>
  <c r="CB35"/>
  <c r="CA35"/>
  <c r="BZ35"/>
  <c r="BY35"/>
  <c r="BX35"/>
  <c r="BW35"/>
  <c r="BV35"/>
  <c r="BU35"/>
  <c r="BR35"/>
  <c r="BL35"/>
  <c r="FM35" s="1"/>
  <c r="FR34"/>
  <c r="FQ34"/>
  <c r="FP34"/>
  <c r="FO34"/>
  <c r="FN34"/>
  <c r="FM34"/>
  <c r="FK34"/>
  <c r="FJ34"/>
  <c r="FI34"/>
  <c r="FH34"/>
  <c r="FG34"/>
  <c r="FF34"/>
  <c r="FE34"/>
  <c r="FD34"/>
  <c r="FC34"/>
  <c r="FB34"/>
  <c r="FA34"/>
  <c r="EW34"/>
  <c r="EV34"/>
  <c r="EU34"/>
  <c r="ET34"/>
  <c r="ES34"/>
  <c r="ER34"/>
  <c r="EP34"/>
  <c r="EO34"/>
  <c r="EN34"/>
  <c r="EM34"/>
  <c r="EL34"/>
  <c r="EK34"/>
  <c r="EJ34"/>
  <c r="EI34"/>
  <c r="EH34"/>
  <c r="EG34"/>
  <c r="EF34"/>
  <c r="EB34"/>
  <c r="EA34"/>
  <c r="DZ34"/>
  <c r="DY34"/>
  <c r="DX34"/>
  <c r="DW34"/>
  <c r="DU34"/>
  <c r="DT34"/>
  <c r="DS34"/>
  <c r="DR34"/>
  <c r="DQ34"/>
  <c r="DP34"/>
  <c r="DO34"/>
  <c r="DN34"/>
  <c r="DM34"/>
  <c r="DL34"/>
  <c r="DK34"/>
  <c r="DG34"/>
  <c r="DF34"/>
  <c r="DE34"/>
  <c r="DD34"/>
  <c r="DC34"/>
  <c r="DB34"/>
  <c r="CZ34"/>
  <c r="CY34"/>
  <c r="CX34"/>
  <c r="CW34"/>
  <c r="CV34"/>
  <c r="CU34"/>
  <c r="CT34"/>
  <c r="CS34"/>
  <c r="CR34"/>
  <c r="CQ34"/>
  <c r="CP34"/>
  <c r="CL34"/>
  <c r="CK34"/>
  <c r="CJ34"/>
  <c r="CI34"/>
  <c r="CH34"/>
  <c r="CG34"/>
  <c r="CE34"/>
  <c r="CD34"/>
  <c r="CC34"/>
  <c r="CB34"/>
  <c r="CA34"/>
  <c r="BZ34"/>
  <c r="BY34"/>
  <c r="BX34"/>
  <c r="BW34"/>
  <c r="BV34"/>
  <c r="BU34"/>
  <c r="BR34"/>
  <c r="EX34" s="1"/>
  <c r="BK34"/>
  <c r="EQ34" s="1"/>
  <c r="FR33"/>
  <c r="FP33"/>
  <c r="FO33"/>
  <c r="FN33"/>
  <c r="FM33"/>
  <c r="FL33"/>
  <c r="FK33"/>
  <c r="FJ33"/>
  <c r="FI33"/>
  <c r="FH33"/>
  <c r="FG33"/>
  <c r="FF33"/>
  <c r="FE33"/>
  <c r="FD33"/>
  <c r="FC33"/>
  <c r="FB33"/>
  <c r="FA33"/>
  <c r="EW33"/>
  <c r="EU33"/>
  <c r="ET33"/>
  <c r="ES33"/>
  <c r="ER33"/>
  <c r="EQ33"/>
  <c r="EP33"/>
  <c r="EO33"/>
  <c r="EN33"/>
  <c r="EM33"/>
  <c r="EL33"/>
  <c r="EK33"/>
  <c r="EJ33"/>
  <c r="EI33"/>
  <c r="EH33"/>
  <c r="EG33"/>
  <c r="EF33"/>
  <c r="EB33"/>
  <c r="DZ33"/>
  <c r="DY33"/>
  <c r="DX33"/>
  <c r="DW33"/>
  <c r="DV33"/>
  <c r="DU33"/>
  <c r="DT33"/>
  <c r="DS33"/>
  <c r="DR33"/>
  <c r="DQ33"/>
  <c r="DP33"/>
  <c r="DO33"/>
  <c r="DN33"/>
  <c r="DM33"/>
  <c r="DL33"/>
  <c r="DK33"/>
  <c r="DG33"/>
  <c r="DE33"/>
  <c r="DD33"/>
  <c r="DC33"/>
  <c r="DB33"/>
  <c r="DA33"/>
  <c r="CZ33"/>
  <c r="CY33"/>
  <c r="CX33"/>
  <c r="CW33"/>
  <c r="CV33"/>
  <c r="CU33"/>
  <c r="CT33"/>
  <c r="CS33"/>
  <c r="CR33"/>
  <c r="CQ33"/>
  <c r="CP33"/>
  <c r="CL33"/>
  <c r="CJ33"/>
  <c r="CI33"/>
  <c r="CH33"/>
  <c r="CG33"/>
  <c r="CF33"/>
  <c r="CE33"/>
  <c r="CD33"/>
  <c r="CC33"/>
  <c r="CB33"/>
  <c r="CA33"/>
  <c r="BZ33"/>
  <c r="BY33"/>
  <c r="BX33"/>
  <c r="BW33"/>
  <c r="BV33"/>
  <c r="BU33"/>
  <c r="BR33"/>
  <c r="BP33"/>
  <c r="FQ33" s="1"/>
  <c r="FR32"/>
  <c r="FP32"/>
  <c r="FO32"/>
  <c r="FN32"/>
  <c r="FM32"/>
  <c r="FL32"/>
  <c r="FK32"/>
  <c r="FJ32"/>
  <c r="FI32"/>
  <c r="FH32"/>
  <c r="FG32"/>
  <c r="FF32"/>
  <c r="FE32"/>
  <c r="FD32"/>
  <c r="FC32"/>
  <c r="FB32"/>
  <c r="FA32"/>
  <c r="EW32"/>
  <c r="EU32"/>
  <c r="ET32"/>
  <c r="ES32"/>
  <c r="ER32"/>
  <c r="EQ32"/>
  <c r="EP32"/>
  <c r="EO32"/>
  <c r="EN32"/>
  <c r="EM32"/>
  <c r="EL32"/>
  <c r="EK32"/>
  <c r="EJ32"/>
  <c r="EI32"/>
  <c r="EH32"/>
  <c r="EG32"/>
  <c r="EF32"/>
  <c r="EB32"/>
  <c r="DZ32"/>
  <c r="DY32"/>
  <c r="DX32"/>
  <c r="DW32"/>
  <c r="DV32"/>
  <c r="DU32"/>
  <c r="DT32"/>
  <c r="DS32"/>
  <c r="DR32"/>
  <c r="DQ32"/>
  <c r="DP32"/>
  <c r="DO32"/>
  <c r="DN32"/>
  <c r="DM32"/>
  <c r="DL32"/>
  <c r="DK32"/>
  <c r="DG32"/>
  <c r="DE32"/>
  <c r="DD32"/>
  <c r="DC32"/>
  <c r="DB32"/>
  <c r="DA32"/>
  <c r="CZ32"/>
  <c r="CY32"/>
  <c r="CX32"/>
  <c r="CW32"/>
  <c r="CV32"/>
  <c r="CU32"/>
  <c r="CT32"/>
  <c r="CS32"/>
  <c r="CR32"/>
  <c r="CQ32"/>
  <c r="CP32"/>
  <c r="CL32"/>
  <c r="CJ32"/>
  <c r="CI32"/>
  <c r="CH32"/>
  <c r="CG32"/>
  <c r="CF32"/>
  <c r="CE32"/>
  <c r="CD32"/>
  <c r="CC32"/>
  <c r="CB32"/>
  <c r="CA32"/>
  <c r="BZ32"/>
  <c r="BY32"/>
  <c r="BX32"/>
  <c r="BW32"/>
  <c r="BV32"/>
  <c r="BU32"/>
  <c r="BR32"/>
  <c r="EX32" s="1"/>
  <c r="BP32"/>
  <c r="Q32"/>
  <c r="FR31"/>
  <c r="FQ31"/>
  <c r="FP31"/>
  <c r="FO31"/>
  <c r="FN31"/>
  <c r="FM31"/>
  <c r="FL31"/>
  <c r="FK31"/>
  <c r="FJ31"/>
  <c r="FI31"/>
  <c r="FH31"/>
  <c r="FG31"/>
  <c r="FF31"/>
  <c r="FE31"/>
  <c r="FD31"/>
  <c r="FB31"/>
  <c r="FA31"/>
  <c r="EW31"/>
  <c r="EV31"/>
  <c r="EU31"/>
  <c r="ET31"/>
  <c r="ES31"/>
  <c r="ER31"/>
  <c r="EQ31"/>
  <c r="EP31"/>
  <c r="EO31"/>
  <c r="EN31"/>
  <c r="EM31"/>
  <c r="EL31"/>
  <c r="EK31"/>
  <c r="EJ31"/>
  <c r="EI31"/>
  <c r="EG31"/>
  <c r="EF31"/>
  <c r="EB31"/>
  <c r="EA31"/>
  <c r="DZ31"/>
  <c r="DY31"/>
  <c r="DX31"/>
  <c r="DW31"/>
  <c r="DV31"/>
  <c r="DU31"/>
  <c r="DT31"/>
  <c r="DS31"/>
  <c r="DR31"/>
  <c r="DQ31"/>
  <c r="DP31"/>
  <c r="DO31"/>
  <c r="DN31"/>
  <c r="DL31"/>
  <c r="DK31"/>
  <c r="DG31"/>
  <c r="DF31"/>
  <c r="DE31"/>
  <c r="DD31"/>
  <c r="DC31"/>
  <c r="DB31"/>
  <c r="DA31"/>
  <c r="CZ31"/>
  <c r="CY31"/>
  <c r="CX31"/>
  <c r="CW31"/>
  <c r="CV31"/>
  <c r="CU31"/>
  <c r="CT31"/>
  <c r="CS31"/>
  <c r="CQ31"/>
  <c r="CP31"/>
  <c r="CL31"/>
  <c r="CK31"/>
  <c r="CJ31"/>
  <c r="CI31"/>
  <c r="CH31"/>
  <c r="CG31"/>
  <c r="CF31"/>
  <c r="CE31"/>
  <c r="CD31"/>
  <c r="CC31"/>
  <c r="CB31"/>
  <c r="CA31"/>
  <c r="BZ31"/>
  <c r="BY31"/>
  <c r="BX31"/>
  <c r="BV31"/>
  <c r="BU31"/>
  <c r="BR31"/>
  <c r="BB31"/>
  <c r="FC31" s="1"/>
  <c r="FR30"/>
  <c r="FQ30"/>
  <c r="FP30"/>
  <c r="FO30"/>
  <c r="FN30"/>
  <c r="FM30"/>
  <c r="FL30"/>
  <c r="FK30"/>
  <c r="FJ30"/>
  <c r="FI30"/>
  <c r="FH30"/>
  <c r="FG30"/>
  <c r="FF30"/>
  <c r="FE30"/>
  <c r="FD30"/>
  <c r="FC30"/>
  <c r="FB30"/>
  <c r="FA30"/>
  <c r="EW30"/>
  <c r="EV30"/>
  <c r="EU30"/>
  <c r="ET30"/>
  <c r="ES30"/>
  <c r="ER30"/>
  <c r="EQ30"/>
  <c r="EP30"/>
  <c r="EO30"/>
  <c r="EN30"/>
  <c r="EM30"/>
  <c r="EL30"/>
  <c r="EK30"/>
  <c r="EJ30"/>
  <c r="EI30"/>
  <c r="EH30"/>
  <c r="EG30"/>
  <c r="EF30"/>
  <c r="EB30"/>
  <c r="EA30"/>
  <c r="DZ30"/>
  <c r="DY30"/>
  <c r="DX30"/>
  <c r="DW30"/>
  <c r="DV30"/>
  <c r="DU30"/>
  <c r="DT30"/>
  <c r="DS30"/>
  <c r="DR30"/>
  <c r="DQ30"/>
  <c r="DP30"/>
  <c r="DO30"/>
  <c r="DN30"/>
  <c r="DM30"/>
  <c r="DL30"/>
  <c r="DK30"/>
  <c r="DG30"/>
  <c r="DF30"/>
  <c r="DE30"/>
  <c r="DD30"/>
  <c r="DC30"/>
  <c r="DB30"/>
  <c r="DA30"/>
  <c r="CZ30"/>
  <c r="CY30"/>
  <c r="CX30"/>
  <c r="CW30"/>
  <c r="CV30"/>
  <c r="CU30"/>
  <c r="CT30"/>
  <c r="CS30"/>
  <c r="CR30"/>
  <c r="CQ30"/>
  <c r="CP30"/>
  <c r="CL30"/>
  <c r="CK30"/>
  <c r="CJ30"/>
  <c r="CI30"/>
  <c r="CH30"/>
  <c r="CG30"/>
  <c r="CF30"/>
  <c r="CE30"/>
  <c r="CD30"/>
  <c r="CC30"/>
  <c r="CB30"/>
  <c r="CA30"/>
  <c r="BZ30"/>
  <c r="BY30"/>
  <c r="BX30"/>
  <c r="BW30"/>
  <c r="BV30"/>
  <c r="BU30"/>
  <c r="BR30"/>
  <c r="EX30" s="1"/>
  <c r="BQ30"/>
  <c r="Q30"/>
  <c r="FR29"/>
  <c r="FQ29"/>
  <c r="FP29"/>
  <c r="FO29"/>
  <c r="FN29"/>
  <c r="FM29"/>
  <c r="FL29"/>
  <c r="FK29"/>
  <c r="FJ29"/>
  <c r="FI29"/>
  <c r="FH29"/>
  <c r="FG29"/>
  <c r="FF29"/>
  <c r="FE29"/>
  <c r="FD29"/>
  <c r="FC29"/>
  <c r="FB29"/>
  <c r="FA29"/>
  <c r="EW29"/>
  <c r="EV29"/>
  <c r="EU29"/>
  <c r="ET29"/>
  <c r="ES29"/>
  <c r="ER29"/>
  <c r="EQ29"/>
  <c r="EP29"/>
  <c r="EO29"/>
  <c r="EN29"/>
  <c r="EM29"/>
  <c r="EL29"/>
  <c r="EK29"/>
  <c r="EJ29"/>
  <c r="EI29"/>
  <c r="EH29"/>
  <c r="EG29"/>
  <c r="EF29"/>
  <c r="EB29"/>
  <c r="EA29"/>
  <c r="DZ29"/>
  <c r="DY29"/>
  <c r="DX29"/>
  <c r="DW29"/>
  <c r="DV29"/>
  <c r="DU29"/>
  <c r="DT29"/>
  <c r="DS29"/>
  <c r="DR29"/>
  <c r="DQ29"/>
  <c r="DP29"/>
  <c r="DO29"/>
  <c r="DN29"/>
  <c r="DM29"/>
  <c r="DL29"/>
  <c r="DK29"/>
  <c r="DG29"/>
  <c r="DF29"/>
  <c r="DE29"/>
  <c r="DD29"/>
  <c r="DC29"/>
  <c r="DB29"/>
  <c r="DA29"/>
  <c r="CZ29"/>
  <c r="CY29"/>
  <c r="CX29"/>
  <c r="CW29"/>
  <c r="CV29"/>
  <c r="CU29"/>
  <c r="CT29"/>
  <c r="CS29"/>
  <c r="CR29"/>
  <c r="CQ29"/>
  <c r="CP29"/>
  <c r="CL29"/>
  <c r="CK29"/>
  <c r="CJ29"/>
  <c r="CI29"/>
  <c r="CH29"/>
  <c r="CG29"/>
  <c r="CF29"/>
  <c r="CE29"/>
  <c r="CD29"/>
  <c r="CC29"/>
  <c r="CB29"/>
  <c r="CA29"/>
  <c r="BZ29"/>
  <c r="BY29"/>
  <c r="BX29"/>
  <c r="BW29"/>
  <c r="BV29"/>
  <c r="BU29"/>
  <c r="BR29"/>
  <c r="EX29" s="1"/>
  <c r="BQ29"/>
  <c r="Q29"/>
  <c r="FR28"/>
  <c r="FQ28"/>
  <c r="FP28"/>
  <c r="FO28"/>
  <c r="FN28"/>
  <c r="FM28"/>
  <c r="FL28"/>
  <c r="FJ28"/>
  <c r="FI28"/>
  <c r="FH28"/>
  <c r="FG28"/>
  <c r="FF28"/>
  <c r="FE28"/>
  <c r="FD28"/>
  <c r="FC28"/>
  <c r="FB28"/>
  <c r="FA28"/>
  <c r="EW28"/>
  <c r="EV28"/>
  <c r="EU28"/>
  <c r="ET28"/>
  <c r="ES28"/>
  <c r="ER28"/>
  <c r="EQ28"/>
  <c r="EO28"/>
  <c r="EN28"/>
  <c r="EM28"/>
  <c r="EL28"/>
  <c r="EK28"/>
  <c r="EJ28"/>
  <c r="EI28"/>
  <c r="EH28"/>
  <c r="EG28"/>
  <c r="EF28"/>
  <c r="EB28"/>
  <c r="EA28"/>
  <c r="DZ28"/>
  <c r="DY28"/>
  <c r="DX28"/>
  <c r="DW28"/>
  <c r="DV28"/>
  <c r="DT28"/>
  <c r="DS28"/>
  <c r="DR28"/>
  <c r="DQ28"/>
  <c r="DP28"/>
  <c r="DO28"/>
  <c r="DN28"/>
  <c r="DM28"/>
  <c r="DL28"/>
  <c r="DK28"/>
  <c r="DG28"/>
  <c r="DF28"/>
  <c r="DE28"/>
  <c r="DD28"/>
  <c r="DC28"/>
  <c r="DB28"/>
  <c r="DA28"/>
  <c r="CY28"/>
  <c r="CX28"/>
  <c r="CW28"/>
  <c r="CV28"/>
  <c r="CU28"/>
  <c r="CT28"/>
  <c r="CS28"/>
  <c r="CR28"/>
  <c r="CQ28"/>
  <c r="CP28"/>
  <c r="CL28"/>
  <c r="CK28"/>
  <c r="CJ28"/>
  <c r="CI28"/>
  <c r="CH28"/>
  <c r="CG28"/>
  <c r="CF28"/>
  <c r="CD28"/>
  <c r="CC28"/>
  <c r="CB28"/>
  <c r="CA28"/>
  <c r="BZ28"/>
  <c r="BY28"/>
  <c r="BX28"/>
  <c r="BW28"/>
  <c r="BV28"/>
  <c r="BU28"/>
  <c r="BR28"/>
  <c r="EX28" s="1"/>
  <c r="BJ28"/>
  <c r="FR25"/>
  <c r="FP25"/>
  <c r="FO25"/>
  <c r="FN25"/>
  <c r="FJ25"/>
  <c r="FI25"/>
  <c r="FH25"/>
  <c r="FG25"/>
  <c r="FF25"/>
  <c r="FE25"/>
  <c r="FD25"/>
  <c r="FC25"/>
  <c r="FB25"/>
  <c r="FA25"/>
  <c r="EW25"/>
  <c r="EU25"/>
  <c r="ET25"/>
  <c r="ES25"/>
  <c r="EO25"/>
  <c r="EN25"/>
  <c r="EM25"/>
  <c r="EL25"/>
  <c r="EK25"/>
  <c r="EJ25"/>
  <c r="EI25"/>
  <c r="EH25"/>
  <c r="EG25"/>
  <c r="EF25"/>
  <c r="EB25"/>
  <c r="DZ25"/>
  <c r="DY25"/>
  <c r="DX25"/>
  <c r="DT25"/>
  <c r="DS25"/>
  <c r="DR25"/>
  <c r="DQ25"/>
  <c r="DP25"/>
  <c r="DO25"/>
  <c r="DN25"/>
  <c r="DM25"/>
  <c r="DL25"/>
  <c r="DK25"/>
  <c r="DG25"/>
  <c r="DE25"/>
  <c r="DD25"/>
  <c r="DC25"/>
  <c r="CY25"/>
  <c r="CX25"/>
  <c r="CW25"/>
  <c r="CV25"/>
  <c r="CU25"/>
  <c r="CT25"/>
  <c r="CS25"/>
  <c r="CR25"/>
  <c r="CQ25"/>
  <c r="CP25"/>
  <c r="CL25"/>
  <c r="CJ25"/>
  <c r="CI25"/>
  <c r="CH25"/>
  <c r="CD25"/>
  <c r="CC25"/>
  <c r="CB25"/>
  <c r="CA25"/>
  <c r="BZ25"/>
  <c r="BY25"/>
  <c r="BX25"/>
  <c r="BW25"/>
  <c r="BV25"/>
  <c r="BU25"/>
  <c r="BR25"/>
  <c r="DH25" s="1"/>
  <c r="BP25"/>
  <c r="FQ25" s="1"/>
  <c r="BL25"/>
  <c r="DB25" s="1"/>
  <c r="BK25"/>
  <c r="EQ25" s="1"/>
  <c r="BJ25"/>
  <c r="EP25" s="1"/>
  <c r="Q25"/>
  <c r="FR24"/>
  <c r="FP24"/>
  <c r="FO24"/>
  <c r="FN24"/>
  <c r="FM24"/>
  <c r="FL24"/>
  <c r="FK24"/>
  <c r="FG24"/>
  <c r="FF24"/>
  <c r="FE24"/>
  <c r="FD24"/>
  <c r="FC24"/>
  <c r="FB24"/>
  <c r="FA24"/>
  <c r="EW24"/>
  <c r="EU24"/>
  <c r="ET24"/>
  <c r="ES24"/>
  <c r="ER24"/>
  <c r="EQ24"/>
  <c r="EP24"/>
  <c r="EL24"/>
  <c r="EK24"/>
  <c r="EJ24"/>
  <c r="EI24"/>
  <c r="EH24"/>
  <c r="EG24"/>
  <c r="EF24"/>
  <c r="EB24"/>
  <c r="DZ24"/>
  <c r="DY24"/>
  <c r="DX24"/>
  <c r="DW24"/>
  <c r="DV24"/>
  <c r="DU24"/>
  <c r="DQ24"/>
  <c r="DP24"/>
  <c r="DO24"/>
  <c r="DN24"/>
  <c r="DM24"/>
  <c r="DL24"/>
  <c r="DK24"/>
  <c r="DG24"/>
  <c r="DE24"/>
  <c r="DD24"/>
  <c r="DC24"/>
  <c r="DB24"/>
  <c r="DA24"/>
  <c r="CZ24"/>
  <c r="CV24"/>
  <c r="CU24"/>
  <c r="CT24"/>
  <c r="CS24"/>
  <c r="CR24"/>
  <c r="CQ24"/>
  <c r="CP24"/>
  <c r="CL24"/>
  <c r="CJ24"/>
  <c r="CI24"/>
  <c r="CH24"/>
  <c r="CG24"/>
  <c r="CF24"/>
  <c r="CE24"/>
  <c r="CA24"/>
  <c r="BZ24"/>
  <c r="BY24"/>
  <c r="BX24"/>
  <c r="BW24"/>
  <c r="BV24"/>
  <c r="BU24"/>
  <c r="BR24"/>
  <c r="EX24" s="1"/>
  <c r="BP24"/>
  <c r="EA24" s="1"/>
  <c r="BI24"/>
  <c r="FJ24" s="1"/>
  <c r="BH24"/>
  <c r="FI24" s="1"/>
  <c r="BG24"/>
  <c r="FH24" s="1"/>
  <c r="Q24"/>
  <c r="FR23"/>
  <c r="FP23"/>
  <c r="FO23"/>
  <c r="FN23"/>
  <c r="FM23"/>
  <c r="FL23"/>
  <c r="FK23"/>
  <c r="FJ23"/>
  <c r="FI23"/>
  <c r="FH23"/>
  <c r="FG23"/>
  <c r="FF23"/>
  <c r="FD23"/>
  <c r="FC23"/>
  <c r="FB23"/>
  <c r="FA23"/>
  <c r="EW23"/>
  <c r="EU23"/>
  <c r="ET23"/>
  <c r="ES23"/>
  <c r="ER23"/>
  <c r="EQ23"/>
  <c r="EP23"/>
  <c r="EO23"/>
  <c r="EN23"/>
  <c r="EM23"/>
  <c r="EL23"/>
  <c r="EK23"/>
  <c r="EI23"/>
  <c r="EH23"/>
  <c r="EG23"/>
  <c r="EF23"/>
  <c r="EB23"/>
  <c r="DZ23"/>
  <c r="DY23"/>
  <c r="DX23"/>
  <c r="DW23"/>
  <c r="DV23"/>
  <c r="DU23"/>
  <c r="DT23"/>
  <c r="DS23"/>
  <c r="DR23"/>
  <c r="DQ23"/>
  <c r="DP23"/>
  <c r="DN23"/>
  <c r="DM23"/>
  <c r="DL23"/>
  <c r="DK23"/>
  <c r="DG23"/>
  <c r="DE23"/>
  <c r="DD23"/>
  <c r="DC23"/>
  <c r="DB23"/>
  <c r="DA23"/>
  <c r="CZ23"/>
  <c r="CY23"/>
  <c r="CX23"/>
  <c r="CW23"/>
  <c r="CV23"/>
  <c r="CU23"/>
  <c r="CS23"/>
  <c r="CR23"/>
  <c r="CQ23"/>
  <c r="CP23"/>
  <c r="CL23"/>
  <c r="CJ23"/>
  <c r="CI23"/>
  <c r="CH23"/>
  <c r="CG23"/>
  <c r="CF23"/>
  <c r="CE23"/>
  <c r="CD23"/>
  <c r="CC23"/>
  <c r="CB23"/>
  <c r="CA23"/>
  <c r="BZ23"/>
  <c r="BX23"/>
  <c r="BW23"/>
  <c r="BV23"/>
  <c r="BU23"/>
  <c r="BR23"/>
  <c r="DH23" s="1"/>
  <c r="BP23"/>
  <c r="FQ23" s="1"/>
  <c r="BD23"/>
  <c r="CT23" s="1"/>
  <c r="Q23"/>
  <c r="FR22"/>
  <c r="FP22"/>
  <c r="FO22"/>
  <c r="FN22"/>
  <c r="FM22"/>
  <c r="FL22"/>
  <c r="FK22"/>
  <c r="FJ22"/>
  <c r="FI22"/>
  <c r="FH22"/>
  <c r="FG22"/>
  <c r="FF22"/>
  <c r="FE22"/>
  <c r="FD22"/>
  <c r="FC22"/>
  <c r="EW22"/>
  <c r="EU22"/>
  <c r="ET22"/>
  <c r="ES22"/>
  <c r="ER22"/>
  <c r="EQ22"/>
  <c r="EP22"/>
  <c r="EO22"/>
  <c r="EN22"/>
  <c r="EM22"/>
  <c r="EL22"/>
  <c r="EK22"/>
  <c r="EJ22"/>
  <c r="EI22"/>
  <c r="EH22"/>
  <c r="EB22"/>
  <c r="DZ22"/>
  <c r="DY22"/>
  <c r="DX22"/>
  <c r="DW22"/>
  <c r="DV22"/>
  <c r="DU22"/>
  <c r="DT22"/>
  <c r="DS22"/>
  <c r="DR22"/>
  <c r="DQ22"/>
  <c r="DP22"/>
  <c r="DO22"/>
  <c r="DN22"/>
  <c r="DM22"/>
  <c r="DG22"/>
  <c r="DE22"/>
  <c r="DD22"/>
  <c r="DC22"/>
  <c r="DB22"/>
  <c r="DA22"/>
  <c r="CZ22"/>
  <c r="CY22"/>
  <c r="CX22"/>
  <c r="CW22"/>
  <c r="CV22"/>
  <c r="CU22"/>
  <c r="CT22"/>
  <c r="CS22"/>
  <c r="CR22"/>
  <c r="CL22"/>
  <c r="CJ22"/>
  <c r="CI22"/>
  <c r="CH22"/>
  <c r="CG22"/>
  <c r="CF22"/>
  <c r="CE22"/>
  <c r="CD22"/>
  <c r="CC22"/>
  <c r="CB22"/>
  <c r="CA22"/>
  <c r="BZ22"/>
  <c r="BY22"/>
  <c r="BX22"/>
  <c r="BW22"/>
  <c r="BR22"/>
  <c r="EX22" s="1"/>
  <c r="BP22"/>
  <c r="FQ22" s="1"/>
  <c r="BA22"/>
  <c r="FB22" s="1"/>
  <c r="AZ22"/>
  <c r="FA22" s="1"/>
  <c r="Q22"/>
  <c r="FR21"/>
  <c r="FP21"/>
  <c r="FO21"/>
  <c r="FN21"/>
  <c r="FJ21"/>
  <c r="FI21"/>
  <c r="FH21"/>
  <c r="FG21"/>
  <c r="FF21"/>
  <c r="FE21"/>
  <c r="FD21"/>
  <c r="FC21"/>
  <c r="FB21"/>
  <c r="FA21"/>
  <c r="EW21"/>
  <c r="EU21"/>
  <c r="ET21"/>
  <c r="ES21"/>
  <c r="EO21"/>
  <c r="EN21"/>
  <c r="EM21"/>
  <c r="EL21"/>
  <c r="EK21"/>
  <c r="EJ21"/>
  <c r="EI21"/>
  <c r="EH21"/>
  <c r="EG21"/>
  <c r="EF21"/>
  <c r="EB21"/>
  <c r="DZ21"/>
  <c r="DY21"/>
  <c r="DX21"/>
  <c r="DT21"/>
  <c r="DS21"/>
  <c r="DR21"/>
  <c r="DQ21"/>
  <c r="DP21"/>
  <c r="DO21"/>
  <c r="DN21"/>
  <c r="DM21"/>
  <c r="DL21"/>
  <c r="DK21"/>
  <c r="DG21"/>
  <c r="DE21"/>
  <c r="DD21"/>
  <c r="DC21"/>
  <c r="CY21"/>
  <c r="CX21"/>
  <c r="CW21"/>
  <c r="CV21"/>
  <c r="CU21"/>
  <c r="CT21"/>
  <c r="CS21"/>
  <c r="CR21"/>
  <c r="CQ21"/>
  <c r="CP21"/>
  <c r="CL21"/>
  <c r="CJ21"/>
  <c r="CI21"/>
  <c r="CH21"/>
  <c r="CD21"/>
  <c r="CC21"/>
  <c r="CB21"/>
  <c r="CA21"/>
  <c r="BZ21"/>
  <c r="BY21"/>
  <c r="BX21"/>
  <c r="BW21"/>
  <c r="BV21"/>
  <c r="BU21"/>
  <c r="BR21"/>
  <c r="EX21" s="1"/>
  <c r="BP21"/>
  <c r="FQ21" s="1"/>
  <c r="BL21"/>
  <c r="ER21" s="1"/>
  <c r="BK21"/>
  <c r="EQ21" s="1"/>
  <c r="BJ21"/>
  <c r="EP21" s="1"/>
  <c r="Q21"/>
  <c r="FR20"/>
  <c r="FP20"/>
  <c r="FO20"/>
  <c r="FN20"/>
  <c r="FM20"/>
  <c r="FL20"/>
  <c r="FK20"/>
  <c r="FG20"/>
  <c r="FF20"/>
  <c r="FE20"/>
  <c r="FD20"/>
  <c r="FC20"/>
  <c r="FB20"/>
  <c r="FA20"/>
  <c r="EW20"/>
  <c r="EU20"/>
  <c r="ET20"/>
  <c r="ES20"/>
  <c r="ER20"/>
  <c r="EQ20"/>
  <c r="EP20"/>
  <c r="EL20"/>
  <c r="EK20"/>
  <c r="EJ20"/>
  <c r="EI20"/>
  <c r="EH20"/>
  <c r="EG20"/>
  <c r="EF20"/>
  <c r="EB20"/>
  <c r="DZ20"/>
  <c r="DY20"/>
  <c r="DX20"/>
  <c r="DW20"/>
  <c r="DV20"/>
  <c r="DU20"/>
  <c r="DQ20"/>
  <c r="DP20"/>
  <c r="DO20"/>
  <c r="DN20"/>
  <c r="DM20"/>
  <c r="DL20"/>
  <c r="DK20"/>
  <c r="DG20"/>
  <c r="DE20"/>
  <c r="DD20"/>
  <c r="DC20"/>
  <c r="DB20"/>
  <c r="DA20"/>
  <c r="CZ20"/>
  <c r="CV20"/>
  <c r="CU20"/>
  <c r="CT20"/>
  <c r="CS20"/>
  <c r="CR20"/>
  <c r="CQ20"/>
  <c r="CP20"/>
  <c r="CL20"/>
  <c r="CJ20"/>
  <c r="CI20"/>
  <c r="CH20"/>
  <c r="CG20"/>
  <c r="CF20"/>
  <c r="CE20"/>
  <c r="CA20"/>
  <c r="BZ20"/>
  <c r="BY20"/>
  <c r="BX20"/>
  <c r="BW20"/>
  <c r="BV20"/>
  <c r="BU20"/>
  <c r="BR20"/>
  <c r="EX20" s="1"/>
  <c r="BP20"/>
  <c r="FQ20" s="1"/>
  <c r="BI20"/>
  <c r="FJ20" s="1"/>
  <c r="BH20"/>
  <c r="FI20" s="1"/>
  <c r="BG20"/>
  <c r="FH20" s="1"/>
  <c r="Q20"/>
  <c r="FR19"/>
  <c r="FP19"/>
  <c r="FO19"/>
  <c r="FN19"/>
  <c r="FM19"/>
  <c r="FL19"/>
  <c r="FK19"/>
  <c r="FJ19"/>
  <c r="FI19"/>
  <c r="FH19"/>
  <c r="FG19"/>
  <c r="FF19"/>
  <c r="FD19"/>
  <c r="FC19"/>
  <c r="FB19"/>
  <c r="FA19"/>
  <c r="EW19"/>
  <c r="EU19"/>
  <c r="ET19"/>
  <c r="ES19"/>
  <c r="ER19"/>
  <c r="EQ19"/>
  <c r="EP19"/>
  <c r="EO19"/>
  <c r="EN19"/>
  <c r="EM19"/>
  <c r="EL19"/>
  <c r="EK19"/>
  <c r="EI19"/>
  <c r="EH19"/>
  <c r="EG19"/>
  <c r="EF19"/>
  <c r="EB19"/>
  <c r="DZ19"/>
  <c r="DY19"/>
  <c r="DX19"/>
  <c r="DW19"/>
  <c r="DV19"/>
  <c r="DU19"/>
  <c r="DT19"/>
  <c r="DS19"/>
  <c r="DR19"/>
  <c r="DQ19"/>
  <c r="DP19"/>
  <c r="DN19"/>
  <c r="DM19"/>
  <c r="DL19"/>
  <c r="DK19"/>
  <c r="DG19"/>
  <c r="DE19"/>
  <c r="DD19"/>
  <c r="DC19"/>
  <c r="DB19"/>
  <c r="DA19"/>
  <c r="CZ19"/>
  <c r="CY19"/>
  <c r="CX19"/>
  <c r="CW19"/>
  <c r="CV19"/>
  <c r="CU19"/>
  <c r="CS19"/>
  <c r="CR19"/>
  <c r="CQ19"/>
  <c r="CP19"/>
  <c r="CL19"/>
  <c r="CJ19"/>
  <c r="CI19"/>
  <c r="CH19"/>
  <c r="CG19"/>
  <c r="CF19"/>
  <c r="CE19"/>
  <c r="CD19"/>
  <c r="CC19"/>
  <c r="CB19"/>
  <c r="CA19"/>
  <c r="BZ19"/>
  <c r="BX19"/>
  <c r="BW19"/>
  <c r="BV19"/>
  <c r="BU19"/>
  <c r="BR19"/>
  <c r="EX19" s="1"/>
  <c r="BP19"/>
  <c r="FQ19" s="1"/>
  <c r="BD19"/>
  <c r="EJ19" s="1"/>
  <c r="Q19"/>
  <c r="FR18"/>
  <c r="FP18"/>
  <c r="FO18"/>
  <c r="FN18"/>
  <c r="FM18"/>
  <c r="FL18"/>
  <c r="FK18"/>
  <c r="FJ18"/>
  <c r="FI18"/>
  <c r="FH18"/>
  <c r="FG18"/>
  <c r="FF18"/>
  <c r="FD18"/>
  <c r="FC18"/>
  <c r="EW18"/>
  <c r="EU18"/>
  <c r="ET18"/>
  <c r="ES18"/>
  <c r="ER18"/>
  <c r="EQ18"/>
  <c r="EP18"/>
  <c r="EO18"/>
  <c r="EN18"/>
  <c r="EM18"/>
  <c r="EL18"/>
  <c r="EK18"/>
  <c r="EI18"/>
  <c r="EH18"/>
  <c r="EB18"/>
  <c r="DZ18"/>
  <c r="DY18"/>
  <c r="DX18"/>
  <c r="DW18"/>
  <c r="DV18"/>
  <c r="DU18"/>
  <c r="DT18"/>
  <c r="DS18"/>
  <c r="DR18"/>
  <c r="DQ18"/>
  <c r="DP18"/>
  <c r="DN18"/>
  <c r="DM18"/>
  <c r="DG18"/>
  <c r="DE18"/>
  <c r="DD18"/>
  <c r="DC18"/>
  <c r="DB18"/>
  <c r="DA18"/>
  <c r="CZ18"/>
  <c r="CY18"/>
  <c r="CX18"/>
  <c r="CW18"/>
  <c r="CV18"/>
  <c r="CU18"/>
  <c r="CS18"/>
  <c r="CR18"/>
  <c r="CL18"/>
  <c r="CJ18"/>
  <c r="CI18"/>
  <c r="CH18"/>
  <c r="CG18"/>
  <c r="CF18"/>
  <c r="CE18"/>
  <c r="CD18"/>
  <c r="CC18"/>
  <c r="CB18"/>
  <c r="CA18"/>
  <c r="BZ18"/>
  <c r="BX18"/>
  <c r="BW18"/>
  <c r="BR18"/>
  <c r="EX18" s="1"/>
  <c r="BP18"/>
  <c r="FQ18" s="1"/>
  <c r="AI18"/>
  <c r="BD18" s="1"/>
  <c r="AF18"/>
  <c r="BA18" s="1"/>
  <c r="EG18" s="1"/>
  <c r="AE18"/>
  <c r="AZ18" s="1"/>
  <c r="Q18"/>
  <c r="FR17"/>
  <c r="FP17"/>
  <c r="FO17"/>
  <c r="FN17"/>
  <c r="FM17"/>
  <c r="FL17"/>
  <c r="FK17"/>
  <c r="FJ17"/>
  <c r="FI17"/>
  <c r="FH17"/>
  <c r="FG17"/>
  <c r="FF17"/>
  <c r="FE17"/>
  <c r="FD17"/>
  <c r="FC17"/>
  <c r="EW17"/>
  <c r="EU17"/>
  <c r="ET17"/>
  <c r="ES17"/>
  <c r="ER17"/>
  <c r="EQ17"/>
  <c r="EP17"/>
  <c r="EO17"/>
  <c r="EN17"/>
  <c r="EM17"/>
  <c r="EL17"/>
  <c r="EK17"/>
  <c r="EJ17"/>
  <c r="EI17"/>
  <c r="EH17"/>
  <c r="EB17"/>
  <c r="DZ17"/>
  <c r="DY17"/>
  <c r="DX17"/>
  <c r="DW17"/>
  <c r="DV17"/>
  <c r="DU17"/>
  <c r="DT17"/>
  <c r="DS17"/>
  <c r="DR17"/>
  <c r="DQ17"/>
  <c r="DP17"/>
  <c r="DO17"/>
  <c r="DN17"/>
  <c r="DM17"/>
  <c r="DG17"/>
  <c r="DE17"/>
  <c r="DD17"/>
  <c r="DC17"/>
  <c r="DB17"/>
  <c r="DA17"/>
  <c r="CZ17"/>
  <c r="CY17"/>
  <c r="CX17"/>
  <c r="CW17"/>
  <c r="CV17"/>
  <c r="CU17"/>
  <c r="CT17"/>
  <c r="CS17"/>
  <c r="CR17"/>
  <c r="CL17"/>
  <c r="CJ17"/>
  <c r="CI17"/>
  <c r="CH17"/>
  <c r="CG17"/>
  <c r="CF17"/>
  <c r="CE17"/>
  <c r="CD17"/>
  <c r="CC17"/>
  <c r="CB17"/>
  <c r="CA17"/>
  <c r="BZ17"/>
  <c r="BY17"/>
  <c r="BX17"/>
  <c r="BW17"/>
  <c r="BR17"/>
  <c r="EX17" s="1"/>
  <c r="BP17"/>
  <c r="FQ17" s="1"/>
  <c r="BA17"/>
  <c r="FB17" s="1"/>
  <c r="AZ17"/>
  <c r="FA17" s="1"/>
  <c r="Q17"/>
  <c r="FR16"/>
  <c r="FQ16"/>
  <c r="FP16"/>
  <c r="FO16"/>
  <c r="FN16"/>
  <c r="FK16"/>
  <c r="FJ16"/>
  <c r="FI16"/>
  <c r="FH16"/>
  <c r="FG16"/>
  <c r="FF16"/>
  <c r="FE16"/>
  <c r="FD16"/>
  <c r="FC16"/>
  <c r="FB16"/>
  <c r="FA16"/>
  <c r="EW16"/>
  <c r="EV16"/>
  <c r="EU16"/>
  <c r="ET16"/>
  <c r="ES16"/>
  <c r="EP16"/>
  <c r="EO16"/>
  <c r="EN16"/>
  <c r="EM16"/>
  <c r="EL16"/>
  <c r="EK16"/>
  <c r="EJ16"/>
  <c r="EI16"/>
  <c r="EH16"/>
  <c r="EG16"/>
  <c r="EF16"/>
  <c r="EB16"/>
  <c r="EA16"/>
  <c r="DZ16"/>
  <c r="DY16"/>
  <c r="DX16"/>
  <c r="DU16"/>
  <c r="DT16"/>
  <c r="DS16"/>
  <c r="DR16"/>
  <c r="DQ16"/>
  <c r="DP16"/>
  <c r="DO16"/>
  <c r="DN16"/>
  <c r="DM16"/>
  <c r="DL16"/>
  <c r="DK16"/>
  <c r="DG16"/>
  <c r="DF16"/>
  <c r="DE16"/>
  <c r="DD16"/>
  <c r="DC16"/>
  <c r="CZ16"/>
  <c r="CY16"/>
  <c r="CX16"/>
  <c r="CW16"/>
  <c r="CV16"/>
  <c r="CU16"/>
  <c r="CT16"/>
  <c r="CS16"/>
  <c r="CR16"/>
  <c r="CQ16"/>
  <c r="CP16"/>
  <c r="CL16"/>
  <c r="CK16"/>
  <c r="CJ16"/>
  <c r="CI16"/>
  <c r="CH16"/>
  <c r="CE16"/>
  <c r="CD16"/>
  <c r="CC16"/>
  <c r="CB16"/>
  <c r="CA16"/>
  <c r="BZ16"/>
  <c r="BY16"/>
  <c r="BX16"/>
  <c r="BW16"/>
  <c r="BV16"/>
  <c r="BU16"/>
  <c r="BR16"/>
  <c r="EX16" s="1"/>
  <c r="BL16"/>
  <c r="FM16" s="1"/>
  <c r="BK16"/>
  <c r="FL16" s="1"/>
  <c r="FR15"/>
  <c r="FQ15"/>
  <c r="FP15"/>
  <c r="FO15"/>
  <c r="FN15"/>
  <c r="FL15"/>
  <c r="FK15"/>
  <c r="FJ15"/>
  <c r="FI15"/>
  <c r="FH15"/>
  <c r="FG15"/>
  <c r="FF15"/>
  <c r="FE15"/>
  <c r="FD15"/>
  <c r="FC15"/>
  <c r="FB15"/>
  <c r="FA15"/>
  <c r="EW15"/>
  <c r="EV15"/>
  <c r="EU15"/>
  <c r="ET15"/>
  <c r="ES15"/>
  <c r="EQ15"/>
  <c r="EP15"/>
  <c r="EO15"/>
  <c r="EN15"/>
  <c r="EM15"/>
  <c r="EL15"/>
  <c r="EK15"/>
  <c r="EJ15"/>
  <c r="EI15"/>
  <c r="EH15"/>
  <c r="EG15"/>
  <c r="EF15"/>
  <c r="EB15"/>
  <c r="EA15"/>
  <c r="DZ15"/>
  <c r="DY15"/>
  <c r="DX15"/>
  <c r="DV15"/>
  <c r="DU15"/>
  <c r="DT15"/>
  <c r="DS15"/>
  <c r="DR15"/>
  <c r="DQ15"/>
  <c r="DP15"/>
  <c r="DO15"/>
  <c r="DN15"/>
  <c r="DM15"/>
  <c r="DL15"/>
  <c r="DK15"/>
  <c r="DG15"/>
  <c r="DF15"/>
  <c r="DE15"/>
  <c r="DD15"/>
  <c r="DC15"/>
  <c r="DA15"/>
  <c r="CZ15"/>
  <c r="CY15"/>
  <c r="CX15"/>
  <c r="CW15"/>
  <c r="CV15"/>
  <c r="CU15"/>
  <c r="CT15"/>
  <c r="CS15"/>
  <c r="CR15"/>
  <c r="CQ15"/>
  <c r="CP15"/>
  <c r="CL15"/>
  <c r="CK15"/>
  <c r="CJ15"/>
  <c r="CI15"/>
  <c r="CH15"/>
  <c r="CF15"/>
  <c r="CE15"/>
  <c r="CD15"/>
  <c r="CC15"/>
  <c r="CB15"/>
  <c r="CA15"/>
  <c r="BZ15"/>
  <c r="BY15"/>
  <c r="BX15"/>
  <c r="BW15"/>
  <c r="BV15"/>
  <c r="BU15"/>
  <c r="BR15"/>
  <c r="EX15" s="1"/>
  <c r="BL15"/>
  <c r="FM15" s="1"/>
  <c r="FR14"/>
  <c r="FQ14"/>
  <c r="FP14"/>
  <c r="FO14"/>
  <c r="FN14"/>
  <c r="FM14"/>
  <c r="FK14"/>
  <c r="FJ14"/>
  <c r="FI14"/>
  <c r="FH14"/>
  <c r="FG14"/>
  <c r="FF14"/>
  <c r="FE14"/>
  <c r="FD14"/>
  <c r="FC14"/>
  <c r="FB14"/>
  <c r="FA14"/>
  <c r="EW14"/>
  <c r="EV14"/>
  <c r="EU14"/>
  <c r="ET14"/>
  <c r="ES14"/>
  <c r="ER14"/>
  <c r="EP14"/>
  <c r="EO14"/>
  <c r="EN14"/>
  <c r="EM14"/>
  <c r="EL14"/>
  <c r="EK14"/>
  <c r="EJ14"/>
  <c r="EI14"/>
  <c r="EH14"/>
  <c r="EG14"/>
  <c r="EF14"/>
  <c r="EB14"/>
  <c r="EA14"/>
  <c r="DZ14"/>
  <c r="DY14"/>
  <c r="DX14"/>
  <c r="DW14"/>
  <c r="DU14"/>
  <c r="DT14"/>
  <c r="DS14"/>
  <c r="DR14"/>
  <c r="DQ14"/>
  <c r="DP14"/>
  <c r="DO14"/>
  <c r="DN14"/>
  <c r="DM14"/>
  <c r="DL14"/>
  <c r="DK14"/>
  <c r="DG14"/>
  <c r="DF14"/>
  <c r="DE14"/>
  <c r="DD14"/>
  <c r="DC14"/>
  <c r="DB14"/>
  <c r="CZ14"/>
  <c r="CY14"/>
  <c r="CX14"/>
  <c r="CW14"/>
  <c r="CV14"/>
  <c r="CU14"/>
  <c r="CT14"/>
  <c r="CS14"/>
  <c r="CR14"/>
  <c r="CQ14"/>
  <c r="CP14"/>
  <c r="CL14"/>
  <c r="CK14"/>
  <c r="CJ14"/>
  <c r="CI14"/>
  <c r="CH14"/>
  <c r="CG14"/>
  <c r="CE14"/>
  <c r="CD14"/>
  <c r="CC14"/>
  <c r="CB14"/>
  <c r="CA14"/>
  <c r="BZ14"/>
  <c r="BY14"/>
  <c r="BX14"/>
  <c r="BW14"/>
  <c r="BV14"/>
  <c r="BU14"/>
  <c r="BR14"/>
  <c r="EX14" s="1"/>
  <c r="BK14"/>
  <c r="EQ14" s="1"/>
  <c r="FR13"/>
  <c r="FP13"/>
  <c r="FO13"/>
  <c r="FN13"/>
  <c r="FM13"/>
  <c r="FL13"/>
  <c r="FK13"/>
  <c r="FJ13"/>
  <c r="FI13"/>
  <c r="FH13"/>
  <c r="FG13"/>
  <c r="FF13"/>
  <c r="FE13"/>
  <c r="FD13"/>
  <c r="FC13"/>
  <c r="FB13"/>
  <c r="FA13"/>
  <c r="EW13"/>
  <c r="EU13"/>
  <c r="ET13"/>
  <c r="ES13"/>
  <c r="ER13"/>
  <c r="EQ13"/>
  <c r="EP13"/>
  <c r="EO13"/>
  <c r="EN13"/>
  <c r="EM13"/>
  <c r="EL13"/>
  <c r="EK13"/>
  <c r="EJ13"/>
  <c r="EI13"/>
  <c r="EH13"/>
  <c r="EG13"/>
  <c r="EF13"/>
  <c r="EB13"/>
  <c r="DZ13"/>
  <c r="DY13"/>
  <c r="DX13"/>
  <c r="DW13"/>
  <c r="DV13"/>
  <c r="DU13"/>
  <c r="DT13"/>
  <c r="DS13"/>
  <c r="DR13"/>
  <c r="DQ13"/>
  <c r="DP13"/>
  <c r="DO13"/>
  <c r="DN13"/>
  <c r="DM13"/>
  <c r="DL13"/>
  <c r="DK13"/>
  <c r="DG13"/>
  <c r="DE13"/>
  <c r="DD13"/>
  <c r="DC13"/>
  <c r="DB13"/>
  <c r="DA13"/>
  <c r="CZ13"/>
  <c r="CY13"/>
  <c r="CX13"/>
  <c r="CW13"/>
  <c r="CV13"/>
  <c r="CU13"/>
  <c r="CT13"/>
  <c r="CS13"/>
  <c r="CR13"/>
  <c r="CQ13"/>
  <c r="CP13"/>
  <c r="CL13"/>
  <c r="CJ13"/>
  <c r="CI13"/>
  <c r="CH13"/>
  <c r="CG13"/>
  <c r="CF13"/>
  <c r="CE13"/>
  <c r="CD13"/>
  <c r="CC13"/>
  <c r="CB13"/>
  <c r="CA13"/>
  <c r="BZ13"/>
  <c r="BY13"/>
  <c r="BX13"/>
  <c r="BW13"/>
  <c r="BV13"/>
  <c r="BU13"/>
  <c r="BR13"/>
  <c r="EX13" s="1"/>
  <c r="BP13"/>
  <c r="FQ13" s="1"/>
  <c r="FR12"/>
  <c r="FP12"/>
  <c r="FO12"/>
  <c r="FN12"/>
  <c r="FM12"/>
  <c r="FL12"/>
  <c r="FK12"/>
  <c r="FJ12"/>
  <c r="FI12"/>
  <c r="FH12"/>
  <c r="FG12"/>
  <c r="FF12"/>
  <c r="FE12"/>
  <c r="FD12"/>
  <c r="FC12"/>
  <c r="FB12"/>
  <c r="FA12"/>
  <c r="EW12"/>
  <c r="EU12"/>
  <c r="ET12"/>
  <c r="ES12"/>
  <c r="ER12"/>
  <c r="EQ12"/>
  <c r="EP12"/>
  <c r="EO12"/>
  <c r="EN12"/>
  <c r="EM12"/>
  <c r="EL12"/>
  <c r="EK12"/>
  <c r="EJ12"/>
  <c r="EI12"/>
  <c r="EH12"/>
  <c r="EG12"/>
  <c r="EF12"/>
  <c r="EB12"/>
  <c r="DZ12"/>
  <c r="DY12"/>
  <c r="DX12"/>
  <c r="DW12"/>
  <c r="DV12"/>
  <c r="DU12"/>
  <c r="DT12"/>
  <c r="DS12"/>
  <c r="DR12"/>
  <c r="DQ12"/>
  <c r="DP12"/>
  <c r="DO12"/>
  <c r="DN12"/>
  <c r="DM12"/>
  <c r="DL12"/>
  <c r="DK12"/>
  <c r="DG12"/>
  <c r="DE12"/>
  <c r="DD12"/>
  <c r="DC12"/>
  <c r="DB12"/>
  <c r="DA12"/>
  <c r="CZ12"/>
  <c r="CY12"/>
  <c r="CX12"/>
  <c r="CW12"/>
  <c r="CV12"/>
  <c r="CU12"/>
  <c r="CT12"/>
  <c r="CS12"/>
  <c r="CR12"/>
  <c r="CQ12"/>
  <c r="CP12"/>
  <c r="CL12"/>
  <c r="CJ12"/>
  <c r="CI12"/>
  <c r="CH12"/>
  <c r="CG12"/>
  <c r="CF12"/>
  <c r="CE12"/>
  <c r="CD12"/>
  <c r="CC12"/>
  <c r="CB12"/>
  <c r="CA12"/>
  <c r="BZ12"/>
  <c r="BY12"/>
  <c r="BX12"/>
  <c r="BW12"/>
  <c r="BV12"/>
  <c r="BU12"/>
  <c r="BR12"/>
  <c r="EX12" s="1"/>
  <c r="BP12"/>
  <c r="FQ12" s="1"/>
  <c r="Q12"/>
  <c r="FR11"/>
  <c r="FQ11"/>
  <c r="FP11"/>
  <c r="FO11"/>
  <c r="FN11"/>
  <c r="FM11"/>
  <c r="FL11"/>
  <c r="FK11"/>
  <c r="FJ11"/>
  <c r="FI11"/>
  <c r="FH11"/>
  <c r="FG11"/>
  <c r="FF11"/>
  <c r="FE11"/>
  <c r="FD11"/>
  <c r="FB11"/>
  <c r="FA11"/>
  <c r="EW11"/>
  <c r="EV11"/>
  <c r="EU11"/>
  <c r="ET11"/>
  <c r="ES11"/>
  <c r="ER11"/>
  <c r="EQ11"/>
  <c r="EP11"/>
  <c r="EO11"/>
  <c r="EN11"/>
  <c r="EM11"/>
  <c r="EL11"/>
  <c r="EK11"/>
  <c r="EJ11"/>
  <c r="EI11"/>
  <c r="EG11"/>
  <c r="EF11"/>
  <c r="EB11"/>
  <c r="EA11"/>
  <c r="DZ11"/>
  <c r="DY11"/>
  <c r="DX11"/>
  <c r="DW11"/>
  <c r="DV11"/>
  <c r="DU11"/>
  <c r="DT11"/>
  <c r="DS11"/>
  <c r="DR11"/>
  <c r="DQ11"/>
  <c r="DP11"/>
  <c r="DO11"/>
  <c r="DN11"/>
  <c r="DL11"/>
  <c r="DK11"/>
  <c r="DG11"/>
  <c r="DF11"/>
  <c r="DE11"/>
  <c r="DD11"/>
  <c r="DC11"/>
  <c r="DB11"/>
  <c r="DA11"/>
  <c r="CZ11"/>
  <c r="CY11"/>
  <c r="CX11"/>
  <c r="CW11"/>
  <c r="CV11"/>
  <c r="CU11"/>
  <c r="CT11"/>
  <c r="CS11"/>
  <c r="CQ11"/>
  <c r="CP11"/>
  <c r="CL11"/>
  <c r="CK11"/>
  <c r="CJ11"/>
  <c r="CI11"/>
  <c r="CH11"/>
  <c r="CG11"/>
  <c r="CF11"/>
  <c r="CE11"/>
  <c r="CD11"/>
  <c r="CC11"/>
  <c r="CB11"/>
  <c r="CA11"/>
  <c r="BZ11"/>
  <c r="BY11"/>
  <c r="BX11"/>
  <c r="BV11"/>
  <c r="BU11"/>
  <c r="BR11"/>
  <c r="EX11" s="1"/>
  <c r="BB11"/>
  <c r="FC11" s="1"/>
  <c r="FR10"/>
  <c r="FQ10"/>
  <c r="FP10"/>
  <c r="FO10"/>
  <c r="FN10"/>
  <c r="FM10"/>
  <c r="FL10"/>
  <c r="FK10"/>
  <c r="FJ10"/>
  <c r="FI10"/>
  <c r="FH10"/>
  <c r="FG10"/>
  <c r="FF10"/>
  <c r="FE10"/>
  <c r="FD10"/>
  <c r="FC10"/>
  <c r="FB10"/>
  <c r="FA10"/>
  <c r="EW10"/>
  <c r="EV10"/>
  <c r="EU10"/>
  <c r="ET10"/>
  <c r="ES10"/>
  <c r="ER10"/>
  <c r="EQ10"/>
  <c r="EP10"/>
  <c r="EO10"/>
  <c r="EN10"/>
  <c r="EM10"/>
  <c r="EL10"/>
  <c r="EK10"/>
  <c r="EJ10"/>
  <c r="EI10"/>
  <c r="EH10"/>
  <c r="EG10"/>
  <c r="EF10"/>
  <c r="EB10"/>
  <c r="EA10"/>
  <c r="DZ10"/>
  <c r="DY10"/>
  <c r="DX10"/>
  <c r="DW10"/>
  <c r="DV10"/>
  <c r="DU10"/>
  <c r="DT10"/>
  <c r="DS10"/>
  <c r="DR10"/>
  <c r="DQ10"/>
  <c r="DP10"/>
  <c r="DO10"/>
  <c r="DN10"/>
  <c r="DM10"/>
  <c r="DL10"/>
  <c r="DK10"/>
  <c r="DG10"/>
  <c r="DF10"/>
  <c r="DE10"/>
  <c r="DD10"/>
  <c r="DC10"/>
  <c r="DB10"/>
  <c r="DA10"/>
  <c r="CZ10"/>
  <c r="CY10"/>
  <c r="CX10"/>
  <c r="CW10"/>
  <c r="CV10"/>
  <c r="CU10"/>
  <c r="CT10"/>
  <c r="CS10"/>
  <c r="CR10"/>
  <c r="CQ10"/>
  <c r="CP10"/>
  <c r="CL10"/>
  <c r="CK10"/>
  <c r="CJ10"/>
  <c r="CI10"/>
  <c r="CH10"/>
  <c r="CG10"/>
  <c r="CF10"/>
  <c r="CE10"/>
  <c r="CD10"/>
  <c r="CC10"/>
  <c r="CB10"/>
  <c r="CA10"/>
  <c r="BZ10"/>
  <c r="BY10"/>
  <c r="BX10"/>
  <c r="BW10"/>
  <c r="BV10"/>
  <c r="BU10"/>
  <c r="BR10"/>
  <c r="EX10" s="1"/>
  <c r="BQ10"/>
  <c r="Q10"/>
  <c r="FR9"/>
  <c r="FQ9"/>
  <c r="FP9"/>
  <c r="FO9"/>
  <c r="FN9"/>
  <c r="FM9"/>
  <c r="FL9"/>
  <c r="FK9"/>
  <c r="FJ9"/>
  <c r="FI9"/>
  <c r="FH9"/>
  <c r="FG9"/>
  <c r="FF9"/>
  <c r="FE9"/>
  <c r="FD9"/>
  <c r="FC9"/>
  <c r="FB9"/>
  <c r="FA9"/>
  <c r="EW9"/>
  <c r="EV9"/>
  <c r="EU9"/>
  <c r="ET9"/>
  <c r="ES9"/>
  <c r="ER9"/>
  <c r="EQ9"/>
  <c r="EP9"/>
  <c r="EO9"/>
  <c r="EN9"/>
  <c r="EM9"/>
  <c r="EL9"/>
  <c r="EK9"/>
  <c r="EJ9"/>
  <c r="EI9"/>
  <c r="EH9"/>
  <c r="EG9"/>
  <c r="EF9"/>
  <c r="EB9"/>
  <c r="EA9"/>
  <c r="DZ9"/>
  <c r="DY9"/>
  <c r="DX9"/>
  <c r="DW9"/>
  <c r="DV9"/>
  <c r="DU9"/>
  <c r="DT9"/>
  <c r="DS9"/>
  <c r="DR9"/>
  <c r="DQ9"/>
  <c r="DP9"/>
  <c r="DO9"/>
  <c r="DN9"/>
  <c r="DM9"/>
  <c r="DL9"/>
  <c r="DK9"/>
  <c r="DG9"/>
  <c r="DF9"/>
  <c r="DE9"/>
  <c r="DD9"/>
  <c r="DC9"/>
  <c r="DB9"/>
  <c r="DA9"/>
  <c r="CZ9"/>
  <c r="CY9"/>
  <c r="CX9"/>
  <c r="CW9"/>
  <c r="CV9"/>
  <c r="CU9"/>
  <c r="CT9"/>
  <c r="CS9"/>
  <c r="CR9"/>
  <c r="CQ9"/>
  <c r="CP9"/>
  <c r="CL9"/>
  <c r="CK9"/>
  <c r="CJ9"/>
  <c r="CI9"/>
  <c r="CH9"/>
  <c r="CG9"/>
  <c r="CF9"/>
  <c r="CE9"/>
  <c r="CD9"/>
  <c r="CC9"/>
  <c r="CB9"/>
  <c r="CA9"/>
  <c r="BZ9"/>
  <c r="BY9"/>
  <c r="BX9"/>
  <c r="BW9"/>
  <c r="BV9"/>
  <c r="BU9"/>
  <c r="BR9"/>
  <c r="EX9" s="1"/>
  <c r="BQ9"/>
  <c r="Q9"/>
  <c r="FR8"/>
  <c r="FP8"/>
  <c r="FO8"/>
  <c r="FN8"/>
  <c r="FM8"/>
  <c r="FL8"/>
  <c r="FK8"/>
  <c r="FJ8"/>
  <c r="FI8"/>
  <c r="FH8"/>
  <c r="FG8"/>
  <c r="FF8"/>
  <c r="FE8"/>
  <c r="FD8"/>
  <c r="FC8"/>
  <c r="FB8"/>
  <c r="FA8"/>
  <c r="EW8"/>
  <c r="EU8"/>
  <c r="ET8"/>
  <c r="ES8"/>
  <c r="ER8"/>
  <c r="EQ8"/>
  <c r="EP8"/>
  <c r="EO8"/>
  <c r="EN8"/>
  <c r="EM8"/>
  <c r="EL8"/>
  <c r="EK8"/>
  <c r="EJ8"/>
  <c r="EI8"/>
  <c r="EH8"/>
  <c r="EG8"/>
  <c r="EF8"/>
  <c r="EB8"/>
  <c r="DZ8"/>
  <c r="DY8"/>
  <c r="DX8"/>
  <c r="DW8"/>
  <c r="DV8"/>
  <c r="DU8"/>
  <c r="DT8"/>
  <c r="DS8"/>
  <c r="DR8"/>
  <c r="DQ8"/>
  <c r="DP8"/>
  <c r="DO8"/>
  <c r="DN8"/>
  <c r="DM8"/>
  <c r="DL8"/>
  <c r="DK8"/>
  <c r="DG8"/>
  <c r="DE8"/>
  <c r="DD8"/>
  <c r="DC8"/>
  <c r="DB8"/>
  <c r="DA8"/>
  <c r="CZ8"/>
  <c r="CY8"/>
  <c r="CX8"/>
  <c r="CW8"/>
  <c r="CV8"/>
  <c r="CU8"/>
  <c r="CT8"/>
  <c r="CS8"/>
  <c r="CR8"/>
  <c r="CQ8"/>
  <c r="CP8"/>
  <c r="CL8"/>
  <c r="CJ8"/>
  <c r="CI8"/>
  <c r="CH8"/>
  <c r="CG8"/>
  <c r="CF8"/>
  <c r="CE8"/>
  <c r="CD8"/>
  <c r="CC8"/>
  <c r="CB8"/>
  <c r="CA8"/>
  <c r="BZ8"/>
  <c r="BY8"/>
  <c r="BX8"/>
  <c r="BW8"/>
  <c r="BV8"/>
  <c r="BU8"/>
  <c r="BR8"/>
  <c r="EX8" s="1"/>
  <c r="BP8"/>
  <c r="FQ8" s="1"/>
  <c r="FR7"/>
  <c r="FQ7"/>
  <c r="FP7"/>
  <c r="FO7"/>
  <c r="FN7"/>
  <c r="FM7"/>
  <c r="FL7"/>
  <c r="FJ7"/>
  <c r="FI7"/>
  <c r="FH7"/>
  <c r="FG7"/>
  <c r="FF7"/>
  <c r="FE7"/>
  <c r="FD7"/>
  <c r="FC7"/>
  <c r="FB7"/>
  <c r="FA7"/>
  <c r="EW7"/>
  <c r="EV7"/>
  <c r="EU7"/>
  <c r="ET7"/>
  <c r="ES7"/>
  <c r="ER7"/>
  <c r="EQ7"/>
  <c r="EO7"/>
  <c r="EN7"/>
  <c r="EM7"/>
  <c r="EL7"/>
  <c r="EK7"/>
  <c r="EJ7"/>
  <c r="EI7"/>
  <c r="EH7"/>
  <c r="EG7"/>
  <c r="EF7"/>
  <c r="EB7"/>
  <c r="EA7"/>
  <c r="DZ7"/>
  <c r="DY7"/>
  <c r="DX7"/>
  <c r="DW7"/>
  <c r="DV7"/>
  <c r="DT7"/>
  <c r="DS7"/>
  <c r="DR7"/>
  <c r="DQ7"/>
  <c r="DP7"/>
  <c r="DO7"/>
  <c r="DN7"/>
  <c r="DM7"/>
  <c r="DL7"/>
  <c r="DK7"/>
  <c r="DG7"/>
  <c r="DF7"/>
  <c r="DE7"/>
  <c r="DD7"/>
  <c r="DC7"/>
  <c r="DB7"/>
  <c r="DA7"/>
  <c r="CY7"/>
  <c r="CX7"/>
  <c r="CW7"/>
  <c r="CV7"/>
  <c r="CU7"/>
  <c r="CT7"/>
  <c r="CS7"/>
  <c r="CR7"/>
  <c r="CQ7"/>
  <c r="CP7"/>
  <c r="CL7"/>
  <c r="CK7"/>
  <c r="CJ7"/>
  <c r="CI7"/>
  <c r="CH7"/>
  <c r="CG7"/>
  <c r="CF7"/>
  <c r="CD7"/>
  <c r="CC7"/>
  <c r="CB7"/>
  <c r="CA7"/>
  <c r="BZ7"/>
  <c r="BY7"/>
  <c r="BX7"/>
  <c r="BW7"/>
  <c r="BV7"/>
  <c r="BU7"/>
  <c r="BR7"/>
  <c r="EX7" s="1"/>
  <c r="BJ7"/>
  <c r="FK7" s="1"/>
  <c r="AO83" i="5"/>
  <c r="K83"/>
  <c r="AO82"/>
  <c r="AI82"/>
  <c r="AO81"/>
  <c r="AH81"/>
  <c r="AO79"/>
  <c r="K79"/>
  <c r="AO78"/>
  <c r="AH78"/>
  <c r="AO75"/>
  <c r="K75"/>
  <c r="AO74"/>
  <c r="G74"/>
  <c r="AO73"/>
  <c r="AH73"/>
  <c r="AO70"/>
  <c r="K70"/>
  <c r="AO69"/>
  <c r="G69"/>
  <c r="AO68"/>
  <c r="AH68"/>
  <c r="K41"/>
  <c r="J41"/>
  <c r="AC41"/>
  <c r="AB41"/>
  <c r="AA41"/>
  <c r="U36"/>
  <c r="K36" s="1"/>
  <c r="T36"/>
  <c r="S36"/>
  <c r="AC36" s="1"/>
  <c r="R36"/>
  <c r="AB36" s="1"/>
  <c r="Q36"/>
  <c r="AA36" s="1"/>
  <c r="J36"/>
  <c r="AA35"/>
  <c r="U35"/>
  <c r="T35"/>
  <c r="S35"/>
  <c r="AC35" s="1"/>
  <c r="R35"/>
  <c r="AB35" s="1"/>
  <c r="K35"/>
  <c r="J35"/>
  <c r="AB34"/>
  <c r="U34"/>
  <c r="T34"/>
  <c r="S34"/>
  <c r="AC34" s="1"/>
  <c r="Q34"/>
  <c r="AA34" s="1"/>
  <c r="K34"/>
  <c r="J34"/>
  <c r="AC33"/>
  <c r="U33"/>
  <c r="T33"/>
  <c r="R33"/>
  <c r="AB33" s="1"/>
  <c r="Q33"/>
  <c r="AA33" s="1"/>
  <c r="K33"/>
  <c r="J33"/>
  <c r="AC32"/>
  <c r="AB32"/>
  <c r="AA32"/>
  <c r="U32"/>
  <c r="K32" s="1"/>
  <c r="T32"/>
  <c r="J32" s="1"/>
  <c r="AC31"/>
  <c r="AB31"/>
  <c r="AA31"/>
  <c r="U31"/>
  <c r="T31"/>
  <c r="K31"/>
  <c r="J31"/>
  <c r="AC30"/>
  <c r="AB30"/>
  <c r="AA30"/>
  <c r="K30"/>
  <c r="J30"/>
  <c r="U24"/>
  <c r="K24" s="1"/>
  <c r="T24"/>
  <c r="J24" s="1"/>
  <c r="S24"/>
  <c r="AC24" s="1"/>
  <c r="R24"/>
  <c r="AB24" s="1"/>
  <c r="Q24"/>
  <c r="AA24" s="1"/>
  <c r="AA23"/>
  <c r="U23"/>
  <c r="T23"/>
  <c r="S23"/>
  <c r="AC23" s="1"/>
  <c r="R23"/>
  <c r="AB23" s="1"/>
  <c r="K23"/>
  <c r="J23"/>
  <c r="AB22"/>
  <c r="U22"/>
  <c r="T22"/>
  <c r="S22"/>
  <c r="AC22" s="1"/>
  <c r="Q22"/>
  <c r="AA22" s="1"/>
  <c r="K22"/>
  <c r="J22"/>
  <c r="AC21"/>
  <c r="U21"/>
  <c r="T21"/>
  <c r="R21"/>
  <c r="AB21" s="1"/>
  <c r="Q21"/>
  <c r="AA21" s="1"/>
  <c r="K21"/>
  <c r="J21"/>
  <c r="AC20"/>
  <c r="AB20"/>
  <c r="AA20"/>
  <c r="U20"/>
  <c r="K20" s="1"/>
  <c r="T20"/>
  <c r="J20" s="1"/>
  <c r="AC19"/>
  <c r="AB19"/>
  <c r="AA19"/>
  <c r="U19"/>
  <c r="K19" s="1"/>
  <c r="T19"/>
  <c r="J19" s="1"/>
  <c r="AC18"/>
  <c r="AB18"/>
  <c r="AA18"/>
  <c r="K18"/>
  <c r="J18"/>
  <c r="U12"/>
  <c r="K12" s="1"/>
  <c r="T12"/>
  <c r="S12"/>
  <c r="AC12" s="1"/>
  <c r="R12"/>
  <c r="AB12" s="1"/>
  <c r="Q12"/>
  <c r="AA12" s="1"/>
  <c r="J12"/>
  <c r="AA11"/>
  <c r="U11"/>
  <c r="T11"/>
  <c r="S11"/>
  <c r="AC11" s="1"/>
  <c r="R11"/>
  <c r="AB11" s="1"/>
  <c r="K11"/>
  <c r="J11"/>
  <c r="AB10"/>
  <c r="U10"/>
  <c r="T10"/>
  <c r="S10"/>
  <c r="AC10" s="1"/>
  <c r="Q10"/>
  <c r="K10"/>
  <c r="J10"/>
  <c r="AC9"/>
  <c r="U9"/>
  <c r="T9"/>
  <c r="R9"/>
  <c r="AB9" s="1"/>
  <c r="Q9"/>
  <c r="K9"/>
  <c r="J9"/>
  <c r="AC8"/>
  <c r="AB8"/>
  <c r="AA8"/>
  <c r="U8"/>
  <c r="K8" s="1"/>
  <c r="T8"/>
  <c r="J8" s="1"/>
  <c r="AC7"/>
  <c r="AB7"/>
  <c r="AA7"/>
  <c r="U7"/>
  <c r="K7" s="1"/>
  <c r="T7"/>
  <c r="J7" s="1"/>
  <c r="AC6"/>
  <c r="AB6"/>
  <c r="K6"/>
  <c r="J6"/>
  <c r="U76" i="4"/>
  <c r="U74"/>
  <c r="U72"/>
  <c r="M72" s="1"/>
  <c r="U70"/>
  <c r="U68"/>
  <c r="U66"/>
  <c r="M66" s="1"/>
  <c r="U64"/>
  <c r="BJ64" s="1"/>
  <c r="U62"/>
  <c r="U60"/>
  <c r="BJ60" s="1"/>
  <c r="U58"/>
  <c r="U56"/>
  <c r="BJ56" s="1"/>
  <c r="U54"/>
  <c r="M54" s="1"/>
  <c r="U52"/>
  <c r="U50"/>
  <c r="U48"/>
  <c r="P48" s="1"/>
  <c r="U46"/>
  <c r="U44"/>
  <c r="M44" s="1"/>
  <c r="U42"/>
  <c r="M42" s="1"/>
  <c r="U40"/>
  <c r="BJ40" s="1"/>
  <c r="U38"/>
  <c r="U36"/>
  <c r="BJ36" s="1"/>
  <c r="U34"/>
  <c r="U32"/>
  <c r="BJ32" s="1"/>
  <c r="U30"/>
  <c r="M30" s="1"/>
  <c r="U28"/>
  <c r="M28" s="1"/>
  <c r="U26"/>
  <c r="U24"/>
  <c r="U22"/>
  <c r="U20"/>
  <c r="M20" s="1"/>
  <c r="U18"/>
  <c r="U16"/>
  <c r="M16" s="1"/>
  <c r="U14"/>
  <c r="U12"/>
  <c r="BJ12" s="1"/>
  <c r="U10"/>
  <c r="M10" s="1"/>
  <c r="U8"/>
  <c r="M8" s="1"/>
  <c r="U6"/>
  <c r="DF35" i="3"/>
  <c r="DE35"/>
  <c r="DD35"/>
  <c r="DC35"/>
  <c r="DB35"/>
  <c r="DA35"/>
  <c r="CX35"/>
  <c r="CW35"/>
  <c r="CV35"/>
  <c r="CS35"/>
  <c r="CR35"/>
  <c r="CQ35"/>
  <c r="CP35"/>
  <c r="CO35"/>
  <c r="CN35"/>
  <c r="CK35"/>
  <c r="CJ35"/>
  <c r="CI35"/>
  <c r="CF35"/>
  <c r="CE35"/>
  <c r="CD35"/>
  <c r="CC35"/>
  <c r="CB35"/>
  <c r="CA35"/>
  <c r="BX35"/>
  <c r="BW35"/>
  <c r="BV35"/>
  <c r="BS35"/>
  <c r="BR35"/>
  <c r="BQ35"/>
  <c r="BP35"/>
  <c r="BO35"/>
  <c r="BN35"/>
  <c r="BK35"/>
  <c r="BJ35"/>
  <c r="BI35"/>
  <c r="BF35"/>
  <c r="BE35"/>
  <c r="BD35"/>
  <c r="BC35"/>
  <c r="BB35"/>
  <c r="BA35"/>
  <c r="AX35"/>
  <c r="AW35"/>
  <c r="AV35"/>
  <c r="AT35"/>
  <c r="DG35" s="1"/>
  <c r="AM35"/>
  <c r="CZ35" s="1"/>
  <c r="AL35"/>
  <c r="CY35" s="1"/>
  <c r="DF34"/>
  <c r="DE34"/>
  <c r="DD34"/>
  <c r="DC34"/>
  <c r="DB34"/>
  <c r="DA34"/>
  <c r="CZ34"/>
  <c r="CY34"/>
  <c r="CW34"/>
  <c r="CS34"/>
  <c r="CR34"/>
  <c r="CQ34"/>
  <c r="CP34"/>
  <c r="CO34"/>
  <c r="CN34"/>
  <c r="CM34"/>
  <c r="CL34"/>
  <c r="CJ34"/>
  <c r="CF34"/>
  <c r="CE34"/>
  <c r="CD34"/>
  <c r="CC34"/>
  <c r="CB34"/>
  <c r="CA34"/>
  <c r="BZ34"/>
  <c r="BY34"/>
  <c r="BW34"/>
  <c r="BS34"/>
  <c r="BR34"/>
  <c r="BQ34"/>
  <c r="BP34"/>
  <c r="BO34"/>
  <c r="BN34"/>
  <c r="BM34"/>
  <c r="BL34"/>
  <c r="BJ34"/>
  <c r="BF34"/>
  <c r="BE34"/>
  <c r="BD34"/>
  <c r="BC34"/>
  <c r="BB34"/>
  <c r="BA34"/>
  <c r="AZ34"/>
  <c r="AY34"/>
  <c r="AW34"/>
  <c r="AT34"/>
  <c r="DG34" s="1"/>
  <c r="AK34"/>
  <c r="CX34" s="1"/>
  <c r="AI34"/>
  <c r="DF33"/>
  <c r="DE33"/>
  <c r="DD33"/>
  <c r="DC33"/>
  <c r="DB33"/>
  <c r="DA33"/>
  <c r="CZ33"/>
  <c r="CY33"/>
  <c r="CX33"/>
  <c r="CS33"/>
  <c r="CR33"/>
  <c r="CQ33"/>
  <c r="CP33"/>
  <c r="CO33"/>
  <c r="CN33"/>
  <c r="CM33"/>
  <c r="CL33"/>
  <c r="CK33"/>
  <c r="CF33"/>
  <c r="CE33"/>
  <c r="CD33"/>
  <c r="CC33"/>
  <c r="CB33"/>
  <c r="CA33"/>
  <c r="BZ33"/>
  <c r="BY33"/>
  <c r="BX33"/>
  <c r="BS33"/>
  <c r="BR33"/>
  <c r="BQ33"/>
  <c r="BP33"/>
  <c r="BO33"/>
  <c r="BN33"/>
  <c r="BM33"/>
  <c r="BL33"/>
  <c r="BK33"/>
  <c r="BF33"/>
  <c r="BE33"/>
  <c r="BD33"/>
  <c r="BC33"/>
  <c r="BB33"/>
  <c r="BA33"/>
  <c r="AZ33"/>
  <c r="AY33"/>
  <c r="AX33"/>
  <c r="AT33"/>
  <c r="DG33" s="1"/>
  <c r="AJ33"/>
  <c r="AI33"/>
  <c r="CV33" s="1"/>
  <c r="DF31"/>
  <c r="DE31"/>
  <c r="DC31"/>
  <c r="DB31"/>
  <c r="DA31"/>
  <c r="CZ31"/>
  <c r="CY31"/>
  <c r="CX31"/>
  <c r="CW31"/>
  <c r="CV31"/>
  <c r="CS31"/>
  <c r="CR31"/>
  <c r="CP31"/>
  <c r="CO31"/>
  <c r="CN31"/>
  <c r="CM31"/>
  <c r="CL31"/>
  <c r="CK31"/>
  <c r="CJ31"/>
  <c r="CI31"/>
  <c r="CF31"/>
  <c r="CE31"/>
  <c r="CC31"/>
  <c r="CB31"/>
  <c r="CA31"/>
  <c r="BZ31"/>
  <c r="BY31"/>
  <c r="BX31"/>
  <c r="BW31"/>
  <c r="BV31"/>
  <c r="BS31"/>
  <c r="BR31"/>
  <c r="BP31"/>
  <c r="BO31"/>
  <c r="BN31"/>
  <c r="BM31"/>
  <c r="BL31"/>
  <c r="BK31"/>
  <c r="BJ31"/>
  <c r="BI31"/>
  <c r="BF31"/>
  <c r="BE31"/>
  <c r="BC31"/>
  <c r="BB31"/>
  <c r="BA31"/>
  <c r="AZ31"/>
  <c r="AY31"/>
  <c r="AX31"/>
  <c r="AW31"/>
  <c r="AV31"/>
  <c r="AT31"/>
  <c r="CT31" s="1"/>
  <c r="AQ31"/>
  <c r="DD31" s="1"/>
  <c r="DF30"/>
  <c r="DE30"/>
  <c r="DD30"/>
  <c r="DB30"/>
  <c r="DA30"/>
  <c r="CZ30"/>
  <c r="CY30"/>
  <c r="CX30"/>
  <c r="CW30"/>
  <c r="CV30"/>
  <c r="CS30"/>
  <c r="CR30"/>
  <c r="CQ30"/>
  <c r="CO30"/>
  <c r="CN30"/>
  <c r="CM30"/>
  <c r="CL30"/>
  <c r="CK30"/>
  <c r="CJ30"/>
  <c r="CI30"/>
  <c r="CF30"/>
  <c r="CE30"/>
  <c r="CD30"/>
  <c r="CB30"/>
  <c r="CA30"/>
  <c r="BZ30"/>
  <c r="BY30"/>
  <c r="BX30"/>
  <c r="BW30"/>
  <c r="BV30"/>
  <c r="BS30"/>
  <c r="BR30"/>
  <c r="BQ30"/>
  <c r="BO30"/>
  <c r="BN30"/>
  <c r="BM30"/>
  <c r="BL30"/>
  <c r="BK30"/>
  <c r="BJ30"/>
  <c r="BI30"/>
  <c r="BF30"/>
  <c r="BE30"/>
  <c r="BD30"/>
  <c r="BB30"/>
  <c r="BA30"/>
  <c r="AZ30"/>
  <c r="AY30"/>
  <c r="AX30"/>
  <c r="AW30"/>
  <c r="AV30"/>
  <c r="AT30"/>
  <c r="DG30" s="1"/>
  <c r="AP30"/>
  <c r="DF29"/>
  <c r="DE29"/>
  <c r="DD29"/>
  <c r="DA29"/>
  <c r="CZ29"/>
  <c r="CY29"/>
  <c r="CX29"/>
  <c r="CW29"/>
  <c r="CV29"/>
  <c r="CS29"/>
  <c r="CR29"/>
  <c r="CQ29"/>
  <c r="CN29"/>
  <c r="CM29"/>
  <c r="CL29"/>
  <c r="CK29"/>
  <c r="CJ29"/>
  <c r="CI29"/>
  <c r="CF29"/>
  <c r="CE29"/>
  <c r="CD29"/>
  <c r="CA29"/>
  <c r="BZ29"/>
  <c r="BY29"/>
  <c r="BX29"/>
  <c r="BW29"/>
  <c r="BV29"/>
  <c r="BS29"/>
  <c r="BR29"/>
  <c r="BQ29"/>
  <c r="BN29"/>
  <c r="BM29"/>
  <c r="BL29"/>
  <c r="BK29"/>
  <c r="BJ29"/>
  <c r="BI29"/>
  <c r="BF29"/>
  <c r="BE29"/>
  <c r="BD29"/>
  <c r="BA29"/>
  <c r="AZ29"/>
  <c r="AY29"/>
  <c r="AX29"/>
  <c r="AW29"/>
  <c r="AV29"/>
  <c r="AT29"/>
  <c r="CT29" s="1"/>
  <c r="AP29"/>
  <c r="DC29" s="1"/>
  <c r="AO29"/>
  <c r="DF28"/>
  <c r="DE28"/>
  <c r="DD28"/>
  <c r="DC28"/>
  <c r="DA28"/>
  <c r="CZ28"/>
  <c r="CY28"/>
  <c r="CX28"/>
  <c r="CW28"/>
  <c r="CV28"/>
  <c r="CS28"/>
  <c r="CR28"/>
  <c r="CQ28"/>
  <c r="CP28"/>
  <c r="CN28"/>
  <c r="CM28"/>
  <c r="CL28"/>
  <c r="CK28"/>
  <c r="CJ28"/>
  <c r="CI28"/>
  <c r="CF28"/>
  <c r="CE28"/>
  <c r="CD28"/>
  <c r="CC28"/>
  <c r="CA28"/>
  <c r="BZ28"/>
  <c r="BY28"/>
  <c r="BX28"/>
  <c r="BW28"/>
  <c r="BV28"/>
  <c r="BS28"/>
  <c r="BR28"/>
  <c r="BQ28"/>
  <c r="BP28"/>
  <c r="BN28"/>
  <c r="BM28"/>
  <c r="BL28"/>
  <c r="BK28"/>
  <c r="BJ28"/>
  <c r="BI28"/>
  <c r="BF28"/>
  <c r="BE28"/>
  <c r="BD28"/>
  <c r="BC28"/>
  <c r="BA28"/>
  <c r="AZ28"/>
  <c r="AY28"/>
  <c r="AX28"/>
  <c r="AW28"/>
  <c r="AV28"/>
  <c r="AT28"/>
  <c r="DG28" s="1"/>
  <c r="AO28"/>
  <c r="DB28" s="1"/>
  <c r="DF27"/>
  <c r="DE27"/>
  <c r="DD27"/>
  <c r="DC27"/>
  <c r="DB27"/>
  <c r="CZ27"/>
  <c r="CY27"/>
  <c r="CX27"/>
  <c r="CW27"/>
  <c r="CV27"/>
  <c r="CS27"/>
  <c r="CR27"/>
  <c r="CQ27"/>
  <c r="CP27"/>
  <c r="CO27"/>
  <c r="CM27"/>
  <c r="CL27"/>
  <c r="CK27"/>
  <c r="CJ27"/>
  <c r="CI27"/>
  <c r="CF27"/>
  <c r="CE27"/>
  <c r="CD27"/>
  <c r="CC27"/>
  <c r="CB27"/>
  <c r="BZ27"/>
  <c r="BY27"/>
  <c r="BX27"/>
  <c r="BW27"/>
  <c r="BV27"/>
  <c r="BS27"/>
  <c r="BR27"/>
  <c r="BQ27"/>
  <c r="BP27"/>
  <c r="BO27"/>
  <c r="BM27"/>
  <c r="BL27"/>
  <c r="BK27"/>
  <c r="BJ27"/>
  <c r="BI27"/>
  <c r="BF27"/>
  <c r="BE27"/>
  <c r="BD27"/>
  <c r="BC27"/>
  <c r="BB27"/>
  <c r="AZ27"/>
  <c r="AY27"/>
  <c r="AX27"/>
  <c r="AW27"/>
  <c r="AV27"/>
  <c r="AT27"/>
  <c r="DG27" s="1"/>
  <c r="AN27"/>
  <c r="DA27" s="1"/>
  <c r="DF26"/>
  <c r="DE26"/>
  <c r="DD26"/>
  <c r="DC26"/>
  <c r="DB26"/>
  <c r="DA26"/>
  <c r="CX26"/>
  <c r="CW26"/>
  <c r="CV26"/>
  <c r="CS26"/>
  <c r="CR26"/>
  <c r="CQ26"/>
  <c r="CP26"/>
  <c r="CO26"/>
  <c r="CN26"/>
  <c r="CK26"/>
  <c r="CJ26"/>
  <c r="CI26"/>
  <c r="CF26"/>
  <c r="CE26"/>
  <c r="CD26"/>
  <c r="CC26"/>
  <c r="CB26"/>
  <c r="CA26"/>
  <c r="BX26"/>
  <c r="BW26"/>
  <c r="BV26"/>
  <c r="BS26"/>
  <c r="BR26"/>
  <c r="BQ26"/>
  <c r="BP26"/>
  <c r="BO26"/>
  <c r="BN26"/>
  <c r="BK26"/>
  <c r="BJ26"/>
  <c r="BI26"/>
  <c r="BF26"/>
  <c r="BE26"/>
  <c r="BD26"/>
  <c r="BC26"/>
  <c r="BB26"/>
  <c r="BA26"/>
  <c r="AX26"/>
  <c r="AW26"/>
  <c r="AV26"/>
  <c r="AT26"/>
  <c r="DG26" s="1"/>
  <c r="AM26"/>
  <c r="CZ26" s="1"/>
  <c r="AL26"/>
  <c r="CY26" s="1"/>
  <c r="DF25"/>
  <c r="DE25"/>
  <c r="DD25"/>
  <c r="DC25"/>
  <c r="DB25"/>
  <c r="DA25"/>
  <c r="CZ25"/>
  <c r="CY25"/>
  <c r="CW25"/>
  <c r="CS25"/>
  <c r="CR25"/>
  <c r="CQ25"/>
  <c r="CP25"/>
  <c r="CO25"/>
  <c r="CN25"/>
  <c r="CM25"/>
  <c r="CL25"/>
  <c r="CJ25"/>
  <c r="CF25"/>
  <c r="CE25"/>
  <c r="CD25"/>
  <c r="CC25"/>
  <c r="CB25"/>
  <c r="CA25"/>
  <c r="BZ25"/>
  <c r="BY25"/>
  <c r="BW25"/>
  <c r="BS25"/>
  <c r="BR25"/>
  <c r="BQ25"/>
  <c r="BP25"/>
  <c r="BO25"/>
  <c r="BN25"/>
  <c r="BM25"/>
  <c r="BL25"/>
  <c r="BJ25"/>
  <c r="BF25"/>
  <c r="BE25"/>
  <c r="BD25"/>
  <c r="BC25"/>
  <c r="BB25"/>
  <c r="BA25"/>
  <c r="AZ25"/>
  <c r="AY25"/>
  <c r="AW25"/>
  <c r="AT25"/>
  <c r="DG25" s="1"/>
  <c r="AK25"/>
  <c r="CX25" s="1"/>
  <c r="AI25"/>
  <c r="DF24"/>
  <c r="DE24"/>
  <c r="DD24"/>
  <c r="DC24"/>
  <c r="DB24"/>
  <c r="DA24"/>
  <c r="CZ24"/>
  <c r="CY24"/>
  <c r="CX24"/>
  <c r="CS24"/>
  <c r="CR24"/>
  <c r="CQ24"/>
  <c r="CP24"/>
  <c r="CO24"/>
  <c r="CN24"/>
  <c r="CM24"/>
  <c r="CL24"/>
  <c r="CK24"/>
  <c r="CF24"/>
  <c r="CE24"/>
  <c r="CD24"/>
  <c r="CC24"/>
  <c r="CB24"/>
  <c r="CA24"/>
  <c r="BZ24"/>
  <c r="BY24"/>
  <c r="BX24"/>
  <c r="BS24"/>
  <c r="BR24"/>
  <c r="BQ24"/>
  <c r="BP24"/>
  <c r="BO24"/>
  <c r="BN24"/>
  <c r="BM24"/>
  <c r="BL24"/>
  <c r="BK24"/>
  <c r="BF24"/>
  <c r="BE24"/>
  <c r="BD24"/>
  <c r="BC24"/>
  <c r="BB24"/>
  <c r="BA24"/>
  <c r="AZ24"/>
  <c r="AY24"/>
  <c r="AX24"/>
  <c r="AT24"/>
  <c r="DG24" s="1"/>
  <c r="AJ24"/>
  <c r="AI24"/>
  <c r="CV24" s="1"/>
  <c r="DF22"/>
  <c r="DE22"/>
  <c r="DC22"/>
  <c r="DB22"/>
  <c r="DA22"/>
  <c r="CZ22"/>
  <c r="CY22"/>
  <c r="CX22"/>
  <c r="CW22"/>
  <c r="CV22"/>
  <c r="CS22"/>
  <c r="CR22"/>
  <c r="CP22"/>
  <c r="CO22"/>
  <c r="CN22"/>
  <c r="CM22"/>
  <c r="CL22"/>
  <c r="CK22"/>
  <c r="CJ22"/>
  <c r="CI22"/>
  <c r="CF22"/>
  <c r="CE22"/>
  <c r="CC22"/>
  <c r="CB22"/>
  <c r="CA22"/>
  <c r="BZ22"/>
  <c r="BY22"/>
  <c r="BX22"/>
  <c r="BW22"/>
  <c r="BV22"/>
  <c r="BS22"/>
  <c r="BR22"/>
  <c r="BP22"/>
  <c r="BO22"/>
  <c r="BN22"/>
  <c r="BM22"/>
  <c r="BL22"/>
  <c r="BK22"/>
  <c r="BJ22"/>
  <c r="BI22"/>
  <c r="BF22"/>
  <c r="BE22"/>
  <c r="BC22"/>
  <c r="BB22"/>
  <c r="BA22"/>
  <c r="AZ22"/>
  <c r="AY22"/>
  <c r="AX22"/>
  <c r="AW22"/>
  <c r="AV22"/>
  <c r="AT22"/>
  <c r="DG22" s="1"/>
  <c r="AQ22"/>
  <c r="DD22" s="1"/>
  <c r="DF21"/>
  <c r="DE21"/>
  <c r="DD21"/>
  <c r="DB21"/>
  <c r="DA21"/>
  <c r="CZ21"/>
  <c r="CY21"/>
  <c r="CX21"/>
  <c r="CW21"/>
  <c r="CV21"/>
  <c r="CS21"/>
  <c r="CR21"/>
  <c r="CQ21"/>
  <c r="CO21"/>
  <c r="CN21"/>
  <c r="CM21"/>
  <c r="CL21"/>
  <c r="CK21"/>
  <c r="CJ21"/>
  <c r="CI21"/>
  <c r="CF21"/>
  <c r="CE21"/>
  <c r="CD21"/>
  <c r="CB21"/>
  <c r="CA21"/>
  <c r="BZ21"/>
  <c r="BY21"/>
  <c r="BX21"/>
  <c r="BW21"/>
  <c r="BV21"/>
  <c r="BS21"/>
  <c r="BR21"/>
  <c r="BQ21"/>
  <c r="BO21"/>
  <c r="BN21"/>
  <c r="BM21"/>
  <c r="BL21"/>
  <c r="BK21"/>
  <c r="BJ21"/>
  <c r="BI21"/>
  <c r="BF21"/>
  <c r="BE21"/>
  <c r="BD21"/>
  <c r="BB21"/>
  <c r="BA21"/>
  <c r="AZ21"/>
  <c r="AY21"/>
  <c r="AX21"/>
  <c r="AW21"/>
  <c r="AV21"/>
  <c r="AT21"/>
  <c r="DG21" s="1"/>
  <c r="AP21"/>
  <c r="DF20"/>
  <c r="DE20"/>
  <c r="DD20"/>
  <c r="DA20"/>
  <c r="CZ20"/>
  <c r="CY20"/>
  <c r="CX20"/>
  <c r="CW20"/>
  <c r="CV20"/>
  <c r="CS20"/>
  <c r="CR20"/>
  <c r="CQ20"/>
  <c r="CN20"/>
  <c r="CM20"/>
  <c r="CL20"/>
  <c r="CK20"/>
  <c r="CJ20"/>
  <c r="CI20"/>
  <c r="CF20"/>
  <c r="CE20"/>
  <c r="CD20"/>
  <c r="CA20"/>
  <c r="BZ20"/>
  <c r="BY20"/>
  <c r="BX20"/>
  <c r="BW20"/>
  <c r="BV20"/>
  <c r="BS20"/>
  <c r="BR20"/>
  <c r="BQ20"/>
  <c r="BN20"/>
  <c r="BM20"/>
  <c r="BL20"/>
  <c r="BK20"/>
  <c r="BJ20"/>
  <c r="BI20"/>
  <c r="BF20"/>
  <c r="BE20"/>
  <c r="BD20"/>
  <c r="BA20"/>
  <c r="AZ20"/>
  <c r="AY20"/>
  <c r="AX20"/>
  <c r="AW20"/>
  <c r="AV20"/>
  <c r="AT20"/>
  <c r="CT20" s="1"/>
  <c r="AP20"/>
  <c r="DC20" s="1"/>
  <c r="AO20"/>
  <c r="DF19"/>
  <c r="DE19"/>
  <c r="DD19"/>
  <c r="DC19"/>
  <c r="DA19"/>
  <c r="CZ19"/>
  <c r="CY19"/>
  <c r="CX19"/>
  <c r="CW19"/>
  <c r="CV19"/>
  <c r="CS19"/>
  <c r="CR19"/>
  <c r="CQ19"/>
  <c r="CP19"/>
  <c r="CN19"/>
  <c r="CM19"/>
  <c r="CL19"/>
  <c r="CK19"/>
  <c r="CJ19"/>
  <c r="CI19"/>
  <c r="CF19"/>
  <c r="CE19"/>
  <c r="CD19"/>
  <c r="CC19"/>
  <c r="CA19"/>
  <c r="BZ19"/>
  <c r="BY19"/>
  <c r="BX19"/>
  <c r="BW19"/>
  <c r="BV19"/>
  <c r="BS19"/>
  <c r="BR19"/>
  <c r="BQ19"/>
  <c r="BP19"/>
  <c r="BN19"/>
  <c r="BM19"/>
  <c r="BL19"/>
  <c r="BK19"/>
  <c r="BJ19"/>
  <c r="BI19"/>
  <c r="BF19"/>
  <c r="BE19"/>
  <c r="BD19"/>
  <c r="BC19"/>
  <c r="BA19"/>
  <c r="AZ19"/>
  <c r="AY19"/>
  <c r="AX19"/>
  <c r="AW19"/>
  <c r="AV19"/>
  <c r="AT19"/>
  <c r="DG19" s="1"/>
  <c r="AO19"/>
  <c r="CO19" s="1"/>
  <c r="DF18"/>
  <c r="DE18"/>
  <c r="DD18"/>
  <c r="DC18"/>
  <c r="DB18"/>
  <c r="CZ18"/>
  <c r="CY18"/>
  <c r="CX18"/>
  <c r="CW18"/>
  <c r="CV18"/>
  <c r="CS18"/>
  <c r="CR18"/>
  <c r="CQ18"/>
  <c r="CP18"/>
  <c r="CO18"/>
  <c r="CM18"/>
  <c r="CL18"/>
  <c r="CK18"/>
  <c r="CJ18"/>
  <c r="CI18"/>
  <c r="CF18"/>
  <c r="CE18"/>
  <c r="CD18"/>
  <c r="CC18"/>
  <c r="CB18"/>
  <c r="BZ18"/>
  <c r="BY18"/>
  <c r="BX18"/>
  <c r="BW18"/>
  <c r="BV18"/>
  <c r="BS18"/>
  <c r="BR18"/>
  <c r="BQ18"/>
  <c r="BP18"/>
  <c r="BO18"/>
  <c r="BM18"/>
  <c r="BL18"/>
  <c r="BK18"/>
  <c r="BJ18"/>
  <c r="BI18"/>
  <c r="BF18"/>
  <c r="BE18"/>
  <c r="BD18"/>
  <c r="BC18"/>
  <c r="BB18"/>
  <c r="AZ18"/>
  <c r="AY18"/>
  <c r="AX18"/>
  <c r="AW18"/>
  <c r="AV18"/>
  <c r="AT18"/>
  <c r="DG18" s="1"/>
  <c r="AN18"/>
  <c r="DA18" s="1"/>
  <c r="DF17"/>
  <c r="DE17"/>
  <c r="DD17"/>
  <c r="DC17"/>
  <c r="DB17"/>
  <c r="DA17"/>
  <c r="CX17"/>
  <c r="CW17"/>
  <c r="CV17"/>
  <c r="CS17"/>
  <c r="CR17"/>
  <c r="CQ17"/>
  <c r="CP17"/>
  <c r="CO17"/>
  <c r="CN17"/>
  <c r="CK17"/>
  <c r="CJ17"/>
  <c r="CI17"/>
  <c r="CF17"/>
  <c r="CE17"/>
  <c r="CD17"/>
  <c r="CC17"/>
  <c r="CB17"/>
  <c r="CA17"/>
  <c r="BX17"/>
  <c r="BW17"/>
  <c r="BV17"/>
  <c r="BS17"/>
  <c r="BR17"/>
  <c r="BQ17"/>
  <c r="BP17"/>
  <c r="BO17"/>
  <c r="BN17"/>
  <c r="BK17"/>
  <c r="BJ17"/>
  <c r="BI17"/>
  <c r="BF17"/>
  <c r="BE17"/>
  <c r="BD17"/>
  <c r="BC17"/>
  <c r="BB17"/>
  <c r="BA17"/>
  <c r="AX17"/>
  <c r="AW17"/>
  <c r="AV17"/>
  <c r="AT17"/>
  <c r="DG17" s="1"/>
  <c r="AM17"/>
  <c r="CZ17" s="1"/>
  <c r="AL17"/>
  <c r="CY17" s="1"/>
  <c r="DF16"/>
  <c r="DE16"/>
  <c r="DD16"/>
  <c r="DC16"/>
  <c r="DB16"/>
  <c r="DA16"/>
  <c r="CZ16"/>
  <c r="CY16"/>
  <c r="CW16"/>
  <c r="CS16"/>
  <c r="CR16"/>
  <c r="CQ16"/>
  <c r="CP16"/>
  <c r="CO16"/>
  <c r="CN16"/>
  <c r="CM16"/>
  <c r="CL16"/>
  <c r="CJ16"/>
  <c r="CF16"/>
  <c r="CE16"/>
  <c r="CD16"/>
  <c r="CC16"/>
  <c r="CB16"/>
  <c r="CA16"/>
  <c r="BZ16"/>
  <c r="BY16"/>
  <c r="BW16"/>
  <c r="BS16"/>
  <c r="BR16"/>
  <c r="BQ16"/>
  <c r="BP16"/>
  <c r="BO16"/>
  <c r="BN16"/>
  <c r="BM16"/>
  <c r="BL16"/>
  <c r="BJ16"/>
  <c r="BF16"/>
  <c r="BE16"/>
  <c r="BD16"/>
  <c r="BC16"/>
  <c r="BB16"/>
  <c r="BA16"/>
  <c r="AZ16"/>
  <c r="AY16"/>
  <c r="AW16"/>
  <c r="AT16"/>
  <c r="DG16" s="1"/>
  <c r="AK16"/>
  <c r="CX16" s="1"/>
  <c r="AI16"/>
  <c r="DF15"/>
  <c r="DE15"/>
  <c r="DD15"/>
  <c r="DC15"/>
  <c r="DB15"/>
  <c r="DA15"/>
  <c r="CZ15"/>
  <c r="CY15"/>
  <c r="CX15"/>
  <c r="CS15"/>
  <c r="CR15"/>
  <c r="CQ15"/>
  <c r="CP15"/>
  <c r="CO15"/>
  <c r="CN15"/>
  <c r="CM15"/>
  <c r="CL15"/>
  <c r="CK15"/>
  <c r="CF15"/>
  <c r="CE15"/>
  <c r="CD15"/>
  <c r="CC15"/>
  <c r="CB15"/>
  <c r="CA15"/>
  <c r="BZ15"/>
  <c r="BY15"/>
  <c r="BX15"/>
  <c r="BS15"/>
  <c r="BR15"/>
  <c r="BQ15"/>
  <c r="BP15"/>
  <c r="BO15"/>
  <c r="BN15"/>
  <c r="BM15"/>
  <c r="BL15"/>
  <c r="BK15"/>
  <c r="BF15"/>
  <c r="BE15"/>
  <c r="BD15"/>
  <c r="BC15"/>
  <c r="BB15"/>
  <c r="BA15"/>
  <c r="AZ15"/>
  <c r="AY15"/>
  <c r="AX15"/>
  <c r="AT15"/>
  <c r="DG15" s="1"/>
  <c r="AJ15"/>
  <c r="AI15"/>
  <c r="CV15" s="1"/>
  <c r="DF13"/>
  <c r="DE13"/>
  <c r="DC13"/>
  <c r="DB13"/>
  <c r="DA13"/>
  <c r="CZ13"/>
  <c r="CY13"/>
  <c r="CX13"/>
  <c r="CW13"/>
  <c r="CV13"/>
  <c r="CS13"/>
  <c r="CR13"/>
  <c r="CP13"/>
  <c r="CO13"/>
  <c r="CN13"/>
  <c r="CM13"/>
  <c r="CL13"/>
  <c r="CK13"/>
  <c r="CJ13"/>
  <c r="CI13"/>
  <c r="CF13"/>
  <c r="CE13"/>
  <c r="CC13"/>
  <c r="CB13"/>
  <c r="CA13"/>
  <c r="BZ13"/>
  <c r="BY13"/>
  <c r="BX13"/>
  <c r="BW13"/>
  <c r="BV13"/>
  <c r="BS13"/>
  <c r="BR13"/>
  <c r="BP13"/>
  <c r="BO13"/>
  <c r="BN13"/>
  <c r="BM13"/>
  <c r="BL13"/>
  <c r="BK13"/>
  <c r="BJ13"/>
  <c r="BI13"/>
  <c r="BF13"/>
  <c r="BE13"/>
  <c r="BC13"/>
  <c r="BB13"/>
  <c r="BA13"/>
  <c r="AZ13"/>
  <c r="AY13"/>
  <c r="AX13"/>
  <c r="AW13"/>
  <c r="AV13"/>
  <c r="AT13"/>
  <c r="DG13" s="1"/>
  <c r="AQ13"/>
  <c r="DD13" s="1"/>
  <c r="DF12"/>
  <c r="DE12"/>
  <c r="DD12"/>
  <c r="DB12"/>
  <c r="DA12"/>
  <c r="CZ12"/>
  <c r="CY12"/>
  <c r="CX12"/>
  <c r="CW12"/>
  <c r="CV12"/>
  <c r="CS12"/>
  <c r="CR12"/>
  <c r="CQ12"/>
  <c r="CO12"/>
  <c r="CN12"/>
  <c r="CM12"/>
  <c r="CL12"/>
  <c r="CK12"/>
  <c r="CJ12"/>
  <c r="CI12"/>
  <c r="CF12"/>
  <c r="CE12"/>
  <c r="CD12"/>
  <c r="CB12"/>
  <c r="CA12"/>
  <c r="BZ12"/>
  <c r="BY12"/>
  <c r="BX12"/>
  <c r="BW12"/>
  <c r="BV12"/>
  <c r="BS12"/>
  <c r="BR12"/>
  <c r="BQ12"/>
  <c r="BO12"/>
  <c r="BN12"/>
  <c r="BM12"/>
  <c r="BL12"/>
  <c r="BK12"/>
  <c r="BJ12"/>
  <c r="BI12"/>
  <c r="BF12"/>
  <c r="BE12"/>
  <c r="BD12"/>
  <c r="BB12"/>
  <c r="BA12"/>
  <c r="AZ12"/>
  <c r="AY12"/>
  <c r="AX12"/>
  <c r="AW12"/>
  <c r="AV12"/>
  <c r="AT12"/>
  <c r="DG12" s="1"/>
  <c r="AP12"/>
  <c r="DF11"/>
  <c r="DE11"/>
  <c r="DD11"/>
  <c r="DA11"/>
  <c r="CZ11"/>
  <c r="CY11"/>
  <c r="CX11"/>
  <c r="CW11"/>
  <c r="CV11"/>
  <c r="CS11"/>
  <c r="CR11"/>
  <c r="CQ11"/>
  <c r="CN11"/>
  <c r="CM11"/>
  <c r="CL11"/>
  <c r="CK11"/>
  <c r="CJ11"/>
  <c r="CI11"/>
  <c r="CF11"/>
  <c r="CE11"/>
  <c r="CD11"/>
  <c r="CA11"/>
  <c r="BZ11"/>
  <c r="BY11"/>
  <c r="BX11"/>
  <c r="BW11"/>
  <c r="BV11"/>
  <c r="BS11"/>
  <c r="BR11"/>
  <c r="BQ11"/>
  <c r="BN11"/>
  <c r="BM11"/>
  <c r="BL11"/>
  <c r="BK11"/>
  <c r="BJ11"/>
  <c r="BI11"/>
  <c r="BF11"/>
  <c r="BE11"/>
  <c r="BD11"/>
  <c r="BA11"/>
  <c r="AZ11"/>
  <c r="AY11"/>
  <c r="AX11"/>
  <c r="AW11"/>
  <c r="AV11"/>
  <c r="AT11"/>
  <c r="CT11" s="1"/>
  <c r="AP11"/>
  <c r="DC11" s="1"/>
  <c r="AO11"/>
  <c r="DF10"/>
  <c r="DE10"/>
  <c r="DD10"/>
  <c r="DC10"/>
  <c r="DA10"/>
  <c r="CZ10"/>
  <c r="CY10"/>
  <c r="CX10"/>
  <c r="CW10"/>
  <c r="CV10"/>
  <c r="CS10"/>
  <c r="CR10"/>
  <c r="CQ10"/>
  <c r="CP10"/>
  <c r="CN10"/>
  <c r="CM10"/>
  <c r="CL10"/>
  <c r="CK10"/>
  <c r="CJ10"/>
  <c r="CI10"/>
  <c r="CF10"/>
  <c r="CE10"/>
  <c r="CD10"/>
  <c r="CC10"/>
  <c r="CA10"/>
  <c r="BZ10"/>
  <c r="BY10"/>
  <c r="BX10"/>
  <c r="BW10"/>
  <c r="BV10"/>
  <c r="BS10"/>
  <c r="BR10"/>
  <c r="BQ10"/>
  <c r="BP10"/>
  <c r="BN10"/>
  <c r="BM10"/>
  <c r="BL10"/>
  <c r="BK10"/>
  <c r="BJ10"/>
  <c r="BI10"/>
  <c r="BF10"/>
  <c r="BE10"/>
  <c r="BD10"/>
  <c r="BC10"/>
  <c r="BA10"/>
  <c r="AZ10"/>
  <c r="AY10"/>
  <c r="AX10"/>
  <c r="AW10"/>
  <c r="AV10"/>
  <c r="AT10"/>
  <c r="DG10" s="1"/>
  <c r="AO10"/>
  <c r="CO10" s="1"/>
  <c r="DF9"/>
  <c r="DE9"/>
  <c r="DD9"/>
  <c r="DC9"/>
  <c r="DB9"/>
  <c r="CZ9"/>
  <c r="CY9"/>
  <c r="CX9"/>
  <c r="CW9"/>
  <c r="CV9"/>
  <c r="CS9"/>
  <c r="CR9"/>
  <c r="CQ9"/>
  <c r="CP9"/>
  <c r="CO9"/>
  <c r="CM9"/>
  <c r="CL9"/>
  <c r="CK9"/>
  <c r="CJ9"/>
  <c r="CI9"/>
  <c r="CF9"/>
  <c r="CE9"/>
  <c r="CD9"/>
  <c r="CC9"/>
  <c r="CB9"/>
  <c r="BZ9"/>
  <c r="BY9"/>
  <c r="BX9"/>
  <c r="BW9"/>
  <c r="BV9"/>
  <c r="BS9"/>
  <c r="BR9"/>
  <c r="BQ9"/>
  <c r="BP9"/>
  <c r="BO9"/>
  <c r="BM9"/>
  <c r="BL9"/>
  <c r="BK9"/>
  <c r="BJ9"/>
  <c r="BI9"/>
  <c r="BF9"/>
  <c r="BE9"/>
  <c r="BD9"/>
  <c r="BC9"/>
  <c r="BB9"/>
  <c r="AZ9"/>
  <c r="AY9"/>
  <c r="AX9"/>
  <c r="AW9"/>
  <c r="AT9"/>
  <c r="DG9" s="1"/>
  <c r="AN9"/>
  <c r="CN9" s="1"/>
  <c r="DF8"/>
  <c r="DE8"/>
  <c r="DD8"/>
  <c r="DC8"/>
  <c r="DB8"/>
  <c r="DA8"/>
  <c r="CX8"/>
  <c r="CW8"/>
  <c r="CV8"/>
  <c r="CS8"/>
  <c r="CR8"/>
  <c r="CQ8"/>
  <c r="CP8"/>
  <c r="CO8"/>
  <c r="CN8"/>
  <c r="CK8"/>
  <c r="CJ8"/>
  <c r="CI8"/>
  <c r="CF8"/>
  <c r="CE8"/>
  <c r="CD8"/>
  <c r="CC8"/>
  <c r="CB8"/>
  <c r="CA8"/>
  <c r="BX8"/>
  <c r="BW8"/>
  <c r="BV8"/>
  <c r="BS8"/>
  <c r="BR8"/>
  <c r="BQ8"/>
  <c r="BP8"/>
  <c r="BO8"/>
  <c r="BN8"/>
  <c r="BK8"/>
  <c r="BJ8"/>
  <c r="BI8"/>
  <c r="BF8"/>
  <c r="BE8"/>
  <c r="BD8"/>
  <c r="BC8"/>
  <c r="BB8"/>
  <c r="BA8"/>
  <c r="AX8"/>
  <c r="AW8"/>
  <c r="AV8"/>
  <c r="AT8"/>
  <c r="DG8" s="1"/>
  <c r="AM8"/>
  <c r="CZ8" s="1"/>
  <c r="AL8"/>
  <c r="CY8" s="1"/>
  <c r="DF7"/>
  <c r="DE7"/>
  <c r="DD7"/>
  <c r="DC7"/>
  <c r="DB7"/>
  <c r="DA7"/>
  <c r="CZ7"/>
  <c r="CY7"/>
  <c r="CW7"/>
  <c r="CS7"/>
  <c r="CR7"/>
  <c r="CQ7"/>
  <c r="CP7"/>
  <c r="CO7"/>
  <c r="CN7"/>
  <c r="CM7"/>
  <c r="CL7"/>
  <c r="CJ7"/>
  <c r="CF7"/>
  <c r="CE7"/>
  <c r="CD7"/>
  <c r="CC7"/>
  <c r="CB7"/>
  <c r="CA7"/>
  <c r="BZ7"/>
  <c r="BY7"/>
  <c r="BW7"/>
  <c r="BS7"/>
  <c r="BR7"/>
  <c r="BQ7"/>
  <c r="BP7"/>
  <c r="BO7"/>
  <c r="BN7"/>
  <c r="BM7"/>
  <c r="BL7"/>
  <c r="BJ7"/>
  <c r="BF7"/>
  <c r="BE7"/>
  <c r="BD7"/>
  <c r="BC7"/>
  <c r="BB7"/>
  <c r="BA7"/>
  <c r="AZ7"/>
  <c r="AY7"/>
  <c r="AW7"/>
  <c r="AT7"/>
  <c r="DG7" s="1"/>
  <c r="AK7"/>
  <c r="CX7" s="1"/>
  <c r="AI7"/>
  <c r="DF6"/>
  <c r="DE6"/>
  <c r="DD6"/>
  <c r="DC6"/>
  <c r="DB6"/>
  <c r="DA6"/>
  <c r="CZ6"/>
  <c r="CY6"/>
  <c r="CX6"/>
  <c r="CS6"/>
  <c r="CR6"/>
  <c r="CQ6"/>
  <c r="CP6"/>
  <c r="CO6"/>
  <c r="CN6"/>
  <c r="CM6"/>
  <c r="CL6"/>
  <c r="CK6"/>
  <c r="CF6"/>
  <c r="CE6"/>
  <c r="CD6"/>
  <c r="CC6"/>
  <c r="CB6"/>
  <c r="CA6"/>
  <c r="BZ6"/>
  <c r="BY6"/>
  <c r="BX6"/>
  <c r="BS6"/>
  <c r="BR6"/>
  <c r="BQ6"/>
  <c r="BP6"/>
  <c r="BO6"/>
  <c r="BN6"/>
  <c r="BM6"/>
  <c r="BL6"/>
  <c r="BK6"/>
  <c r="BF6"/>
  <c r="BE6"/>
  <c r="BD6"/>
  <c r="BC6"/>
  <c r="BB6"/>
  <c r="BA6"/>
  <c r="AZ6"/>
  <c r="AY6"/>
  <c r="AX6"/>
  <c r="AT6"/>
  <c r="DG6" s="1"/>
  <c r="AJ6"/>
  <c r="AI6"/>
  <c r="CV6" s="1"/>
  <c r="DQ72" i="2"/>
  <c r="DN72"/>
  <c r="DM72"/>
  <c r="DL72"/>
  <c r="DJ72"/>
  <c r="DI72"/>
  <c r="DH72"/>
  <c r="DG72"/>
  <c r="DC72"/>
  <c r="CZ72"/>
  <c r="CY72"/>
  <c r="CX72"/>
  <c r="CV72"/>
  <c r="CU72"/>
  <c r="CT72"/>
  <c r="CS72"/>
  <c r="CO72"/>
  <c r="CL72"/>
  <c r="CK72"/>
  <c r="CJ72"/>
  <c r="CH72"/>
  <c r="CG72"/>
  <c r="CF72"/>
  <c r="CE72"/>
  <c r="CA72"/>
  <c r="BX72"/>
  <c r="BW72"/>
  <c r="BV72"/>
  <c r="BT72"/>
  <c r="BS72"/>
  <c r="BR72"/>
  <c r="BQ72"/>
  <c r="BM72"/>
  <c r="BJ72"/>
  <c r="BI72"/>
  <c r="BH72"/>
  <c r="BF72"/>
  <c r="BE72"/>
  <c r="BD72"/>
  <c r="BC72"/>
  <c r="AX72"/>
  <c r="DR72" s="1"/>
  <c r="AV72"/>
  <c r="DP72" s="1"/>
  <c r="AU72"/>
  <c r="AQ72"/>
  <c r="DK72" s="1"/>
  <c r="P72"/>
  <c r="I72"/>
  <c r="G72"/>
  <c r="DQ71"/>
  <c r="DP71"/>
  <c r="DO71"/>
  <c r="DN71"/>
  <c r="DM71"/>
  <c r="DK71"/>
  <c r="DJ71"/>
  <c r="DI71"/>
  <c r="DC71"/>
  <c r="DB71"/>
  <c r="DA71"/>
  <c r="CZ71"/>
  <c r="CY71"/>
  <c r="CW71"/>
  <c r="CV71"/>
  <c r="CU71"/>
  <c r="CO71"/>
  <c r="CN71"/>
  <c r="CM71"/>
  <c r="CL71"/>
  <c r="CK71"/>
  <c r="CI71"/>
  <c r="CH71"/>
  <c r="CG71"/>
  <c r="CA71"/>
  <c r="BZ71"/>
  <c r="BY71"/>
  <c r="BX71"/>
  <c r="BW71"/>
  <c r="BU71"/>
  <c r="BT71"/>
  <c r="BS71"/>
  <c r="BM71"/>
  <c r="BL71"/>
  <c r="BK71"/>
  <c r="BJ71"/>
  <c r="BI71"/>
  <c r="BG71"/>
  <c r="BF71"/>
  <c r="BE71"/>
  <c r="AX71"/>
  <c r="DR71" s="1"/>
  <c r="AR71"/>
  <c r="DH71"/>
  <c r="DG71"/>
  <c r="P71"/>
  <c r="L71"/>
  <c r="I71"/>
  <c r="G71"/>
  <c r="DQ69"/>
  <c r="DP69"/>
  <c r="DO69"/>
  <c r="DN69"/>
  <c r="DM69"/>
  <c r="DJ69"/>
  <c r="DI69"/>
  <c r="DH69"/>
  <c r="DG69"/>
  <c r="DC69"/>
  <c r="DB69"/>
  <c r="DA69"/>
  <c r="CZ69"/>
  <c r="CY69"/>
  <c r="CV69"/>
  <c r="CU69"/>
  <c r="CT69"/>
  <c r="CS69"/>
  <c r="CO69"/>
  <c r="CN69"/>
  <c r="CM69"/>
  <c r="CL69"/>
  <c r="CK69"/>
  <c r="CH69"/>
  <c r="CG69"/>
  <c r="CF69"/>
  <c r="CE69"/>
  <c r="CA69"/>
  <c r="BZ69"/>
  <c r="BY69"/>
  <c r="BX69"/>
  <c r="BW69"/>
  <c r="BT69"/>
  <c r="BS69"/>
  <c r="BR69"/>
  <c r="BQ69"/>
  <c r="BM69"/>
  <c r="BL69"/>
  <c r="BK69"/>
  <c r="BJ69"/>
  <c r="BI69"/>
  <c r="BF69"/>
  <c r="BE69"/>
  <c r="BD69"/>
  <c r="BC69"/>
  <c r="AX69"/>
  <c r="DR69" s="1"/>
  <c r="AR69"/>
  <c r="AQ69"/>
  <c r="DK69" s="1"/>
  <c r="P69"/>
  <c r="L69"/>
  <c r="I69"/>
  <c r="G69"/>
  <c r="DQ68"/>
  <c r="DP68"/>
  <c r="DO68"/>
  <c r="DN68"/>
  <c r="DM68"/>
  <c r="DK68"/>
  <c r="DJ68"/>
  <c r="DI68"/>
  <c r="DH68"/>
  <c r="DG68"/>
  <c r="DC68"/>
  <c r="DB68"/>
  <c r="DA68"/>
  <c r="CZ68"/>
  <c r="CY68"/>
  <c r="CW68"/>
  <c r="CV68"/>
  <c r="CU68"/>
  <c r="CT68"/>
  <c r="CS68"/>
  <c r="CO68"/>
  <c r="CN68"/>
  <c r="CM68"/>
  <c r="CL68"/>
  <c r="CK68"/>
  <c r="CI68"/>
  <c r="CH68"/>
  <c r="CG68"/>
  <c r="CF68"/>
  <c r="CE68"/>
  <c r="CA68"/>
  <c r="BZ68"/>
  <c r="BY68"/>
  <c r="BX68"/>
  <c r="BW68"/>
  <c r="BU68"/>
  <c r="BT68"/>
  <c r="BS68"/>
  <c r="BR68"/>
  <c r="BQ68"/>
  <c r="BM68"/>
  <c r="BL68"/>
  <c r="BK68"/>
  <c r="BJ68"/>
  <c r="BI68"/>
  <c r="BG68"/>
  <c r="BF68"/>
  <c r="BE68"/>
  <c r="BD68"/>
  <c r="BC68"/>
  <c r="AX68"/>
  <c r="DR68" s="1"/>
  <c r="AR68"/>
  <c r="P68"/>
  <c r="L68"/>
  <c r="I68"/>
  <c r="G68"/>
  <c r="DQ67"/>
  <c r="DP67"/>
  <c r="DO67"/>
  <c r="DN67"/>
  <c r="DM67"/>
  <c r="DK67"/>
  <c r="DJ67"/>
  <c r="DI67"/>
  <c r="DC67"/>
  <c r="DB67"/>
  <c r="DA67"/>
  <c r="CZ67"/>
  <c r="CY67"/>
  <c r="CW67"/>
  <c r="CV67"/>
  <c r="CU67"/>
  <c r="CO67"/>
  <c r="CN67"/>
  <c r="CM67"/>
  <c r="CL67"/>
  <c r="CK67"/>
  <c r="CI67"/>
  <c r="CH67"/>
  <c r="CG67"/>
  <c r="CA67"/>
  <c r="BZ67"/>
  <c r="BY67"/>
  <c r="BX67"/>
  <c r="BW67"/>
  <c r="BU67"/>
  <c r="BT67"/>
  <c r="BS67"/>
  <c r="BM67"/>
  <c r="BL67"/>
  <c r="BK67"/>
  <c r="BJ67"/>
  <c r="BI67"/>
  <c r="BG67"/>
  <c r="BF67"/>
  <c r="BE67"/>
  <c r="AX67"/>
  <c r="DD67" s="1"/>
  <c r="AR67"/>
  <c r="DL67" s="1"/>
  <c r="CT67"/>
  <c r="DG67"/>
  <c r="P67"/>
  <c r="L67"/>
  <c r="I67"/>
  <c r="G67"/>
  <c r="DQ62"/>
  <c r="DM62"/>
  <c r="DL62"/>
  <c r="DK62"/>
  <c r="DJ62"/>
  <c r="DI62"/>
  <c r="DH62"/>
  <c r="DG62"/>
  <c r="DC62"/>
  <c r="CY62"/>
  <c r="CX62"/>
  <c r="CW62"/>
  <c r="CV62"/>
  <c r="CU62"/>
  <c r="CT62"/>
  <c r="CS62"/>
  <c r="CO62"/>
  <c r="CK62"/>
  <c r="CJ62"/>
  <c r="CI62"/>
  <c r="CH62"/>
  <c r="CG62"/>
  <c r="CF62"/>
  <c r="CE62"/>
  <c r="CA62"/>
  <c r="BW62"/>
  <c r="BV62"/>
  <c r="BU62"/>
  <c r="BT62"/>
  <c r="BS62"/>
  <c r="BR62"/>
  <c r="BQ62"/>
  <c r="BM62"/>
  <c r="BI62"/>
  <c r="BH62"/>
  <c r="BG62"/>
  <c r="BF62"/>
  <c r="BE62"/>
  <c r="BD62"/>
  <c r="BC62"/>
  <c r="AX62"/>
  <c r="DR62" s="1"/>
  <c r="AV62"/>
  <c r="AU62"/>
  <c r="DA62" s="1"/>
  <c r="AT62"/>
  <c r="P62"/>
  <c r="I62"/>
  <c r="G62"/>
  <c r="DQ61"/>
  <c r="DN61"/>
  <c r="DM61"/>
  <c r="DL61"/>
  <c r="DJ61"/>
  <c r="DI61"/>
  <c r="DH61"/>
  <c r="DG61"/>
  <c r="DC61"/>
  <c r="CZ61"/>
  <c r="CY61"/>
  <c r="CX61"/>
  <c r="CV61"/>
  <c r="CU61"/>
  <c r="CT61"/>
  <c r="CS61"/>
  <c r="CO61"/>
  <c r="CL61"/>
  <c r="CK61"/>
  <c r="CJ61"/>
  <c r="CH61"/>
  <c r="CG61"/>
  <c r="CF61"/>
  <c r="CE61"/>
  <c r="CA61"/>
  <c r="BX61"/>
  <c r="BW61"/>
  <c r="BV61"/>
  <c r="BT61"/>
  <c r="BS61"/>
  <c r="BR61"/>
  <c r="BQ61"/>
  <c r="BM61"/>
  <c r="BJ61"/>
  <c r="BI61"/>
  <c r="BH61"/>
  <c r="BF61"/>
  <c r="BE61"/>
  <c r="BD61"/>
  <c r="BC61"/>
  <c r="AX61"/>
  <c r="DR61" s="1"/>
  <c r="AV61"/>
  <c r="DB61" s="1"/>
  <c r="AU61"/>
  <c r="AQ61"/>
  <c r="DK61" s="1"/>
  <c r="P61"/>
  <c r="I61"/>
  <c r="G61"/>
  <c r="DQ60"/>
  <c r="DM60"/>
  <c r="DL60"/>
  <c r="DK60"/>
  <c r="DJ60"/>
  <c r="DI60"/>
  <c r="DH60"/>
  <c r="DG60"/>
  <c r="DC60"/>
  <c r="CY60"/>
  <c r="CX60"/>
  <c r="CW60"/>
  <c r="CV60"/>
  <c r="CU60"/>
  <c r="CT60"/>
  <c r="CS60"/>
  <c r="CO60"/>
  <c r="CK60"/>
  <c r="CJ60"/>
  <c r="CI60"/>
  <c r="CH60"/>
  <c r="CG60"/>
  <c r="CF60"/>
  <c r="CE60"/>
  <c r="CA60"/>
  <c r="BW60"/>
  <c r="BV60"/>
  <c r="BU60"/>
  <c r="BT60"/>
  <c r="BS60"/>
  <c r="BR60"/>
  <c r="BQ60"/>
  <c r="BM60"/>
  <c r="BI60"/>
  <c r="BH60"/>
  <c r="BG60"/>
  <c r="BF60"/>
  <c r="BE60"/>
  <c r="BD60"/>
  <c r="BC60"/>
  <c r="AX60"/>
  <c r="DR60" s="1"/>
  <c r="AV60"/>
  <c r="AU60"/>
  <c r="AT60"/>
  <c r="P60"/>
  <c r="I60"/>
  <c r="G60"/>
  <c r="DQ59"/>
  <c r="DM59"/>
  <c r="DL59"/>
  <c r="DK59"/>
  <c r="DJ59"/>
  <c r="DI59"/>
  <c r="DH59"/>
  <c r="DG59"/>
  <c r="DC59"/>
  <c r="CY59"/>
  <c r="CX59"/>
  <c r="CW59"/>
  <c r="CV59"/>
  <c r="CU59"/>
  <c r="CT59"/>
  <c r="CS59"/>
  <c r="CO59"/>
  <c r="CK59"/>
  <c r="CJ59"/>
  <c r="CI59"/>
  <c r="CH59"/>
  <c r="CG59"/>
  <c r="CF59"/>
  <c r="CE59"/>
  <c r="CA59"/>
  <c r="BW59"/>
  <c r="BV59"/>
  <c r="BU59"/>
  <c r="BT59"/>
  <c r="BS59"/>
  <c r="BR59"/>
  <c r="BQ59"/>
  <c r="BM59"/>
  <c r="BI59"/>
  <c r="BH59"/>
  <c r="BG59"/>
  <c r="BF59"/>
  <c r="BE59"/>
  <c r="BD59"/>
  <c r="BC59"/>
  <c r="AX59"/>
  <c r="DD59" s="1"/>
  <c r="AV59"/>
  <c r="CN59" s="1"/>
  <c r="AU59"/>
  <c r="BY60" s="1"/>
  <c r="AT59"/>
  <c r="DN59" s="1"/>
  <c r="P59"/>
  <c r="I59"/>
  <c r="G59"/>
  <c r="DQ58"/>
  <c r="DN58"/>
  <c r="DM58"/>
  <c r="DL58"/>
  <c r="DJ58"/>
  <c r="DI58"/>
  <c r="DH58"/>
  <c r="DG58"/>
  <c r="DC58"/>
  <c r="CZ58"/>
  <c r="CY58"/>
  <c r="CX58"/>
  <c r="CV58"/>
  <c r="CU58"/>
  <c r="CT58"/>
  <c r="CS58"/>
  <c r="CO58"/>
  <c r="CL58"/>
  <c r="CK58"/>
  <c r="CJ58"/>
  <c r="CH58"/>
  <c r="CG58"/>
  <c r="CF58"/>
  <c r="CE58"/>
  <c r="CA58"/>
  <c r="BX58"/>
  <c r="BW58"/>
  <c r="BV58"/>
  <c r="BT58"/>
  <c r="BS58"/>
  <c r="BR58"/>
  <c r="BQ58"/>
  <c r="BM58"/>
  <c r="BJ58"/>
  <c r="BI58"/>
  <c r="BH58"/>
  <c r="BF58"/>
  <c r="BE58"/>
  <c r="BD58"/>
  <c r="BC58"/>
  <c r="AX58"/>
  <c r="DR58" s="1"/>
  <c r="AV58"/>
  <c r="AU58"/>
  <c r="DO58" s="1"/>
  <c r="AQ58"/>
  <c r="DK58" s="1"/>
  <c r="P58"/>
  <c r="I58"/>
  <c r="G58"/>
  <c r="DQ57"/>
  <c r="DP57"/>
  <c r="DO57"/>
  <c r="DN57"/>
  <c r="DM57"/>
  <c r="DK57"/>
  <c r="DJ57"/>
  <c r="DI57"/>
  <c r="DC57"/>
  <c r="DB57"/>
  <c r="DA57"/>
  <c r="CZ57"/>
  <c r="CY57"/>
  <c r="CW57"/>
  <c r="CV57"/>
  <c r="CU57"/>
  <c r="CO57"/>
  <c r="CN57"/>
  <c r="CM57"/>
  <c r="CL57"/>
  <c r="CK57"/>
  <c r="CI57"/>
  <c r="CH57"/>
  <c r="CG57"/>
  <c r="CA57"/>
  <c r="BZ57"/>
  <c r="BY57"/>
  <c r="BX57"/>
  <c r="BW57"/>
  <c r="BU57"/>
  <c r="BT57"/>
  <c r="BS57"/>
  <c r="BM57"/>
  <c r="BL57"/>
  <c r="BK57"/>
  <c r="BJ57"/>
  <c r="BI57"/>
  <c r="BG57"/>
  <c r="BF57"/>
  <c r="BE57"/>
  <c r="AX57"/>
  <c r="DR57" s="1"/>
  <c r="DL57"/>
  <c r="AN57"/>
  <c r="DH57" s="1"/>
  <c r="AM57"/>
  <c r="DG57" s="1"/>
  <c r="P57"/>
  <c r="L57"/>
  <c r="I57"/>
  <c r="G57"/>
  <c r="DQ56"/>
  <c r="DP56"/>
  <c r="DO56"/>
  <c r="DN56"/>
  <c r="DM56"/>
  <c r="DK56"/>
  <c r="DJ56"/>
  <c r="DI56"/>
  <c r="DC56"/>
  <c r="DB56"/>
  <c r="DA56"/>
  <c r="CZ56"/>
  <c r="CY56"/>
  <c r="CW56"/>
  <c r="CV56"/>
  <c r="CU56"/>
  <c r="CO56"/>
  <c r="CN56"/>
  <c r="CM56"/>
  <c r="CL56"/>
  <c r="CK56"/>
  <c r="CI56"/>
  <c r="CH56"/>
  <c r="CG56"/>
  <c r="CA56"/>
  <c r="BZ56"/>
  <c r="BY56"/>
  <c r="BX56"/>
  <c r="BW56"/>
  <c r="BU56"/>
  <c r="BT56"/>
  <c r="BS56"/>
  <c r="BM56"/>
  <c r="BL56"/>
  <c r="BK56"/>
  <c r="BJ56"/>
  <c r="BI56"/>
  <c r="BG56"/>
  <c r="BF56"/>
  <c r="BE56"/>
  <c r="AX56"/>
  <c r="DR56" s="1"/>
  <c r="AR56"/>
  <c r="DL56" s="1"/>
  <c r="AN56"/>
  <c r="DH56" s="1"/>
  <c r="AM56"/>
  <c r="DG56" s="1"/>
  <c r="P56"/>
  <c r="L56"/>
  <c r="I56"/>
  <c r="G56"/>
  <c r="DQ55"/>
  <c r="DP55"/>
  <c r="DO55"/>
  <c r="DN55"/>
  <c r="DM55"/>
  <c r="DJ55"/>
  <c r="DI55"/>
  <c r="DH55"/>
  <c r="DG55"/>
  <c r="DC55"/>
  <c r="DB55"/>
  <c r="DA55"/>
  <c r="CZ55"/>
  <c r="CY55"/>
  <c r="CV55"/>
  <c r="CU55"/>
  <c r="CT55"/>
  <c r="CS55"/>
  <c r="CO55"/>
  <c r="CN55"/>
  <c r="CM55"/>
  <c r="CL55"/>
  <c r="CK55"/>
  <c r="CH55"/>
  <c r="CG55"/>
  <c r="CF55"/>
  <c r="CE55"/>
  <c r="CA55"/>
  <c r="BZ55"/>
  <c r="BY55"/>
  <c r="BX55"/>
  <c r="BW55"/>
  <c r="BT55"/>
  <c r="BS55"/>
  <c r="BR55"/>
  <c r="BQ55"/>
  <c r="BM55"/>
  <c r="BL55"/>
  <c r="BK55"/>
  <c r="BJ55"/>
  <c r="BI55"/>
  <c r="BF55"/>
  <c r="BE55"/>
  <c r="BD55"/>
  <c r="BC55"/>
  <c r="AX55"/>
  <c r="DR55" s="1"/>
  <c r="AR55"/>
  <c r="DL55" s="1"/>
  <c r="AQ55"/>
  <c r="P55"/>
  <c r="L55"/>
  <c r="I55"/>
  <c r="G55"/>
  <c r="DQ54"/>
  <c r="DP54"/>
  <c r="DO54"/>
  <c r="DN54"/>
  <c r="DM54"/>
  <c r="DK54"/>
  <c r="DJ54"/>
  <c r="DI54"/>
  <c r="DH54"/>
  <c r="DG54"/>
  <c r="DC54"/>
  <c r="DB54"/>
  <c r="DA54"/>
  <c r="CZ54"/>
  <c r="CY54"/>
  <c r="CW54"/>
  <c r="CV54"/>
  <c r="CU54"/>
  <c r="CT54"/>
  <c r="CS54"/>
  <c r="CO54"/>
  <c r="CN54"/>
  <c r="CM54"/>
  <c r="CL54"/>
  <c r="CK54"/>
  <c r="CI54"/>
  <c r="CH54"/>
  <c r="CG54"/>
  <c r="CF54"/>
  <c r="CE54"/>
  <c r="CA54"/>
  <c r="BZ54"/>
  <c r="BY54"/>
  <c r="BX54"/>
  <c r="BW54"/>
  <c r="BU54"/>
  <c r="BT54"/>
  <c r="BS54"/>
  <c r="BR54"/>
  <c r="BQ54"/>
  <c r="BM54"/>
  <c r="BL54"/>
  <c r="BK54"/>
  <c r="BJ54"/>
  <c r="BI54"/>
  <c r="BG54"/>
  <c r="BF54"/>
  <c r="BE54"/>
  <c r="BD54"/>
  <c r="BC54"/>
  <c r="AX54"/>
  <c r="DR54" s="1"/>
  <c r="AR54"/>
  <c r="CX54" s="1"/>
  <c r="P54"/>
  <c r="L54"/>
  <c r="I54"/>
  <c r="G54"/>
  <c r="DQ53"/>
  <c r="DP53"/>
  <c r="DO53"/>
  <c r="DM53"/>
  <c r="DL53"/>
  <c r="DK53"/>
  <c r="DJ53"/>
  <c r="DI53"/>
  <c r="DC53"/>
  <c r="DB53"/>
  <c r="DA53"/>
  <c r="CY53"/>
  <c r="CX53"/>
  <c r="CW53"/>
  <c r="CV53"/>
  <c r="CU53"/>
  <c r="CO53"/>
  <c r="CN53"/>
  <c r="CM53"/>
  <c r="CK53"/>
  <c r="CJ53"/>
  <c r="CI53"/>
  <c r="CH53"/>
  <c r="CG53"/>
  <c r="CA53"/>
  <c r="BZ53"/>
  <c r="BY53"/>
  <c r="BW53"/>
  <c r="BV53"/>
  <c r="BU53"/>
  <c r="BT53"/>
  <c r="BS53"/>
  <c r="BM53"/>
  <c r="BL53"/>
  <c r="BK53"/>
  <c r="BI53"/>
  <c r="BH53"/>
  <c r="BG53"/>
  <c r="BF53"/>
  <c r="BE53"/>
  <c r="AX53"/>
  <c r="DR53" s="1"/>
  <c r="AT53"/>
  <c r="AN53"/>
  <c r="DH53" s="1"/>
  <c r="AM53"/>
  <c r="CS53" s="1"/>
  <c r="P53"/>
  <c r="L53"/>
  <c r="I53"/>
  <c r="G53"/>
  <c r="DQ52"/>
  <c r="DP52"/>
  <c r="DO52"/>
  <c r="DN52"/>
  <c r="DM52"/>
  <c r="DK52"/>
  <c r="DJ52"/>
  <c r="DI52"/>
  <c r="DC52"/>
  <c r="DB52"/>
  <c r="DA52"/>
  <c r="CZ52"/>
  <c r="CY52"/>
  <c r="CW52"/>
  <c r="CV52"/>
  <c r="CU52"/>
  <c r="CO52"/>
  <c r="CN52"/>
  <c r="CM52"/>
  <c r="CL52"/>
  <c r="CK52"/>
  <c r="CI52"/>
  <c r="CH52"/>
  <c r="CG52"/>
  <c r="CA52"/>
  <c r="BZ52"/>
  <c r="BY52"/>
  <c r="BX52"/>
  <c r="BW52"/>
  <c r="BU52"/>
  <c r="BT52"/>
  <c r="BS52"/>
  <c r="BM52"/>
  <c r="BL52"/>
  <c r="BK52"/>
  <c r="BJ52"/>
  <c r="BI52"/>
  <c r="BG52"/>
  <c r="BF52"/>
  <c r="BE52"/>
  <c r="AX52"/>
  <c r="DR52" s="1"/>
  <c r="AR52"/>
  <c r="DL52" s="1"/>
  <c r="AN52"/>
  <c r="DH52" s="1"/>
  <c r="AM52"/>
  <c r="DG52" s="1"/>
  <c r="P52"/>
  <c r="L52"/>
  <c r="I52"/>
  <c r="G52"/>
  <c r="DQ51"/>
  <c r="DP51"/>
  <c r="DO51"/>
  <c r="DM51"/>
  <c r="DL51"/>
  <c r="DK51"/>
  <c r="DJ51"/>
  <c r="DI51"/>
  <c r="DC51"/>
  <c r="DB51"/>
  <c r="DA51"/>
  <c r="CY51"/>
  <c r="CX51"/>
  <c r="CW51"/>
  <c r="CV51"/>
  <c r="CU51"/>
  <c r="CO51"/>
  <c r="CN51"/>
  <c r="CM51"/>
  <c r="CK51"/>
  <c r="CJ51"/>
  <c r="CI51"/>
  <c r="CH51"/>
  <c r="CG51"/>
  <c r="CA51"/>
  <c r="BZ51"/>
  <c r="BY51"/>
  <c r="BW51"/>
  <c r="BV51"/>
  <c r="BU51"/>
  <c r="BT51"/>
  <c r="BS51"/>
  <c r="BM51"/>
  <c r="BL51"/>
  <c r="BK51"/>
  <c r="BI51"/>
  <c r="BH51"/>
  <c r="BG51"/>
  <c r="BF51"/>
  <c r="BE51"/>
  <c r="AX51"/>
  <c r="DR51" s="1"/>
  <c r="AT51"/>
  <c r="DN51" s="1"/>
  <c r="AN51"/>
  <c r="DH51" s="1"/>
  <c r="AM51"/>
  <c r="DG51" s="1"/>
  <c r="P51"/>
  <c r="L51"/>
  <c r="I51"/>
  <c r="G51"/>
  <c r="DQ50"/>
  <c r="DP50"/>
  <c r="DO50"/>
  <c r="DN50"/>
  <c r="DM50"/>
  <c r="DK50"/>
  <c r="DJ50"/>
  <c r="DI50"/>
  <c r="DC50"/>
  <c r="DB50"/>
  <c r="DA50"/>
  <c r="CZ50"/>
  <c r="CY50"/>
  <c r="CW50"/>
  <c r="CV50"/>
  <c r="CU50"/>
  <c r="CO50"/>
  <c r="CN50"/>
  <c r="CM50"/>
  <c r="CL50"/>
  <c r="CK50"/>
  <c r="CI50"/>
  <c r="CH50"/>
  <c r="CG50"/>
  <c r="CA50"/>
  <c r="BZ50"/>
  <c r="BY50"/>
  <c r="BX50"/>
  <c r="BW50"/>
  <c r="BU50"/>
  <c r="BT50"/>
  <c r="BS50"/>
  <c r="BM50"/>
  <c r="BL50"/>
  <c r="BK50"/>
  <c r="BJ50"/>
  <c r="BI50"/>
  <c r="BG50"/>
  <c r="BF50"/>
  <c r="BE50"/>
  <c r="AX50"/>
  <c r="DR50" s="1"/>
  <c r="AR50"/>
  <c r="DL50" s="1"/>
  <c r="AN50"/>
  <c r="DH50" s="1"/>
  <c r="AM50"/>
  <c r="BA50" s="1"/>
  <c r="P50"/>
  <c r="P49" s="1"/>
  <c r="L50"/>
  <c r="L49" s="1"/>
  <c r="I50"/>
  <c r="I49" s="1"/>
  <c r="G50"/>
  <c r="G49" s="1"/>
  <c r="DQ48"/>
  <c r="DP48"/>
  <c r="DO48"/>
  <c r="DM48"/>
  <c r="DL48"/>
  <c r="DK48"/>
  <c r="DJ48"/>
  <c r="DI48"/>
  <c r="DC48"/>
  <c r="DB48"/>
  <c r="DA48"/>
  <c r="CY48"/>
  <c r="CX48"/>
  <c r="CW48"/>
  <c r="CV48"/>
  <c r="CU48"/>
  <c r="CO48"/>
  <c r="CN48"/>
  <c r="CM48"/>
  <c r="CK48"/>
  <c r="CJ48"/>
  <c r="CI48"/>
  <c r="CH48"/>
  <c r="CG48"/>
  <c r="CA48"/>
  <c r="BZ48"/>
  <c r="BY48"/>
  <c r="BW48"/>
  <c r="BV48"/>
  <c r="BU48"/>
  <c r="BT48"/>
  <c r="BS48"/>
  <c r="BM48"/>
  <c r="BL48"/>
  <c r="BK48"/>
  <c r="BI48"/>
  <c r="BH48"/>
  <c r="BG48"/>
  <c r="BF48"/>
  <c r="BE48"/>
  <c r="AX48"/>
  <c r="DR48" s="1"/>
  <c r="AT48"/>
  <c r="DN48" s="1"/>
  <c r="AN48"/>
  <c r="DH48" s="1"/>
  <c r="AM48"/>
  <c r="DG48" s="1"/>
  <c r="P48"/>
  <c r="L48"/>
  <c r="I48"/>
  <c r="G48"/>
  <c r="DQ47"/>
  <c r="DP47"/>
  <c r="DO47"/>
  <c r="DM47"/>
  <c r="DL47"/>
  <c r="DK47"/>
  <c r="DJ47"/>
  <c r="DI47"/>
  <c r="DC47"/>
  <c r="DB47"/>
  <c r="DA47"/>
  <c r="CY47"/>
  <c r="CX47"/>
  <c r="CW47"/>
  <c r="CV47"/>
  <c r="CU47"/>
  <c r="CO47"/>
  <c r="CN47"/>
  <c r="CM47"/>
  <c r="CK47"/>
  <c r="CJ47"/>
  <c r="CI47"/>
  <c r="CH47"/>
  <c r="CG47"/>
  <c r="CA47"/>
  <c r="BZ47"/>
  <c r="BY47"/>
  <c r="BW47"/>
  <c r="BV47"/>
  <c r="BU47"/>
  <c r="BT47"/>
  <c r="BS47"/>
  <c r="BM47"/>
  <c r="BL47"/>
  <c r="BK47"/>
  <c r="BI47"/>
  <c r="BH47"/>
  <c r="BG47"/>
  <c r="BF47"/>
  <c r="BE47"/>
  <c r="AX47"/>
  <c r="DR47" s="1"/>
  <c r="AT47"/>
  <c r="CZ47" s="1"/>
  <c r="AN47"/>
  <c r="DH47" s="1"/>
  <c r="AM47"/>
  <c r="DG47" s="1"/>
  <c r="P47"/>
  <c r="L47"/>
  <c r="I47"/>
  <c r="G47"/>
  <c r="DQ46"/>
  <c r="DP46"/>
  <c r="DO46"/>
  <c r="DN46"/>
  <c r="DM46"/>
  <c r="DK46"/>
  <c r="DJ46"/>
  <c r="DI46"/>
  <c r="DC46"/>
  <c r="DB46"/>
  <c r="DA46"/>
  <c r="CZ46"/>
  <c r="CY46"/>
  <c r="CW46"/>
  <c r="CV46"/>
  <c r="CU46"/>
  <c r="CO46"/>
  <c r="CN46"/>
  <c r="CM46"/>
  <c r="CL46"/>
  <c r="CK46"/>
  <c r="CI46"/>
  <c r="CH46"/>
  <c r="CG46"/>
  <c r="CA46"/>
  <c r="BZ46"/>
  <c r="BY46"/>
  <c r="BX46"/>
  <c r="BW46"/>
  <c r="BU46"/>
  <c r="BT46"/>
  <c r="BS46"/>
  <c r="BM46"/>
  <c r="BL46"/>
  <c r="BK46"/>
  <c r="BJ46"/>
  <c r="BI46"/>
  <c r="BG46"/>
  <c r="BF46"/>
  <c r="BE46"/>
  <c r="AX46"/>
  <c r="DR46" s="1"/>
  <c r="AR46"/>
  <c r="DL46" s="1"/>
  <c r="AN46"/>
  <c r="DH46" s="1"/>
  <c r="AM46"/>
  <c r="DG46" s="1"/>
  <c r="P46"/>
  <c r="L46"/>
  <c r="I46"/>
  <c r="G46"/>
  <c r="DQ42"/>
  <c r="DM42"/>
  <c r="DL42"/>
  <c r="DK42"/>
  <c r="DJ42"/>
  <c r="DI42"/>
  <c r="DH42"/>
  <c r="DG42"/>
  <c r="DC42"/>
  <c r="CY42"/>
  <c r="CX42"/>
  <c r="CW42"/>
  <c r="CV42"/>
  <c r="CU42"/>
  <c r="CT42"/>
  <c r="CS42"/>
  <c r="CO42"/>
  <c r="CK42"/>
  <c r="CJ42"/>
  <c r="CI42"/>
  <c r="CH42"/>
  <c r="CG42"/>
  <c r="CF42"/>
  <c r="CE42"/>
  <c r="CA42"/>
  <c r="BW42"/>
  <c r="BV42"/>
  <c r="BU42"/>
  <c r="BT42"/>
  <c r="BS42"/>
  <c r="BR42"/>
  <c r="BQ42"/>
  <c r="BM42"/>
  <c r="BI42"/>
  <c r="BH42"/>
  <c r="BG42"/>
  <c r="BF42"/>
  <c r="BE42"/>
  <c r="BD42"/>
  <c r="BC42"/>
  <c r="AX42"/>
  <c r="DR42" s="1"/>
  <c r="AV42"/>
  <c r="DP42" s="1"/>
  <c r="AU42"/>
  <c r="DO42" s="1"/>
  <c r="AT42"/>
  <c r="CZ42" s="1"/>
  <c r="P42"/>
  <c r="I42"/>
  <c r="G42"/>
  <c r="DQ41"/>
  <c r="DN41"/>
  <c r="DM41"/>
  <c r="DL41"/>
  <c r="DJ41"/>
  <c r="DI41"/>
  <c r="DH41"/>
  <c r="DG41"/>
  <c r="DC41"/>
  <c r="CZ41"/>
  <c r="CY41"/>
  <c r="CX41"/>
  <c r="CV41"/>
  <c r="CU41"/>
  <c r="CT41"/>
  <c r="CS41"/>
  <c r="CO41"/>
  <c r="CL41"/>
  <c r="CK41"/>
  <c r="CJ41"/>
  <c r="CH41"/>
  <c r="CG41"/>
  <c r="CF41"/>
  <c r="CE41"/>
  <c r="CA41"/>
  <c r="BX41"/>
  <c r="BW41"/>
  <c r="BV41"/>
  <c r="BT41"/>
  <c r="BS41"/>
  <c r="BR41"/>
  <c r="BQ41"/>
  <c r="BM41"/>
  <c r="BJ41"/>
  <c r="BI41"/>
  <c r="BH41"/>
  <c r="BF41"/>
  <c r="BE41"/>
  <c r="BD41"/>
  <c r="BC41"/>
  <c r="AX41"/>
  <c r="DR41" s="1"/>
  <c r="AV41"/>
  <c r="DP41" s="1"/>
  <c r="AU41"/>
  <c r="DO41" s="1"/>
  <c r="AQ41"/>
  <c r="DK41" s="1"/>
  <c r="P41"/>
  <c r="I41"/>
  <c r="G41"/>
  <c r="DQ40"/>
  <c r="DM40"/>
  <c r="DL40"/>
  <c r="DK40"/>
  <c r="DJ40"/>
  <c r="DI40"/>
  <c r="DH40"/>
  <c r="DG40"/>
  <c r="DC40"/>
  <c r="CY40"/>
  <c r="CX40"/>
  <c r="CW40"/>
  <c r="CV40"/>
  <c r="CU40"/>
  <c r="CT40"/>
  <c r="CS40"/>
  <c r="CO40"/>
  <c r="CK40"/>
  <c r="CJ40"/>
  <c r="CI40"/>
  <c r="CH40"/>
  <c r="CG40"/>
  <c r="CF40"/>
  <c r="CE40"/>
  <c r="CA40"/>
  <c r="BW40"/>
  <c r="BV40"/>
  <c r="BU40"/>
  <c r="BT40"/>
  <c r="BS40"/>
  <c r="BR40"/>
  <c r="BQ40"/>
  <c r="BM40"/>
  <c r="BI40"/>
  <c r="BH40"/>
  <c r="BG40"/>
  <c r="BF40"/>
  <c r="BE40"/>
  <c r="BD40"/>
  <c r="BC40"/>
  <c r="AX40"/>
  <c r="DR40" s="1"/>
  <c r="AV40"/>
  <c r="DP40" s="1"/>
  <c r="AU40"/>
  <c r="AT40"/>
  <c r="DN40" s="1"/>
  <c r="P40"/>
  <c r="I40"/>
  <c r="G40"/>
  <c r="DQ39"/>
  <c r="DM39"/>
  <c r="DL39"/>
  <c r="DK39"/>
  <c r="DJ39"/>
  <c r="DI39"/>
  <c r="DH39"/>
  <c r="DG39"/>
  <c r="DC39"/>
  <c r="CY39"/>
  <c r="CX39"/>
  <c r="CW39"/>
  <c r="CV39"/>
  <c r="CU39"/>
  <c r="CT39"/>
  <c r="CS39"/>
  <c r="CO39"/>
  <c r="CK39"/>
  <c r="CJ39"/>
  <c r="CI39"/>
  <c r="CH39"/>
  <c r="CG39"/>
  <c r="CF39"/>
  <c r="CE39"/>
  <c r="CA39"/>
  <c r="BW39"/>
  <c r="BV39"/>
  <c r="BU39"/>
  <c r="BT39"/>
  <c r="BS39"/>
  <c r="BR39"/>
  <c r="BQ39"/>
  <c r="BM39"/>
  <c r="BI39"/>
  <c r="BH39"/>
  <c r="BG39"/>
  <c r="BF39"/>
  <c r="BE39"/>
  <c r="BD39"/>
  <c r="BC39"/>
  <c r="AX39"/>
  <c r="DR39" s="1"/>
  <c r="AV39"/>
  <c r="DP39" s="1"/>
  <c r="AU39"/>
  <c r="DO40" s="1"/>
  <c r="AT39"/>
  <c r="DN39" s="1"/>
  <c r="P39"/>
  <c r="I39"/>
  <c r="G39"/>
  <c r="DQ38"/>
  <c r="DN38"/>
  <c r="DM38"/>
  <c r="DL38"/>
  <c r="DJ38"/>
  <c r="DI38"/>
  <c r="DH38"/>
  <c r="DG38"/>
  <c r="DC38"/>
  <c r="CZ38"/>
  <c r="CY38"/>
  <c r="CX38"/>
  <c r="CV38"/>
  <c r="CU38"/>
  <c r="CT38"/>
  <c r="CS38"/>
  <c r="CO38"/>
  <c r="CL38"/>
  <c r="CK38"/>
  <c r="CJ38"/>
  <c r="CH38"/>
  <c r="CG38"/>
  <c r="CF38"/>
  <c r="CE38"/>
  <c r="CA38"/>
  <c r="BX38"/>
  <c r="BW38"/>
  <c r="BV38"/>
  <c r="BT38"/>
  <c r="BS38"/>
  <c r="BR38"/>
  <c r="BQ38"/>
  <c r="BM38"/>
  <c r="BJ38"/>
  <c r="BI38"/>
  <c r="BH38"/>
  <c r="BF38"/>
  <c r="BE38"/>
  <c r="BD38"/>
  <c r="BC38"/>
  <c r="AX38"/>
  <c r="DR38" s="1"/>
  <c r="AV38"/>
  <c r="DB38" s="1"/>
  <c r="AU38"/>
  <c r="DO38" s="1"/>
  <c r="AQ38"/>
  <c r="DK38" s="1"/>
  <c r="P38"/>
  <c r="I38"/>
  <c r="G38"/>
  <c r="DQ37"/>
  <c r="DP37"/>
  <c r="DO37"/>
  <c r="DN37"/>
  <c r="DM37"/>
  <c r="DK37"/>
  <c r="DJ37"/>
  <c r="DI37"/>
  <c r="DC37"/>
  <c r="DB37"/>
  <c r="DA37"/>
  <c r="CZ37"/>
  <c r="CY37"/>
  <c r="CW37"/>
  <c r="CV37"/>
  <c r="CU37"/>
  <c r="CO37"/>
  <c r="CN37"/>
  <c r="CM37"/>
  <c r="CL37"/>
  <c r="CK37"/>
  <c r="CI37"/>
  <c r="CH37"/>
  <c r="CG37"/>
  <c r="CA37"/>
  <c r="BZ37"/>
  <c r="BY37"/>
  <c r="BX37"/>
  <c r="BW37"/>
  <c r="BU37"/>
  <c r="BT37"/>
  <c r="BS37"/>
  <c r="BM37"/>
  <c r="BL37"/>
  <c r="BK37"/>
  <c r="BJ37"/>
  <c r="BI37"/>
  <c r="BG37"/>
  <c r="BF37"/>
  <c r="BE37"/>
  <c r="AX37"/>
  <c r="DR37" s="1"/>
  <c r="AR37"/>
  <c r="DL37" s="1"/>
  <c r="AN37"/>
  <c r="DH37" s="1"/>
  <c r="AM37"/>
  <c r="DG37" s="1"/>
  <c r="P37"/>
  <c r="L37"/>
  <c r="I37"/>
  <c r="G37"/>
  <c r="DQ36"/>
  <c r="DP36"/>
  <c r="DO36"/>
  <c r="DN36"/>
  <c r="DM36"/>
  <c r="DK36"/>
  <c r="DJ36"/>
  <c r="DI36"/>
  <c r="DC36"/>
  <c r="DB36"/>
  <c r="DA36"/>
  <c r="CZ36"/>
  <c r="CY36"/>
  <c r="CW36"/>
  <c r="CV36"/>
  <c r="CU36"/>
  <c r="CO36"/>
  <c r="CN36"/>
  <c r="CM36"/>
  <c r="CL36"/>
  <c r="CK36"/>
  <c r="CI36"/>
  <c r="CH36"/>
  <c r="CG36"/>
  <c r="CA36"/>
  <c r="BZ36"/>
  <c r="BY36"/>
  <c r="BX36"/>
  <c r="BW36"/>
  <c r="BU36"/>
  <c r="BT36"/>
  <c r="BS36"/>
  <c r="BM36"/>
  <c r="BL36"/>
  <c r="BK36"/>
  <c r="BJ36"/>
  <c r="BI36"/>
  <c r="BG36"/>
  <c r="BF36"/>
  <c r="BE36"/>
  <c r="AX36"/>
  <c r="DR36" s="1"/>
  <c r="AR36"/>
  <c r="DL36" s="1"/>
  <c r="AN36"/>
  <c r="DH36" s="1"/>
  <c r="AM36"/>
  <c r="DG36" s="1"/>
  <c r="P36"/>
  <c r="L36"/>
  <c r="I36"/>
  <c r="G36"/>
  <c r="DQ35"/>
  <c r="DP35"/>
  <c r="DO35"/>
  <c r="DM35"/>
  <c r="DL35"/>
  <c r="DK35"/>
  <c r="DJ35"/>
  <c r="DI35"/>
  <c r="DC35"/>
  <c r="DB35"/>
  <c r="DA35"/>
  <c r="CY35"/>
  <c r="CX35"/>
  <c r="CW35"/>
  <c r="CV35"/>
  <c r="CU35"/>
  <c r="CO35"/>
  <c r="CN35"/>
  <c r="CM35"/>
  <c r="CK35"/>
  <c r="CJ35"/>
  <c r="CI35"/>
  <c r="CH35"/>
  <c r="CG35"/>
  <c r="CA35"/>
  <c r="BZ35"/>
  <c r="BY35"/>
  <c r="BW35"/>
  <c r="BV35"/>
  <c r="BU35"/>
  <c r="BT35"/>
  <c r="BS35"/>
  <c r="BM35"/>
  <c r="BL35"/>
  <c r="BK35"/>
  <c r="BI35"/>
  <c r="BH35"/>
  <c r="BG35"/>
  <c r="BF35"/>
  <c r="BE35"/>
  <c r="AX35"/>
  <c r="DR35" s="1"/>
  <c r="AT35"/>
  <c r="DN35" s="1"/>
  <c r="AN35"/>
  <c r="DH35" s="1"/>
  <c r="AM35"/>
  <c r="DG35" s="1"/>
  <c r="P35"/>
  <c r="L35"/>
  <c r="I35"/>
  <c r="G35"/>
  <c r="DQ34"/>
  <c r="DP34"/>
  <c r="DO34"/>
  <c r="DN34"/>
  <c r="DM34"/>
  <c r="DK34"/>
  <c r="DJ34"/>
  <c r="DI34"/>
  <c r="DC34"/>
  <c r="DB34"/>
  <c r="DA34"/>
  <c r="CZ34"/>
  <c r="CY34"/>
  <c r="CW34"/>
  <c r="CV34"/>
  <c r="CU34"/>
  <c r="CO34"/>
  <c r="CN34"/>
  <c r="CM34"/>
  <c r="CL34"/>
  <c r="CK34"/>
  <c r="CI34"/>
  <c r="CH34"/>
  <c r="CG34"/>
  <c r="CA34"/>
  <c r="BZ34"/>
  <c r="BY34"/>
  <c r="BX34"/>
  <c r="BW34"/>
  <c r="BU34"/>
  <c r="BT34"/>
  <c r="BS34"/>
  <c r="BM34"/>
  <c r="BL34"/>
  <c r="BK34"/>
  <c r="BJ34"/>
  <c r="BI34"/>
  <c r="BG34"/>
  <c r="BF34"/>
  <c r="BE34"/>
  <c r="AX34"/>
  <c r="DR34" s="1"/>
  <c r="AN34"/>
  <c r="DH34" s="1"/>
  <c r="AM34"/>
  <c r="DG34" s="1"/>
  <c r="P34"/>
  <c r="L34"/>
  <c r="I34"/>
  <c r="G34"/>
  <c r="DQ33"/>
  <c r="DP33"/>
  <c r="DO33"/>
  <c r="DM33"/>
  <c r="DL33"/>
  <c r="DK33"/>
  <c r="DJ33"/>
  <c r="DI33"/>
  <c r="DC33"/>
  <c r="DB33"/>
  <c r="DA33"/>
  <c r="CY33"/>
  <c r="CX33"/>
  <c r="CW33"/>
  <c r="CV33"/>
  <c r="CU33"/>
  <c r="CO33"/>
  <c r="CN33"/>
  <c r="CM33"/>
  <c r="CK33"/>
  <c r="CJ33"/>
  <c r="CI33"/>
  <c r="CH33"/>
  <c r="CG33"/>
  <c r="CA33"/>
  <c r="BZ33"/>
  <c r="BY33"/>
  <c r="BW33"/>
  <c r="BV33"/>
  <c r="BU33"/>
  <c r="BT33"/>
  <c r="BS33"/>
  <c r="BM33"/>
  <c r="BL33"/>
  <c r="BK33"/>
  <c r="BI33"/>
  <c r="BH33"/>
  <c r="BG33"/>
  <c r="BF33"/>
  <c r="BE33"/>
  <c r="AX33"/>
  <c r="DR33" s="1"/>
  <c r="AT33"/>
  <c r="DN33" s="1"/>
  <c r="AN33"/>
  <c r="DH33" s="1"/>
  <c r="AM33"/>
  <c r="DG33" s="1"/>
  <c r="P33"/>
  <c r="L33"/>
  <c r="I33"/>
  <c r="G33"/>
  <c r="DQ32"/>
  <c r="DP32"/>
  <c r="DO32"/>
  <c r="DN32"/>
  <c r="DM32"/>
  <c r="DK32"/>
  <c r="DJ32"/>
  <c r="DI32"/>
  <c r="DC32"/>
  <c r="DB32"/>
  <c r="DA32"/>
  <c r="CZ32"/>
  <c r="CY32"/>
  <c r="CW32"/>
  <c r="CV32"/>
  <c r="CU32"/>
  <c r="CO32"/>
  <c r="CN32"/>
  <c r="CM32"/>
  <c r="CL32"/>
  <c r="CK32"/>
  <c r="CI32"/>
  <c r="CH32"/>
  <c r="CG32"/>
  <c r="CA32"/>
  <c r="BZ32"/>
  <c r="BY32"/>
  <c r="BX32"/>
  <c r="BW32"/>
  <c r="BU32"/>
  <c r="BT32"/>
  <c r="BS32"/>
  <c r="BM32"/>
  <c r="BL32"/>
  <c r="BK32"/>
  <c r="BJ32"/>
  <c r="BI32"/>
  <c r="BG32"/>
  <c r="BF32"/>
  <c r="BE32"/>
  <c r="AX32"/>
  <c r="DR32" s="1"/>
  <c r="AN32"/>
  <c r="DH32" s="1"/>
  <c r="AM32"/>
  <c r="DG32" s="1"/>
  <c r="P32"/>
  <c r="P31" s="1"/>
  <c r="L32"/>
  <c r="L31" s="1"/>
  <c r="I32"/>
  <c r="I31" s="1"/>
  <c r="G32"/>
  <c r="G31" s="1"/>
  <c r="DQ30"/>
  <c r="DP30"/>
  <c r="DO30"/>
  <c r="DM30"/>
  <c r="DL30"/>
  <c r="DK30"/>
  <c r="DJ30"/>
  <c r="DI30"/>
  <c r="DC30"/>
  <c r="DB30"/>
  <c r="DA30"/>
  <c r="CY30"/>
  <c r="CX30"/>
  <c r="CW30"/>
  <c r="CV30"/>
  <c r="CU30"/>
  <c r="CO30"/>
  <c r="CN30"/>
  <c r="CM30"/>
  <c r="CK30"/>
  <c r="CJ30"/>
  <c r="CI30"/>
  <c r="CH30"/>
  <c r="CG30"/>
  <c r="CA30"/>
  <c r="BZ30"/>
  <c r="BY30"/>
  <c r="BW30"/>
  <c r="BV30"/>
  <c r="BU30"/>
  <c r="BT30"/>
  <c r="BS30"/>
  <c r="BM30"/>
  <c r="BL30"/>
  <c r="BK30"/>
  <c r="BI30"/>
  <c r="BH30"/>
  <c r="BG30"/>
  <c r="BF30"/>
  <c r="BE30"/>
  <c r="AX30"/>
  <c r="DR30" s="1"/>
  <c r="AT30"/>
  <c r="DN30" s="1"/>
  <c r="AN30"/>
  <c r="DH30" s="1"/>
  <c r="AM30"/>
  <c r="DG30" s="1"/>
  <c r="P30"/>
  <c r="L30"/>
  <c r="I30"/>
  <c r="G30"/>
  <c r="DQ29"/>
  <c r="DP29"/>
  <c r="DO29"/>
  <c r="DM29"/>
  <c r="DL29"/>
  <c r="DK29"/>
  <c r="DJ29"/>
  <c r="DI29"/>
  <c r="DC29"/>
  <c r="DB29"/>
  <c r="DA29"/>
  <c r="CY29"/>
  <c r="CX29"/>
  <c r="CW29"/>
  <c r="CV29"/>
  <c r="CU29"/>
  <c r="CO29"/>
  <c r="CN29"/>
  <c r="CM29"/>
  <c r="CK29"/>
  <c r="CJ29"/>
  <c r="CI29"/>
  <c r="CH29"/>
  <c r="CG29"/>
  <c r="CA29"/>
  <c r="BZ29"/>
  <c r="BY29"/>
  <c r="BW29"/>
  <c r="BV29"/>
  <c r="BU29"/>
  <c r="BT29"/>
  <c r="BS29"/>
  <c r="BM29"/>
  <c r="BL29"/>
  <c r="BK29"/>
  <c r="BI29"/>
  <c r="BH29"/>
  <c r="BG29"/>
  <c r="BF29"/>
  <c r="BE29"/>
  <c r="AX29"/>
  <c r="DR29" s="1"/>
  <c r="AT29"/>
  <c r="CZ29" s="1"/>
  <c r="AN29"/>
  <c r="DH29" s="1"/>
  <c r="AM29"/>
  <c r="DG29" s="1"/>
  <c r="P29"/>
  <c r="L29"/>
  <c r="I29"/>
  <c r="G29"/>
  <c r="DQ28"/>
  <c r="DP28"/>
  <c r="DO28"/>
  <c r="DN28"/>
  <c r="DM28"/>
  <c r="DK28"/>
  <c r="DJ28"/>
  <c r="DI28"/>
  <c r="DC28"/>
  <c r="DB28"/>
  <c r="DA28"/>
  <c r="CZ28"/>
  <c r="CY28"/>
  <c r="CW28"/>
  <c r="CV28"/>
  <c r="CU28"/>
  <c r="CO28"/>
  <c r="CN28"/>
  <c r="CM28"/>
  <c r="CL28"/>
  <c r="CK28"/>
  <c r="CI28"/>
  <c r="CH28"/>
  <c r="CG28"/>
  <c r="CA28"/>
  <c r="BZ28"/>
  <c r="BY28"/>
  <c r="BX28"/>
  <c r="BW28"/>
  <c r="BU28"/>
  <c r="BT28"/>
  <c r="BS28"/>
  <c r="BM28"/>
  <c r="BL28"/>
  <c r="BK28"/>
  <c r="BJ28"/>
  <c r="BI28"/>
  <c r="BG28"/>
  <c r="BF28"/>
  <c r="BE28"/>
  <c r="AX28"/>
  <c r="DR28" s="1"/>
  <c r="AR28"/>
  <c r="AR34" s="1"/>
  <c r="AN28"/>
  <c r="DH28" s="1"/>
  <c r="AM28"/>
  <c r="DG28" s="1"/>
  <c r="P28"/>
  <c r="L28"/>
  <c r="I28"/>
  <c r="G28"/>
  <c r="DQ23"/>
  <c r="DM23"/>
  <c r="DL23"/>
  <c r="DK23"/>
  <c r="DJ23"/>
  <c r="DI23"/>
  <c r="DH23"/>
  <c r="DG23"/>
  <c r="DC23"/>
  <c r="CY23"/>
  <c r="CX23"/>
  <c r="CW23"/>
  <c r="CV23"/>
  <c r="CU23"/>
  <c r="CT23"/>
  <c r="CS23"/>
  <c r="CO23"/>
  <c r="CK23"/>
  <c r="CJ23"/>
  <c r="CI23"/>
  <c r="CH23"/>
  <c r="CG23"/>
  <c r="CF23"/>
  <c r="CE23"/>
  <c r="CA23"/>
  <c r="BW23"/>
  <c r="BV23"/>
  <c r="BU23"/>
  <c r="BT23"/>
  <c r="BS23"/>
  <c r="BR23"/>
  <c r="BQ23"/>
  <c r="BM23"/>
  <c r="BI23"/>
  <c r="BH23"/>
  <c r="BG23"/>
  <c r="BF23"/>
  <c r="BE23"/>
  <c r="BD23"/>
  <c r="BC23"/>
  <c r="AX23"/>
  <c r="DR23" s="1"/>
  <c r="AV23"/>
  <c r="DP23" s="1"/>
  <c r="AU23"/>
  <c r="DO23" s="1"/>
  <c r="AT23"/>
  <c r="DN23" s="1"/>
  <c r="P23"/>
  <c r="I23"/>
  <c r="G23"/>
  <c r="DQ22"/>
  <c r="DN22"/>
  <c r="DM22"/>
  <c r="DL22"/>
  <c r="DJ22"/>
  <c r="DI22"/>
  <c r="DH22"/>
  <c r="DG22"/>
  <c r="DC22"/>
  <c r="CZ22"/>
  <c r="CY22"/>
  <c r="CX22"/>
  <c r="CV22"/>
  <c r="CU22"/>
  <c r="CT22"/>
  <c r="CS22"/>
  <c r="CO22"/>
  <c r="CL22"/>
  <c r="CK22"/>
  <c r="CJ22"/>
  <c r="CH22"/>
  <c r="CG22"/>
  <c r="CF22"/>
  <c r="CE22"/>
  <c r="CA22"/>
  <c r="BX22"/>
  <c r="BW22"/>
  <c r="BV22"/>
  <c r="BT22"/>
  <c r="BS22"/>
  <c r="BR22"/>
  <c r="BQ22"/>
  <c r="BM22"/>
  <c r="BJ22"/>
  <c r="BI22"/>
  <c r="BH22"/>
  <c r="BF22"/>
  <c r="BE22"/>
  <c r="BD22"/>
  <c r="BC22"/>
  <c r="AX22"/>
  <c r="DR22" s="1"/>
  <c r="AV22"/>
  <c r="DP22" s="1"/>
  <c r="AU22"/>
  <c r="DO22" s="1"/>
  <c r="AQ22"/>
  <c r="DK22" s="1"/>
  <c r="P22"/>
  <c r="I22"/>
  <c r="G22"/>
  <c r="DQ21"/>
  <c r="DM21"/>
  <c r="DL21"/>
  <c r="DK21"/>
  <c r="DJ21"/>
  <c r="DI21"/>
  <c r="DH21"/>
  <c r="DG21"/>
  <c r="DC21"/>
  <c r="CY21"/>
  <c r="CX21"/>
  <c r="CW21"/>
  <c r="CV21"/>
  <c r="CU21"/>
  <c r="CT21"/>
  <c r="CS21"/>
  <c r="CO21"/>
  <c r="CK21"/>
  <c r="CJ21"/>
  <c r="CI21"/>
  <c r="CH21"/>
  <c r="CG21"/>
  <c r="CF21"/>
  <c r="CE21"/>
  <c r="CA21"/>
  <c r="BW21"/>
  <c r="BV21"/>
  <c r="BU21"/>
  <c r="BT21"/>
  <c r="BS21"/>
  <c r="BR21"/>
  <c r="BQ21"/>
  <c r="BM21"/>
  <c r="BI21"/>
  <c r="BH21"/>
  <c r="BG21"/>
  <c r="BF21"/>
  <c r="BE21"/>
  <c r="BD21"/>
  <c r="BC21"/>
  <c r="AX21"/>
  <c r="DR21" s="1"/>
  <c r="AV21"/>
  <c r="DP21" s="1"/>
  <c r="AU21"/>
  <c r="AT21"/>
  <c r="CZ21" s="1"/>
  <c r="P21"/>
  <c r="I21"/>
  <c r="G21"/>
  <c r="DQ20"/>
  <c r="DM20"/>
  <c r="DL20"/>
  <c r="DK20"/>
  <c r="DJ20"/>
  <c r="DI20"/>
  <c r="DH20"/>
  <c r="DG20"/>
  <c r="DC20"/>
  <c r="CY20"/>
  <c r="CX20"/>
  <c r="CW20"/>
  <c r="CV20"/>
  <c r="CU20"/>
  <c r="CT20"/>
  <c r="CS20"/>
  <c r="CO20"/>
  <c r="CK20"/>
  <c r="CJ20"/>
  <c r="CI20"/>
  <c r="CH20"/>
  <c r="CG20"/>
  <c r="CF20"/>
  <c r="CE20"/>
  <c r="CA20"/>
  <c r="BW20"/>
  <c r="BV20"/>
  <c r="BU20"/>
  <c r="BT20"/>
  <c r="BS20"/>
  <c r="BR20"/>
  <c r="BQ20"/>
  <c r="BM20"/>
  <c r="BI20"/>
  <c r="BH20"/>
  <c r="BG20"/>
  <c r="BF20"/>
  <c r="BE20"/>
  <c r="BD20"/>
  <c r="BC20"/>
  <c r="AX20"/>
  <c r="DR20" s="1"/>
  <c r="AV20"/>
  <c r="DP20" s="1"/>
  <c r="AU20"/>
  <c r="DO21" s="1"/>
  <c r="AT20"/>
  <c r="DN20" s="1"/>
  <c r="P20"/>
  <c r="I20"/>
  <c r="G20"/>
  <c r="DQ19"/>
  <c r="DN19"/>
  <c r="DM19"/>
  <c r="DL19"/>
  <c r="DJ19"/>
  <c r="DI19"/>
  <c r="DH19"/>
  <c r="DG19"/>
  <c r="DC19"/>
  <c r="CZ19"/>
  <c r="CY19"/>
  <c r="CX19"/>
  <c r="CV19"/>
  <c r="CU19"/>
  <c r="CT19"/>
  <c r="CS19"/>
  <c r="CO19"/>
  <c r="CL19"/>
  <c r="CK19"/>
  <c r="CJ19"/>
  <c r="CH19"/>
  <c r="CG19"/>
  <c r="CF19"/>
  <c r="CE19"/>
  <c r="CA19"/>
  <c r="BX19"/>
  <c r="BW19"/>
  <c r="BV19"/>
  <c r="BT19"/>
  <c r="BS19"/>
  <c r="BR19"/>
  <c r="BQ19"/>
  <c r="BM19"/>
  <c r="BJ19"/>
  <c r="BI19"/>
  <c r="BH19"/>
  <c r="BF19"/>
  <c r="BE19"/>
  <c r="BD19"/>
  <c r="BC19"/>
  <c r="AX19"/>
  <c r="DR19" s="1"/>
  <c r="DB19"/>
  <c r="DO19"/>
  <c r="AQ19"/>
  <c r="DK19" s="1"/>
  <c r="P19"/>
  <c r="I19"/>
  <c r="G19"/>
  <c r="DQ18"/>
  <c r="DN18"/>
  <c r="DM18"/>
  <c r="DL18"/>
  <c r="DJ18"/>
  <c r="DI18"/>
  <c r="DH18"/>
  <c r="DG18"/>
  <c r="DC18"/>
  <c r="CZ18"/>
  <c r="CY18"/>
  <c r="CX18"/>
  <c r="CV18"/>
  <c r="CU18"/>
  <c r="CT18"/>
  <c r="CS18"/>
  <c r="CO18"/>
  <c r="CL18"/>
  <c r="CK18"/>
  <c r="CJ18"/>
  <c r="CH18"/>
  <c r="CG18"/>
  <c r="CF18"/>
  <c r="CE18"/>
  <c r="CA18"/>
  <c r="BX18"/>
  <c r="BW18"/>
  <c r="BV18"/>
  <c r="BT18"/>
  <c r="BS18"/>
  <c r="BR18"/>
  <c r="BQ18"/>
  <c r="BM18"/>
  <c r="BJ18"/>
  <c r="BI18"/>
  <c r="BH18"/>
  <c r="BF18"/>
  <c r="BE18"/>
  <c r="BD18"/>
  <c r="BC18"/>
  <c r="AX18"/>
  <c r="DR18" s="1"/>
  <c r="AV18"/>
  <c r="DP18" s="1"/>
  <c r="DO18"/>
  <c r="DK18"/>
  <c r="P18"/>
  <c r="I18"/>
  <c r="DQ17"/>
  <c r="DP17"/>
  <c r="DO17"/>
  <c r="DN17"/>
  <c r="DM17"/>
  <c r="DK17"/>
  <c r="DJ17"/>
  <c r="DI17"/>
  <c r="DC17"/>
  <c r="DB17"/>
  <c r="DA17"/>
  <c r="CZ17"/>
  <c r="CY17"/>
  <c r="CW17"/>
  <c r="CV17"/>
  <c r="CU17"/>
  <c r="CO17"/>
  <c r="CN17"/>
  <c r="CM17"/>
  <c r="CL17"/>
  <c r="CK17"/>
  <c r="CI17"/>
  <c r="CH17"/>
  <c r="CG17"/>
  <c r="CA17"/>
  <c r="BZ17"/>
  <c r="BY17"/>
  <c r="BX17"/>
  <c r="BW17"/>
  <c r="BU17"/>
  <c r="BT17"/>
  <c r="BS17"/>
  <c r="BM17"/>
  <c r="BL17"/>
  <c r="BK17"/>
  <c r="BJ17"/>
  <c r="BI17"/>
  <c r="BG17"/>
  <c r="BF17"/>
  <c r="BE17"/>
  <c r="AX17"/>
  <c r="DR17" s="1"/>
  <c r="AR17"/>
  <c r="CX17" s="1"/>
  <c r="AN17"/>
  <c r="DH17" s="1"/>
  <c r="AM17"/>
  <c r="DG17" s="1"/>
  <c r="P17"/>
  <c r="L17"/>
  <c r="I17"/>
  <c r="G17"/>
  <c r="DQ16"/>
  <c r="DP16"/>
  <c r="DO16"/>
  <c r="DN16"/>
  <c r="DM16"/>
  <c r="DK16"/>
  <c r="DJ16"/>
  <c r="DI16"/>
  <c r="DC16"/>
  <c r="DB16"/>
  <c r="DA16"/>
  <c r="CZ16"/>
  <c r="CY16"/>
  <c r="CW16"/>
  <c r="CV16"/>
  <c r="CU16"/>
  <c r="CO16"/>
  <c r="CN16"/>
  <c r="CM16"/>
  <c r="CL16"/>
  <c r="CK16"/>
  <c r="CI16"/>
  <c r="CH16"/>
  <c r="CG16"/>
  <c r="CA16"/>
  <c r="BZ16"/>
  <c r="BY16"/>
  <c r="BX16"/>
  <c r="BW16"/>
  <c r="BU16"/>
  <c r="BT16"/>
  <c r="BS16"/>
  <c r="BM16"/>
  <c r="BL16"/>
  <c r="BK16"/>
  <c r="BJ16"/>
  <c r="BI16"/>
  <c r="BG16"/>
  <c r="BF16"/>
  <c r="BE16"/>
  <c r="AX16"/>
  <c r="DR16" s="1"/>
  <c r="AR16"/>
  <c r="CX16" s="1"/>
  <c r="AN16"/>
  <c r="DH16" s="1"/>
  <c r="AM16"/>
  <c r="DG16" s="1"/>
  <c r="P16"/>
  <c r="L16"/>
  <c r="I16"/>
  <c r="G16"/>
  <c r="DQ15"/>
  <c r="DP15"/>
  <c r="DO15"/>
  <c r="DM15"/>
  <c r="DL15"/>
  <c r="DK15"/>
  <c r="DJ15"/>
  <c r="DI15"/>
  <c r="DC15"/>
  <c r="DB15"/>
  <c r="DA15"/>
  <c r="CY15"/>
  <c r="CX15"/>
  <c r="CW15"/>
  <c r="CV15"/>
  <c r="CU15"/>
  <c r="CO15"/>
  <c r="CN15"/>
  <c r="CM15"/>
  <c r="CK15"/>
  <c r="CJ15"/>
  <c r="CI15"/>
  <c r="CH15"/>
  <c r="CG15"/>
  <c r="CA15"/>
  <c r="BZ15"/>
  <c r="BY15"/>
  <c r="BW15"/>
  <c r="BV15"/>
  <c r="BU15"/>
  <c r="BT15"/>
  <c r="BS15"/>
  <c r="BM15"/>
  <c r="BL15"/>
  <c r="BK15"/>
  <c r="BI15"/>
  <c r="BH15"/>
  <c r="BG15"/>
  <c r="BF15"/>
  <c r="BE15"/>
  <c r="AX15"/>
  <c r="DR15" s="1"/>
  <c r="AT15"/>
  <c r="CZ15" s="1"/>
  <c r="AN15"/>
  <c r="DH15" s="1"/>
  <c r="AM15"/>
  <c r="DG15" s="1"/>
  <c r="P15"/>
  <c r="L15"/>
  <c r="I15"/>
  <c r="G15"/>
  <c r="DQ14"/>
  <c r="DP14"/>
  <c r="DO14"/>
  <c r="DN14"/>
  <c r="DM14"/>
  <c r="DK14"/>
  <c r="DJ14"/>
  <c r="DI14"/>
  <c r="DC14"/>
  <c r="DB14"/>
  <c r="DA14"/>
  <c r="CZ14"/>
  <c r="CY14"/>
  <c r="CW14"/>
  <c r="CV14"/>
  <c r="CU14"/>
  <c r="CO14"/>
  <c r="CN14"/>
  <c r="CM14"/>
  <c r="CL14"/>
  <c r="CK14"/>
  <c r="CI14"/>
  <c r="CH14"/>
  <c r="CG14"/>
  <c r="CA14"/>
  <c r="BZ14"/>
  <c r="BY14"/>
  <c r="BX14"/>
  <c r="BW14"/>
  <c r="BU14"/>
  <c r="BT14"/>
  <c r="BS14"/>
  <c r="BM14"/>
  <c r="BL14"/>
  <c r="BK14"/>
  <c r="BJ14"/>
  <c r="BI14"/>
  <c r="BG14"/>
  <c r="BF14"/>
  <c r="BE14"/>
  <c r="AX14"/>
  <c r="DR14" s="1"/>
  <c r="AN14"/>
  <c r="DH14" s="1"/>
  <c r="AM14"/>
  <c r="DG14" s="1"/>
  <c r="P14"/>
  <c r="L14"/>
  <c r="I14"/>
  <c r="G14"/>
  <c r="DQ13"/>
  <c r="DP13"/>
  <c r="DO13"/>
  <c r="DM13"/>
  <c r="DL13"/>
  <c r="DK13"/>
  <c r="DJ13"/>
  <c r="DI13"/>
  <c r="DC13"/>
  <c r="DB13"/>
  <c r="DA13"/>
  <c r="CY13"/>
  <c r="CX13"/>
  <c r="CW13"/>
  <c r="CV13"/>
  <c r="CU13"/>
  <c r="CO13"/>
  <c r="CN13"/>
  <c r="CM13"/>
  <c r="CK13"/>
  <c r="CJ13"/>
  <c r="CI13"/>
  <c r="CH13"/>
  <c r="CG13"/>
  <c r="CA13"/>
  <c r="BZ13"/>
  <c r="BY13"/>
  <c r="BW13"/>
  <c r="BV13"/>
  <c r="BU13"/>
  <c r="BT13"/>
  <c r="BS13"/>
  <c r="BM13"/>
  <c r="BL13"/>
  <c r="BK13"/>
  <c r="BI13"/>
  <c r="BH13"/>
  <c r="BG13"/>
  <c r="BF13"/>
  <c r="BE13"/>
  <c r="AX13"/>
  <c r="DR13" s="1"/>
  <c r="AT13"/>
  <c r="CZ13" s="1"/>
  <c r="AN13"/>
  <c r="DH13" s="1"/>
  <c r="AM13"/>
  <c r="DG13" s="1"/>
  <c r="P13"/>
  <c r="L13"/>
  <c r="I13"/>
  <c r="G13"/>
  <c r="DQ12"/>
  <c r="DP12"/>
  <c r="DO12"/>
  <c r="DN12"/>
  <c r="DM12"/>
  <c r="DK12"/>
  <c r="DJ12"/>
  <c r="DI12"/>
  <c r="DC12"/>
  <c r="DB12"/>
  <c r="DA12"/>
  <c r="CZ12"/>
  <c r="CY12"/>
  <c r="CW12"/>
  <c r="CV12"/>
  <c r="CU12"/>
  <c r="CO12"/>
  <c r="CN12"/>
  <c r="CM12"/>
  <c r="CL12"/>
  <c r="CK12"/>
  <c r="CI12"/>
  <c r="CH12"/>
  <c r="CG12"/>
  <c r="CA12"/>
  <c r="BZ12"/>
  <c r="BY12"/>
  <c r="BX12"/>
  <c r="BW12"/>
  <c r="BU12"/>
  <c r="BT12"/>
  <c r="BS12"/>
  <c r="BM12"/>
  <c r="BL12"/>
  <c r="BK12"/>
  <c r="BJ12"/>
  <c r="BI12"/>
  <c r="BG12"/>
  <c r="BF12"/>
  <c r="BE12"/>
  <c r="AX12"/>
  <c r="DR12" s="1"/>
  <c r="AN12"/>
  <c r="DH12" s="1"/>
  <c r="AM12"/>
  <c r="DG12" s="1"/>
  <c r="P12"/>
  <c r="L12"/>
  <c r="I12"/>
  <c r="I11" s="1"/>
  <c r="G12"/>
  <c r="G11" s="1"/>
  <c r="DQ10"/>
  <c r="DP10"/>
  <c r="DO10"/>
  <c r="DM10"/>
  <c r="DL10"/>
  <c r="DK10"/>
  <c r="DJ10"/>
  <c r="DI10"/>
  <c r="DC10"/>
  <c r="DB10"/>
  <c r="DA10"/>
  <c r="CY10"/>
  <c r="CX10"/>
  <c r="CW10"/>
  <c r="CV10"/>
  <c r="CU10"/>
  <c r="CO10"/>
  <c r="CN10"/>
  <c r="CM10"/>
  <c r="CK10"/>
  <c r="CJ10"/>
  <c r="CI10"/>
  <c r="CH10"/>
  <c r="CG10"/>
  <c r="CA10"/>
  <c r="BZ10"/>
  <c r="BY10"/>
  <c r="BW10"/>
  <c r="BV10"/>
  <c r="BU10"/>
  <c r="BT10"/>
  <c r="BS10"/>
  <c r="BM10"/>
  <c r="BL10"/>
  <c r="BK10"/>
  <c r="BI10"/>
  <c r="BH10"/>
  <c r="BG10"/>
  <c r="BF10"/>
  <c r="BE10"/>
  <c r="AX10"/>
  <c r="DR10" s="1"/>
  <c r="AT10"/>
  <c r="CZ10" s="1"/>
  <c r="AN10"/>
  <c r="DH10" s="1"/>
  <c r="AM10"/>
  <c r="DG10" s="1"/>
  <c r="P10"/>
  <c r="L10"/>
  <c r="I10"/>
  <c r="G10"/>
  <c r="DQ9"/>
  <c r="DP9"/>
  <c r="DO9"/>
  <c r="DM9"/>
  <c r="DL9"/>
  <c r="DK9"/>
  <c r="DJ9"/>
  <c r="DI9"/>
  <c r="DC9"/>
  <c r="DB9"/>
  <c r="DA9"/>
  <c r="CY9"/>
  <c r="CX9"/>
  <c r="CW9"/>
  <c r="CV9"/>
  <c r="CU9"/>
  <c r="CO9"/>
  <c r="CN9"/>
  <c r="CM9"/>
  <c r="CK9"/>
  <c r="CJ9"/>
  <c r="CI9"/>
  <c r="CH9"/>
  <c r="CG9"/>
  <c r="CA9"/>
  <c r="BZ9"/>
  <c r="BY9"/>
  <c r="BW9"/>
  <c r="BV9"/>
  <c r="BU9"/>
  <c r="BT9"/>
  <c r="BS9"/>
  <c r="BM9"/>
  <c r="BL9"/>
  <c r="BK9"/>
  <c r="BI9"/>
  <c r="BH9"/>
  <c r="BG9"/>
  <c r="BF9"/>
  <c r="BE9"/>
  <c r="AX9"/>
  <c r="DR9" s="1"/>
  <c r="AT9"/>
  <c r="DN9" s="1"/>
  <c r="AN9"/>
  <c r="DH9" s="1"/>
  <c r="AM9"/>
  <c r="DG9" s="1"/>
  <c r="P9"/>
  <c r="L9"/>
  <c r="I9"/>
  <c r="G9"/>
  <c r="DQ8"/>
  <c r="DP8"/>
  <c r="DO8"/>
  <c r="DN8"/>
  <c r="DM8"/>
  <c r="DK8"/>
  <c r="DJ8"/>
  <c r="DI8"/>
  <c r="DC8"/>
  <c r="DB8"/>
  <c r="DA8"/>
  <c r="CZ8"/>
  <c r="CY8"/>
  <c r="CW8"/>
  <c r="CV8"/>
  <c r="CU8"/>
  <c r="CO8"/>
  <c r="CN8"/>
  <c r="CM8"/>
  <c r="CL8"/>
  <c r="CK8"/>
  <c r="CI8"/>
  <c r="CH8"/>
  <c r="CG8"/>
  <c r="CA8"/>
  <c r="BZ8"/>
  <c r="BY8"/>
  <c r="BX8"/>
  <c r="BW8"/>
  <c r="BU8"/>
  <c r="BT8"/>
  <c r="BS8"/>
  <c r="BM8"/>
  <c r="BL8"/>
  <c r="BK8"/>
  <c r="BJ8"/>
  <c r="BI8"/>
  <c r="BG8"/>
  <c r="BF8"/>
  <c r="BE8"/>
  <c r="AX8"/>
  <c r="DR8" s="1"/>
  <c r="AR8"/>
  <c r="AR12" s="1"/>
  <c r="DL12" s="1"/>
  <c r="AN8"/>
  <c r="DH8" s="1"/>
  <c r="AM8"/>
  <c r="DG8" s="1"/>
  <c r="P8"/>
  <c r="L8"/>
  <c r="I8"/>
  <c r="G8"/>
  <c r="DY3"/>
  <c r="AG201" i="10" l="1"/>
  <c r="AG203"/>
  <c r="AG202"/>
  <c r="AG200"/>
  <c r="AG186"/>
  <c r="AM186" s="1"/>
  <c r="AG188"/>
  <c r="AG206"/>
  <c r="AQ206" s="1"/>
  <c r="AG208"/>
  <c r="AQ208" s="1"/>
  <c r="AG210"/>
  <c r="AQ210" s="1"/>
  <c r="AG207"/>
  <c r="AQ207" s="1"/>
  <c r="AG209"/>
  <c r="AQ209" s="1"/>
  <c r="AG205"/>
  <c r="AQ205" s="1"/>
  <c r="AG191"/>
  <c r="AG193"/>
  <c r="AG195"/>
  <c r="AG197"/>
  <c r="AG190"/>
  <c r="AG192"/>
  <c r="AG194"/>
  <c r="AG196"/>
  <c r="AG198"/>
  <c r="CB75" i="2"/>
  <c r="E7"/>
  <c r="DD24"/>
  <c r="CB11"/>
  <c r="CP11"/>
  <c r="DD11"/>
  <c r="CB24"/>
  <c r="F13" i="10"/>
  <c r="F12"/>
  <c r="H7" i="17"/>
  <c r="V42" i="10"/>
  <c r="Z24" i="15"/>
  <c r="U24" s="1"/>
  <c r="AJ24"/>
  <c r="AE24" s="1"/>
  <c r="F24"/>
  <c r="A24" s="1"/>
  <c r="AU24"/>
  <c r="AT24" s="1"/>
  <c r="AE82" i="10"/>
  <c r="DR24" i="2"/>
  <c r="CP24"/>
  <c r="Q7"/>
  <c r="O7"/>
  <c r="M7"/>
  <c r="K7"/>
  <c r="AF80" i="10"/>
  <c r="CM72" i="6"/>
  <c r="AC72"/>
  <c r="FU72" s="1"/>
  <c r="EC72"/>
  <c r="V72"/>
  <c r="DH72"/>
  <c r="EX72"/>
  <c r="GE72"/>
  <c r="GI72"/>
  <c r="GM72"/>
  <c r="FX72"/>
  <c r="GB72"/>
  <c r="GF72"/>
  <c r="GJ72"/>
  <c r="AC75"/>
  <c r="AC73"/>
  <c r="AC69"/>
  <c r="AC68"/>
  <c r="AC66"/>
  <c r="AC64"/>
  <c r="AC62"/>
  <c r="AC60"/>
  <c r="AC58"/>
  <c r="AC56"/>
  <c r="AC54"/>
  <c r="AC52"/>
  <c r="AC50"/>
  <c r="AC48"/>
  <c r="AC46"/>
  <c r="AC44"/>
  <c r="AC42"/>
  <c r="AC40"/>
  <c r="AC38"/>
  <c r="AC36"/>
  <c r="AC34"/>
  <c r="AC32"/>
  <c r="AC30"/>
  <c r="AC28"/>
  <c r="AC26"/>
  <c r="AC24"/>
  <c r="AC22"/>
  <c r="AC20"/>
  <c r="AC18"/>
  <c r="AC16"/>
  <c r="AC14"/>
  <c r="AC12"/>
  <c r="AC10"/>
  <c r="AC8"/>
  <c r="AC7"/>
  <c r="FV7" s="1"/>
  <c r="AC76"/>
  <c r="AC74"/>
  <c r="AC70"/>
  <c r="AC67"/>
  <c r="AC65"/>
  <c r="AC63"/>
  <c r="AC61"/>
  <c r="AC59"/>
  <c r="AC57"/>
  <c r="AC55"/>
  <c r="AC53"/>
  <c r="AC51"/>
  <c r="AC49"/>
  <c r="AC47"/>
  <c r="AC45"/>
  <c r="AC43"/>
  <c r="AC41"/>
  <c r="AC39"/>
  <c r="AC37"/>
  <c r="AC35"/>
  <c r="AC33"/>
  <c r="AC31"/>
  <c r="AC29"/>
  <c r="AC27"/>
  <c r="AC25"/>
  <c r="AC23"/>
  <c r="AC21"/>
  <c r="AC19"/>
  <c r="AC17"/>
  <c r="AC15"/>
  <c r="AC13"/>
  <c r="AC11"/>
  <c r="AC9"/>
  <c r="BV76"/>
  <c r="BV70"/>
  <c r="CC75"/>
  <c r="CC73"/>
  <c r="CV75"/>
  <c r="CP75"/>
  <c r="CV73"/>
  <c r="CP73"/>
  <c r="DA75"/>
  <c r="DO75"/>
  <c r="DQ73"/>
  <c r="DK73"/>
  <c r="DV75"/>
  <c r="DV73"/>
  <c r="EF75"/>
  <c r="EF73"/>
  <c r="ER75"/>
  <c r="EN75"/>
  <c r="ER73"/>
  <c r="EN73"/>
  <c r="FB76"/>
  <c r="EX73"/>
  <c r="EV73"/>
  <c r="FB70"/>
  <c r="FL75"/>
  <c r="FH75"/>
  <c r="FL73"/>
  <c r="FH73"/>
  <c r="CM18"/>
  <c r="BV74"/>
  <c r="CE75"/>
  <c r="CE73"/>
  <c r="CX75"/>
  <c r="CT75"/>
  <c r="CX73"/>
  <c r="CT73"/>
  <c r="DA73"/>
  <c r="DQ75"/>
  <c r="DK75"/>
  <c r="DO73"/>
  <c r="DT75"/>
  <c r="DT73"/>
  <c r="EJ75"/>
  <c r="EJ73"/>
  <c r="EP75"/>
  <c r="EL75"/>
  <c r="EP73"/>
  <c r="EL73"/>
  <c r="EX75"/>
  <c r="EV75"/>
  <c r="FB74"/>
  <c r="FJ75"/>
  <c r="FF75"/>
  <c r="FJ73"/>
  <c r="FF73"/>
  <c r="AG77" i="5"/>
  <c r="CJ77" s="1"/>
  <c r="AG72"/>
  <c r="CJ72" s="1"/>
  <c r="AG68"/>
  <c r="AP68" s="1"/>
  <c r="AG82"/>
  <c r="AG80"/>
  <c r="AG76"/>
  <c r="AG74"/>
  <c r="AG73"/>
  <c r="AG70"/>
  <c r="AG67"/>
  <c r="CJ67" s="1"/>
  <c r="AG83"/>
  <c r="AG81"/>
  <c r="AG79"/>
  <c r="AG78"/>
  <c r="AG75"/>
  <c r="AG71"/>
  <c r="AE99" i="10"/>
  <c r="T70"/>
  <c r="U42"/>
  <c r="W42"/>
  <c r="Y42"/>
  <c r="Z42"/>
  <c r="X42"/>
  <c r="Y28"/>
  <c r="U28"/>
  <c r="W28"/>
  <c r="U27"/>
  <c r="Z28"/>
  <c r="X28"/>
  <c r="Z27"/>
  <c r="X27"/>
  <c r="V27"/>
  <c r="Y27"/>
  <c r="AU53" i="15"/>
  <c r="AT57"/>
  <c r="AT49"/>
  <c r="AT45"/>
  <c r="AT35"/>
  <c r="Y69" i="10" s="1"/>
  <c r="Y70" s="1"/>
  <c r="AT31" i="15"/>
  <c r="AT27"/>
  <c r="AT22"/>
  <c r="AT20"/>
  <c r="AT18"/>
  <c r="AT16"/>
  <c r="AT14"/>
  <c r="U56" i="10" s="1"/>
  <c r="AT12" i="15"/>
  <c r="AT10"/>
  <c r="AT8"/>
  <c r="U35"/>
  <c r="U27"/>
  <c r="AT56"/>
  <c r="AT48"/>
  <c r="CY81" i="10" s="1"/>
  <c r="AT44" i="15"/>
  <c r="DB80" i="10" s="1"/>
  <c r="AT34" i="15"/>
  <c r="AT26"/>
  <c r="W29" i="10" s="1"/>
  <c r="AT21" i="15"/>
  <c r="AT19"/>
  <c r="AT17"/>
  <c r="AT15"/>
  <c r="AT13"/>
  <c r="AT11"/>
  <c r="AT9"/>
  <c r="AT7"/>
  <c r="AE41"/>
  <c r="AE31"/>
  <c r="U49"/>
  <c r="K49"/>
  <c r="AE40"/>
  <c r="AE21"/>
  <c r="AE19"/>
  <c r="AE17"/>
  <c r="AE15"/>
  <c r="AE13"/>
  <c r="AE11"/>
  <c r="AE9"/>
  <c r="U52"/>
  <c r="U48"/>
  <c r="U44"/>
  <c r="U34"/>
  <c r="U26"/>
  <c r="U21"/>
  <c r="U19"/>
  <c r="U17"/>
  <c r="U15"/>
  <c r="U13"/>
  <c r="U11"/>
  <c r="U9"/>
  <c r="U7"/>
  <c r="K48"/>
  <c r="K44"/>
  <c r="K40"/>
  <c r="K36"/>
  <c r="K26"/>
  <c r="A48"/>
  <c r="A44"/>
  <c r="A40"/>
  <c r="A36"/>
  <c r="A26"/>
  <c r="A21"/>
  <c r="A19"/>
  <c r="A17"/>
  <c r="A15"/>
  <c r="A13"/>
  <c r="A11"/>
  <c r="A9"/>
  <c r="A7"/>
  <c r="AE35"/>
  <c r="AE22"/>
  <c r="AE20"/>
  <c r="AE18"/>
  <c r="AE16"/>
  <c r="AE14"/>
  <c r="AE12"/>
  <c r="AE10"/>
  <c r="AE8"/>
  <c r="U53"/>
  <c r="U45"/>
  <c r="U31"/>
  <c r="U22"/>
  <c r="U20"/>
  <c r="U18"/>
  <c r="U16"/>
  <c r="U14"/>
  <c r="U12"/>
  <c r="U10"/>
  <c r="U8"/>
  <c r="K45"/>
  <c r="K41"/>
  <c r="K37"/>
  <c r="K27"/>
  <c r="A49"/>
  <c r="A45"/>
  <c r="A41"/>
  <c r="A37"/>
  <c r="A27"/>
  <c r="A22"/>
  <c r="A20"/>
  <c r="A18"/>
  <c r="A16"/>
  <c r="A14"/>
  <c r="A12"/>
  <c r="A10"/>
  <c r="A8"/>
  <c r="DG54" i="8"/>
  <c r="AI12"/>
  <c r="BP19"/>
  <c r="BW19"/>
  <c r="BQ19" s="1"/>
  <c r="BP20"/>
  <c r="BP21"/>
  <c r="BW21"/>
  <c r="BQ21" s="1"/>
  <c r="AM42"/>
  <c r="DW104"/>
  <c r="BP120"/>
  <c r="V6" i="4"/>
  <c r="AQ179" i="10"/>
  <c r="AQ174"/>
  <c r="AK186"/>
  <c r="AL186" s="1"/>
  <c r="AK179"/>
  <c r="AM174"/>
  <c r="AL174"/>
  <c r="AG172"/>
  <c r="AQ172" s="1"/>
  <c r="AG175"/>
  <c r="AQ175" s="1"/>
  <c r="AG173"/>
  <c r="AG182"/>
  <c r="AQ182" s="1"/>
  <c r="AG180"/>
  <c r="AQ180" s="1"/>
  <c r="AG184"/>
  <c r="AG187"/>
  <c r="AG185"/>
  <c r="AG176"/>
  <c r="AQ176" s="1"/>
  <c r="AG178"/>
  <c r="AQ178" s="1"/>
  <c r="AG181"/>
  <c r="AQ181" s="1"/>
  <c r="DH174" i="8"/>
  <c r="DH183" s="1"/>
  <c r="DG183" s="1"/>
  <c r="BU76" i="6"/>
  <c r="BU74"/>
  <c r="BU70"/>
  <c r="BY76"/>
  <c r="BY74"/>
  <c r="BY70"/>
  <c r="BZ76"/>
  <c r="BZ74"/>
  <c r="BZ70"/>
  <c r="CA76"/>
  <c r="CA74"/>
  <c r="CA70"/>
  <c r="CB76"/>
  <c r="CB74"/>
  <c r="CB70"/>
  <c r="CE76"/>
  <c r="CC76"/>
  <c r="CE74"/>
  <c r="CC74"/>
  <c r="CE70"/>
  <c r="CC70"/>
  <c r="CM76"/>
  <c r="CK76"/>
  <c r="CG76"/>
  <c r="CM74"/>
  <c r="CK74"/>
  <c r="CG74"/>
  <c r="CM70"/>
  <c r="CK70"/>
  <c r="CG70"/>
  <c r="CX76"/>
  <c r="CV76"/>
  <c r="CT76"/>
  <c r="CP76"/>
  <c r="CX74"/>
  <c r="CV74"/>
  <c r="CT74"/>
  <c r="CP74"/>
  <c r="CX70"/>
  <c r="CV70"/>
  <c r="CT70"/>
  <c r="CP70"/>
  <c r="DH76"/>
  <c r="DF76"/>
  <c r="DB76"/>
  <c r="CZ76"/>
  <c r="DH74"/>
  <c r="DF74"/>
  <c r="DB74"/>
  <c r="CZ74"/>
  <c r="DH70"/>
  <c r="DF70"/>
  <c r="DB70"/>
  <c r="CZ70"/>
  <c r="DQ76"/>
  <c r="DO76"/>
  <c r="DK76"/>
  <c r="DQ74"/>
  <c r="DO74"/>
  <c r="DK74"/>
  <c r="DQ70"/>
  <c r="DO70"/>
  <c r="DK70"/>
  <c r="EA76"/>
  <c r="DW76"/>
  <c r="DU76"/>
  <c r="DS76"/>
  <c r="EA74"/>
  <c r="DW74"/>
  <c r="DU74"/>
  <c r="DS74"/>
  <c r="EA70"/>
  <c r="DW70"/>
  <c r="DU70"/>
  <c r="DS70"/>
  <c r="EJ76"/>
  <c r="EF76"/>
  <c r="EJ74"/>
  <c r="EF74"/>
  <c r="EJ70"/>
  <c r="EF70"/>
  <c r="ER76"/>
  <c r="EP76"/>
  <c r="EN76"/>
  <c r="EL76"/>
  <c r="ER74"/>
  <c r="EP74"/>
  <c r="EN74"/>
  <c r="EL74"/>
  <c r="ER70"/>
  <c r="EP70"/>
  <c r="EN70"/>
  <c r="EL70"/>
  <c r="EX76"/>
  <c r="EV76"/>
  <c r="FB75"/>
  <c r="EX74"/>
  <c r="EV74"/>
  <c r="FB73"/>
  <c r="EX70"/>
  <c r="EV70"/>
  <c r="FL76"/>
  <c r="FJ76"/>
  <c r="FH76"/>
  <c r="FF76"/>
  <c r="FL74"/>
  <c r="FJ74"/>
  <c r="FH74"/>
  <c r="FF74"/>
  <c r="FL70"/>
  <c r="FJ70"/>
  <c r="FH70"/>
  <c r="FF70"/>
  <c r="CF14"/>
  <c r="EG22"/>
  <c r="DB35"/>
  <c r="CM60"/>
  <c r="DF63"/>
  <c r="BP107" i="8"/>
  <c r="BW120"/>
  <c r="BQ120" s="1"/>
  <c r="BP121"/>
  <c r="BP122"/>
  <c r="BP123"/>
  <c r="AM124"/>
  <c r="BP127"/>
  <c r="BW127"/>
  <c r="BQ127" s="1"/>
  <c r="DH128"/>
  <c r="DH129" s="1"/>
  <c r="DG129" s="1"/>
  <c r="BP159"/>
  <c r="BW159"/>
  <c r="BQ159" s="1"/>
  <c r="BP169"/>
  <c r="BW169"/>
  <c r="BQ169" s="1"/>
  <c r="BP171"/>
  <c r="BW171"/>
  <c r="BQ171" s="1"/>
  <c r="BP173"/>
  <c r="BW173"/>
  <c r="BQ173" s="1"/>
  <c r="BU75" i="6"/>
  <c r="BU73"/>
  <c r="BV75"/>
  <c r="BV73"/>
  <c r="BY75"/>
  <c r="BY73"/>
  <c r="BZ75"/>
  <c r="BZ73"/>
  <c r="CA75"/>
  <c r="CA73"/>
  <c r="CB75"/>
  <c r="CB73"/>
  <c r="CF76"/>
  <c r="CD76"/>
  <c r="CF75"/>
  <c r="CD75"/>
  <c r="CF74"/>
  <c r="CD74"/>
  <c r="CF73"/>
  <c r="CD73"/>
  <c r="CF70"/>
  <c r="CD70"/>
  <c r="CM75"/>
  <c r="CK75"/>
  <c r="CG75"/>
  <c r="CM73"/>
  <c r="CK73"/>
  <c r="CG73"/>
  <c r="CY76"/>
  <c r="CW76"/>
  <c r="CU76"/>
  <c r="CQ76"/>
  <c r="CY75"/>
  <c r="CW75"/>
  <c r="CU75"/>
  <c r="CQ75"/>
  <c r="CY74"/>
  <c r="CW74"/>
  <c r="CU74"/>
  <c r="CQ74"/>
  <c r="CY73"/>
  <c r="CW73"/>
  <c r="CU73"/>
  <c r="CQ73"/>
  <c r="CY70"/>
  <c r="CW70"/>
  <c r="CU70"/>
  <c r="CQ70"/>
  <c r="DA76"/>
  <c r="DH75"/>
  <c r="DF75"/>
  <c r="DB75"/>
  <c r="CZ75"/>
  <c r="DA74"/>
  <c r="DH73"/>
  <c r="DF73"/>
  <c r="DB73"/>
  <c r="CZ73"/>
  <c r="DA70"/>
  <c r="DR76"/>
  <c r="DP76"/>
  <c r="DL76"/>
  <c r="DR75"/>
  <c r="DP75"/>
  <c r="DL75"/>
  <c r="DR74"/>
  <c r="DP74"/>
  <c r="DL74"/>
  <c r="DR73"/>
  <c r="DP73"/>
  <c r="DL73"/>
  <c r="DR70"/>
  <c r="DP70"/>
  <c r="DL70"/>
  <c r="DV76"/>
  <c r="DT76"/>
  <c r="EA75"/>
  <c r="DW75"/>
  <c r="DU75"/>
  <c r="DS75"/>
  <c r="DV74"/>
  <c r="DT74"/>
  <c r="EA73"/>
  <c r="DW73"/>
  <c r="DU73"/>
  <c r="DS73"/>
  <c r="DV70"/>
  <c r="DT70"/>
  <c r="EC76"/>
  <c r="EC75"/>
  <c r="EC74"/>
  <c r="EC73"/>
  <c r="EC70"/>
  <c r="DN75" i="2"/>
  <c r="CW75"/>
  <c r="CX74"/>
  <c r="DA75"/>
  <c r="CL75"/>
  <c r="BN75"/>
  <c r="DD75"/>
  <c r="DB75"/>
  <c r="CF75"/>
  <c r="BR75"/>
  <c r="BH91"/>
  <c r="CJ91"/>
  <c r="DL91"/>
  <c r="DV92"/>
  <c r="DZ92"/>
  <c r="ED92"/>
  <c r="BX93"/>
  <c r="DL94"/>
  <c r="DT94"/>
  <c r="DX94"/>
  <c r="EB94"/>
  <c r="BJ95"/>
  <c r="CL95"/>
  <c r="DN95"/>
  <c r="DT96"/>
  <c r="DX96"/>
  <c r="EB96"/>
  <c r="BJ97"/>
  <c r="CL97"/>
  <c r="DN97"/>
  <c r="DV99"/>
  <c r="DZ99"/>
  <c r="ED99"/>
  <c r="BV100"/>
  <c r="BY101"/>
  <c r="DA101"/>
  <c r="DV101"/>
  <c r="DZ101"/>
  <c r="ED101"/>
  <c r="BZ102"/>
  <c r="DB102"/>
  <c r="BY103"/>
  <c r="DA103"/>
  <c r="DV103"/>
  <c r="DZ103"/>
  <c r="ED103"/>
  <c r="BL104"/>
  <c r="BZ104"/>
  <c r="CN104"/>
  <c r="DB104"/>
  <c r="BZ105"/>
  <c r="DB105"/>
  <c r="BY106"/>
  <c r="DA106"/>
  <c r="DV106"/>
  <c r="DZ106"/>
  <c r="ED106"/>
  <c r="BH109"/>
  <c r="BV109"/>
  <c r="CF109"/>
  <c r="CJ109"/>
  <c r="CP109"/>
  <c r="CX109"/>
  <c r="DH109"/>
  <c r="DL109"/>
  <c r="DR109"/>
  <c r="EA109"/>
  <c r="BV91"/>
  <c r="CX91"/>
  <c r="DV94"/>
  <c r="DZ94"/>
  <c r="ED94"/>
  <c r="BX95"/>
  <c r="BX97"/>
  <c r="BK101"/>
  <c r="CM101"/>
  <c r="DT101"/>
  <c r="DX101"/>
  <c r="EB101"/>
  <c r="BL102"/>
  <c r="CN102"/>
  <c r="BK103"/>
  <c r="CM103"/>
  <c r="DO103"/>
  <c r="DT103"/>
  <c r="DX103"/>
  <c r="EB103"/>
  <c r="BJ104"/>
  <c r="BX104"/>
  <c r="CL104"/>
  <c r="CZ104"/>
  <c r="DO104"/>
  <c r="BL105"/>
  <c r="CN105"/>
  <c r="BK106"/>
  <c r="CM106"/>
  <c r="DT106"/>
  <c r="DX106"/>
  <c r="EB106"/>
  <c r="DW109"/>
  <c r="DL96"/>
  <c r="CX96"/>
  <c r="CJ96"/>
  <c r="BV96"/>
  <c r="BH96"/>
  <c r="ED109"/>
  <c r="EB109"/>
  <c r="DZ109"/>
  <c r="DX109"/>
  <c r="DV109"/>
  <c r="DT109"/>
  <c r="BC91"/>
  <c r="BQ91"/>
  <c r="CE91"/>
  <c r="CS91"/>
  <c r="DT91"/>
  <c r="DV91"/>
  <c r="DX91"/>
  <c r="DZ91"/>
  <c r="EB91"/>
  <c r="ED91"/>
  <c r="BD92"/>
  <c r="BJ92"/>
  <c r="BN92"/>
  <c r="BR92"/>
  <c r="BX92"/>
  <c r="CB92"/>
  <c r="CF92"/>
  <c r="CL92"/>
  <c r="CP92"/>
  <c r="CT92"/>
  <c r="CZ92"/>
  <c r="DD92"/>
  <c r="DU92"/>
  <c r="DW92"/>
  <c r="DY92"/>
  <c r="EA92"/>
  <c r="EC92"/>
  <c r="BC93"/>
  <c r="BQ93"/>
  <c r="CE93"/>
  <c r="CS93"/>
  <c r="DT93"/>
  <c r="DV93"/>
  <c r="DX93"/>
  <c r="DZ93"/>
  <c r="EB93"/>
  <c r="ED93"/>
  <c r="BD94"/>
  <c r="BH94"/>
  <c r="BN94"/>
  <c r="BR94"/>
  <c r="BV94"/>
  <c r="CB94"/>
  <c r="CF94"/>
  <c r="CJ94"/>
  <c r="CP94"/>
  <c r="CT94"/>
  <c r="CX94"/>
  <c r="DD94"/>
  <c r="DU94"/>
  <c r="DW94"/>
  <c r="DY94"/>
  <c r="EA94"/>
  <c r="EC94"/>
  <c r="BC95"/>
  <c r="BQ95"/>
  <c r="CE95"/>
  <c r="CS95"/>
  <c r="DT95"/>
  <c r="DV95"/>
  <c r="DX95"/>
  <c r="DZ95"/>
  <c r="EB95"/>
  <c r="ED95"/>
  <c r="BD96"/>
  <c r="BN96"/>
  <c r="BR96"/>
  <c r="CB96"/>
  <c r="CF96"/>
  <c r="CP96"/>
  <c r="CT96"/>
  <c r="DD96"/>
  <c r="DU96"/>
  <c r="DW96"/>
  <c r="DY96"/>
  <c r="EA96"/>
  <c r="EC96"/>
  <c r="BC97"/>
  <c r="BQ97"/>
  <c r="CE97"/>
  <c r="CS97"/>
  <c r="DT97"/>
  <c r="DV97"/>
  <c r="DX97"/>
  <c r="DZ97"/>
  <c r="EB97"/>
  <c r="ED97"/>
  <c r="BD99"/>
  <c r="BH99"/>
  <c r="BN99"/>
  <c r="BR99"/>
  <c r="BV99"/>
  <c r="CB99"/>
  <c r="CF99"/>
  <c r="CJ99"/>
  <c r="CP99"/>
  <c r="CT99"/>
  <c r="CX99"/>
  <c r="DD99"/>
  <c r="DU99"/>
  <c r="DW99"/>
  <c r="DY99"/>
  <c r="EA99"/>
  <c r="EC99"/>
  <c r="BC100"/>
  <c r="BQ100"/>
  <c r="CE100"/>
  <c r="CS100"/>
  <c r="DT100"/>
  <c r="DV100"/>
  <c r="DX100"/>
  <c r="DZ100"/>
  <c r="EB100"/>
  <c r="ED100"/>
  <c r="BL101"/>
  <c r="BN101"/>
  <c r="BZ101"/>
  <c r="CB101"/>
  <c r="CN101"/>
  <c r="CP101"/>
  <c r="DB101"/>
  <c r="DD101"/>
  <c r="DU101"/>
  <c r="DW101"/>
  <c r="DY101"/>
  <c r="EA101"/>
  <c r="EC101"/>
  <c r="BG102"/>
  <c r="BK102"/>
  <c r="BU102"/>
  <c r="BY102"/>
  <c r="CI102"/>
  <c r="CM102"/>
  <c r="CW102"/>
  <c r="DA102"/>
  <c r="DT102"/>
  <c r="DV102"/>
  <c r="DX102"/>
  <c r="DZ102"/>
  <c r="EB102"/>
  <c r="ED102"/>
  <c r="BJ103"/>
  <c r="BL103"/>
  <c r="BN103"/>
  <c r="BX103"/>
  <c r="BZ103"/>
  <c r="CB103"/>
  <c r="CL103"/>
  <c r="CN103"/>
  <c r="CP103"/>
  <c r="CZ103"/>
  <c r="DB103"/>
  <c r="DD103"/>
  <c r="DU103"/>
  <c r="DW103"/>
  <c r="DY103"/>
  <c r="EA103"/>
  <c r="EC103"/>
  <c r="BK104"/>
  <c r="BY104"/>
  <c r="CM104"/>
  <c r="DV104"/>
  <c r="DZ104"/>
  <c r="DU105"/>
  <c r="DY105"/>
  <c r="BR109"/>
  <c r="CB109"/>
  <c r="DU109"/>
  <c r="DY109"/>
  <c r="EC109"/>
  <c r="EE104"/>
  <c r="EC104"/>
  <c r="EA104"/>
  <c r="DY104"/>
  <c r="DW104"/>
  <c r="DU104"/>
  <c r="ED105"/>
  <c r="EB105"/>
  <c r="DZ105"/>
  <c r="DX105"/>
  <c r="DV105"/>
  <c r="DT105"/>
  <c r="DO105"/>
  <c r="DA105"/>
  <c r="CM105"/>
  <c r="BY105"/>
  <c r="BK105"/>
  <c r="DN106"/>
  <c r="CZ106"/>
  <c r="CL106"/>
  <c r="BX106"/>
  <c r="BJ106"/>
  <c r="DP106"/>
  <c r="DB106"/>
  <c r="CN106"/>
  <c r="BZ106"/>
  <c r="BL106"/>
  <c r="BD91"/>
  <c r="BN91"/>
  <c r="BR91"/>
  <c r="CB91"/>
  <c r="CF91"/>
  <c r="CP91"/>
  <c r="CT91"/>
  <c r="DD91"/>
  <c r="DU91"/>
  <c r="DW91"/>
  <c r="DY91"/>
  <c r="EA91"/>
  <c r="EC91"/>
  <c r="BC92"/>
  <c r="BQ92"/>
  <c r="CE92"/>
  <c r="CS92"/>
  <c r="BD93"/>
  <c r="BN93"/>
  <c r="BR93"/>
  <c r="CB93"/>
  <c r="CF93"/>
  <c r="CP93"/>
  <c r="CT93"/>
  <c r="DD93"/>
  <c r="DU93"/>
  <c r="DW93"/>
  <c r="DY93"/>
  <c r="EA93"/>
  <c r="EC93"/>
  <c r="BC94"/>
  <c r="BQ94"/>
  <c r="CE94"/>
  <c r="CS94"/>
  <c r="BD95"/>
  <c r="BN95"/>
  <c r="BR95"/>
  <c r="CB95"/>
  <c r="CF95"/>
  <c r="CP95"/>
  <c r="CT95"/>
  <c r="DD95"/>
  <c r="DU95"/>
  <c r="DW95"/>
  <c r="DY95"/>
  <c r="EA95"/>
  <c r="EC95"/>
  <c r="BC96"/>
  <c r="BQ96"/>
  <c r="CE96"/>
  <c r="CS96"/>
  <c r="BD97"/>
  <c r="BN97"/>
  <c r="BR97"/>
  <c r="CB97"/>
  <c r="CF97"/>
  <c r="CP97"/>
  <c r="CT97"/>
  <c r="DD97"/>
  <c r="DU97"/>
  <c r="DW97"/>
  <c r="DY97"/>
  <c r="EA97"/>
  <c r="EC97"/>
  <c r="BC99"/>
  <c r="BQ99"/>
  <c r="CE99"/>
  <c r="CS99"/>
  <c r="BD100"/>
  <c r="BN100"/>
  <c r="EE100" s="1"/>
  <c r="BR100"/>
  <c r="CB100"/>
  <c r="CF100"/>
  <c r="CP100"/>
  <c r="CT100"/>
  <c r="DD100"/>
  <c r="DU100"/>
  <c r="DW100"/>
  <c r="DY100"/>
  <c r="EA100"/>
  <c r="EC100"/>
  <c r="BG101"/>
  <c r="BU101"/>
  <c r="CI101"/>
  <c r="CW101"/>
  <c r="BN102"/>
  <c r="CB102"/>
  <c r="CP102"/>
  <c r="DD102"/>
  <c r="DU102"/>
  <c r="DW102"/>
  <c r="DY102"/>
  <c r="EA102"/>
  <c r="EC102"/>
  <c r="BN104"/>
  <c r="CB104"/>
  <c r="CP104"/>
  <c r="DD104"/>
  <c r="DT104"/>
  <c r="DX104"/>
  <c r="EB104"/>
  <c r="BN105"/>
  <c r="CB105"/>
  <c r="CP105"/>
  <c r="DD105"/>
  <c r="DW105"/>
  <c r="EA105"/>
  <c r="EE105"/>
  <c r="BG105"/>
  <c r="BU105"/>
  <c r="CI105"/>
  <c r="CW105"/>
  <c r="BN106"/>
  <c r="CB106"/>
  <c r="CP106"/>
  <c r="DD106"/>
  <c r="DU106"/>
  <c r="DW106"/>
  <c r="DY106"/>
  <c r="EA106"/>
  <c r="EC106"/>
  <c r="BC109"/>
  <c r="BQ109"/>
  <c r="CE109"/>
  <c r="CS109"/>
  <c r="ED84"/>
  <c r="DK74"/>
  <c r="CW74"/>
  <c r="CI74"/>
  <c r="BU74"/>
  <c r="DO75"/>
  <c r="DK75"/>
  <c r="CZ75"/>
  <c r="CM75"/>
  <c r="CI75"/>
  <c r="BY75"/>
  <c r="ED75"/>
  <c r="DX75"/>
  <c r="DZ75"/>
  <c r="J75"/>
  <c r="EE75"/>
  <c r="Q75" s="1"/>
  <c r="EB75"/>
  <c r="N75" s="1"/>
  <c r="DY75"/>
  <c r="K75" s="1"/>
  <c r="DW75"/>
  <c r="DU75"/>
  <c r="F75" s="1"/>
  <c r="BQ75"/>
  <c r="BC75"/>
  <c r="DG75"/>
  <c r="CS75"/>
  <c r="DT75" s="1"/>
  <c r="E75" s="1"/>
  <c r="EA75"/>
  <c r="M75" s="1"/>
  <c r="DK85"/>
  <c r="CW85"/>
  <c r="CI85"/>
  <c r="DX85" s="1"/>
  <c r="J85" s="1"/>
  <c r="BU85"/>
  <c r="DL84"/>
  <c r="CX84"/>
  <c r="CJ84"/>
  <c r="BV84"/>
  <c r="DL83"/>
  <c r="CX83"/>
  <c r="CJ83"/>
  <c r="BV83"/>
  <c r="DL82"/>
  <c r="CX82"/>
  <c r="CJ82"/>
  <c r="DY82" s="1"/>
  <c r="K82" s="1"/>
  <c r="BV82"/>
  <c r="DL81"/>
  <c r="CX81"/>
  <c r="CJ81"/>
  <c r="DY81" s="1"/>
  <c r="K81" s="1"/>
  <c r="BV81"/>
  <c r="DL80"/>
  <c r="CX80"/>
  <c r="CJ80"/>
  <c r="BV80"/>
  <c r="DL79"/>
  <c r="CX79"/>
  <c r="CJ79"/>
  <c r="BV79"/>
  <c r="DL78"/>
  <c r="CX78"/>
  <c r="CJ78"/>
  <c r="DY78" s="1"/>
  <c r="K78" s="1"/>
  <c r="BV78"/>
  <c r="DL76"/>
  <c r="CX76"/>
  <c r="CJ76"/>
  <c r="DY76" s="1"/>
  <c r="BV76"/>
  <c r="DK73"/>
  <c r="CX73"/>
  <c r="CI73"/>
  <c r="BV73"/>
  <c r="BG73"/>
  <c r="BZ75"/>
  <c r="EC75" s="1"/>
  <c r="O75" s="1"/>
  <c r="DL85"/>
  <c r="CX85"/>
  <c r="CJ85"/>
  <c r="DY85" s="1"/>
  <c r="K85" s="1"/>
  <c r="BV85"/>
  <c r="DK84"/>
  <c r="CW84"/>
  <c r="CI84"/>
  <c r="DX84" s="1"/>
  <c r="J84" s="1"/>
  <c r="BU84"/>
  <c r="DK83"/>
  <c r="CW83"/>
  <c r="CI83"/>
  <c r="DX83" s="1"/>
  <c r="J83" s="1"/>
  <c r="BU83"/>
  <c r="DK82"/>
  <c r="CW82"/>
  <c r="CI82"/>
  <c r="BU82"/>
  <c r="DK81"/>
  <c r="CW81"/>
  <c r="CI81"/>
  <c r="BU81"/>
  <c r="DK80"/>
  <c r="CW80"/>
  <c r="CI80"/>
  <c r="DX80" s="1"/>
  <c r="J80" s="1"/>
  <c r="BU80"/>
  <c r="DK79"/>
  <c r="CW79"/>
  <c r="CI79"/>
  <c r="BU79"/>
  <c r="DK78"/>
  <c r="CW78"/>
  <c r="CI78"/>
  <c r="BU78"/>
  <c r="DK76"/>
  <c r="CW76"/>
  <c r="CI76"/>
  <c r="DX76" s="1"/>
  <c r="BU76"/>
  <c r="DL73"/>
  <c r="CW73"/>
  <c r="CJ73"/>
  <c r="DO84"/>
  <c r="CT85"/>
  <c r="CN85"/>
  <c r="DG84"/>
  <c r="DA84"/>
  <c r="CS84"/>
  <c r="CM84"/>
  <c r="CE84"/>
  <c r="BY84"/>
  <c r="BQ84"/>
  <c r="DO83"/>
  <c r="DG83"/>
  <c r="DA83"/>
  <c r="CS83"/>
  <c r="CM83"/>
  <c r="CE83"/>
  <c r="BY83"/>
  <c r="BQ83"/>
  <c r="DO82"/>
  <c r="DG82"/>
  <c r="DA82"/>
  <c r="CS82"/>
  <c r="CM82"/>
  <c r="CE82"/>
  <c r="BY82"/>
  <c r="BQ82"/>
  <c r="DT82" s="1"/>
  <c r="E82" s="1"/>
  <c r="DO81"/>
  <c r="DG81"/>
  <c r="DA81"/>
  <c r="CS81"/>
  <c r="CM81"/>
  <c r="CE81"/>
  <c r="BY81"/>
  <c r="BQ81"/>
  <c r="DT81" s="1"/>
  <c r="E81" s="1"/>
  <c r="DO80"/>
  <c r="DG80"/>
  <c r="DA80"/>
  <c r="CS80"/>
  <c r="CM80"/>
  <c r="CE80"/>
  <c r="BY80"/>
  <c r="BQ80"/>
  <c r="DO79"/>
  <c r="DG79"/>
  <c r="DA79"/>
  <c r="CS79"/>
  <c r="CM79"/>
  <c r="CE79"/>
  <c r="BY79"/>
  <c r="EB79" s="1"/>
  <c r="N79" s="1"/>
  <c r="BQ79"/>
  <c r="DT79" s="1"/>
  <c r="E79" s="1"/>
  <c r="DO78"/>
  <c r="DG78"/>
  <c r="DA78"/>
  <c r="CS78"/>
  <c r="CM78"/>
  <c r="CE78"/>
  <c r="BY78"/>
  <c r="BQ78"/>
  <c r="DT78" s="1"/>
  <c r="E78" s="1"/>
  <c r="DO76"/>
  <c r="DA76"/>
  <c r="CM76"/>
  <c r="BY76"/>
  <c r="EB76" s="1"/>
  <c r="DR74"/>
  <c r="DP74"/>
  <c r="DN74"/>
  <c r="DH74"/>
  <c r="DD74"/>
  <c r="DB74"/>
  <c r="CZ74"/>
  <c r="CT74"/>
  <c r="CP74"/>
  <c r="CN74"/>
  <c r="CL74"/>
  <c r="CF74"/>
  <c r="CB74"/>
  <c r="BZ74"/>
  <c r="BX74"/>
  <c r="BR74"/>
  <c r="DU74" s="1"/>
  <c r="F74" s="1"/>
  <c r="DO73"/>
  <c r="DG73"/>
  <c r="DA73"/>
  <c r="CS73"/>
  <c r="CM73"/>
  <c r="CE73"/>
  <c r="BY73"/>
  <c r="BQ73"/>
  <c r="DT73" s="1"/>
  <c r="E73" s="1"/>
  <c r="DR84"/>
  <c r="DP84"/>
  <c r="DN84"/>
  <c r="DH84"/>
  <c r="DD84"/>
  <c r="DB84"/>
  <c r="CZ84"/>
  <c r="CT84"/>
  <c r="CP84"/>
  <c r="CN84"/>
  <c r="CL84"/>
  <c r="CF84"/>
  <c r="CB84"/>
  <c r="BZ84"/>
  <c r="BX84"/>
  <c r="BR84"/>
  <c r="DU84" s="1"/>
  <c r="F84" s="1"/>
  <c r="DR83"/>
  <c r="DP83"/>
  <c r="DN83"/>
  <c r="DH83"/>
  <c r="DD83"/>
  <c r="DB83"/>
  <c r="CZ83"/>
  <c r="CT83"/>
  <c r="CP83"/>
  <c r="CN83"/>
  <c r="CL83"/>
  <c r="CF83"/>
  <c r="CB83"/>
  <c r="BZ83"/>
  <c r="BX83"/>
  <c r="BR83"/>
  <c r="DR82"/>
  <c r="DP82"/>
  <c r="DN82"/>
  <c r="DH82"/>
  <c r="DD82"/>
  <c r="DB82"/>
  <c r="CZ82"/>
  <c r="CT82"/>
  <c r="CP82"/>
  <c r="CN82"/>
  <c r="CL82"/>
  <c r="CF82"/>
  <c r="CB82"/>
  <c r="BZ82"/>
  <c r="EC82" s="1"/>
  <c r="O82" s="1"/>
  <c r="BX82"/>
  <c r="BR82"/>
  <c r="DU82" s="1"/>
  <c r="F82" s="1"/>
  <c r="DR81"/>
  <c r="DP81"/>
  <c r="DN81"/>
  <c r="DH81"/>
  <c r="DD81"/>
  <c r="DB81"/>
  <c r="CZ81"/>
  <c r="CT81"/>
  <c r="CP81"/>
  <c r="CN81"/>
  <c r="CL81"/>
  <c r="CF81"/>
  <c r="CB81"/>
  <c r="BZ81"/>
  <c r="EC81" s="1"/>
  <c r="O81" s="1"/>
  <c r="BX81"/>
  <c r="BR81"/>
  <c r="DU81" s="1"/>
  <c r="F81" s="1"/>
  <c r="DR80"/>
  <c r="DP80"/>
  <c r="DN80"/>
  <c r="DH80"/>
  <c r="DD80"/>
  <c r="DB80"/>
  <c r="CZ80"/>
  <c r="CT80"/>
  <c r="CP80"/>
  <c r="CN80"/>
  <c r="CL80"/>
  <c r="CF80"/>
  <c r="CB80"/>
  <c r="BZ80"/>
  <c r="BX80"/>
  <c r="BR80"/>
  <c r="DU80" s="1"/>
  <c r="F80" s="1"/>
  <c r="DR79"/>
  <c r="DP79"/>
  <c r="DN79"/>
  <c r="DH79"/>
  <c r="DD79"/>
  <c r="DB79"/>
  <c r="CZ79"/>
  <c r="CT79"/>
  <c r="CP79"/>
  <c r="CN79"/>
  <c r="CL79"/>
  <c r="CF79"/>
  <c r="CB79"/>
  <c r="BZ79"/>
  <c r="BX79"/>
  <c r="BR79"/>
  <c r="DU79" s="1"/>
  <c r="F79" s="1"/>
  <c r="DR78"/>
  <c r="DP78"/>
  <c r="DN78"/>
  <c r="DH78"/>
  <c r="DD78"/>
  <c r="DB78"/>
  <c r="CZ78"/>
  <c r="CT78"/>
  <c r="CP78"/>
  <c r="CN78"/>
  <c r="CL78"/>
  <c r="CF78"/>
  <c r="CB78"/>
  <c r="BZ78"/>
  <c r="EC78" s="1"/>
  <c r="O78" s="1"/>
  <c r="BX78"/>
  <c r="BR78"/>
  <c r="DU78" s="1"/>
  <c r="F78" s="1"/>
  <c r="DN76"/>
  <c r="CZ76"/>
  <c r="CL76"/>
  <c r="BX76"/>
  <c r="DO74"/>
  <c r="DG74"/>
  <c r="DA74"/>
  <c r="CS74"/>
  <c r="CM74"/>
  <c r="CE74"/>
  <c r="BY74"/>
  <c r="EB74" s="1"/>
  <c r="N74" s="1"/>
  <c r="BQ74"/>
  <c r="DT74" s="1"/>
  <c r="E74" s="1"/>
  <c r="DR73"/>
  <c r="DP73"/>
  <c r="DH73"/>
  <c r="DD73"/>
  <c r="DB73"/>
  <c r="CT73"/>
  <c r="CP73"/>
  <c r="EE73" s="1"/>
  <c r="Q73" s="1"/>
  <c r="CN73"/>
  <c r="CF73"/>
  <c r="CB73"/>
  <c r="BZ73"/>
  <c r="BR73"/>
  <c r="DU83"/>
  <c r="F83" s="1"/>
  <c r="DZ83"/>
  <c r="DV81"/>
  <c r="ED81"/>
  <c r="ED83"/>
  <c r="DV83"/>
  <c r="DZ81"/>
  <c r="DW85"/>
  <c r="EB83"/>
  <c r="N83" s="1"/>
  <c r="DT83"/>
  <c r="E83" s="1"/>
  <c r="EB81"/>
  <c r="N81" s="1"/>
  <c r="DX81"/>
  <c r="J81" s="1"/>
  <c r="DX79"/>
  <c r="J79" s="1"/>
  <c r="DX74"/>
  <c r="J74" s="1"/>
  <c r="ED85"/>
  <c r="DZ85"/>
  <c r="DV85"/>
  <c r="EE83"/>
  <c r="Q83" s="1"/>
  <c r="EC83"/>
  <c r="O83" s="1"/>
  <c r="EA83"/>
  <c r="M83" s="1"/>
  <c r="DY83"/>
  <c r="K83" s="1"/>
  <c r="DW83"/>
  <c r="EE81"/>
  <c r="Q81" s="1"/>
  <c r="EA81"/>
  <c r="M81" s="1"/>
  <c r="DW81"/>
  <c r="ED79"/>
  <c r="DZ79"/>
  <c r="DV79"/>
  <c r="ED76"/>
  <c r="DZ76"/>
  <c r="DV76"/>
  <c r="ED74"/>
  <c r="DZ74"/>
  <c r="DV74"/>
  <c r="DV80"/>
  <c r="EE79"/>
  <c r="Q79" s="1"/>
  <c r="EC79"/>
  <c r="O79" s="1"/>
  <c r="EA79"/>
  <c r="M79" s="1"/>
  <c r="DY79"/>
  <c r="K79" s="1"/>
  <c r="DW79"/>
  <c r="EA76"/>
  <c r="DW76"/>
  <c r="EE74"/>
  <c r="Q74" s="1"/>
  <c r="EC74"/>
  <c r="O74" s="1"/>
  <c r="EA74"/>
  <c r="M74" s="1"/>
  <c r="DY74"/>
  <c r="K74" s="1"/>
  <c r="DW74"/>
  <c r="DZ82"/>
  <c r="DV84"/>
  <c r="ED80"/>
  <c r="DZ78"/>
  <c r="DZ84"/>
  <c r="ED82"/>
  <c r="DV82"/>
  <c r="DZ80"/>
  <c r="ED78"/>
  <c r="DV78"/>
  <c r="ED73"/>
  <c r="DZ73"/>
  <c r="EB84"/>
  <c r="N84" s="1"/>
  <c r="DT84"/>
  <c r="E84" s="1"/>
  <c r="EB82"/>
  <c r="N82" s="1"/>
  <c r="DX82"/>
  <c r="J82" s="1"/>
  <c r="EB80"/>
  <c r="N80" s="1"/>
  <c r="DT80"/>
  <c r="E80" s="1"/>
  <c r="EB78"/>
  <c r="N78" s="1"/>
  <c r="DX78"/>
  <c r="J78" s="1"/>
  <c r="EB73"/>
  <c r="N73" s="1"/>
  <c r="DX73"/>
  <c r="J73" s="1"/>
  <c r="EE84"/>
  <c r="Q84" s="1"/>
  <c r="EC84"/>
  <c r="O84" s="1"/>
  <c r="EA84"/>
  <c r="M84" s="1"/>
  <c r="DY84"/>
  <c r="K84" s="1"/>
  <c r="DW84"/>
  <c r="EE82"/>
  <c r="Q82" s="1"/>
  <c r="EA82"/>
  <c r="M82" s="1"/>
  <c r="DW82"/>
  <c r="EE80"/>
  <c r="Q80" s="1"/>
  <c r="EC80"/>
  <c r="O80" s="1"/>
  <c r="EA80"/>
  <c r="M80" s="1"/>
  <c r="DY80"/>
  <c r="K80" s="1"/>
  <c r="DW80"/>
  <c r="EE78"/>
  <c r="Q78" s="1"/>
  <c r="EA78"/>
  <c r="M78" s="1"/>
  <c r="DW78"/>
  <c r="EC73"/>
  <c r="O73" s="1"/>
  <c r="EA73"/>
  <c r="M73" s="1"/>
  <c r="DY73"/>
  <c r="K73" s="1"/>
  <c r="DW73"/>
  <c r="DV73"/>
  <c r="CS76"/>
  <c r="BQ76"/>
  <c r="DG76"/>
  <c r="CE76"/>
  <c r="DH76"/>
  <c r="CT76"/>
  <c r="CF76"/>
  <c r="BR76"/>
  <c r="DP76"/>
  <c r="CN76"/>
  <c r="BL76"/>
  <c r="DB76"/>
  <c r="DR76"/>
  <c r="DD76"/>
  <c r="CP76"/>
  <c r="CB76"/>
  <c r="DR85"/>
  <c r="BN85"/>
  <c r="DD85"/>
  <c r="CP85"/>
  <c r="DP85"/>
  <c r="DB85"/>
  <c r="BL85"/>
  <c r="DA85"/>
  <c r="CM85"/>
  <c r="DO85"/>
  <c r="BY85"/>
  <c r="BK85"/>
  <c r="DN85"/>
  <c r="CZ85"/>
  <c r="BJ85"/>
  <c r="CL85"/>
  <c r="DH85"/>
  <c r="CF85"/>
  <c r="BD85"/>
  <c r="DG85"/>
  <c r="CS85"/>
  <c r="CE85"/>
  <c r="BQ85"/>
  <c r="U74" i="10"/>
  <c r="AE74" s="1"/>
  <c r="Z6" i="5"/>
  <c r="AD6" s="1"/>
  <c r="Z45"/>
  <c r="Z43"/>
  <c r="Z41"/>
  <c r="AD41" s="1"/>
  <c r="Z38"/>
  <c r="Z36"/>
  <c r="Z34"/>
  <c r="Z32"/>
  <c r="Z30"/>
  <c r="Z26"/>
  <c r="Z24"/>
  <c r="Z22"/>
  <c r="Z20"/>
  <c r="Z18"/>
  <c r="Z14"/>
  <c r="Z12"/>
  <c r="Z10"/>
  <c r="Z46"/>
  <c r="Z44"/>
  <c r="Z42"/>
  <c r="Z40"/>
  <c r="Z37"/>
  <c r="Z35"/>
  <c r="Z33"/>
  <c r="Z31"/>
  <c r="Z29"/>
  <c r="Z25"/>
  <c r="Z23"/>
  <c r="Z21"/>
  <c r="Z19"/>
  <c r="Z17"/>
  <c r="Z13"/>
  <c r="Z11"/>
  <c r="Z9"/>
  <c r="Z7"/>
  <c r="AK42"/>
  <c r="A13" i="10"/>
  <c r="A15"/>
  <c r="A14"/>
  <c r="U75"/>
  <c r="AE75" s="1"/>
  <c r="U76"/>
  <c r="AE76" s="1"/>
  <c r="U77"/>
  <c r="AE77" s="1"/>
  <c r="U78"/>
  <c r="AE78" s="1"/>
  <c r="U86"/>
  <c r="AE86" s="1"/>
  <c r="U87"/>
  <c r="AE87" s="1"/>
  <c r="U88"/>
  <c r="AE88" s="1"/>
  <c r="U89"/>
  <c r="AE89" s="1"/>
  <c r="U90"/>
  <c r="AE90" s="1"/>
  <c r="U91"/>
  <c r="AE91" s="1"/>
  <c r="U93"/>
  <c r="AE93" s="1"/>
  <c r="U95"/>
  <c r="AE95" s="1"/>
  <c r="U96"/>
  <c r="AE96" s="1"/>
  <c r="U97"/>
  <c r="AE97" s="1"/>
  <c r="U98"/>
  <c r="AE98" s="1"/>
  <c r="X86"/>
  <c r="AG86" s="1"/>
  <c r="X87"/>
  <c r="AG87" s="1"/>
  <c r="X88"/>
  <c r="AG88" s="1"/>
  <c r="X89"/>
  <c r="AG89" s="1"/>
  <c r="U94"/>
  <c r="AE94" s="1"/>
  <c r="AP64" i="5"/>
  <c r="CO64"/>
  <c r="AD4"/>
  <c r="A9" i="10"/>
  <c r="A12"/>
  <c r="A11"/>
  <c r="A10"/>
  <c r="A8"/>
  <c r="F92"/>
  <c r="F85"/>
  <c r="E87" s="1"/>
  <c r="F62"/>
  <c r="E65" s="1"/>
  <c r="S65" s="1"/>
  <c r="T65" s="1"/>
  <c r="F63"/>
  <c r="F72"/>
  <c r="E74" s="1"/>
  <c r="F47"/>
  <c r="F35"/>
  <c r="F46"/>
  <c r="E49" s="1"/>
  <c r="S49" s="1"/>
  <c r="T49" s="1"/>
  <c r="F34"/>
  <c r="E37" s="1"/>
  <c r="G9"/>
  <c r="H11"/>
  <c r="I9"/>
  <c r="F11"/>
  <c r="G11"/>
  <c r="F9"/>
  <c r="AQ3" i="15" s="1"/>
  <c r="EO24" i="6"/>
  <c r="FS24"/>
  <c r="EC28"/>
  <c r="EC32"/>
  <c r="EF37"/>
  <c r="CU68"/>
  <c r="BH16" i="2"/>
  <c r="CZ7" i="6"/>
  <c r="FL14"/>
  <c r="FS18"/>
  <c r="DF19"/>
  <c r="CQ22"/>
  <c r="CM24"/>
  <c r="CW24"/>
  <c r="CG36"/>
  <c r="CP37"/>
  <c r="EC68"/>
  <c r="AG118" i="8"/>
  <c r="DG144"/>
  <c r="DN144" s="1"/>
  <c r="DV161"/>
  <c r="BP42"/>
  <c r="BW42"/>
  <c r="BQ42" s="1"/>
  <c r="DX43"/>
  <c r="DV103"/>
  <c r="BW107"/>
  <c r="BQ107" s="1"/>
  <c r="BP115"/>
  <c r="BP180"/>
  <c r="BP188"/>
  <c r="BW188"/>
  <c r="BQ188" s="1"/>
  <c r="DH202"/>
  <c r="DH210"/>
  <c r="DG210" s="1"/>
  <c r="DH214"/>
  <c r="BP52"/>
  <c r="BW52"/>
  <c r="BQ52" s="1"/>
  <c r="AM94"/>
  <c r="DV94"/>
  <c r="BP100"/>
  <c r="BP124"/>
  <c r="AF125"/>
  <c r="BP126"/>
  <c r="BW126"/>
  <c r="BQ126" s="1"/>
  <c r="DH148"/>
  <c r="DX164"/>
  <c r="AC73" s="1"/>
  <c r="BP164"/>
  <c r="BW164"/>
  <c r="BQ164" s="1"/>
  <c r="DH165"/>
  <c r="DH166"/>
  <c r="DV166"/>
  <c r="AT175"/>
  <c r="AT181" s="1"/>
  <c r="BP178"/>
  <c r="BP179"/>
  <c r="BW180"/>
  <c r="BQ180" s="1"/>
  <c r="AM231"/>
  <c r="BP233"/>
  <c r="AH234"/>
  <c r="AQ234" s="1"/>
  <c r="DI125"/>
  <c r="DI126" s="1"/>
  <c r="DI127" s="1"/>
  <c r="CF163"/>
  <c r="DH168"/>
  <c r="AF232"/>
  <c r="BP22"/>
  <c r="BP37"/>
  <c r="BW37"/>
  <c r="BQ37" s="1"/>
  <c r="BP44"/>
  <c r="BW44"/>
  <c r="BQ44" s="1"/>
  <c r="BP49"/>
  <c r="BW49"/>
  <c r="BQ49" s="1"/>
  <c r="BP53"/>
  <c r="BW53"/>
  <c r="BQ53" s="1"/>
  <c r="AH96"/>
  <c r="AM96" s="1"/>
  <c r="BP98"/>
  <c r="BP114"/>
  <c r="BW115"/>
  <c r="BQ115" s="1"/>
  <c r="AN116"/>
  <c r="AG117"/>
  <c r="AN117" s="1"/>
  <c r="BW121"/>
  <c r="BQ121" s="1"/>
  <c r="BW122"/>
  <c r="BQ122" s="1"/>
  <c r="BW123"/>
  <c r="BQ123" s="1"/>
  <c r="BP125"/>
  <c r="BW125"/>
  <c r="BQ125" s="1"/>
  <c r="AH126"/>
  <c r="AH127"/>
  <c r="AQ127" s="1"/>
  <c r="AF128"/>
  <c r="DH146"/>
  <c r="DG146" s="1"/>
  <c r="DH150"/>
  <c r="AM159"/>
  <c r="DV159"/>
  <c r="DH161"/>
  <c r="DG161" s="1"/>
  <c r="DN161" s="1"/>
  <c r="AM164"/>
  <c r="BP170"/>
  <c r="BW170"/>
  <c r="BQ170" s="1"/>
  <c r="BP172"/>
  <c r="BW172"/>
  <c r="BQ172" s="1"/>
  <c r="BP174"/>
  <c r="BW174"/>
  <c r="BQ174" s="1"/>
  <c r="AN175"/>
  <c r="BW178"/>
  <c r="BQ178" s="1"/>
  <c r="AM186"/>
  <c r="AH187"/>
  <c r="AH188"/>
  <c r="AO188" s="1"/>
  <c r="AF189"/>
  <c r="DH216"/>
  <c r="DG216" s="1"/>
  <c r="BP228"/>
  <c r="BW228"/>
  <c r="BQ228" s="1"/>
  <c r="AQ231"/>
  <c r="BP231"/>
  <c r="BW231"/>
  <c r="BQ231" s="1"/>
  <c r="AT232"/>
  <c r="BP232"/>
  <c r="AH233"/>
  <c r="AO233" s="1"/>
  <c r="BP234"/>
  <c r="BP240"/>
  <c r="BW240"/>
  <c r="BQ240" s="1"/>
  <c r="AQ159"/>
  <c r="DN129"/>
  <c r="DO129"/>
  <c r="AO12"/>
  <c r="AM12"/>
  <c r="BZ12"/>
  <c r="BT12" s="1"/>
  <c r="BW12"/>
  <c r="BQ12" s="1"/>
  <c r="BP12"/>
  <c r="DH25"/>
  <c r="DH23"/>
  <c r="DH17"/>
  <c r="DH16"/>
  <c r="AH26"/>
  <c r="AM26" s="1"/>
  <c r="AH22"/>
  <c r="AM20"/>
  <c r="BZ20"/>
  <c r="BT20" s="1"/>
  <c r="BW20"/>
  <c r="BQ20" s="1"/>
  <c r="BZ22"/>
  <c r="BT22" s="1"/>
  <c r="BW22"/>
  <c r="BQ22" s="1"/>
  <c r="BZ39"/>
  <c r="BT39" s="1"/>
  <c r="BW39"/>
  <c r="BQ39" s="1"/>
  <c r="BP39"/>
  <c r="BZ40"/>
  <c r="BT40" s="1"/>
  <c r="BW40"/>
  <c r="BQ40" s="1"/>
  <c r="BP40"/>
  <c r="DQ45"/>
  <c r="DV43"/>
  <c r="AF48"/>
  <c r="AF49"/>
  <c r="AF47"/>
  <c r="AH48"/>
  <c r="AM48" s="1"/>
  <c r="AM46"/>
  <c r="BZ46"/>
  <c r="BT46" s="1"/>
  <c r="AQ46" s="1"/>
  <c r="BW46"/>
  <c r="BQ46" s="1"/>
  <c r="BP46"/>
  <c r="BZ47"/>
  <c r="BT47" s="1"/>
  <c r="BW47"/>
  <c r="BQ47" s="1"/>
  <c r="BP47"/>
  <c r="AK95"/>
  <c r="CE97"/>
  <c r="CE96"/>
  <c r="CG97"/>
  <c r="CG98"/>
  <c r="BZ98"/>
  <c r="BT98" s="1"/>
  <c r="BW98"/>
  <c r="BQ98" s="1"/>
  <c r="BZ100"/>
  <c r="BT100" s="1"/>
  <c r="BW100"/>
  <c r="BQ100" s="1"/>
  <c r="AF110"/>
  <c r="AF115"/>
  <c r="AF113"/>
  <c r="AF112"/>
  <c r="AH110"/>
  <c r="AO110" s="1"/>
  <c r="AH114"/>
  <c r="AH111"/>
  <c r="AO111" s="1"/>
  <c r="AQ109"/>
  <c r="AM109"/>
  <c r="BZ114"/>
  <c r="BT114" s="1"/>
  <c r="BW114"/>
  <c r="BQ114" s="1"/>
  <c r="BZ124"/>
  <c r="BT124" s="1"/>
  <c r="AQ124" s="1"/>
  <c r="BW124"/>
  <c r="BQ124" s="1"/>
  <c r="DH138"/>
  <c r="DG138" s="1"/>
  <c r="DO138" s="1"/>
  <c r="DH137"/>
  <c r="DG137" s="1"/>
  <c r="DN137" s="1"/>
  <c r="DG136"/>
  <c r="AG174"/>
  <c r="AN174" s="1"/>
  <c r="AN168"/>
  <c r="BZ179"/>
  <c r="BT179" s="1"/>
  <c r="BW179"/>
  <c r="BQ179" s="1"/>
  <c r="AG185"/>
  <c r="AN185" s="1"/>
  <c r="AG184"/>
  <c r="AN182"/>
  <c r="BZ186"/>
  <c r="BT186" s="1"/>
  <c r="AQ186" s="1"/>
  <c r="BW186"/>
  <c r="BQ186" s="1"/>
  <c r="BP186"/>
  <c r="BZ187"/>
  <c r="BT187" s="1"/>
  <c r="BW187"/>
  <c r="BQ187" s="1"/>
  <c r="BP187"/>
  <c r="BZ189"/>
  <c r="BT189" s="1"/>
  <c r="BW189"/>
  <c r="BQ189" s="1"/>
  <c r="BP189"/>
  <c r="AF230"/>
  <c r="AF228"/>
  <c r="AH230"/>
  <c r="AQ230" s="1"/>
  <c r="AH228"/>
  <c r="AM226"/>
  <c r="BZ226"/>
  <c r="BT226" s="1"/>
  <c r="AQ226" s="1"/>
  <c r="BW226"/>
  <c r="BQ226" s="1"/>
  <c r="BP226"/>
  <c r="CE230"/>
  <c r="CE228"/>
  <c r="CG230"/>
  <c r="CG228"/>
  <c r="DH14"/>
  <c r="DG14" s="1"/>
  <c r="DH15"/>
  <c r="AH47"/>
  <c r="AH49"/>
  <c r="AO49" s="1"/>
  <c r="DG74"/>
  <c r="BP96"/>
  <c r="BP99"/>
  <c r="AG104"/>
  <c r="AP104" s="1"/>
  <c r="BP109"/>
  <c r="BP111"/>
  <c r="AH112"/>
  <c r="AH113"/>
  <c r="AO113" s="1"/>
  <c r="AF114"/>
  <c r="AH115"/>
  <c r="AO115" s="1"/>
  <c r="AO120"/>
  <c r="AF121"/>
  <c r="DH139"/>
  <c r="DX163"/>
  <c r="AL168"/>
  <c r="BP177"/>
  <c r="BP181"/>
  <c r="AL182"/>
  <c r="AG183"/>
  <c r="DH198"/>
  <c r="DG198" s="1"/>
  <c r="BZ18"/>
  <c r="BT18" s="1"/>
  <c r="BW18"/>
  <c r="BQ18" s="1"/>
  <c r="BP18"/>
  <c r="BZ24"/>
  <c r="BT24" s="1"/>
  <c r="BW24"/>
  <c r="BQ24" s="1"/>
  <c r="BP24"/>
  <c r="BZ35"/>
  <c r="BT35" s="1"/>
  <c r="BW35"/>
  <c r="BQ35" s="1"/>
  <c r="BP35"/>
  <c r="BZ94"/>
  <c r="BT94" s="1"/>
  <c r="AQ94" s="1"/>
  <c r="BW94"/>
  <c r="BQ94" s="1"/>
  <c r="BP94"/>
  <c r="BZ96"/>
  <c r="BT96" s="1"/>
  <c r="BW96"/>
  <c r="BQ96" s="1"/>
  <c r="AG100"/>
  <c r="AN97"/>
  <c r="BZ99"/>
  <c r="BT99" s="1"/>
  <c r="BW99"/>
  <c r="BQ99" s="1"/>
  <c r="AG107"/>
  <c r="AG108"/>
  <c r="AG103"/>
  <c r="AN103" s="1"/>
  <c r="AN102"/>
  <c r="BZ105"/>
  <c r="BT105" s="1"/>
  <c r="BW105"/>
  <c r="BQ105" s="1"/>
  <c r="BP105"/>
  <c r="BZ109"/>
  <c r="BT109" s="1"/>
  <c r="BW109"/>
  <c r="BQ109" s="1"/>
  <c r="DH119"/>
  <c r="DH117"/>
  <c r="DH116"/>
  <c r="DG109"/>
  <c r="DN109" s="1"/>
  <c r="BZ111"/>
  <c r="BT111" s="1"/>
  <c r="BW111"/>
  <c r="BQ111" s="1"/>
  <c r="BZ112"/>
  <c r="BT112" s="1"/>
  <c r="BW112"/>
  <c r="BQ112" s="1"/>
  <c r="BP112"/>
  <c r="BZ113"/>
  <c r="BT113" s="1"/>
  <c r="BW113"/>
  <c r="BQ113" s="1"/>
  <c r="BP113"/>
  <c r="AH121"/>
  <c r="AQ120"/>
  <c r="AM120"/>
  <c r="BZ128"/>
  <c r="BT128" s="1"/>
  <c r="BW128"/>
  <c r="BQ128" s="1"/>
  <c r="BP128"/>
  <c r="DH130"/>
  <c r="DG128"/>
  <c r="DM128" s="1"/>
  <c r="DW163"/>
  <c r="DV163"/>
  <c r="BZ177"/>
  <c r="BT177" s="1"/>
  <c r="BW177"/>
  <c r="BQ177" s="1"/>
  <c r="BZ181"/>
  <c r="BT181" s="1"/>
  <c r="BW181"/>
  <c r="BQ181" s="1"/>
  <c r="AT188"/>
  <c r="AT187"/>
  <c r="AG191"/>
  <c r="AP191" s="1"/>
  <c r="AN190"/>
  <c r="DQ227"/>
  <c r="DW227" s="1"/>
  <c r="DQ228"/>
  <c r="DV226"/>
  <c r="AL97"/>
  <c r="AG101"/>
  <c r="AL102"/>
  <c r="DH110"/>
  <c r="DG110" s="1"/>
  <c r="DH118"/>
  <c r="DG118" s="1"/>
  <c r="AH123"/>
  <c r="DH131"/>
  <c r="DG131" s="1"/>
  <c r="DO161"/>
  <c r="AT189"/>
  <c r="AL190"/>
  <c r="AG192"/>
  <c r="AP192" s="1"/>
  <c r="AG193"/>
  <c r="AP193" s="1"/>
  <c r="AG194"/>
  <c r="AP194" s="1"/>
  <c r="DH195"/>
  <c r="DG195" s="1"/>
  <c r="DO195" s="1"/>
  <c r="DH196"/>
  <c r="BY232"/>
  <c r="BS232" s="1"/>
  <c r="BY233"/>
  <c r="BS233" s="1"/>
  <c r="BY234"/>
  <c r="BS234" s="1"/>
  <c r="AJ235"/>
  <c r="AN235"/>
  <c r="AG237"/>
  <c r="AO238"/>
  <c r="BY238"/>
  <c r="BS238" s="1"/>
  <c r="AH239"/>
  <c r="AO239" s="1"/>
  <c r="BY239"/>
  <c r="BS239" s="1"/>
  <c r="AH240"/>
  <c r="AM240" s="1"/>
  <c r="AF241"/>
  <c r="AT241"/>
  <c r="BY241"/>
  <c r="BS241" s="1"/>
  <c r="BY19"/>
  <c r="BS19" s="1"/>
  <c r="BY21"/>
  <c r="BS21" s="1"/>
  <c r="BY37"/>
  <c r="BS37" s="1"/>
  <c r="BY42"/>
  <c r="BS42" s="1"/>
  <c r="BY44"/>
  <c r="BS44" s="1"/>
  <c r="DW44"/>
  <c r="DR45"/>
  <c r="DW45" s="1"/>
  <c r="BY49"/>
  <c r="BS49" s="1"/>
  <c r="BY52"/>
  <c r="BS52" s="1"/>
  <c r="BY53"/>
  <c r="BS53" s="1"/>
  <c r="DG79"/>
  <c r="AO94"/>
  <c r="AF96"/>
  <c r="DX103"/>
  <c r="BY107"/>
  <c r="BS107" s="1"/>
  <c r="BY115"/>
  <c r="BS115" s="1"/>
  <c r="AL116"/>
  <c r="AP116"/>
  <c r="BY120"/>
  <c r="BS120" s="1"/>
  <c r="BY121"/>
  <c r="BS121" s="1"/>
  <c r="BY122"/>
  <c r="BS122" s="1"/>
  <c r="BY123"/>
  <c r="BS123" s="1"/>
  <c r="AO124"/>
  <c r="AH125"/>
  <c r="AO125" s="1"/>
  <c r="BY125"/>
  <c r="BS125" s="1"/>
  <c r="AF126"/>
  <c r="BY126"/>
  <c r="BS126" s="1"/>
  <c r="BY127"/>
  <c r="BS127" s="1"/>
  <c r="DH145"/>
  <c r="DG145" s="1"/>
  <c r="DH147"/>
  <c r="AO159"/>
  <c r="BY159"/>
  <c r="BS159" s="1"/>
  <c r="DX159"/>
  <c r="CF161"/>
  <c r="DX161"/>
  <c r="DH162"/>
  <c r="DG162" s="1"/>
  <c r="DH163"/>
  <c r="AO164"/>
  <c r="AQ164"/>
  <c r="BY164"/>
  <c r="BS164" s="1"/>
  <c r="DW164"/>
  <c r="AB73" s="1"/>
  <c r="DX166"/>
  <c r="DH167"/>
  <c r="BY169"/>
  <c r="BS169" s="1"/>
  <c r="BY170"/>
  <c r="BS170" s="1"/>
  <c r="BY171"/>
  <c r="BS171" s="1"/>
  <c r="BY172"/>
  <c r="BS172" s="1"/>
  <c r="BY173"/>
  <c r="BS173" s="1"/>
  <c r="BY174"/>
  <c r="BS174" s="1"/>
  <c r="AL175"/>
  <c r="AP175"/>
  <c r="BY178"/>
  <c r="BS178" s="1"/>
  <c r="BY180"/>
  <c r="BS180" s="1"/>
  <c r="AO186"/>
  <c r="AF187"/>
  <c r="BY188"/>
  <c r="BS188" s="1"/>
  <c r="DH200"/>
  <c r="DG200" s="1"/>
  <c r="DH208"/>
  <c r="DG208" s="1"/>
  <c r="DO208" s="1"/>
  <c r="DH212"/>
  <c r="DG212" s="1"/>
  <c r="DH213"/>
  <c r="DG213" s="1"/>
  <c r="DM213" s="1"/>
  <c r="DH215"/>
  <c r="DG215" s="1"/>
  <c r="BY228"/>
  <c r="BS228" s="1"/>
  <c r="AO231"/>
  <c r="BY231"/>
  <c r="BS231" s="1"/>
  <c r="BW232"/>
  <c r="BQ232" s="1"/>
  <c r="AF233"/>
  <c r="AT233"/>
  <c r="BW233"/>
  <c r="BQ233" s="1"/>
  <c r="BW234"/>
  <c r="BQ234" s="1"/>
  <c r="AL235"/>
  <c r="AP235"/>
  <c r="AK238"/>
  <c r="AM238"/>
  <c r="AQ238"/>
  <c r="BP238"/>
  <c r="BW238"/>
  <c r="BQ238" s="1"/>
  <c r="AF239"/>
  <c r="AT239"/>
  <c r="BP239"/>
  <c r="BW239"/>
  <c r="BQ239" s="1"/>
  <c r="BY240"/>
  <c r="BS240" s="1"/>
  <c r="BP241"/>
  <c r="BW241"/>
  <c r="BQ241" s="1"/>
  <c r="DX41"/>
  <c r="DV41"/>
  <c r="DX109"/>
  <c r="DV109"/>
  <c r="DX94"/>
  <c r="DH77"/>
  <c r="DG77" s="1"/>
  <c r="DO77" s="1"/>
  <c r="DH81"/>
  <c r="DG81" s="1"/>
  <c r="DH80"/>
  <c r="DG80" s="1"/>
  <c r="DH85"/>
  <c r="DH51"/>
  <c r="DG51" s="1"/>
  <c r="DH50"/>
  <c r="DG50" s="1"/>
  <c r="AO46"/>
  <c r="AQ42"/>
  <c r="AO42"/>
  <c r="AH44"/>
  <c r="AM44" s="1"/>
  <c r="AO20"/>
  <c r="AH21"/>
  <c r="AM21" s="1"/>
  <c r="AH24"/>
  <c r="AL50"/>
  <c r="AP50"/>
  <c r="AG51"/>
  <c r="AP51" s="1"/>
  <c r="AG54"/>
  <c r="AP54" s="1"/>
  <c r="AN50"/>
  <c r="AF44"/>
  <c r="AN27"/>
  <c r="AG36"/>
  <c r="AP36" s="1"/>
  <c r="AL27"/>
  <c r="AP27"/>
  <c r="AG38"/>
  <c r="AP38" s="1"/>
  <c r="AG41"/>
  <c r="AP41" s="1"/>
  <c r="AN15"/>
  <c r="AL15"/>
  <c r="AP15"/>
  <c r="AG16"/>
  <c r="AN16" s="1"/>
  <c r="AG17"/>
  <c r="AP17" s="1"/>
  <c r="AN19"/>
  <c r="AF21"/>
  <c r="AF22"/>
  <c r="AF24"/>
  <c r="F12" i="4"/>
  <c r="F14" s="1"/>
  <c r="V10"/>
  <c r="CI10" s="1"/>
  <c r="V8"/>
  <c r="N8" s="1"/>
  <c r="FS11" i="6"/>
  <c r="CM13"/>
  <c r="FS13"/>
  <c r="ER16"/>
  <c r="CM17"/>
  <c r="EC17"/>
  <c r="FS17"/>
  <c r="CY20"/>
  <c r="EC20"/>
  <c r="EM20"/>
  <c r="CF21"/>
  <c r="DF21"/>
  <c r="DV21"/>
  <c r="EV21"/>
  <c r="FL21"/>
  <c r="DF23"/>
  <c r="EV23"/>
  <c r="EC29"/>
  <c r="EC30"/>
  <c r="EH31"/>
  <c r="EV33"/>
  <c r="CM34"/>
  <c r="FS34"/>
  <c r="CM36"/>
  <c r="DA36"/>
  <c r="EC36"/>
  <c r="EQ36"/>
  <c r="DF38"/>
  <c r="EV38"/>
  <c r="BY39"/>
  <c r="DO39"/>
  <c r="EC39"/>
  <c r="FS39"/>
  <c r="CD40"/>
  <c r="DF40"/>
  <c r="EV40"/>
  <c r="CG41"/>
  <c r="DU41"/>
  <c r="EC41"/>
  <c r="FM41"/>
  <c r="DF42"/>
  <c r="DL42"/>
  <c r="EF42"/>
  <c r="CM43"/>
  <c r="FE43"/>
  <c r="CX44"/>
  <c r="EN44"/>
  <c r="FJ44"/>
  <c r="CE45"/>
  <c r="CM45"/>
  <c r="DW45"/>
  <c r="FK45"/>
  <c r="FS45"/>
  <c r="CZ48"/>
  <c r="EC51"/>
  <c r="DF52"/>
  <c r="EC53"/>
  <c r="DV54"/>
  <c r="EC55"/>
  <c r="DB56"/>
  <c r="CQ57"/>
  <c r="EG57"/>
  <c r="EC58"/>
  <c r="EV59"/>
  <c r="CW60"/>
  <c r="EO60"/>
  <c r="FS60"/>
  <c r="CM62"/>
  <c r="EC62"/>
  <c r="FS62"/>
  <c r="CY64"/>
  <c r="EC64"/>
  <c r="EM64"/>
  <c r="CF65"/>
  <c r="DF65"/>
  <c r="DV65"/>
  <c r="EV65"/>
  <c r="FL65"/>
  <c r="EQ68"/>
  <c r="FX7"/>
  <c r="EV8"/>
  <c r="CM11"/>
  <c r="EV12"/>
  <c r="CM15"/>
  <c r="FS15"/>
  <c r="EP7"/>
  <c r="DF8"/>
  <c r="EC11"/>
  <c r="DF12"/>
  <c r="EC13"/>
  <c r="DV14"/>
  <c r="EC15"/>
  <c r="DB16"/>
  <c r="CQ17"/>
  <c r="EG17"/>
  <c r="EC18"/>
  <c r="EV19"/>
  <c r="CM20"/>
  <c r="CW20"/>
  <c r="EO20"/>
  <c r="FS20"/>
  <c r="CM22"/>
  <c r="EC22"/>
  <c r="FS22"/>
  <c r="CY24"/>
  <c r="EC24"/>
  <c r="EM24"/>
  <c r="CF25"/>
  <c r="DF25"/>
  <c r="DV25"/>
  <c r="EV25"/>
  <c r="FL25"/>
  <c r="CM28"/>
  <c r="FS28"/>
  <c r="CM29"/>
  <c r="FS29"/>
  <c r="CM30"/>
  <c r="FS30"/>
  <c r="CR31"/>
  <c r="CM32"/>
  <c r="FS32"/>
  <c r="DF33"/>
  <c r="EC34"/>
  <c r="ER35"/>
  <c r="FS36"/>
  <c r="DF37"/>
  <c r="EV37"/>
  <c r="CM39"/>
  <c r="FE39"/>
  <c r="CX40"/>
  <c r="EN40"/>
  <c r="CE41"/>
  <c r="CM41"/>
  <c r="DW41"/>
  <c r="FK41"/>
  <c r="FS41"/>
  <c r="BV42"/>
  <c r="CP42"/>
  <c r="EV42"/>
  <c r="BY43"/>
  <c r="DO43"/>
  <c r="EC43"/>
  <c r="FS43"/>
  <c r="DF44"/>
  <c r="EV44"/>
  <c r="CG45"/>
  <c r="DU45"/>
  <c r="EC45"/>
  <c r="FM45"/>
  <c r="EP48"/>
  <c r="CM51"/>
  <c r="FS51"/>
  <c r="EV52"/>
  <c r="CM53"/>
  <c r="FS53"/>
  <c r="CF54"/>
  <c r="FL54"/>
  <c r="CM55"/>
  <c r="FS55"/>
  <c r="ER56"/>
  <c r="CM57"/>
  <c r="EC57"/>
  <c r="FS57"/>
  <c r="CM58"/>
  <c r="FS58"/>
  <c r="DF59"/>
  <c r="CY60"/>
  <c r="EC60"/>
  <c r="EM60"/>
  <c r="CF61"/>
  <c r="DF61"/>
  <c r="DV61"/>
  <c r="EV61"/>
  <c r="FL61"/>
  <c r="CQ62"/>
  <c r="EG62"/>
  <c r="EV63"/>
  <c r="CM64"/>
  <c r="CW64"/>
  <c r="EO64"/>
  <c r="FS64"/>
  <c r="CM68"/>
  <c r="DA68"/>
  <c r="EK68"/>
  <c r="FS68"/>
  <c r="M12" i="4"/>
  <c r="M48"/>
  <c r="P12"/>
  <c r="M36"/>
  <c r="M60"/>
  <c r="M76"/>
  <c r="M68"/>
  <c r="P60"/>
  <c r="M52"/>
  <c r="M24"/>
  <c r="CI6"/>
  <c r="P24"/>
  <c r="P36"/>
  <c r="M40"/>
  <c r="M64"/>
  <c r="P72"/>
  <c r="M14"/>
  <c r="M32"/>
  <c r="M56"/>
  <c r="H6"/>
  <c r="M6"/>
  <c r="BJ24"/>
  <c r="BJ28"/>
  <c r="P30"/>
  <c r="M34"/>
  <c r="M38"/>
  <c r="BJ44"/>
  <c r="BJ48"/>
  <c r="BJ52"/>
  <c r="P54"/>
  <c r="M58"/>
  <c r="M62"/>
  <c r="BJ68"/>
  <c r="BJ72"/>
  <c r="BJ76"/>
  <c r="BG11" i="3"/>
  <c r="AV15"/>
  <c r="BI15"/>
  <c r="BV15"/>
  <c r="CI15"/>
  <c r="BA18"/>
  <c r="BA27"/>
  <c r="AZ17"/>
  <c r="BM17"/>
  <c r="BZ17"/>
  <c r="CM17"/>
  <c r="CA18"/>
  <c r="AV6"/>
  <c r="BI6"/>
  <c r="BV6"/>
  <c r="CI6"/>
  <c r="AZ8"/>
  <c r="BM8"/>
  <c r="BZ8"/>
  <c r="CM8"/>
  <c r="BA9"/>
  <c r="CA9"/>
  <c r="DA9"/>
  <c r="BP11"/>
  <c r="CC11"/>
  <c r="CG11"/>
  <c r="BN18"/>
  <c r="CN18"/>
  <c r="BC20"/>
  <c r="BP20"/>
  <c r="CC20"/>
  <c r="CP20"/>
  <c r="BG22"/>
  <c r="AV24"/>
  <c r="BI24"/>
  <c r="BV24"/>
  <c r="CI24"/>
  <c r="BN27"/>
  <c r="CN27"/>
  <c r="CO28"/>
  <c r="BC29"/>
  <c r="BP29"/>
  <c r="CC29"/>
  <c r="CP29"/>
  <c r="BG31"/>
  <c r="DG31"/>
  <c r="AV33"/>
  <c r="BI33"/>
  <c r="BV33"/>
  <c r="CI33"/>
  <c r="BN9"/>
  <c r="BC11"/>
  <c r="CP11"/>
  <c r="DG11"/>
  <c r="CA27"/>
  <c r="BO28"/>
  <c r="CG31"/>
  <c r="DN42" i="2"/>
  <c r="BJ42"/>
  <c r="DN15"/>
  <c r="DL17"/>
  <c r="CL21"/>
  <c r="DA39"/>
  <c r="BJ15"/>
  <c r="DL16"/>
  <c r="BH17"/>
  <c r="BJ21"/>
  <c r="DN21"/>
  <c r="CL42"/>
  <c r="CL10"/>
  <c r="CN19"/>
  <c r="BY22"/>
  <c r="CL47"/>
  <c r="BJ10"/>
  <c r="DN10"/>
  <c r="CL15"/>
  <c r="CJ16"/>
  <c r="CJ17"/>
  <c r="BL19"/>
  <c r="DP19"/>
  <c r="BX21"/>
  <c r="DA22"/>
  <c r="BY39"/>
  <c r="BX42"/>
  <c r="BJ47"/>
  <c r="DN47"/>
  <c r="BJ20" i="4"/>
  <c r="M18"/>
  <c r="BJ16"/>
  <c r="U5"/>
  <c r="L78" s="1"/>
  <c r="J6"/>
  <c r="P6"/>
  <c r="BJ8"/>
  <c r="I8"/>
  <c r="BV8" i="2"/>
  <c r="BV11" s="1"/>
  <c r="BH8"/>
  <c r="CJ8"/>
  <c r="CJ11" s="1"/>
  <c r="DL8"/>
  <c r="DL11" s="1"/>
  <c r="BX10"/>
  <c r="BJ13"/>
  <c r="CL13"/>
  <c r="DN13"/>
  <c r="AR14"/>
  <c r="DL14" s="1"/>
  <c r="BX15"/>
  <c r="BV16"/>
  <c r="BV17"/>
  <c r="BY18"/>
  <c r="DA18"/>
  <c r="BZ19"/>
  <c r="BY20"/>
  <c r="DA20"/>
  <c r="BL21"/>
  <c r="BZ21"/>
  <c r="CN21"/>
  <c r="DB21"/>
  <c r="BK22"/>
  <c r="CM22"/>
  <c r="BJ23"/>
  <c r="BX23"/>
  <c r="CL23"/>
  <c r="CZ23"/>
  <c r="BJ29"/>
  <c r="CL29"/>
  <c r="DN29"/>
  <c r="BL38"/>
  <c r="CN38"/>
  <c r="DP38"/>
  <c r="BK39"/>
  <c r="CM39"/>
  <c r="DO39"/>
  <c r="BJ40"/>
  <c r="BX40"/>
  <c r="CL40"/>
  <c r="CZ40"/>
  <c r="BY41"/>
  <c r="DA41"/>
  <c r="BL42"/>
  <c r="BZ42"/>
  <c r="CN42"/>
  <c r="DB42"/>
  <c r="BX47"/>
  <c r="BQ50"/>
  <c r="CS50"/>
  <c r="BX51"/>
  <c r="CZ51"/>
  <c r="BH54"/>
  <c r="CJ54"/>
  <c r="DL54"/>
  <c r="BV56"/>
  <c r="CX56"/>
  <c r="BV57"/>
  <c r="CX57"/>
  <c r="BY58"/>
  <c r="DA58"/>
  <c r="BL59"/>
  <c r="BN59"/>
  <c r="BX59"/>
  <c r="CL59"/>
  <c r="DB59"/>
  <c r="DP59"/>
  <c r="DR59"/>
  <c r="DA60"/>
  <c r="BL61"/>
  <c r="CN61"/>
  <c r="DP61"/>
  <c r="BK62"/>
  <c r="CM62"/>
  <c r="DO62"/>
  <c r="BD67"/>
  <c r="BH67"/>
  <c r="BN67"/>
  <c r="BV67"/>
  <c r="CF67"/>
  <c r="CJ67"/>
  <c r="CP67"/>
  <c r="CX67"/>
  <c r="DH67"/>
  <c r="DR67"/>
  <c r="BG69"/>
  <c r="BU69"/>
  <c r="CI69"/>
  <c r="CW69"/>
  <c r="CS71"/>
  <c r="BZ72"/>
  <c r="DB72"/>
  <c r="CX8"/>
  <c r="CX11" s="1"/>
  <c r="BX13"/>
  <c r="BK18"/>
  <c r="CM18"/>
  <c r="BK20"/>
  <c r="CM20"/>
  <c r="DO20"/>
  <c r="BL23"/>
  <c r="BZ23"/>
  <c r="CN23"/>
  <c r="DB23"/>
  <c r="BX29"/>
  <c r="BZ38"/>
  <c r="BL40"/>
  <c r="BZ40"/>
  <c r="CN40"/>
  <c r="DB40"/>
  <c r="BK41"/>
  <c r="CM41"/>
  <c r="BC50"/>
  <c r="CE50"/>
  <c r="DG50"/>
  <c r="BJ51"/>
  <c r="CL51"/>
  <c r="BV54"/>
  <c r="BH55"/>
  <c r="BV55"/>
  <c r="CJ55"/>
  <c r="CX55"/>
  <c r="BH56"/>
  <c r="CJ56"/>
  <c r="BH57"/>
  <c r="CJ57"/>
  <c r="BK58"/>
  <c r="CM58"/>
  <c r="BJ59"/>
  <c r="BZ59"/>
  <c r="CP59"/>
  <c r="CZ59"/>
  <c r="BZ61"/>
  <c r="BY62"/>
  <c r="BQ71"/>
  <c r="BL72"/>
  <c r="CN72"/>
  <c r="DL34"/>
  <c r="CX34"/>
  <c r="CJ34"/>
  <c r="BV34"/>
  <c r="BH34"/>
  <c r="DN53"/>
  <c r="CZ53"/>
  <c r="CL53"/>
  <c r="BX53"/>
  <c r="BJ53"/>
  <c r="DK55"/>
  <c r="CW55"/>
  <c r="CI55"/>
  <c r="BU55"/>
  <c r="BG55"/>
  <c r="DN60"/>
  <c r="CZ60"/>
  <c r="CL60"/>
  <c r="BX60"/>
  <c r="BJ60"/>
  <c r="DP60"/>
  <c r="DB60"/>
  <c r="CN60"/>
  <c r="BZ60"/>
  <c r="BL60"/>
  <c r="DL68"/>
  <c r="CX68"/>
  <c r="CJ68"/>
  <c r="BV68"/>
  <c r="BH68"/>
  <c r="DO72"/>
  <c r="DA72"/>
  <c r="CM72"/>
  <c r="BY72"/>
  <c r="BK72"/>
  <c r="DC12" i="3"/>
  <c r="CP12"/>
  <c r="CC12"/>
  <c r="BP12"/>
  <c r="BC12"/>
  <c r="DC21"/>
  <c r="CP21"/>
  <c r="CC21"/>
  <c r="BP21"/>
  <c r="BC21"/>
  <c r="DC30"/>
  <c r="CP30"/>
  <c r="CC30"/>
  <c r="BP30"/>
  <c r="BC30"/>
  <c r="BJ6" i="4"/>
  <c r="Q6"/>
  <c r="N6"/>
  <c r="K6"/>
  <c r="I6"/>
  <c r="BJ10"/>
  <c r="BJ14"/>
  <c r="BJ30"/>
  <c r="BJ34"/>
  <c r="BJ38"/>
  <c r="BJ54"/>
  <c r="BJ58"/>
  <c r="BJ62"/>
  <c r="AA10" i="5"/>
  <c r="BD8" i="2"/>
  <c r="BN8"/>
  <c r="BR8"/>
  <c r="CB8"/>
  <c r="CF8"/>
  <c r="CP8"/>
  <c r="CT8"/>
  <c r="DD8"/>
  <c r="BC9"/>
  <c r="BQ9"/>
  <c r="CE9"/>
  <c r="CS9"/>
  <c r="BD10"/>
  <c r="BN10"/>
  <c r="BR10"/>
  <c r="CB10"/>
  <c r="CF10"/>
  <c r="CP10"/>
  <c r="CT10"/>
  <c r="DD10"/>
  <c r="BC12"/>
  <c r="BQ12"/>
  <c r="CE12"/>
  <c r="CS12"/>
  <c r="BD13"/>
  <c r="BN13"/>
  <c r="BR13"/>
  <c r="CB13"/>
  <c r="CF13"/>
  <c r="CP13"/>
  <c r="CT13"/>
  <c r="DD13"/>
  <c r="BC14"/>
  <c r="BQ14"/>
  <c r="CE14"/>
  <c r="CS14"/>
  <c r="BD15"/>
  <c r="BN15"/>
  <c r="BR15"/>
  <c r="CB15"/>
  <c r="CF15"/>
  <c r="CP15"/>
  <c r="CT15"/>
  <c r="DD15"/>
  <c r="BD16"/>
  <c r="BN16"/>
  <c r="BR16"/>
  <c r="CB16"/>
  <c r="CF16"/>
  <c r="CP16"/>
  <c r="CT16"/>
  <c r="DD16"/>
  <c r="BD17"/>
  <c r="BN17"/>
  <c r="BR17"/>
  <c r="CB17"/>
  <c r="CF17"/>
  <c r="CP17"/>
  <c r="CT17"/>
  <c r="DD17"/>
  <c r="BG18"/>
  <c r="BU18"/>
  <c r="CI18"/>
  <c r="CW18"/>
  <c r="BN19"/>
  <c r="CB19"/>
  <c r="CP19"/>
  <c r="DD19"/>
  <c r="BN21"/>
  <c r="CB21"/>
  <c r="CP21"/>
  <c r="DD21"/>
  <c r="BG22"/>
  <c r="BU22"/>
  <c r="CI22"/>
  <c r="CW22"/>
  <c r="BN23"/>
  <c r="CB23"/>
  <c r="CP23"/>
  <c r="DD23"/>
  <c r="BC28"/>
  <c r="BQ28"/>
  <c r="CE28"/>
  <c r="CS28"/>
  <c r="BD29"/>
  <c r="BN29"/>
  <c r="BR29"/>
  <c r="CB29"/>
  <c r="CF29"/>
  <c r="CP29"/>
  <c r="CT29"/>
  <c r="DD29"/>
  <c r="BC30"/>
  <c r="BQ30"/>
  <c r="CE30"/>
  <c r="CS30"/>
  <c r="BD32"/>
  <c r="BN32"/>
  <c r="BR32"/>
  <c r="CB32"/>
  <c r="CF32"/>
  <c r="CP32"/>
  <c r="CT32"/>
  <c r="DD32"/>
  <c r="BC33"/>
  <c r="BQ33"/>
  <c r="CE33"/>
  <c r="CS33"/>
  <c r="BD34"/>
  <c r="BN34"/>
  <c r="BR34"/>
  <c r="CB34"/>
  <c r="CF34"/>
  <c r="CP34"/>
  <c r="CT34"/>
  <c r="DD34"/>
  <c r="BC35"/>
  <c r="BQ35"/>
  <c r="CE35"/>
  <c r="CS35"/>
  <c r="BC36"/>
  <c r="BQ36"/>
  <c r="CE36"/>
  <c r="CS36"/>
  <c r="BC37"/>
  <c r="BQ37"/>
  <c r="CE37"/>
  <c r="CS37"/>
  <c r="BN38"/>
  <c r="CB38"/>
  <c r="CP38"/>
  <c r="DD38"/>
  <c r="BN40"/>
  <c r="CB40"/>
  <c r="CP40"/>
  <c r="DD40"/>
  <c r="BG41"/>
  <c r="BU41"/>
  <c r="CI41"/>
  <c r="CW41"/>
  <c r="BN42"/>
  <c r="CB42"/>
  <c r="CP42"/>
  <c r="DD42"/>
  <c r="BC46"/>
  <c r="BQ46"/>
  <c r="CE46"/>
  <c r="CS46"/>
  <c r="BD47"/>
  <c r="BN47"/>
  <c r="BR47"/>
  <c r="CB47"/>
  <c r="CF47"/>
  <c r="CP47"/>
  <c r="CT47"/>
  <c r="DD47"/>
  <c r="BC48"/>
  <c r="BQ48"/>
  <c r="CE48"/>
  <c r="CS48"/>
  <c r="BD51"/>
  <c r="BN51"/>
  <c r="BR51"/>
  <c r="CB51"/>
  <c r="CF51"/>
  <c r="CP51"/>
  <c r="CT51"/>
  <c r="DD51"/>
  <c r="BC52"/>
  <c r="BQ52"/>
  <c r="CE52"/>
  <c r="CS52"/>
  <c r="BC53"/>
  <c r="CE53"/>
  <c r="DG53"/>
  <c r="BN54"/>
  <c r="CB54"/>
  <c r="CP54"/>
  <c r="DD54"/>
  <c r="CB55"/>
  <c r="DD55"/>
  <c r="BR56"/>
  <c r="CB56"/>
  <c r="CT56"/>
  <c r="DD56"/>
  <c r="BR57"/>
  <c r="CB57"/>
  <c r="CT57"/>
  <c r="DD57"/>
  <c r="BN72"/>
  <c r="CB72"/>
  <c r="CP72"/>
  <c r="DD72"/>
  <c r="BG9" i="3"/>
  <c r="BT9"/>
  <c r="CG9"/>
  <c r="CT9"/>
  <c r="BB10"/>
  <c r="CB10"/>
  <c r="DB10"/>
  <c r="BT13"/>
  <c r="CT13"/>
  <c r="BG18"/>
  <c r="BT18"/>
  <c r="CG18"/>
  <c r="CT18"/>
  <c r="BB19"/>
  <c r="CB19"/>
  <c r="DB19"/>
  <c r="BG20"/>
  <c r="CG20"/>
  <c r="DG20"/>
  <c r="BT22"/>
  <c r="CT22"/>
  <c r="AZ26"/>
  <c r="BM26"/>
  <c r="BZ26"/>
  <c r="CM26"/>
  <c r="BG27"/>
  <c r="BT27"/>
  <c r="CG27"/>
  <c r="CT27"/>
  <c r="BB28"/>
  <c r="CB28"/>
  <c r="BG29"/>
  <c r="CG29"/>
  <c r="DG29"/>
  <c r="BT31"/>
  <c r="AZ35"/>
  <c r="BM35"/>
  <c r="BZ35"/>
  <c r="CM35"/>
  <c r="W6" i="4"/>
  <c r="P18"/>
  <c r="M22"/>
  <c r="M26"/>
  <c r="P42"/>
  <c r="M46"/>
  <c r="M50"/>
  <c r="P66"/>
  <c r="M70"/>
  <c r="M74"/>
  <c r="D78"/>
  <c r="DP58" i="2"/>
  <c r="DB58"/>
  <c r="CN58"/>
  <c r="BZ58"/>
  <c r="BL58"/>
  <c r="DO59"/>
  <c r="DA59"/>
  <c r="CM59"/>
  <c r="BY59"/>
  <c r="BK59"/>
  <c r="DO61"/>
  <c r="DA61"/>
  <c r="CM61"/>
  <c r="BY61"/>
  <c r="BK61"/>
  <c r="DN62"/>
  <c r="CZ62"/>
  <c r="CL62"/>
  <c r="BX62"/>
  <c r="BJ62"/>
  <c r="DP62"/>
  <c r="DB62"/>
  <c r="CN62"/>
  <c r="BZ62"/>
  <c r="BL62"/>
  <c r="DL69"/>
  <c r="CX69"/>
  <c r="CJ69"/>
  <c r="BV69"/>
  <c r="BH69"/>
  <c r="DL71"/>
  <c r="CX71"/>
  <c r="CJ71"/>
  <c r="BV71"/>
  <c r="BH71"/>
  <c r="CW6" i="3"/>
  <c r="CJ6"/>
  <c r="BW6"/>
  <c r="BJ6"/>
  <c r="AW6"/>
  <c r="CV7"/>
  <c r="CI7"/>
  <c r="BV7"/>
  <c r="BI7"/>
  <c r="AV7"/>
  <c r="DB11"/>
  <c r="CO11"/>
  <c r="CB11"/>
  <c r="BO11"/>
  <c r="BB11"/>
  <c r="CW15"/>
  <c r="CJ15"/>
  <c r="BW15"/>
  <c r="BJ15"/>
  <c r="AW15"/>
  <c r="CV16"/>
  <c r="CI16"/>
  <c r="BV16"/>
  <c r="BI16"/>
  <c r="AV16"/>
  <c r="DB20"/>
  <c r="CO20"/>
  <c r="CB20"/>
  <c r="BO20"/>
  <c r="BB20"/>
  <c r="CW24"/>
  <c r="CJ24"/>
  <c r="BW24"/>
  <c r="BJ24"/>
  <c r="AW24"/>
  <c r="CV25"/>
  <c r="CI25"/>
  <c r="BV25"/>
  <c r="BI25"/>
  <c r="AV25"/>
  <c r="DB29"/>
  <c r="CO29"/>
  <c r="CB29"/>
  <c r="BO29"/>
  <c r="BB29"/>
  <c r="CW33"/>
  <c r="CJ33"/>
  <c r="BW33"/>
  <c r="BJ33"/>
  <c r="AW33"/>
  <c r="CV34"/>
  <c r="CI34"/>
  <c r="BV34"/>
  <c r="BI34"/>
  <c r="AV34"/>
  <c r="W8" i="4"/>
  <c r="H8"/>
  <c r="BJ18"/>
  <c r="BJ22"/>
  <c r="BJ26"/>
  <c r="BJ42"/>
  <c r="BJ46"/>
  <c r="BJ50"/>
  <c r="BJ66"/>
  <c r="BJ70"/>
  <c r="BJ74"/>
  <c r="AA9" i="5"/>
  <c r="AP69"/>
  <c r="FA18" i="6"/>
  <c r="DK18"/>
  <c r="BU18"/>
  <c r="EF18"/>
  <c r="CP18"/>
  <c r="FE18"/>
  <c r="DO18"/>
  <c r="BY18"/>
  <c r="EJ18"/>
  <c r="CT18"/>
  <c r="BC8" i="2"/>
  <c r="BQ8"/>
  <c r="CE8"/>
  <c r="CS8"/>
  <c r="DX8"/>
  <c r="J8" s="1"/>
  <c r="BD9"/>
  <c r="BJ9"/>
  <c r="BN9"/>
  <c r="BR9"/>
  <c r="BX9"/>
  <c r="CB9"/>
  <c r="CF9"/>
  <c r="CL9"/>
  <c r="CP9"/>
  <c r="CT9"/>
  <c r="CZ9"/>
  <c r="DD9"/>
  <c r="BC10"/>
  <c r="BQ10"/>
  <c r="CE10"/>
  <c r="CS10"/>
  <c r="BD12"/>
  <c r="BH12"/>
  <c r="BN12"/>
  <c r="BR12"/>
  <c r="BV12"/>
  <c r="CB12"/>
  <c r="CF12"/>
  <c r="CJ12"/>
  <c r="CP12"/>
  <c r="CT12"/>
  <c r="CX12"/>
  <c r="DD12"/>
  <c r="BC13"/>
  <c r="BQ13"/>
  <c r="CE13"/>
  <c r="CS13"/>
  <c r="BD14"/>
  <c r="BN14"/>
  <c r="BR14"/>
  <c r="BV14"/>
  <c r="CB14"/>
  <c r="CF14"/>
  <c r="CP14"/>
  <c r="CT14"/>
  <c r="DD14"/>
  <c r="BC15"/>
  <c r="BQ15"/>
  <c r="CE15"/>
  <c r="CS15"/>
  <c r="BC16"/>
  <c r="BQ16"/>
  <c r="CE16"/>
  <c r="CS16"/>
  <c r="BC17"/>
  <c r="BQ17"/>
  <c r="CE17"/>
  <c r="CS17"/>
  <c r="BL18"/>
  <c r="BN18"/>
  <c r="BZ18"/>
  <c r="CB18"/>
  <c r="CN18"/>
  <c r="CP18"/>
  <c r="DB18"/>
  <c r="DD18"/>
  <c r="BG19"/>
  <c r="BK19"/>
  <c r="BU19"/>
  <c r="BY19"/>
  <c r="CI19"/>
  <c r="CM19"/>
  <c r="CW19"/>
  <c r="DA19"/>
  <c r="BJ20"/>
  <c r="BL20"/>
  <c r="BN20"/>
  <c r="BX20"/>
  <c r="BZ20"/>
  <c r="CB20"/>
  <c r="CL20"/>
  <c r="CN20"/>
  <c r="CP20"/>
  <c r="CZ20"/>
  <c r="DB20"/>
  <c r="DD20"/>
  <c r="BK21"/>
  <c r="BY21"/>
  <c r="CM21"/>
  <c r="DA21"/>
  <c r="BL22"/>
  <c r="BN22"/>
  <c r="BZ22"/>
  <c r="CB22"/>
  <c r="CN22"/>
  <c r="CP22"/>
  <c r="DB22"/>
  <c r="DD22"/>
  <c r="BK23"/>
  <c r="BY23"/>
  <c r="CM23"/>
  <c r="DA23"/>
  <c r="BD28"/>
  <c r="BH28"/>
  <c r="BN28"/>
  <c r="BR28"/>
  <c r="BV28"/>
  <c r="CB28"/>
  <c r="CF28"/>
  <c r="CJ28"/>
  <c r="CP28"/>
  <c r="CT28"/>
  <c r="CX28"/>
  <c r="DD28"/>
  <c r="DL28"/>
  <c r="BC29"/>
  <c r="BQ29"/>
  <c r="CE29"/>
  <c r="CS29"/>
  <c r="BD30"/>
  <c r="BJ30"/>
  <c r="BN30"/>
  <c r="BR30"/>
  <c r="BX30"/>
  <c r="CB30"/>
  <c r="CF30"/>
  <c r="CL30"/>
  <c r="CP30"/>
  <c r="CT30"/>
  <c r="CZ30"/>
  <c r="DD30"/>
  <c r="AR32"/>
  <c r="BC32"/>
  <c r="BQ32"/>
  <c r="CE32"/>
  <c r="CS32"/>
  <c r="BD33"/>
  <c r="BJ33"/>
  <c r="BN33"/>
  <c r="BR33"/>
  <c r="BX33"/>
  <c r="CB33"/>
  <c r="CF33"/>
  <c r="CL33"/>
  <c r="CP33"/>
  <c r="CT33"/>
  <c r="CZ33"/>
  <c r="DD33"/>
  <c r="BC34"/>
  <c r="BQ34"/>
  <c r="CE34"/>
  <c r="CS34"/>
  <c r="BD35"/>
  <c r="BJ35"/>
  <c r="BN35"/>
  <c r="BR35"/>
  <c r="BX35"/>
  <c r="CB35"/>
  <c r="CF35"/>
  <c r="CL35"/>
  <c r="CP35"/>
  <c r="CT35"/>
  <c r="CZ35"/>
  <c r="DD35"/>
  <c r="BD36"/>
  <c r="BH36"/>
  <c r="BN36"/>
  <c r="BR36"/>
  <c r="BV36"/>
  <c r="CB36"/>
  <c r="CF36"/>
  <c r="CJ36"/>
  <c r="CP36"/>
  <c r="CT36"/>
  <c r="CX36"/>
  <c r="DD36"/>
  <c r="BD37"/>
  <c r="BH37"/>
  <c r="BN37"/>
  <c r="BR37"/>
  <c r="BV37"/>
  <c r="CB37"/>
  <c r="CF37"/>
  <c r="CJ37"/>
  <c r="CP37"/>
  <c r="CT37"/>
  <c r="CX37"/>
  <c r="DD37"/>
  <c r="BG38"/>
  <c r="BK38"/>
  <c r="BU38"/>
  <c r="BY38"/>
  <c r="CI38"/>
  <c r="CM38"/>
  <c r="CW38"/>
  <c r="DA38"/>
  <c r="BJ39"/>
  <c r="BL39"/>
  <c r="BN39"/>
  <c r="BX39"/>
  <c r="BZ39"/>
  <c r="CB39"/>
  <c r="CL39"/>
  <c r="CN39"/>
  <c r="CP39"/>
  <c r="CZ39"/>
  <c r="DB39"/>
  <c r="DD39"/>
  <c r="BK40"/>
  <c r="BY40"/>
  <c r="CM40"/>
  <c r="DA40"/>
  <c r="BL41"/>
  <c r="BN41"/>
  <c r="BZ41"/>
  <c r="CB41"/>
  <c r="CN41"/>
  <c r="CP41"/>
  <c r="DB41"/>
  <c r="DD41"/>
  <c r="BK42"/>
  <c r="BY42"/>
  <c r="CM42"/>
  <c r="DA42"/>
  <c r="BD46"/>
  <c r="BH46"/>
  <c r="BN46"/>
  <c r="BR46"/>
  <c r="BV46"/>
  <c r="CB46"/>
  <c r="CF46"/>
  <c r="CJ46"/>
  <c r="CP46"/>
  <c r="CT46"/>
  <c r="CX46"/>
  <c r="DD46"/>
  <c r="BC47"/>
  <c r="BQ47"/>
  <c r="CE47"/>
  <c r="CS47"/>
  <c r="BD48"/>
  <c r="BJ48"/>
  <c r="BN48"/>
  <c r="BR48"/>
  <c r="BX48"/>
  <c r="CB48"/>
  <c r="CF48"/>
  <c r="CL48"/>
  <c r="CP48"/>
  <c r="CT48"/>
  <c r="CZ48"/>
  <c r="DD48"/>
  <c r="BD50"/>
  <c r="BH50"/>
  <c r="BN50"/>
  <c r="BR50"/>
  <c r="BV50"/>
  <c r="CB50"/>
  <c r="CF50"/>
  <c r="CJ50"/>
  <c r="CP50"/>
  <c r="CT50"/>
  <c r="CX50"/>
  <c r="DD50"/>
  <c r="BC51"/>
  <c r="BQ51"/>
  <c r="CE51"/>
  <c r="CS51"/>
  <c r="BD52"/>
  <c r="BH52"/>
  <c r="BN52"/>
  <c r="BR52"/>
  <c r="BV52"/>
  <c r="CB52"/>
  <c r="CF52"/>
  <c r="CJ52"/>
  <c r="CP52"/>
  <c r="CT52"/>
  <c r="CX52"/>
  <c r="DD52"/>
  <c r="BQ53"/>
  <c r="BN55"/>
  <c r="CP55"/>
  <c r="BD56"/>
  <c r="BN56"/>
  <c r="CF56"/>
  <c r="CP56"/>
  <c r="BD57"/>
  <c r="BN57"/>
  <c r="CF57"/>
  <c r="CP57"/>
  <c r="BG58"/>
  <c r="BU58"/>
  <c r="CI58"/>
  <c r="CW58"/>
  <c r="CB59"/>
  <c r="BK60"/>
  <c r="CM60"/>
  <c r="DO60"/>
  <c r="BN61"/>
  <c r="CB61"/>
  <c r="CP61"/>
  <c r="DD61"/>
  <c r="BR67"/>
  <c r="CB67"/>
  <c r="BC71"/>
  <c r="CE71"/>
  <c r="U6" i="3"/>
  <c r="DI6" s="1"/>
  <c r="BG7"/>
  <c r="BT7"/>
  <c r="CG7"/>
  <c r="CT7"/>
  <c r="BO10"/>
  <c r="BT11"/>
  <c r="BG13"/>
  <c r="CG13"/>
  <c r="BG16"/>
  <c r="BT16"/>
  <c r="CG16"/>
  <c r="CT16"/>
  <c r="BO19"/>
  <c r="BT20"/>
  <c r="CG22"/>
  <c r="BG25"/>
  <c r="BT25"/>
  <c r="CG25"/>
  <c r="CT25"/>
  <c r="BT29"/>
  <c r="BG34"/>
  <c r="BT34"/>
  <c r="CG34"/>
  <c r="CT34"/>
  <c r="FE23" i="6"/>
  <c r="DO23"/>
  <c r="BY23"/>
  <c r="FS23"/>
  <c r="EC23"/>
  <c r="CM23"/>
  <c r="EP28"/>
  <c r="CZ28"/>
  <c r="EV32"/>
  <c r="DF32"/>
  <c r="FS33"/>
  <c r="EC33"/>
  <c r="CM33"/>
  <c r="ER36"/>
  <c r="DB36"/>
  <c r="EG38"/>
  <c r="CQ38"/>
  <c r="FA38"/>
  <c r="DK38"/>
  <c r="BU38"/>
  <c r="EV39"/>
  <c r="DF39"/>
  <c r="EM40"/>
  <c r="CW40"/>
  <c r="EO40"/>
  <c r="CY40"/>
  <c r="FS40"/>
  <c r="EC40"/>
  <c r="CM40"/>
  <c r="EG42"/>
  <c r="CQ42"/>
  <c r="FS42"/>
  <c r="EC42"/>
  <c r="CM42"/>
  <c r="EV43"/>
  <c r="DF43"/>
  <c r="EM44"/>
  <c r="CW44"/>
  <c r="EO44"/>
  <c r="CY44"/>
  <c r="FS44"/>
  <c r="EC44"/>
  <c r="CM44"/>
  <c r="FS49"/>
  <c r="EC49"/>
  <c r="CM49"/>
  <c r="FS50"/>
  <c r="EC50"/>
  <c r="CM50"/>
  <c r="EF58"/>
  <c r="CP58"/>
  <c r="FA58"/>
  <c r="DK58"/>
  <c r="BU58"/>
  <c r="EJ58"/>
  <c r="CT58"/>
  <c r="FE58"/>
  <c r="DO58"/>
  <c r="BY58"/>
  <c r="AQ19" i="8"/>
  <c r="AO19"/>
  <c r="AM19"/>
  <c r="AK19"/>
  <c r="AI19"/>
  <c r="AJ19"/>
  <c r="BD53" i="2"/>
  <c r="BN53"/>
  <c r="BR53"/>
  <c r="CB53"/>
  <c r="CF53"/>
  <c r="CP53"/>
  <c r="CT53"/>
  <c r="DD53"/>
  <c r="BC56"/>
  <c r="BQ56"/>
  <c r="CE56"/>
  <c r="CS56"/>
  <c r="BC57"/>
  <c r="BQ57"/>
  <c r="CE57"/>
  <c r="CS57"/>
  <c r="BN58"/>
  <c r="CB58"/>
  <c r="CP58"/>
  <c r="DD58"/>
  <c r="BN60"/>
  <c r="CB60"/>
  <c r="CP60"/>
  <c r="DD60"/>
  <c r="BG61"/>
  <c r="BU61"/>
  <c r="CI61"/>
  <c r="CW61"/>
  <c r="BN62"/>
  <c r="CB62"/>
  <c r="CP62"/>
  <c r="DD62"/>
  <c r="BC67"/>
  <c r="BQ67"/>
  <c r="CE67"/>
  <c r="CS67"/>
  <c r="BN68"/>
  <c r="CB68"/>
  <c r="CP68"/>
  <c r="DD68"/>
  <c r="BN69"/>
  <c r="CB69"/>
  <c r="CP69"/>
  <c r="DD69"/>
  <c r="BD71"/>
  <c r="BN71"/>
  <c r="BR71"/>
  <c r="CB71"/>
  <c r="CF71"/>
  <c r="CP71"/>
  <c r="CT71"/>
  <c r="DD71"/>
  <c r="BG72"/>
  <c r="BU72"/>
  <c r="CI72"/>
  <c r="CW72"/>
  <c r="BG6" i="3"/>
  <c r="BT6"/>
  <c r="CG6"/>
  <c r="CT6"/>
  <c r="AX7"/>
  <c r="BK7"/>
  <c r="BX7"/>
  <c r="CK7"/>
  <c r="AY8"/>
  <c r="BG8"/>
  <c r="BL8"/>
  <c r="BT8"/>
  <c r="BY8"/>
  <c r="CG8"/>
  <c r="CL8"/>
  <c r="CT8"/>
  <c r="BG10"/>
  <c r="BT10"/>
  <c r="CG10"/>
  <c r="CT10"/>
  <c r="BG12"/>
  <c r="BT12"/>
  <c r="CG12"/>
  <c r="CT12"/>
  <c r="BD13"/>
  <c r="BQ13"/>
  <c r="CD13"/>
  <c r="CQ13"/>
  <c r="BG15"/>
  <c r="BT15"/>
  <c r="CG15"/>
  <c r="CT15"/>
  <c r="AX16"/>
  <c r="BK16"/>
  <c r="BX16"/>
  <c r="CK16"/>
  <c r="AY17"/>
  <c r="BG17"/>
  <c r="BL17"/>
  <c r="BT17"/>
  <c r="BY17"/>
  <c r="CG17"/>
  <c r="CL17"/>
  <c r="CT17"/>
  <c r="BG19"/>
  <c r="BT19"/>
  <c r="CG19"/>
  <c r="CT19"/>
  <c r="BG21"/>
  <c r="BT21"/>
  <c r="CG21"/>
  <c r="CT21"/>
  <c r="BD22"/>
  <c r="BQ22"/>
  <c r="CD22"/>
  <c r="CQ22"/>
  <c r="BG24"/>
  <c r="BT24"/>
  <c r="CG24"/>
  <c r="CT24"/>
  <c r="AX25"/>
  <c r="BK25"/>
  <c r="BX25"/>
  <c r="CK25"/>
  <c r="AY26"/>
  <c r="BG26"/>
  <c r="BL26"/>
  <c r="BT26"/>
  <c r="BY26"/>
  <c r="CG26"/>
  <c r="CL26"/>
  <c r="CT26"/>
  <c r="BG28"/>
  <c r="BT28"/>
  <c r="CG28"/>
  <c r="CT28"/>
  <c r="BG30"/>
  <c r="BT30"/>
  <c r="CG30"/>
  <c r="CT30"/>
  <c r="BD31"/>
  <c r="BQ31"/>
  <c r="CD31"/>
  <c r="CQ31"/>
  <c r="BG33"/>
  <c r="BT33"/>
  <c r="CG33"/>
  <c r="CT33"/>
  <c r="AX34"/>
  <c r="BK34"/>
  <c r="BX34"/>
  <c r="CK34"/>
  <c r="AY35"/>
  <c r="BG35"/>
  <c r="BL35"/>
  <c r="BT35"/>
  <c r="BY35"/>
  <c r="CG35"/>
  <c r="CL35"/>
  <c r="CT35"/>
  <c r="AW68" i="5"/>
  <c r="BE68"/>
  <c r="BM68"/>
  <c r="BU68"/>
  <c r="CC68"/>
  <c r="CK68"/>
  <c r="CE7" i="6"/>
  <c r="CM7"/>
  <c r="DU7"/>
  <c r="EC7"/>
  <c r="FS7"/>
  <c r="CK8"/>
  <c r="CM8"/>
  <c r="EA8"/>
  <c r="EC8"/>
  <c r="FS8"/>
  <c r="CM9"/>
  <c r="EC9"/>
  <c r="FS9"/>
  <c r="CM10"/>
  <c r="EC10"/>
  <c r="FS10"/>
  <c r="CR11"/>
  <c r="DH11"/>
  <c r="EH11"/>
  <c r="CK12"/>
  <c r="CM12"/>
  <c r="EA12"/>
  <c r="EC12"/>
  <c r="FS12"/>
  <c r="DF13"/>
  <c r="DH13"/>
  <c r="EV13"/>
  <c r="CM14"/>
  <c r="DA14"/>
  <c r="EC14"/>
  <c r="FS14"/>
  <c r="DB15"/>
  <c r="DH15"/>
  <c r="ER15"/>
  <c r="CG16"/>
  <c r="CM16"/>
  <c r="DA16"/>
  <c r="DW16"/>
  <c r="EC16"/>
  <c r="EQ16"/>
  <c r="FS16"/>
  <c r="BV17"/>
  <c r="CP17"/>
  <c r="DF17"/>
  <c r="DH17"/>
  <c r="DL17"/>
  <c r="EF17"/>
  <c r="EV17"/>
  <c r="BV18"/>
  <c r="DF18"/>
  <c r="DH18"/>
  <c r="DL18"/>
  <c r="EV18"/>
  <c r="FB18"/>
  <c r="BY19"/>
  <c r="CK19"/>
  <c r="CM19"/>
  <c r="DO19"/>
  <c r="EA19"/>
  <c r="EC19"/>
  <c r="FE19"/>
  <c r="FS19"/>
  <c r="CB20"/>
  <c r="CD20"/>
  <c r="CX20"/>
  <c r="DF20"/>
  <c r="DH20"/>
  <c r="DR20"/>
  <c r="DT20"/>
  <c r="EN20"/>
  <c r="EV20"/>
  <c r="CE21"/>
  <c r="CG21"/>
  <c r="CK21"/>
  <c r="CM21"/>
  <c r="DA21"/>
  <c r="DU21"/>
  <c r="DW21"/>
  <c r="EA21"/>
  <c r="EC21"/>
  <c r="FK21"/>
  <c r="FM21"/>
  <c r="FS21"/>
  <c r="BV22"/>
  <c r="CP22"/>
  <c r="DF22"/>
  <c r="DH22"/>
  <c r="DL22"/>
  <c r="EF22"/>
  <c r="EV22"/>
  <c r="EJ23"/>
  <c r="EX23"/>
  <c r="CC24"/>
  <c r="CE28"/>
  <c r="DU28"/>
  <c r="FK28"/>
  <c r="CK32"/>
  <c r="EA32"/>
  <c r="FQ32"/>
  <c r="DH33"/>
  <c r="EX33"/>
  <c r="DA34"/>
  <c r="DW36"/>
  <c r="BV37"/>
  <c r="DL37"/>
  <c r="BV38"/>
  <c r="EF38"/>
  <c r="FB38"/>
  <c r="CK39"/>
  <c r="FQ39"/>
  <c r="CB40"/>
  <c r="DT40"/>
  <c r="EX40"/>
  <c r="FH40"/>
  <c r="CK41"/>
  <c r="DH42"/>
  <c r="EX42"/>
  <c r="CK43"/>
  <c r="FQ43"/>
  <c r="CB44"/>
  <c r="DT44"/>
  <c r="EX44"/>
  <c r="FH44"/>
  <c r="CK45"/>
  <c r="EX49"/>
  <c r="EX50"/>
  <c r="EN24"/>
  <c r="CX24"/>
  <c r="EV24"/>
  <c r="DF24"/>
  <c r="FK25"/>
  <c r="DU25"/>
  <c r="CE25"/>
  <c r="FM25"/>
  <c r="DW25"/>
  <c r="CG25"/>
  <c r="FS25"/>
  <c r="EC25"/>
  <c r="CM25"/>
  <c r="FS31"/>
  <c r="EC31"/>
  <c r="CM31"/>
  <c r="FL34"/>
  <c r="DV34"/>
  <c r="CF34"/>
  <c r="FS35"/>
  <c r="EC35"/>
  <c r="CM35"/>
  <c r="EG37"/>
  <c r="CQ37"/>
  <c r="FS37"/>
  <c r="EC37"/>
  <c r="CM37"/>
  <c r="FE38"/>
  <c r="DO38"/>
  <c r="BY38"/>
  <c r="FS38"/>
  <c r="EC38"/>
  <c r="CM38"/>
  <c r="FL41"/>
  <c r="DV41"/>
  <c r="CF41"/>
  <c r="EV41"/>
  <c r="DF41"/>
  <c r="FL45"/>
  <c r="DV45"/>
  <c r="CF45"/>
  <c r="EV45"/>
  <c r="DF45"/>
  <c r="FS48"/>
  <c r="EC48"/>
  <c r="CM48"/>
  <c r="AN13" i="8"/>
  <c r="AL13"/>
  <c r="CD15"/>
  <c r="DR15"/>
  <c r="AU24"/>
  <c r="AU25" s="1"/>
  <c r="AU26" s="1"/>
  <c r="AQ68" i="5"/>
  <c r="BB68"/>
  <c r="BJ68"/>
  <c r="BR68"/>
  <c r="BZ68"/>
  <c r="CH68"/>
  <c r="DH7" i="6"/>
  <c r="DH8"/>
  <c r="DH9"/>
  <c r="DH10"/>
  <c r="BW11"/>
  <c r="DM11"/>
  <c r="DH12"/>
  <c r="CK13"/>
  <c r="EA13"/>
  <c r="DH14"/>
  <c r="CG15"/>
  <c r="DW15"/>
  <c r="CF16"/>
  <c r="DH16"/>
  <c r="DV16"/>
  <c r="BU17"/>
  <c r="CK17"/>
  <c r="DK17"/>
  <c r="EA17"/>
  <c r="CK18"/>
  <c r="CQ18"/>
  <c r="EA18"/>
  <c r="CT19"/>
  <c r="DH19"/>
  <c r="CC20"/>
  <c r="CK20"/>
  <c r="DS20"/>
  <c r="EA20"/>
  <c r="CZ21"/>
  <c r="DB21"/>
  <c r="DH21"/>
  <c r="BU22"/>
  <c r="CK22"/>
  <c r="DK22"/>
  <c r="EA22"/>
  <c r="CK24"/>
  <c r="DS24"/>
  <c r="FQ24"/>
  <c r="CZ25"/>
  <c r="ER25"/>
  <c r="EX25"/>
  <c r="DH31"/>
  <c r="EX31"/>
  <c r="DH35"/>
  <c r="EX35"/>
  <c r="DH37"/>
  <c r="EX37"/>
  <c r="EJ38"/>
  <c r="EX38"/>
  <c r="DA41"/>
  <c r="EA41"/>
  <c r="DA45"/>
  <c r="EA45"/>
  <c r="DH48"/>
  <c r="EX48"/>
  <c r="AF14" i="8"/>
  <c r="AF13"/>
  <c r="AH14"/>
  <c r="AH13"/>
  <c r="BY13"/>
  <c r="BS13" s="1"/>
  <c r="BW13"/>
  <c r="BQ13" s="1"/>
  <c r="AP13" s="1"/>
  <c r="BP13"/>
  <c r="AP16"/>
  <c r="AL16"/>
  <c r="BY17"/>
  <c r="BS17" s="1"/>
  <c r="BW17"/>
  <c r="BQ17" s="1"/>
  <c r="BP17"/>
  <c r="AG26"/>
  <c r="AG25"/>
  <c r="AG24"/>
  <c r="AG22"/>
  <c r="AG21"/>
  <c r="AP20"/>
  <c r="AN20"/>
  <c r="AL20"/>
  <c r="DQ39"/>
  <c r="DQ37"/>
  <c r="DQ34"/>
  <c r="DQ24"/>
  <c r="DQ38"/>
  <c r="DQ36"/>
  <c r="DQ27"/>
  <c r="DQ110" s="1"/>
  <c r="DW110" s="1"/>
  <c r="DQ26"/>
  <c r="DQ25"/>
  <c r="DQ23"/>
  <c r="DW23" s="1"/>
  <c r="DX22"/>
  <c r="DV22"/>
  <c r="AP40"/>
  <c r="AN40"/>
  <c r="AL40"/>
  <c r="DI43"/>
  <c r="DI44" s="1"/>
  <c r="DI45" s="1"/>
  <c r="DI46" s="1"/>
  <c r="DI47" s="1"/>
  <c r="AJ40"/>
  <c r="AP45"/>
  <c r="AN45"/>
  <c r="AL45"/>
  <c r="AO48"/>
  <c r="AK48"/>
  <c r="AJ48"/>
  <c r="AJ53"/>
  <c r="AQ53"/>
  <c r="AO53"/>
  <c r="AM53"/>
  <c r="AK53"/>
  <c r="AI53"/>
  <c r="DH67"/>
  <c r="DG67" s="1"/>
  <c r="DH66"/>
  <c r="DG66" s="1"/>
  <c r="DH65"/>
  <c r="DG65" s="1"/>
  <c r="DO74"/>
  <c r="DM74"/>
  <c r="DN74"/>
  <c r="AN95"/>
  <c r="AL95"/>
  <c r="CD98"/>
  <c r="AQ98"/>
  <c r="AO98"/>
  <c r="AM98"/>
  <c r="AU106"/>
  <c r="AU107" s="1"/>
  <c r="AU108" s="1"/>
  <c r="AK102"/>
  <c r="BW51" i="6"/>
  <c r="DM51"/>
  <c r="FC51"/>
  <c r="DH52"/>
  <c r="EX52"/>
  <c r="CK53"/>
  <c r="EA53"/>
  <c r="FQ53"/>
  <c r="DH54"/>
  <c r="EX54"/>
  <c r="CG55"/>
  <c r="DW55"/>
  <c r="FM55"/>
  <c r="CF56"/>
  <c r="DH56"/>
  <c r="DV56"/>
  <c r="EX56"/>
  <c r="FL56"/>
  <c r="BU57"/>
  <c r="CK57"/>
  <c r="DK57"/>
  <c r="EA57"/>
  <c r="FA57"/>
  <c r="FQ57"/>
  <c r="CK58"/>
  <c r="CQ58"/>
  <c r="EA58"/>
  <c r="EG58"/>
  <c r="FQ58"/>
  <c r="CT59"/>
  <c r="DH59"/>
  <c r="EJ59"/>
  <c r="EX59"/>
  <c r="CC60"/>
  <c r="CK60"/>
  <c r="DS60"/>
  <c r="EA60"/>
  <c r="FI60"/>
  <c r="FQ60"/>
  <c r="CZ61"/>
  <c r="DB61"/>
  <c r="DH61"/>
  <c r="EP61"/>
  <c r="ER61"/>
  <c r="EX61"/>
  <c r="BU62"/>
  <c r="CK62"/>
  <c r="DK62"/>
  <c r="EA62"/>
  <c r="FA62"/>
  <c r="FQ62"/>
  <c r="CT63"/>
  <c r="DH63"/>
  <c r="EJ63"/>
  <c r="EX63"/>
  <c r="CC64"/>
  <c r="CK64"/>
  <c r="DS64"/>
  <c r="EA64"/>
  <c r="FI64"/>
  <c r="FQ64"/>
  <c r="CZ65"/>
  <c r="DB65"/>
  <c r="DH65"/>
  <c r="EP65"/>
  <c r="ER65"/>
  <c r="EX65"/>
  <c r="BY68"/>
  <c r="CA68"/>
  <c r="CK68"/>
  <c r="DO68"/>
  <c r="DQ68"/>
  <c r="EA68"/>
  <c r="FE68"/>
  <c r="FG68"/>
  <c r="FQ68"/>
  <c r="DH69"/>
  <c r="EX69"/>
  <c r="AL12" i="8"/>
  <c r="AN12"/>
  <c r="AP12"/>
  <c r="BX12"/>
  <c r="BR12" s="1"/>
  <c r="AQ12" s="1"/>
  <c r="BZ13"/>
  <c r="BT13" s="1"/>
  <c r="AG14"/>
  <c r="DM14"/>
  <c r="DG15"/>
  <c r="DG16"/>
  <c r="BZ17"/>
  <c r="BT17" s="1"/>
  <c r="CF17"/>
  <c r="AH18"/>
  <c r="AL19"/>
  <c r="AG23"/>
  <c r="DG23"/>
  <c r="DG85"/>
  <c r="DG106"/>
  <c r="BY14"/>
  <c r="BS14" s="1"/>
  <c r="BW14"/>
  <c r="BQ14" s="1"/>
  <c r="BP14"/>
  <c r="AF17"/>
  <c r="AF16"/>
  <c r="AH17"/>
  <c r="AH16"/>
  <c r="AO15"/>
  <c r="AM15"/>
  <c r="AI15" s="1"/>
  <c r="BY15"/>
  <c r="BS15" s="1"/>
  <c r="BW15"/>
  <c r="BQ15" s="1"/>
  <c r="BP15"/>
  <c r="BY16"/>
  <c r="BS16" s="1"/>
  <c r="BW16"/>
  <c r="BQ16" s="1"/>
  <c r="BP16"/>
  <c r="AO26"/>
  <c r="AO22"/>
  <c r="AM22"/>
  <c r="BY23"/>
  <c r="BS23" s="1"/>
  <c r="BW23"/>
  <c r="BQ23" s="1"/>
  <c r="BP23"/>
  <c r="AQ40"/>
  <c r="AO40"/>
  <c r="AM40"/>
  <c r="AI40"/>
  <c r="AQ45"/>
  <c r="AO45"/>
  <c r="AM45"/>
  <c r="AK45"/>
  <c r="AI45"/>
  <c r="AJ45"/>
  <c r="AP48"/>
  <c r="AN48"/>
  <c r="AL48"/>
  <c r="DN52"/>
  <c r="DO52"/>
  <c r="DM52"/>
  <c r="AP53"/>
  <c r="AN53"/>
  <c r="AL53"/>
  <c r="DO54"/>
  <c r="DM54"/>
  <c r="DN54"/>
  <c r="DO70"/>
  <c r="DM70"/>
  <c r="DN70"/>
  <c r="DN79"/>
  <c r="DO79"/>
  <c r="DM79"/>
  <c r="DM77"/>
  <c r="AQ95"/>
  <c r="AO95"/>
  <c r="AM95"/>
  <c r="AI95"/>
  <c r="AQ105"/>
  <c r="AO105"/>
  <c r="AM105"/>
  <c r="CK23" i="6"/>
  <c r="EA23"/>
  <c r="CB24"/>
  <c r="CD24"/>
  <c r="DH24"/>
  <c r="DR24"/>
  <c r="DT24"/>
  <c r="CK25"/>
  <c r="DA25"/>
  <c r="EA25"/>
  <c r="DH28"/>
  <c r="DH29"/>
  <c r="DH30"/>
  <c r="BW31"/>
  <c r="DM31"/>
  <c r="DH32"/>
  <c r="CK33"/>
  <c r="EA33"/>
  <c r="DH34"/>
  <c r="CG35"/>
  <c r="DW35"/>
  <c r="CF36"/>
  <c r="DH36"/>
  <c r="DV36"/>
  <c r="BU37"/>
  <c r="CK37"/>
  <c r="DK37"/>
  <c r="EA37"/>
  <c r="CK38"/>
  <c r="EA38"/>
  <c r="CT39"/>
  <c r="DH39"/>
  <c r="CC40"/>
  <c r="CK40"/>
  <c r="DS40"/>
  <c r="EA40"/>
  <c r="CZ41"/>
  <c r="DB41"/>
  <c r="DH41"/>
  <c r="BU42"/>
  <c r="CK42"/>
  <c r="DK42"/>
  <c r="EA42"/>
  <c r="CT43"/>
  <c r="DH43"/>
  <c r="CC44"/>
  <c r="CK44"/>
  <c r="DS44"/>
  <c r="EA44"/>
  <c r="CZ45"/>
  <c r="DB45"/>
  <c r="DH45"/>
  <c r="CE48"/>
  <c r="DU48"/>
  <c r="CR51"/>
  <c r="DH51"/>
  <c r="CK52"/>
  <c r="CM52"/>
  <c r="EA52"/>
  <c r="EC52"/>
  <c r="DF53"/>
  <c r="DH53"/>
  <c r="CM54"/>
  <c r="DA54"/>
  <c r="EC54"/>
  <c r="DB55"/>
  <c r="DH55"/>
  <c r="CG56"/>
  <c r="CM56"/>
  <c r="DA56"/>
  <c r="DW56"/>
  <c r="EC56"/>
  <c r="BV57"/>
  <c r="CP57"/>
  <c r="DF57"/>
  <c r="DH57"/>
  <c r="DL57"/>
  <c r="BV58"/>
  <c r="DF58"/>
  <c r="DH58"/>
  <c r="DL58"/>
  <c r="BY59"/>
  <c r="CK59"/>
  <c r="CM59"/>
  <c r="DO59"/>
  <c r="EA59"/>
  <c r="EC59"/>
  <c r="CB60"/>
  <c r="CD60"/>
  <c r="CX60"/>
  <c r="DF60"/>
  <c r="DH60"/>
  <c r="DR60"/>
  <c r="DT60"/>
  <c r="CE61"/>
  <c r="CG61"/>
  <c r="CK61"/>
  <c r="CM61"/>
  <c r="DA61"/>
  <c r="DU61"/>
  <c r="DW61"/>
  <c r="EA61"/>
  <c r="EC61"/>
  <c r="BV62"/>
  <c r="CP62"/>
  <c r="DF62"/>
  <c r="DH62"/>
  <c r="DL62"/>
  <c r="BY63"/>
  <c r="CK63"/>
  <c r="CM63"/>
  <c r="DO63"/>
  <c r="EA63"/>
  <c r="EC63"/>
  <c r="CB64"/>
  <c r="CD64"/>
  <c r="CX64"/>
  <c r="DF64"/>
  <c r="DH64"/>
  <c r="DR64"/>
  <c r="DT64"/>
  <c r="CE65"/>
  <c r="CG65"/>
  <c r="CK65"/>
  <c r="CM65"/>
  <c r="DA65"/>
  <c r="DU65"/>
  <c r="DW65"/>
  <c r="EA65"/>
  <c r="EC65"/>
  <c r="BZ68"/>
  <c r="CF68"/>
  <c r="CT68"/>
  <c r="CV68"/>
  <c r="DF68"/>
  <c r="DH68"/>
  <c r="DP68"/>
  <c r="DV68"/>
  <c r="CM69"/>
  <c r="EC69"/>
  <c r="DG25" i="8"/>
  <c r="BZ14"/>
  <c r="BT14" s="1"/>
  <c r="CF14"/>
  <c r="BZ15"/>
  <c r="BT15" s="1"/>
  <c r="CF15"/>
  <c r="BZ16"/>
  <c r="BT16" s="1"/>
  <c r="DG17"/>
  <c r="AF18"/>
  <c r="AF19"/>
  <c r="BZ23"/>
  <c r="BT23" s="1"/>
  <c r="DX99"/>
  <c r="DV99"/>
  <c r="AP101"/>
  <c r="AN101"/>
  <c r="AL101"/>
  <c r="BY103"/>
  <c r="BS103" s="1"/>
  <c r="BW103"/>
  <c r="BQ103" s="1"/>
  <c r="BP103"/>
  <c r="BY104"/>
  <c r="BS104" s="1"/>
  <c r="BW104"/>
  <c r="BQ104" s="1"/>
  <c r="BP104"/>
  <c r="AN106"/>
  <c r="AL106"/>
  <c r="BY108"/>
  <c r="BS108" s="1"/>
  <c r="BW108"/>
  <c r="BQ108" s="1"/>
  <c r="BP108"/>
  <c r="AG115"/>
  <c r="AG114"/>
  <c r="AG113"/>
  <c r="AG112"/>
  <c r="AG111"/>
  <c r="AP109"/>
  <c r="AN109"/>
  <c r="AL109"/>
  <c r="AU111"/>
  <c r="AU112" s="1"/>
  <c r="AU113" s="1"/>
  <c r="AU114" s="1"/>
  <c r="AU115" s="1"/>
  <c r="AI109"/>
  <c r="DV110"/>
  <c r="AQ112"/>
  <c r="AO112"/>
  <c r="AM112"/>
  <c r="AQ113"/>
  <c r="AM113"/>
  <c r="AF119"/>
  <c r="AF118"/>
  <c r="AF117"/>
  <c r="AH119"/>
  <c r="AH118"/>
  <c r="AH117"/>
  <c r="AO116"/>
  <c r="AJ116" s="1"/>
  <c r="AM116"/>
  <c r="AI116" s="1"/>
  <c r="BY116"/>
  <c r="BS116" s="1"/>
  <c r="BW116"/>
  <c r="BQ116" s="1"/>
  <c r="BP116"/>
  <c r="AQ116" s="1"/>
  <c r="AP117"/>
  <c r="AL117"/>
  <c r="BY118"/>
  <c r="BS118" s="1"/>
  <c r="BW118"/>
  <c r="BQ118" s="1"/>
  <c r="BP118"/>
  <c r="AP119"/>
  <c r="AN119"/>
  <c r="AL119"/>
  <c r="AG123"/>
  <c r="AK123" s="1"/>
  <c r="AG122"/>
  <c r="AG121"/>
  <c r="AK121" s="1"/>
  <c r="AP120"/>
  <c r="AK120" s="1"/>
  <c r="AN120"/>
  <c r="AL120"/>
  <c r="AI120" s="1"/>
  <c r="AG128"/>
  <c r="AG127"/>
  <c r="AG126"/>
  <c r="AG125"/>
  <c r="AP124"/>
  <c r="AN124"/>
  <c r="AL124"/>
  <c r="AQ125"/>
  <c r="AM125"/>
  <c r="DO137"/>
  <c r="AO163"/>
  <c r="BY160"/>
  <c r="BS160" s="1"/>
  <c r="BW160"/>
  <c r="BQ160" s="1"/>
  <c r="BP160"/>
  <c r="BX160"/>
  <c r="BR160" s="1"/>
  <c r="BY161"/>
  <c r="BS161" s="1"/>
  <c r="BW161"/>
  <c r="BQ161" s="1"/>
  <c r="BP161"/>
  <c r="BX161"/>
  <c r="BR161" s="1"/>
  <c r="AP167"/>
  <c r="AN167"/>
  <c r="AL167"/>
  <c r="AU167"/>
  <c r="AT164"/>
  <c r="AJ164" s="1"/>
  <c r="DW168"/>
  <c r="DX168"/>
  <c r="DV168"/>
  <c r="AP174"/>
  <c r="AL174"/>
  <c r="CE14"/>
  <c r="CG14"/>
  <c r="CE15"/>
  <c r="CG15"/>
  <c r="CE16"/>
  <c r="CG16"/>
  <c r="AG18"/>
  <c r="BX18"/>
  <c r="BR18" s="1"/>
  <c r="DH18"/>
  <c r="DG18" s="1"/>
  <c r="BX19"/>
  <c r="BR19" s="1"/>
  <c r="DG19"/>
  <c r="BX20"/>
  <c r="BR20" s="1"/>
  <c r="AQ20" s="1"/>
  <c r="DH20"/>
  <c r="DG20" s="1"/>
  <c r="BX21"/>
  <c r="BR21" s="1"/>
  <c r="AQ21" s="1"/>
  <c r="DH21"/>
  <c r="DG21" s="1"/>
  <c r="BX22"/>
  <c r="BR22" s="1"/>
  <c r="AQ22" s="1"/>
  <c r="DH22"/>
  <c r="DG22" s="1"/>
  <c r="AF23"/>
  <c r="AH23"/>
  <c r="DV23"/>
  <c r="AM24"/>
  <c r="AO24"/>
  <c r="AQ24"/>
  <c r="BX24"/>
  <c r="BR24" s="1"/>
  <c r="DH24"/>
  <c r="DG24" s="1"/>
  <c r="DR24"/>
  <c r="AF25"/>
  <c r="AH25"/>
  <c r="BP25"/>
  <c r="BW25"/>
  <c r="BQ25" s="1"/>
  <c r="BY25"/>
  <c r="BS25" s="1"/>
  <c r="BP26"/>
  <c r="BW26"/>
  <c r="BQ26" s="1"/>
  <c r="BY26"/>
  <c r="BS26" s="1"/>
  <c r="AM27"/>
  <c r="AI27" s="1"/>
  <c r="AO27"/>
  <c r="BP27"/>
  <c r="BW27"/>
  <c r="BQ27" s="1"/>
  <c r="AQ27" s="1"/>
  <c r="AK27" s="1"/>
  <c r="BY27"/>
  <c r="BS27" s="1"/>
  <c r="AG35"/>
  <c r="BX35"/>
  <c r="BR35" s="1"/>
  <c r="AF36"/>
  <c r="AH36"/>
  <c r="AL36"/>
  <c r="AN36"/>
  <c r="BP36"/>
  <c r="BW36"/>
  <c r="BQ36" s="1"/>
  <c r="BY36"/>
  <c r="BS36" s="1"/>
  <c r="AG37"/>
  <c r="BX37"/>
  <c r="BR37" s="1"/>
  <c r="AF38"/>
  <c r="AH38"/>
  <c r="AL38"/>
  <c r="BP38"/>
  <c r="BW38"/>
  <c r="BQ38" s="1"/>
  <c r="BY38"/>
  <c r="BS38" s="1"/>
  <c r="AG39"/>
  <c r="BX39"/>
  <c r="BR39" s="1"/>
  <c r="BX40"/>
  <c r="BR40" s="1"/>
  <c r="AF41"/>
  <c r="AH41"/>
  <c r="AL41"/>
  <c r="AN41"/>
  <c r="BP41"/>
  <c r="BW41"/>
  <c r="BQ41" s="1"/>
  <c r="BY41"/>
  <c r="BS41" s="1"/>
  <c r="AL42"/>
  <c r="AN42"/>
  <c r="AJ42" s="1"/>
  <c r="AP42"/>
  <c r="BX42"/>
  <c r="BR42" s="1"/>
  <c r="AF43"/>
  <c r="AH43"/>
  <c r="BP43"/>
  <c r="BW43"/>
  <c r="BQ43" s="1"/>
  <c r="BY43"/>
  <c r="BS43" s="1"/>
  <c r="DW43"/>
  <c r="AG44"/>
  <c r="AJ44" s="1"/>
  <c r="AO44"/>
  <c r="BX44"/>
  <c r="BR44" s="1"/>
  <c r="BP45"/>
  <c r="BW45"/>
  <c r="BQ45" s="1"/>
  <c r="BY45"/>
  <c r="BS45" s="1"/>
  <c r="DV45"/>
  <c r="DX45"/>
  <c r="AC22" s="1"/>
  <c r="AL46"/>
  <c r="AI46" s="1"/>
  <c r="AN46"/>
  <c r="AP46"/>
  <c r="BX46"/>
  <c r="BR46" s="1"/>
  <c r="AG47"/>
  <c r="AI47" s="1"/>
  <c r="AM47"/>
  <c r="AO47"/>
  <c r="AQ47"/>
  <c r="BX47"/>
  <c r="BR47" s="1"/>
  <c r="DV47"/>
  <c r="DX47"/>
  <c r="BP48"/>
  <c r="BW48"/>
  <c r="BQ48" s="1"/>
  <c r="AQ48" s="1"/>
  <c r="BY48"/>
  <c r="BS48" s="1"/>
  <c r="DQ48"/>
  <c r="DW48" s="1"/>
  <c r="AG49"/>
  <c r="AM49"/>
  <c r="AQ49"/>
  <c r="BX49"/>
  <c r="BR49" s="1"/>
  <c r="DH49"/>
  <c r="DG49" s="1"/>
  <c r="DR49"/>
  <c r="AM50"/>
  <c r="AI50" s="1"/>
  <c r="AO50"/>
  <c r="AQ50"/>
  <c r="AK50" s="1"/>
  <c r="BP50"/>
  <c r="BW50"/>
  <c r="BQ50" s="1"/>
  <c r="BY50"/>
  <c r="BS50" s="1"/>
  <c r="DQ50"/>
  <c r="AF51"/>
  <c r="AH51"/>
  <c r="AN51"/>
  <c r="BP51"/>
  <c r="BW51"/>
  <c r="BQ51" s="1"/>
  <c r="BY51"/>
  <c r="BS51" s="1"/>
  <c r="DQ51"/>
  <c r="AG52"/>
  <c r="BX52"/>
  <c r="BR52" s="1"/>
  <c r="BX53"/>
  <c r="BR53" s="1"/>
  <c r="AF54"/>
  <c r="AH54"/>
  <c r="AL54"/>
  <c r="AN54"/>
  <c r="AT54"/>
  <c r="BP54"/>
  <c r="BW54"/>
  <c r="BQ54" s="1"/>
  <c r="BY54"/>
  <c r="BS54" s="1"/>
  <c r="DQ54"/>
  <c r="DH62"/>
  <c r="DG62" s="1"/>
  <c r="DH63"/>
  <c r="DG63" s="1"/>
  <c r="DH69"/>
  <c r="DG69" s="1"/>
  <c r="DH71"/>
  <c r="DG71" s="1"/>
  <c r="DH75"/>
  <c r="DG75" s="1"/>
  <c r="DH78"/>
  <c r="DG78" s="1"/>
  <c r="AL94"/>
  <c r="AN94"/>
  <c r="AP94"/>
  <c r="AK94" s="1"/>
  <c r="BX94"/>
  <c r="BR94" s="1"/>
  <c r="BP95"/>
  <c r="BW95"/>
  <c r="BQ95" s="1"/>
  <c r="AP95" s="1"/>
  <c r="BY95"/>
  <c r="BS95" s="1"/>
  <c r="DG95"/>
  <c r="AG96"/>
  <c r="AJ96" s="1"/>
  <c r="AO96"/>
  <c r="CG96"/>
  <c r="DH97"/>
  <c r="DG97" s="1"/>
  <c r="CE98"/>
  <c r="AF99"/>
  <c r="AF100"/>
  <c r="DH101"/>
  <c r="DG101" s="1"/>
  <c r="AJ102"/>
  <c r="DH102"/>
  <c r="DG102" s="1"/>
  <c r="BZ103"/>
  <c r="BT103" s="1"/>
  <c r="BZ104"/>
  <c r="BT104" s="1"/>
  <c r="BZ108"/>
  <c r="BT108" s="1"/>
  <c r="DO109"/>
  <c r="AG110"/>
  <c r="DM110"/>
  <c r="BZ116"/>
  <c r="BT116" s="1"/>
  <c r="DG117"/>
  <c r="BZ118"/>
  <c r="BT118" s="1"/>
  <c r="DG119"/>
  <c r="AI124"/>
  <c r="DG147"/>
  <c r="DG149"/>
  <c r="AM163"/>
  <c r="DG165"/>
  <c r="DG166"/>
  <c r="DG168"/>
  <c r="CF98"/>
  <c r="CF96"/>
  <c r="DH107"/>
  <c r="DG107" s="1"/>
  <c r="DH105"/>
  <c r="DG105" s="1"/>
  <c r="DH100"/>
  <c r="DG100" s="1"/>
  <c r="DH99"/>
  <c r="DG99" s="1"/>
  <c r="DH98"/>
  <c r="DG98" s="1"/>
  <c r="DH96"/>
  <c r="DG96" s="1"/>
  <c r="AH101"/>
  <c r="AO97"/>
  <c r="AJ97" s="1"/>
  <c r="AM97"/>
  <c r="AI97" s="1"/>
  <c r="BY97"/>
  <c r="BS97" s="1"/>
  <c r="BW97"/>
  <c r="BQ97" s="1"/>
  <c r="BP97"/>
  <c r="BY101"/>
  <c r="BS101" s="1"/>
  <c r="BW101"/>
  <c r="BQ101" s="1"/>
  <c r="BP101"/>
  <c r="AF108"/>
  <c r="AF106"/>
  <c r="AF104"/>
  <c r="AF103"/>
  <c r="AH108"/>
  <c r="AH106"/>
  <c r="AH104"/>
  <c r="AH103"/>
  <c r="AO102"/>
  <c r="AM102"/>
  <c r="AI102"/>
  <c r="BY102"/>
  <c r="BS102" s="1"/>
  <c r="BW102"/>
  <c r="BQ102" s="1"/>
  <c r="AP102" s="1"/>
  <c r="BP102"/>
  <c r="AP103"/>
  <c r="AL103"/>
  <c r="AN104"/>
  <c r="DR105"/>
  <c r="DX104"/>
  <c r="DV104"/>
  <c r="BY106"/>
  <c r="BS106" s="1"/>
  <c r="BW106"/>
  <c r="BQ106" s="1"/>
  <c r="AP106" s="1"/>
  <c r="BP106"/>
  <c r="AP108"/>
  <c r="AN108"/>
  <c r="AL108"/>
  <c r="BY110"/>
  <c r="BS110" s="1"/>
  <c r="BW110"/>
  <c r="BQ110" s="1"/>
  <c r="BP110"/>
  <c r="AQ111"/>
  <c r="AM111"/>
  <c r="AQ114"/>
  <c r="AO114"/>
  <c r="AM114"/>
  <c r="AQ115"/>
  <c r="AM115"/>
  <c r="BY117"/>
  <c r="BS117" s="1"/>
  <c r="BW117"/>
  <c r="BQ117" s="1"/>
  <c r="BP117"/>
  <c r="AP118"/>
  <c r="AN118"/>
  <c r="AL118"/>
  <c r="BY119"/>
  <c r="BS119" s="1"/>
  <c r="BW119"/>
  <c r="BQ119" s="1"/>
  <c r="BP119"/>
  <c r="AQ121"/>
  <c r="AO121"/>
  <c r="AM121"/>
  <c r="AI121"/>
  <c r="AQ122"/>
  <c r="AO122"/>
  <c r="AM122"/>
  <c r="AQ123"/>
  <c r="AO123"/>
  <c r="AM123"/>
  <c r="AJ123"/>
  <c r="DN123"/>
  <c r="DM123"/>
  <c r="DN136"/>
  <c r="DO136"/>
  <c r="DN138"/>
  <c r="DM138"/>
  <c r="DH143"/>
  <c r="DG143" s="1"/>
  <c r="DH142"/>
  <c r="DG142" s="1"/>
  <c r="DH141"/>
  <c r="DG141" s="1"/>
  <c r="DG140"/>
  <c r="AP162"/>
  <c r="AN162"/>
  <c r="AL162"/>
  <c r="BY163"/>
  <c r="BS163" s="1"/>
  <c r="BW163"/>
  <c r="BQ163" s="1"/>
  <c r="BP163"/>
  <c r="AQ163" s="1"/>
  <c r="BX163"/>
  <c r="BR163" s="1"/>
  <c r="BX25"/>
  <c r="BR25" s="1"/>
  <c r="BX26"/>
  <c r="BR26" s="1"/>
  <c r="AJ27"/>
  <c r="BX27"/>
  <c r="BR27" s="1"/>
  <c r="AF35"/>
  <c r="AH35"/>
  <c r="BX36"/>
  <c r="BR36" s="1"/>
  <c r="AF37"/>
  <c r="AH37"/>
  <c r="BX38"/>
  <c r="BR38" s="1"/>
  <c r="AF39"/>
  <c r="AH39"/>
  <c r="BX41"/>
  <c r="BR41" s="1"/>
  <c r="AI42"/>
  <c r="AK42"/>
  <c r="AG43"/>
  <c r="BX43"/>
  <c r="BR43" s="1"/>
  <c r="DV44"/>
  <c r="BX45"/>
  <c r="BR45" s="1"/>
  <c r="DW47"/>
  <c r="BX48"/>
  <c r="BR48" s="1"/>
  <c r="DQ49"/>
  <c r="BX50"/>
  <c r="BR50" s="1"/>
  <c r="BX51"/>
  <c r="BR51" s="1"/>
  <c r="AF52"/>
  <c r="AH52"/>
  <c r="DQ52"/>
  <c r="BX54"/>
  <c r="BR54" s="1"/>
  <c r="DH73"/>
  <c r="DG73" s="1"/>
  <c r="AI94"/>
  <c r="BX95"/>
  <c r="BR95" s="1"/>
  <c r="BZ97"/>
  <c r="BT97" s="1"/>
  <c r="AQ97" s="1"/>
  <c r="AK97" s="1"/>
  <c r="CF97"/>
  <c r="AF98"/>
  <c r="AH99"/>
  <c r="AH100"/>
  <c r="BZ101"/>
  <c r="BT101" s="1"/>
  <c r="BZ102"/>
  <c r="BT102" s="1"/>
  <c r="AQ102" s="1"/>
  <c r="DH103"/>
  <c r="DG103" s="1"/>
  <c r="DH104"/>
  <c r="DG104" s="1"/>
  <c r="AF105"/>
  <c r="BZ106"/>
  <c r="BT106" s="1"/>
  <c r="AH107"/>
  <c r="AM110"/>
  <c r="BZ110"/>
  <c r="BT110" s="1"/>
  <c r="DG116"/>
  <c r="BZ117"/>
  <c r="BT117" s="1"/>
  <c r="BZ119"/>
  <c r="BT119" s="1"/>
  <c r="DM136"/>
  <c r="DN183"/>
  <c r="DM183"/>
  <c r="DO183"/>
  <c r="AQ181"/>
  <c r="AO181"/>
  <c r="AM181"/>
  <c r="DH122"/>
  <c r="DG122" s="1"/>
  <c r="DH121"/>
  <c r="DG121" s="1"/>
  <c r="DH120"/>
  <c r="DG120" s="1"/>
  <c r="DH127"/>
  <c r="DG127" s="1"/>
  <c r="DH126"/>
  <c r="DG126" s="1"/>
  <c r="DH125"/>
  <c r="DG125" s="1"/>
  <c r="DH124"/>
  <c r="DG124" s="1"/>
  <c r="AQ126"/>
  <c r="AO126"/>
  <c r="AM126"/>
  <c r="AO127"/>
  <c r="AQ128"/>
  <c r="AO128"/>
  <c r="AM128"/>
  <c r="DH135"/>
  <c r="DG135" s="1"/>
  <c r="DH134"/>
  <c r="DG134" s="1"/>
  <c r="DH133"/>
  <c r="DG133" s="1"/>
  <c r="DG132"/>
  <c r="AP159"/>
  <c r="AN159"/>
  <c r="AL159"/>
  <c r="CC163"/>
  <c r="CC162"/>
  <c r="CC161"/>
  <c r="CC160"/>
  <c r="DA160" s="1"/>
  <c r="BY162"/>
  <c r="BS162" s="1"/>
  <c r="BW162"/>
  <c r="BQ162" s="1"/>
  <c r="BP162"/>
  <c r="AQ167"/>
  <c r="AO167"/>
  <c r="AM167"/>
  <c r="AQ174"/>
  <c r="AO174"/>
  <c r="AM174"/>
  <c r="AT168"/>
  <c r="AI168" s="1"/>
  <c r="AU172"/>
  <c r="AU173" s="1"/>
  <c r="AU174" s="1"/>
  <c r="BX96"/>
  <c r="BR96" s="1"/>
  <c r="AG98"/>
  <c r="BX98"/>
  <c r="BR98" s="1"/>
  <c r="AG99"/>
  <c r="BX99"/>
  <c r="BR99" s="1"/>
  <c r="BX100"/>
  <c r="BR100" s="1"/>
  <c r="AG105"/>
  <c r="BX105"/>
  <c r="BR105" s="1"/>
  <c r="BX107"/>
  <c r="BR107" s="1"/>
  <c r="AJ109"/>
  <c r="BX109"/>
  <c r="BR109" s="1"/>
  <c r="BX111"/>
  <c r="BR111" s="1"/>
  <c r="DH111"/>
  <c r="DG111" s="1"/>
  <c r="BX112"/>
  <c r="BR112" s="1"/>
  <c r="DH112"/>
  <c r="DG112" s="1"/>
  <c r="BX113"/>
  <c r="BR113" s="1"/>
  <c r="DH113"/>
  <c r="DG113" s="1"/>
  <c r="BX114"/>
  <c r="BR114" s="1"/>
  <c r="DH114"/>
  <c r="DG114" s="1"/>
  <c r="BX115"/>
  <c r="BR115" s="1"/>
  <c r="DH115"/>
  <c r="DG115" s="1"/>
  <c r="AJ120"/>
  <c r="BX120"/>
  <c r="BR120" s="1"/>
  <c r="AF122"/>
  <c r="AJ124"/>
  <c r="DM129"/>
  <c r="DG130"/>
  <c r="DG139"/>
  <c r="DM145"/>
  <c r="DG148"/>
  <c r="DG150"/>
  <c r="AG160"/>
  <c r="DG172"/>
  <c r="AG161"/>
  <c r="CD161"/>
  <c r="BZ162"/>
  <c r="BT162" s="1"/>
  <c r="AG163"/>
  <c r="DG163"/>
  <c r="DG167"/>
  <c r="AG181"/>
  <c r="AK181" s="1"/>
  <c r="AG180"/>
  <c r="AG179"/>
  <c r="AG178"/>
  <c r="AG177"/>
  <c r="AF185"/>
  <c r="AF184"/>
  <c r="AF183"/>
  <c r="AH185"/>
  <c r="AH184"/>
  <c r="AH183"/>
  <c r="AO182"/>
  <c r="AM182"/>
  <c r="AI182" s="1"/>
  <c r="BY182"/>
  <c r="BS182" s="1"/>
  <c r="BW182"/>
  <c r="BQ182" s="1"/>
  <c r="BP182"/>
  <c r="AP183"/>
  <c r="AN183"/>
  <c r="AL183"/>
  <c r="BY184"/>
  <c r="BS184" s="1"/>
  <c r="BW184"/>
  <c r="BQ184" s="1"/>
  <c r="BP184"/>
  <c r="AP185"/>
  <c r="AL185"/>
  <c r="DM195"/>
  <c r="DH206"/>
  <c r="DG206" s="1"/>
  <c r="DH205"/>
  <c r="DG205" s="1"/>
  <c r="DH204"/>
  <c r="DG204" s="1"/>
  <c r="AO230"/>
  <c r="BX121"/>
  <c r="BR121" s="1"/>
  <c r="BX122"/>
  <c r="BR122" s="1"/>
  <c r="BX123"/>
  <c r="BR123" s="1"/>
  <c r="BX124"/>
  <c r="BR124" s="1"/>
  <c r="BX125"/>
  <c r="BR125" s="1"/>
  <c r="BX126"/>
  <c r="BR126" s="1"/>
  <c r="BX127"/>
  <c r="BR127" s="1"/>
  <c r="BX128"/>
  <c r="BR128" s="1"/>
  <c r="AJ159"/>
  <c r="BX159"/>
  <c r="BR159" s="1"/>
  <c r="AF160"/>
  <c r="AH160"/>
  <c r="AT160"/>
  <c r="AF161"/>
  <c r="AH161"/>
  <c r="AT161"/>
  <c r="CE161"/>
  <c r="CG161"/>
  <c r="AF162"/>
  <c r="AH162"/>
  <c r="AT162"/>
  <c r="CE162"/>
  <c r="CG162"/>
  <c r="AL164"/>
  <c r="AN164"/>
  <c r="AP164"/>
  <c r="BX164"/>
  <c r="BR164" s="1"/>
  <c r="DH164"/>
  <c r="DG164" s="1"/>
  <c r="AF165"/>
  <c r="AH165"/>
  <c r="BP165"/>
  <c r="BW165"/>
  <c r="BQ165" s="1"/>
  <c r="BY165"/>
  <c r="BS165" s="1"/>
  <c r="AF166"/>
  <c r="AH166"/>
  <c r="BP166"/>
  <c r="BW166"/>
  <c r="BQ166" s="1"/>
  <c r="BY166"/>
  <c r="BS166" s="1"/>
  <c r="DW166"/>
  <c r="BP167"/>
  <c r="BW167"/>
  <c r="BQ167" s="1"/>
  <c r="BY167"/>
  <c r="BS167" s="1"/>
  <c r="DQ167"/>
  <c r="DV167" s="1"/>
  <c r="AA74" s="1"/>
  <c r="AK168"/>
  <c r="AM168"/>
  <c r="AO168"/>
  <c r="AQ168"/>
  <c r="BP168"/>
  <c r="BW168"/>
  <c r="BQ168" s="1"/>
  <c r="BY168"/>
  <c r="BS168" s="1"/>
  <c r="AG169"/>
  <c r="BX169"/>
  <c r="BR169" s="1"/>
  <c r="DH169"/>
  <c r="DG169" s="1"/>
  <c r="AG170"/>
  <c r="BX170"/>
  <c r="BR170" s="1"/>
  <c r="DH170"/>
  <c r="DG170" s="1"/>
  <c r="AG171"/>
  <c r="BX171"/>
  <c r="BR171" s="1"/>
  <c r="DH171"/>
  <c r="DG171" s="1"/>
  <c r="AG172"/>
  <c r="BX172"/>
  <c r="BR172" s="1"/>
  <c r="AG173"/>
  <c r="BX173"/>
  <c r="BR173" s="1"/>
  <c r="BX174"/>
  <c r="BR174" s="1"/>
  <c r="AI175"/>
  <c r="AM175"/>
  <c r="AO175"/>
  <c r="AQ175"/>
  <c r="BP175"/>
  <c r="BW175"/>
  <c r="BQ175" s="1"/>
  <c r="BY175"/>
  <c r="BS175" s="1"/>
  <c r="AF176"/>
  <c r="AH176"/>
  <c r="AL176"/>
  <c r="AN176"/>
  <c r="AT176"/>
  <c r="BP176"/>
  <c r="BW176"/>
  <c r="BQ176" s="1"/>
  <c r="BY176"/>
  <c r="BS176" s="1"/>
  <c r="AF177"/>
  <c r="AF178"/>
  <c r="AF179"/>
  <c r="AF180"/>
  <c r="BZ182"/>
  <c r="BT182" s="1"/>
  <c r="AQ182" s="1"/>
  <c r="AK182" s="1"/>
  <c r="BZ184"/>
  <c r="BT184" s="1"/>
  <c r="DG196"/>
  <c r="DG202"/>
  <c r="DG214"/>
  <c r="DH193"/>
  <c r="DG193" s="1"/>
  <c r="DH192"/>
  <c r="DG192" s="1"/>
  <c r="DH191"/>
  <c r="DG191" s="1"/>
  <c r="DH190"/>
  <c r="DG190" s="1"/>
  <c r="DH185"/>
  <c r="DG185" s="1"/>
  <c r="DH189"/>
  <c r="DG189" s="1"/>
  <c r="DH188"/>
  <c r="DG188" s="1"/>
  <c r="DH187"/>
  <c r="DG187" s="1"/>
  <c r="DH186"/>
  <c r="DG186" s="1"/>
  <c r="DH181"/>
  <c r="DG181" s="1"/>
  <c r="DH180"/>
  <c r="DG180" s="1"/>
  <c r="DH179"/>
  <c r="DG179" s="1"/>
  <c r="DH178"/>
  <c r="DG178" s="1"/>
  <c r="DH177"/>
  <c r="DG177" s="1"/>
  <c r="AT185"/>
  <c r="AT184"/>
  <c r="AT183"/>
  <c r="BY183"/>
  <c r="BS183" s="1"/>
  <c r="BW183"/>
  <c r="BQ183" s="1"/>
  <c r="BP183"/>
  <c r="AP184"/>
  <c r="AN184"/>
  <c r="AL184"/>
  <c r="DO200"/>
  <c r="DM200"/>
  <c r="DN200"/>
  <c r="DO201"/>
  <c r="DM201"/>
  <c r="DN201"/>
  <c r="DM208"/>
  <c r="DO209"/>
  <c r="DM209"/>
  <c r="DN209"/>
  <c r="DO212"/>
  <c r="DM212"/>
  <c r="DN212"/>
  <c r="DO213"/>
  <c r="DN213"/>
  <c r="DO215"/>
  <c r="DM215"/>
  <c r="DN215"/>
  <c r="DO217"/>
  <c r="DM217"/>
  <c r="DN217"/>
  <c r="AP230"/>
  <c r="AN230"/>
  <c r="AL230"/>
  <c r="AT228"/>
  <c r="AT230"/>
  <c r="AT229"/>
  <c r="AT227"/>
  <c r="DO229"/>
  <c r="DM229"/>
  <c r="DN229"/>
  <c r="AK164"/>
  <c r="DV164"/>
  <c r="AA73" s="1"/>
  <c r="AG165"/>
  <c r="BX165"/>
  <c r="BR165" s="1"/>
  <c r="AG166"/>
  <c r="BX166"/>
  <c r="BR166" s="1"/>
  <c r="BX167"/>
  <c r="BR167" s="1"/>
  <c r="BX168"/>
  <c r="BR168" s="1"/>
  <c r="AF169"/>
  <c r="AH169"/>
  <c r="AF170"/>
  <c r="AH170"/>
  <c r="AF171"/>
  <c r="AH171"/>
  <c r="AF172"/>
  <c r="AH172"/>
  <c r="AF173"/>
  <c r="AH173"/>
  <c r="AJ175"/>
  <c r="BX175"/>
  <c r="BR175" s="1"/>
  <c r="DH175"/>
  <c r="DG175" s="1"/>
  <c r="BX176"/>
  <c r="BR176" s="1"/>
  <c r="DH176"/>
  <c r="DG176" s="1"/>
  <c r="AH177"/>
  <c r="AH178"/>
  <c r="AH179"/>
  <c r="AH180"/>
  <c r="DH182"/>
  <c r="DG182" s="1"/>
  <c r="BZ183"/>
  <c r="BT183" s="1"/>
  <c r="DH184"/>
  <c r="DG184" s="1"/>
  <c r="DG197"/>
  <c r="DH239"/>
  <c r="DG239" s="1"/>
  <c r="DH238"/>
  <c r="DG238" s="1"/>
  <c r="DH234"/>
  <c r="DG234" s="1"/>
  <c r="DH233"/>
  <c r="DG233" s="1"/>
  <c r="DH232"/>
  <c r="DG232" s="1"/>
  <c r="DH231"/>
  <c r="DG231" s="1"/>
  <c r="AG234"/>
  <c r="AK234" s="1"/>
  <c r="AG233"/>
  <c r="AJ233" s="1"/>
  <c r="AG232"/>
  <c r="AP231"/>
  <c r="AK231" s="1"/>
  <c r="AN231"/>
  <c r="AL231"/>
  <c r="AQ232"/>
  <c r="AO232"/>
  <c r="AM232"/>
  <c r="AF237"/>
  <c r="AF236"/>
  <c r="AH237"/>
  <c r="AH236"/>
  <c r="AO235"/>
  <c r="AM235"/>
  <c r="AK235"/>
  <c r="AI235"/>
  <c r="BY235"/>
  <c r="BS235" s="1"/>
  <c r="BW235"/>
  <c r="BQ235" s="1"/>
  <c r="BP235"/>
  <c r="AP236"/>
  <c r="AN236"/>
  <c r="AL236"/>
  <c r="BY237"/>
  <c r="BS237" s="1"/>
  <c r="BW237"/>
  <c r="BQ237" s="1"/>
  <c r="BP237"/>
  <c r="DN265"/>
  <c r="DO265"/>
  <c r="DM265"/>
  <c r="DN273"/>
  <c r="DO273"/>
  <c r="DM273"/>
  <c r="DN282"/>
  <c r="DO282"/>
  <c r="DM282"/>
  <c r="BX177"/>
  <c r="BR177" s="1"/>
  <c r="BX178"/>
  <c r="BR178" s="1"/>
  <c r="BX179"/>
  <c r="BR179" s="1"/>
  <c r="BX180"/>
  <c r="BR180" s="1"/>
  <c r="BX181"/>
  <c r="BR181" s="1"/>
  <c r="BP185"/>
  <c r="BW185"/>
  <c r="BQ185" s="1"/>
  <c r="BY185"/>
  <c r="BS185" s="1"/>
  <c r="AL186"/>
  <c r="AN186"/>
  <c r="AP186"/>
  <c r="AK186" s="1"/>
  <c r="BX186"/>
  <c r="BR186" s="1"/>
  <c r="AG187"/>
  <c r="AI187" s="1"/>
  <c r="AM187"/>
  <c r="AO187"/>
  <c r="BX187"/>
  <c r="BR187" s="1"/>
  <c r="AG188"/>
  <c r="AM188"/>
  <c r="AQ188"/>
  <c r="BX188"/>
  <c r="BR188" s="1"/>
  <c r="AG189"/>
  <c r="AJ189" s="1"/>
  <c r="AM189"/>
  <c r="AO189"/>
  <c r="AQ189"/>
  <c r="BX189"/>
  <c r="BR189" s="1"/>
  <c r="AM190"/>
  <c r="AI190" s="1"/>
  <c r="AO190"/>
  <c r="AQ190"/>
  <c r="AK190" s="1"/>
  <c r="BP190"/>
  <c r="BW190"/>
  <c r="BQ190" s="1"/>
  <c r="BY190"/>
  <c r="BS190" s="1"/>
  <c r="AF191"/>
  <c r="AH191"/>
  <c r="AL191"/>
  <c r="AN191"/>
  <c r="AT191"/>
  <c r="BP191"/>
  <c r="BW191"/>
  <c r="BQ191" s="1"/>
  <c r="BY191"/>
  <c r="BS191" s="1"/>
  <c r="AF192"/>
  <c r="AH192"/>
  <c r="AL192"/>
  <c r="AN192"/>
  <c r="AT192"/>
  <c r="BP192"/>
  <c r="BW192"/>
  <c r="BQ192" s="1"/>
  <c r="BY192"/>
  <c r="BS192" s="1"/>
  <c r="AF193"/>
  <c r="AH193"/>
  <c r="AL193"/>
  <c r="AT193"/>
  <c r="BP193"/>
  <c r="BW193"/>
  <c r="BQ193" s="1"/>
  <c r="BY193"/>
  <c r="BS193" s="1"/>
  <c r="AH194"/>
  <c r="AL194"/>
  <c r="AN194"/>
  <c r="BP194"/>
  <c r="BW194"/>
  <c r="BQ194" s="1"/>
  <c r="BY194"/>
  <c r="BS194" s="1"/>
  <c r="AJ226"/>
  <c r="AL226"/>
  <c r="AN226"/>
  <c r="AP226"/>
  <c r="BX226"/>
  <c r="BR226" s="1"/>
  <c r="DW226"/>
  <c r="AF227"/>
  <c r="AH227"/>
  <c r="BP227"/>
  <c r="BW227"/>
  <c r="BQ227" s="1"/>
  <c r="BY227"/>
  <c r="BS227" s="1"/>
  <c r="CC227"/>
  <c r="CZ227" s="1"/>
  <c r="DV227"/>
  <c r="DX227"/>
  <c r="AG228"/>
  <c r="AM228"/>
  <c r="AO228"/>
  <c r="AQ228"/>
  <c r="BX228"/>
  <c r="BR228" s="1"/>
  <c r="CD228"/>
  <c r="CF228"/>
  <c r="DH228"/>
  <c r="DG228" s="1"/>
  <c r="DR228"/>
  <c r="AF229"/>
  <c r="AH229"/>
  <c r="BP229"/>
  <c r="BW229"/>
  <c r="BQ229" s="1"/>
  <c r="BY229"/>
  <c r="BS229" s="1"/>
  <c r="CC229"/>
  <c r="CE229"/>
  <c r="CG229"/>
  <c r="BP230"/>
  <c r="BW230"/>
  <c r="BQ230" s="1"/>
  <c r="BY230"/>
  <c r="BS230" s="1"/>
  <c r="CC230"/>
  <c r="DH230"/>
  <c r="DG230" s="1"/>
  <c r="BZ235"/>
  <c r="BT235" s="1"/>
  <c r="AQ235" s="1"/>
  <c r="DH236"/>
  <c r="DG236" s="1"/>
  <c r="BZ237"/>
  <c r="BT237" s="1"/>
  <c r="AJ238"/>
  <c r="AQ233"/>
  <c r="AM233"/>
  <c r="AI233"/>
  <c r="AO234"/>
  <c r="AT237"/>
  <c r="AT236"/>
  <c r="BY236"/>
  <c r="BS236" s="1"/>
  <c r="BW236"/>
  <c r="BQ236" s="1"/>
  <c r="BP236"/>
  <c r="AP237"/>
  <c r="AN237"/>
  <c r="AL237"/>
  <c r="AG241"/>
  <c r="AI241" s="1"/>
  <c r="AG240"/>
  <c r="AK240" s="1"/>
  <c r="AG239"/>
  <c r="AP238"/>
  <c r="AN238"/>
  <c r="AL238"/>
  <c r="DN260"/>
  <c r="DO260"/>
  <c r="DM260"/>
  <c r="DN269"/>
  <c r="DO269"/>
  <c r="DM269"/>
  <c r="DN275"/>
  <c r="AB93" s="1"/>
  <c r="DO275"/>
  <c r="AC93" s="1"/>
  <c r="DM275"/>
  <c r="AA93" s="1"/>
  <c r="BX185"/>
  <c r="BR185" s="1"/>
  <c r="AI186"/>
  <c r="BX190"/>
  <c r="BR190" s="1"/>
  <c r="BX191"/>
  <c r="BR191" s="1"/>
  <c r="BX192"/>
  <c r="BR192" s="1"/>
  <c r="BX193"/>
  <c r="BR193" s="1"/>
  <c r="BX194"/>
  <c r="BR194" s="1"/>
  <c r="AI226"/>
  <c r="H89" s="1"/>
  <c r="AK226"/>
  <c r="AG227"/>
  <c r="BX227"/>
  <c r="BR227" s="1"/>
  <c r="AG229"/>
  <c r="BX229"/>
  <c r="BR229" s="1"/>
  <c r="CF229"/>
  <c r="BX230"/>
  <c r="BR230" s="1"/>
  <c r="DH235"/>
  <c r="DG235" s="1"/>
  <c r="BZ236"/>
  <c r="BT236" s="1"/>
  <c r="DH237"/>
  <c r="DG237" s="1"/>
  <c r="AI238"/>
  <c r="BX231"/>
  <c r="BR231" s="1"/>
  <c r="BX232"/>
  <c r="BR232" s="1"/>
  <c r="BX233"/>
  <c r="BR233" s="1"/>
  <c r="BX234"/>
  <c r="BR234" s="1"/>
  <c r="BX238"/>
  <c r="BR238" s="1"/>
  <c r="AM239"/>
  <c r="AQ239"/>
  <c r="BX239"/>
  <c r="BR239" s="1"/>
  <c r="AO240"/>
  <c r="BX240"/>
  <c r="BR240" s="1"/>
  <c r="AM241"/>
  <c r="AO241"/>
  <c r="AQ241"/>
  <c r="BX241"/>
  <c r="BR241" s="1"/>
  <c r="DH242"/>
  <c r="DG242" s="1"/>
  <c r="DH243"/>
  <c r="DG243" s="1"/>
  <c r="DH244"/>
  <c r="DG244" s="1"/>
  <c r="DH245"/>
  <c r="DG245" s="1"/>
  <c r="DH246"/>
  <c r="DG246" s="1"/>
  <c r="DH247"/>
  <c r="DG247" s="1"/>
  <c r="DH248"/>
  <c r="DG248" s="1"/>
  <c r="DH249"/>
  <c r="DG249" s="1"/>
  <c r="DH250"/>
  <c r="DG250" s="1"/>
  <c r="DH251"/>
  <c r="DG251" s="1"/>
  <c r="DH252"/>
  <c r="DG252" s="1"/>
  <c r="DH253"/>
  <c r="DG253" s="1"/>
  <c r="DH254"/>
  <c r="DG254" s="1"/>
  <c r="DH255"/>
  <c r="DG255" s="1"/>
  <c r="DH256"/>
  <c r="DG256" s="1"/>
  <c r="DH257"/>
  <c r="DG257" s="1"/>
  <c r="DH258"/>
  <c r="DG258" s="1"/>
  <c r="DH259"/>
  <c r="DG259" s="1"/>
  <c r="DH262"/>
  <c r="DG262" s="1"/>
  <c r="DH263"/>
  <c r="DG263" s="1"/>
  <c r="DH264"/>
  <c r="DG264" s="1"/>
  <c r="DH267"/>
  <c r="DG267" s="1"/>
  <c r="DH268"/>
  <c r="DG268" s="1"/>
  <c r="DH271"/>
  <c r="DG271" s="1"/>
  <c r="DH272"/>
  <c r="DG272" s="1"/>
  <c r="DH277"/>
  <c r="DG277" s="1"/>
  <c r="DH278"/>
  <c r="DG278" s="1"/>
  <c r="DH279"/>
  <c r="DG279" s="1"/>
  <c r="DH280"/>
  <c r="DG280" s="1"/>
  <c r="DH281"/>
  <c r="DG281" s="1"/>
  <c r="S37" i="10" l="1"/>
  <c r="T37" s="1"/>
  <c r="AK190"/>
  <c r="AM209"/>
  <c r="AK209"/>
  <c r="AK210"/>
  <c r="AM210"/>
  <c r="AK206"/>
  <c r="AM206"/>
  <c r="AK202"/>
  <c r="AM202"/>
  <c r="AQ202" s="1"/>
  <c r="AK201"/>
  <c r="AM201"/>
  <c r="AQ201" s="1"/>
  <c r="AM190"/>
  <c r="AM205"/>
  <c r="AK205"/>
  <c r="AK207"/>
  <c r="AM207"/>
  <c r="AK208"/>
  <c r="AM208"/>
  <c r="AQ188"/>
  <c r="AK188"/>
  <c r="AL188" s="1"/>
  <c r="AK200"/>
  <c r="AM200"/>
  <c r="AQ200" s="1"/>
  <c r="AK203"/>
  <c r="AM203"/>
  <c r="AQ203" s="1"/>
  <c r="AM198"/>
  <c r="AK198"/>
  <c r="AM194"/>
  <c r="AK194"/>
  <c r="AM195"/>
  <c r="AK195"/>
  <c r="AM191"/>
  <c r="AK191"/>
  <c r="AM196"/>
  <c r="AK196"/>
  <c r="AM192"/>
  <c r="AK192"/>
  <c r="AM197"/>
  <c r="AK197"/>
  <c r="AM193"/>
  <c r="AK193"/>
  <c r="E15"/>
  <c r="E16" s="1"/>
  <c r="K2" i="17"/>
  <c r="K7"/>
  <c r="I2"/>
  <c r="L7"/>
  <c r="J7"/>
  <c r="S49" i="1"/>
  <c r="S48"/>
  <c r="S50"/>
  <c r="AS42" i="5"/>
  <c r="AD42"/>
  <c r="CD68"/>
  <c r="BV68"/>
  <c r="BN68"/>
  <c r="BF68"/>
  <c r="AX68"/>
  <c r="CG68"/>
  <c r="BY68"/>
  <c r="BQ68"/>
  <c r="BI68"/>
  <c r="BA68"/>
  <c r="BL72"/>
  <c r="V26" i="10"/>
  <c r="Z26"/>
  <c r="Y25"/>
  <c r="U29"/>
  <c r="X25"/>
  <c r="X29"/>
  <c r="Z25"/>
  <c r="Y43"/>
  <c r="V43"/>
  <c r="Z43"/>
  <c r="W56"/>
  <c r="X69"/>
  <c r="X70" s="1"/>
  <c r="W69"/>
  <c r="W70" s="1"/>
  <c r="U69"/>
  <c r="U70" s="1"/>
  <c r="X56"/>
  <c r="V56"/>
  <c r="DA80"/>
  <c r="DA81"/>
  <c r="DB81"/>
  <c r="U25"/>
  <c r="Z56"/>
  <c r="W26"/>
  <c r="Y26"/>
  <c r="X26"/>
  <c r="W25"/>
  <c r="Y29"/>
  <c r="U26"/>
  <c r="V29"/>
  <c r="Z29"/>
  <c r="V25"/>
  <c r="U43"/>
  <c r="X43"/>
  <c r="Y56"/>
  <c r="Z69"/>
  <c r="Z70" s="1"/>
  <c r="V69"/>
  <c r="V70" s="1"/>
  <c r="W43"/>
  <c r="GA72" i="6"/>
  <c r="FW72"/>
  <c r="BY72" i="5"/>
  <c r="CB72"/>
  <c r="AV72"/>
  <c r="BI72"/>
  <c r="BR77"/>
  <c r="BL67"/>
  <c r="BT72"/>
  <c r="BD72"/>
  <c r="CG72"/>
  <c r="BQ72"/>
  <c r="BA72"/>
  <c r="CH77"/>
  <c r="BB77"/>
  <c r="CJ68"/>
  <c r="CF68"/>
  <c r="CB68"/>
  <c r="BX68"/>
  <c r="BT68"/>
  <c r="BP68"/>
  <c r="BL68"/>
  <c r="BH68"/>
  <c r="BD68"/>
  <c r="AZ68"/>
  <c r="AV68"/>
  <c r="CI68"/>
  <c r="CE68"/>
  <c r="CA68"/>
  <c r="BW68"/>
  <c r="BS68"/>
  <c r="BO68"/>
  <c r="BK68"/>
  <c r="BG68"/>
  <c r="BC68"/>
  <c r="AY68"/>
  <c r="CM68" s="1"/>
  <c r="AU68"/>
  <c r="BZ77"/>
  <c r="BJ77"/>
  <c r="AQ77"/>
  <c r="CD77"/>
  <c r="BV77"/>
  <c r="BN77"/>
  <c r="BF77"/>
  <c r="AX77"/>
  <c r="CI77"/>
  <c r="CE77"/>
  <c r="CA77"/>
  <c r="BW77"/>
  <c r="BS77"/>
  <c r="BO77"/>
  <c r="BK77"/>
  <c r="CF72"/>
  <c r="BX72"/>
  <c r="BP72"/>
  <c r="BH72"/>
  <c r="AZ72"/>
  <c r="CK72"/>
  <c r="CC72"/>
  <c r="BU72"/>
  <c r="BM72"/>
  <c r="BE72"/>
  <c r="AW72"/>
  <c r="BG77"/>
  <c r="BY67"/>
  <c r="CB67"/>
  <c r="AV67"/>
  <c r="BI67"/>
  <c r="BC77"/>
  <c r="AY77"/>
  <c r="BT67"/>
  <c r="BD67"/>
  <c r="CG67"/>
  <c r="BQ67"/>
  <c r="BA67"/>
  <c r="CF67"/>
  <c r="BX67"/>
  <c r="BP67"/>
  <c r="BH67"/>
  <c r="AZ67"/>
  <c r="CK67"/>
  <c r="CC67"/>
  <c r="BU67"/>
  <c r="BM67"/>
  <c r="BE67"/>
  <c r="AW67"/>
  <c r="CH67"/>
  <c r="CD67"/>
  <c r="BZ67"/>
  <c r="BV67"/>
  <c r="BR67"/>
  <c r="BN67"/>
  <c r="BJ67"/>
  <c r="BF67"/>
  <c r="BB67"/>
  <c r="CP67" s="1"/>
  <c r="AX67"/>
  <c r="CL67" s="1"/>
  <c r="AQ67"/>
  <c r="CI67"/>
  <c r="CE67"/>
  <c r="CA67"/>
  <c r="BW67"/>
  <c r="BS67"/>
  <c r="BO67"/>
  <c r="BK67"/>
  <c r="BG67"/>
  <c r="BC67"/>
  <c r="CQ67" s="1"/>
  <c r="AY67"/>
  <c r="AU67"/>
  <c r="L67" s="1"/>
  <c r="CF77"/>
  <c r="CB77"/>
  <c r="BX77"/>
  <c r="BT77"/>
  <c r="BP77"/>
  <c r="BL77"/>
  <c r="BH77"/>
  <c r="BD77"/>
  <c r="CR77" s="1"/>
  <c r="AZ77"/>
  <c r="AV77"/>
  <c r="M77" s="1"/>
  <c r="CK77"/>
  <c r="CG77"/>
  <c r="CC77"/>
  <c r="BY77"/>
  <c r="BU77"/>
  <c r="BQ77"/>
  <c r="BM77"/>
  <c r="BI77"/>
  <c r="BE77"/>
  <c r="CS77" s="1"/>
  <c r="BA77"/>
  <c r="CO77" s="1"/>
  <c r="AU77"/>
  <c r="GH72" i="6"/>
  <c r="GD72"/>
  <c r="FZ72"/>
  <c r="FV72"/>
  <c r="GK72"/>
  <c r="GG72"/>
  <c r="GC72"/>
  <c r="FY72"/>
  <c r="GL72"/>
  <c r="W72"/>
  <c r="S72"/>
  <c r="U72"/>
  <c r="AP67" i="5"/>
  <c r="AW77"/>
  <c r="AP77"/>
  <c r="CH72"/>
  <c r="CD72"/>
  <c r="BZ72"/>
  <c r="BV72"/>
  <c r="BR72"/>
  <c r="BN72"/>
  <c r="BJ72"/>
  <c r="BF72"/>
  <c r="BB72"/>
  <c r="CP72" s="1"/>
  <c r="AX72"/>
  <c r="CL72" s="1"/>
  <c r="AQ72"/>
  <c r="CI72"/>
  <c r="CE72"/>
  <c r="CA72"/>
  <c r="BW72"/>
  <c r="BS72"/>
  <c r="BO72"/>
  <c r="BK72"/>
  <c r="BG72"/>
  <c r="BC72"/>
  <c r="CQ72" s="1"/>
  <c r="AY72"/>
  <c r="CM72" s="1"/>
  <c r="F72" s="1"/>
  <c r="AU72"/>
  <c r="L72" s="1"/>
  <c r="CN77"/>
  <c r="CP77"/>
  <c r="AP72"/>
  <c r="CM67"/>
  <c r="F67" s="1"/>
  <c r="AU54" i="15"/>
  <c r="AT54" s="1"/>
  <c r="AT53"/>
  <c r="CZ82" i="10" s="1"/>
  <c r="CV227" i="8"/>
  <c r="AK241"/>
  <c r="DW167"/>
  <c r="AB74" s="1"/>
  <c r="AO21"/>
  <c r="AN17"/>
  <c r="AQ187"/>
  <c r="J8" i="4"/>
  <c r="CI8"/>
  <c r="K8"/>
  <c r="V12"/>
  <c r="AM173" i="10"/>
  <c r="AQ173"/>
  <c r="AL179"/>
  <c r="AK172"/>
  <c r="AQ6" i="5"/>
  <c r="AF6"/>
  <c r="AK187" i="10"/>
  <c r="AL187" s="1"/>
  <c r="AM187"/>
  <c r="AM188"/>
  <c r="AK185"/>
  <c r="AL185" s="1"/>
  <c r="AM185"/>
  <c r="AM184"/>
  <c r="AK184"/>
  <c r="AL184" s="1"/>
  <c r="AM181"/>
  <c r="AK181"/>
  <c r="AM180"/>
  <c r="AK180"/>
  <c r="AM178"/>
  <c r="AK178"/>
  <c r="AM182"/>
  <c r="AK182"/>
  <c r="AM172"/>
  <c r="AK176"/>
  <c r="AM176"/>
  <c r="AK173"/>
  <c r="AK175"/>
  <c r="AM175"/>
  <c r="CR227" i="8"/>
  <c r="CW227"/>
  <c r="AJ168"/>
  <c r="DX110"/>
  <c r="AJ50"/>
  <c r="AK46"/>
  <c r="CX227"/>
  <c r="CT227"/>
  <c r="CP227"/>
  <c r="DA227"/>
  <c r="CS227"/>
  <c r="CT160"/>
  <c r="AB22"/>
  <c r="CX14" i="2"/>
  <c r="E66" i="10"/>
  <c r="S66" s="1"/>
  <c r="T66" s="1"/>
  <c r="E50"/>
  <c r="S50" s="1"/>
  <c r="T50" s="1"/>
  <c r="DT85" i="2"/>
  <c r="E85" s="1"/>
  <c r="DU85"/>
  <c r="F85" s="1"/>
  <c r="EA85"/>
  <c r="M85" s="1"/>
  <c r="EC85"/>
  <c r="O85" s="1"/>
  <c r="EC76"/>
  <c r="DU73"/>
  <c r="F73" s="1"/>
  <c r="EB85"/>
  <c r="N85" s="1"/>
  <c r="EE85"/>
  <c r="Q85" s="1"/>
  <c r="EE76"/>
  <c r="DU76"/>
  <c r="DT76"/>
  <c r="E38" i="10"/>
  <c r="S38" s="1"/>
  <c r="T38" s="1"/>
  <c r="AL6" i="5"/>
  <c r="AG44"/>
  <c r="AF44"/>
  <c r="AE44"/>
  <c r="AD44"/>
  <c r="AG43"/>
  <c r="AF43"/>
  <c r="AE43"/>
  <c r="AD43"/>
  <c r="AG46"/>
  <c r="AF46"/>
  <c r="AE46"/>
  <c r="AD46"/>
  <c r="AG45"/>
  <c r="AF45"/>
  <c r="AE45"/>
  <c r="AD45"/>
  <c r="AI6"/>
  <c r="AT6"/>
  <c r="AE6"/>
  <c r="AM6"/>
  <c r="AU6"/>
  <c r="AN6"/>
  <c r="AP6"/>
  <c r="AH6"/>
  <c r="AG6"/>
  <c r="AK6"/>
  <c r="AO6"/>
  <c r="AS6"/>
  <c r="AJ6"/>
  <c r="AR6"/>
  <c r="AI44"/>
  <c r="AH42"/>
  <c r="AQ44"/>
  <c r="AU42"/>
  <c r="AQ42"/>
  <c r="AM44"/>
  <c r="AI42"/>
  <c r="AM42"/>
  <c r="AU44"/>
  <c r="AK44"/>
  <c r="AO44"/>
  <c r="AN42"/>
  <c r="AO42"/>
  <c r="AE42"/>
  <c r="AG42"/>
  <c r="AT42"/>
  <c r="AJ42"/>
  <c r="AR42"/>
  <c r="AL42"/>
  <c r="AP42"/>
  <c r="AF42"/>
  <c r="AS44"/>
  <c r="AT44"/>
  <c r="AH44"/>
  <c r="AL44"/>
  <c r="AP44"/>
  <c r="AJ44"/>
  <c r="AN44"/>
  <c r="AR44"/>
  <c r="AT43"/>
  <c r="AI43"/>
  <c r="AK43"/>
  <c r="AM43"/>
  <c r="AO43"/>
  <c r="AQ43"/>
  <c r="AS43"/>
  <c r="AU43"/>
  <c r="AH43"/>
  <c r="AJ43"/>
  <c r="AL43"/>
  <c r="AN43"/>
  <c r="AP43"/>
  <c r="AR43"/>
  <c r="AT46"/>
  <c r="AH46"/>
  <c r="AJ46"/>
  <c r="AL46"/>
  <c r="AN46"/>
  <c r="AP46"/>
  <c r="AR46"/>
  <c r="AS46"/>
  <c r="AU46"/>
  <c r="AI46"/>
  <c r="AK46"/>
  <c r="AM46"/>
  <c r="AO46"/>
  <c r="AQ46"/>
  <c r="EB8" i="2"/>
  <c r="N8" s="1"/>
  <c r="E8"/>
  <c r="GC7" i="6"/>
  <c r="GK7"/>
  <c r="FU7"/>
  <c r="GG7"/>
  <c r="FY7"/>
  <c r="GJ7"/>
  <c r="DY9" i="2"/>
  <c r="K9" s="1"/>
  <c r="AJ241" i="8"/>
  <c r="AI231"/>
  <c r="AJ231"/>
  <c r="AI123"/>
  <c r="DY8" i="2"/>
  <c r="DZ9"/>
  <c r="B8" i="10"/>
  <c r="BI78"/>
  <c r="CI78" s="1"/>
  <c r="E88"/>
  <c r="E75"/>
  <c r="EC8" i="2"/>
  <c r="O8" s="1"/>
  <c r="DU8"/>
  <c r="F8" s="1"/>
  <c r="W10" i="4"/>
  <c r="E94" i="10"/>
  <c r="E95" s="1"/>
  <c r="E96" s="1"/>
  <c r="ED8" i="2"/>
  <c r="DZ8"/>
  <c r="DV8"/>
  <c r="EE8"/>
  <c r="Q8" s="1"/>
  <c r="EA8"/>
  <c r="M8" s="1"/>
  <c r="DW8"/>
  <c r="AQ240" i="8"/>
  <c r="AI240"/>
  <c r="AI234"/>
  <c r="AM234"/>
  <c r="AK233"/>
  <c r="AI228"/>
  <c r="AN193"/>
  <c r="AJ190"/>
  <c r="AK189"/>
  <c r="AI188"/>
  <c r="AJ186"/>
  <c r="AK232"/>
  <c r="AJ234"/>
  <c r="AI164"/>
  <c r="DN208"/>
  <c r="AT180"/>
  <c r="AT179"/>
  <c r="AT178"/>
  <c r="AT177"/>
  <c r="AK175"/>
  <c r="AM230"/>
  <c r="AI230" s="1"/>
  <c r="DN195"/>
  <c r="AJ182"/>
  <c r="DM161"/>
  <c r="DM144"/>
  <c r="AK122"/>
  <c r="AI159"/>
  <c r="AK159"/>
  <c r="AM127"/>
  <c r="AQ110"/>
  <c r="DM109"/>
  <c r="AA22"/>
  <c r="AQ26"/>
  <c r="AL104"/>
  <c r="DM137"/>
  <c r="AQ96"/>
  <c r="AJ94"/>
  <c r="AL51"/>
  <c r="AJ49"/>
  <c r="AJ46"/>
  <c r="AQ44"/>
  <c r="AN38"/>
  <c r="DX23"/>
  <c r="AK116"/>
  <c r="AJ95"/>
  <c r="DN77"/>
  <c r="AK40"/>
  <c r="AL17"/>
  <c r="AJ15"/>
  <c r="AI48"/>
  <c r="GM7" i="6"/>
  <c r="W7" s="1"/>
  <c r="GI7"/>
  <c r="GE7"/>
  <c r="N7" s="1"/>
  <c r="GA7"/>
  <c r="FW7"/>
  <c r="GL7"/>
  <c r="GD7"/>
  <c r="CJ14" i="2"/>
  <c r="BH14"/>
  <c r="H12" i="4"/>
  <c r="W12"/>
  <c r="K10"/>
  <c r="J10"/>
  <c r="DO144" i="8"/>
  <c r="AI126"/>
  <c r="AK126"/>
  <c r="AK124"/>
  <c r="CY227"/>
  <c r="CU227"/>
  <c r="CQ227"/>
  <c r="AI189"/>
  <c r="AK188"/>
  <c r="AK187"/>
  <c r="AI232"/>
  <c r="DX48"/>
  <c r="DV48"/>
  <c r="DX167"/>
  <c r="AC74" s="1"/>
  <c r="AT127"/>
  <c r="AT128"/>
  <c r="CU160"/>
  <c r="AK96"/>
  <c r="J39" s="1"/>
  <c r="DN110"/>
  <c r="DO110"/>
  <c r="DD227"/>
  <c r="U91" s="1"/>
  <c r="AK228"/>
  <c r="AQ15"/>
  <c r="AK15" s="1"/>
  <c r="DN145"/>
  <c r="DO145"/>
  <c r="DN128"/>
  <c r="DO128"/>
  <c r="AN107"/>
  <c r="AL107"/>
  <c r="AP107"/>
  <c r="AN100"/>
  <c r="AP100"/>
  <c r="AL100"/>
  <c r="DN14"/>
  <c r="DO14"/>
  <c r="CQ160"/>
  <c r="CY160"/>
  <c r="AK49"/>
  <c r="AK47"/>
  <c r="AK44"/>
  <c r="AI20"/>
  <c r="AJ20"/>
  <c r="CI12" i="4"/>
  <c r="I10"/>
  <c r="N10"/>
  <c r="H10"/>
  <c r="Q12"/>
  <c r="I12"/>
  <c r="F16"/>
  <c r="V14"/>
  <c r="GH7" i="6"/>
  <c r="FZ7"/>
  <c r="GF7"/>
  <c r="GB7"/>
  <c r="DN281" i="8"/>
  <c r="DO281"/>
  <c r="DM281"/>
  <c r="DN277"/>
  <c r="DO277"/>
  <c r="DM277"/>
  <c r="DN267"/>
  <c r="DO267"/>
  <c r="DM267"/>
  <c r="DN259"/>
  <c r="DO259"/>
  <c r="DM259"/>
  <c r="DN257"/>
  <c r="DO257"/>
  <c r="DM257"/>
  <c r="DN253"/>
  <c r="DO253"/>
  <c r="DM253"/>
  <c r="DN251"/>
  <c r="DO251"/>
  <c r="DM251"/>
  <c r="DN247"/>
  <c r="DO247"/>
  <c r="DM247"/>
  <c r="DN245"/>
  <c r="DO245"/>
  <c r="DM245"/>
  <c r="DN243"/>
  <c r="DO243"/>
  <c r="DM243"/>
  <c r="DN280"/>
  <c r="DO280"/>
  <c r="DM280"/>
  <c r="DN278"/>
  <c r="DO278"/>
  <c r="DM278"/>
  <c r="DN272"/>
  <c r="DO272"/>
  <c r="DM272"/>
  <c r="DN268"/>
  <c r="DO268"/>
  <c r="DM268"/>
  <c r="DN264"/>
  <c r="DO264"/>
  <c r="DM264"/>
  <c r="DN262"/>
  <c r="DO262"/>
  <c r="DM262"/>
  <c r="DN258"/>
  <c r="DO258"/>
  <c r="DM258"/>
  <c r="DN256"/>
  <c r="DO256"/>
  <c r="DM256"/>
  <c r="DN254"/>
  <c r="DO254"/>
  <c r="DM254"/>
  <c r="DN252"/>
  <c r="DO252"/>
  <c r="DM252"/>
  <c r="DN250"/>
  <c r="DO250"/>
  <c r="DM250"/>
  <c r="DN248"/>
  <c r="DO248"/>
  <c r="DM248"/>
  <c r="DN246"/>
  <c r="DO246"/>
  <c r="DM246"/>
  <c r="DN244"/>
  <c r="DO244"/>
  <c r="DM244"/>
  <c r="DN242"/>
  <c r="DO242"/>
  <c r="DM242"/>
  <c r="DN237"/>
  <c r="DO237"/>
  <c r="DM237"/>
  <c r="DN235"/>
  <c r="DO235"/>
  <c r="DM235"/>
  <c r="AP227"/>
  <c r="AN227"/>
  <c r="AL227"/>
  <c r="AP239"/>
  <c r="AK239" s="1"/>
  <c r="J95" s="1"/>
  <c r="AN239"/>
  <c r="AL239"/>
  <c r="AI239" s="1"/>
  <c r="AP241"/>
  <c r="AN241"/>
  <c r="AL241"/>
  <c r="DN230"/>
  <c r="DM230"/>
  <c r="DO230"/>
  <c r="DN228"/>
  <c r="DO228"/>
  <c r="DM228"/>
  <c r="CD229"/>
  <c r="DA228"/>
  <c r="CY228"/>
  <c r="CW228"/>
  <c r="CU228"/>
  <c r="CS228"/>
  <c r="CQ228"/>
  <c r="CZ228"/>
  <c r="CX228"/>
  <c r="CV228"/>
  <c r="CT228"/>
  <c r="CR228"/>
  <c r="CP228"/>
  <c r="AQ227"/>
  <c r="AO227"/>
  <c r="AM227"/>
  <c r="AK227"/>
  <c r="AI227"/>
  <c r="AJ227"/>
  <c r="AQ193"/>
  <c r="AO193"/>
  <c r="AM193"/>
  <c r="AK193"/>
  <c r="AI193"/>
  <c r="AJ193"/>
  <c r="AQ192"/>
  <c r="AO192"/>
  <c r="AM192"/>
  <c r="AK192"/>
  <c r="AI192"/>
  <c r="AJ192"/>
  <c r="AQ191"/>
  <c r="AO191"/>
  <c r="AM191"/>
  <c r="AK191"/>
  <c r="AI191"/>
  <c r="AJ191"/>
  <c r="AP189"/>
  <c r="AN189"/>
  <c r="AL189"/>
  <c r="AP187"/>
  <c r="AN187"/>
  <c r="AL187"/>
  <c r="AQ236"/>
  <c r="AM236"/>
  <c r="AI236" s="1"/>
  <c r="AO236"/>
  <c r="AJ236" s="1"/>
  <c r="AK236"/>
  <c r="AN232"/>
  <c r="AJ232"/>
  <c r="AP232"/>
  <c r="AL232"/>
  <c r="AP234"/>
  <c r="AL234"/>
  <c r="AN234"/>
  <c r="DO232"/>
  <c r="DM232"/>
  <c r="DN232"/>
  <c r="DO234"/>
  <c r="DM234"/>
  <c r="DN234"/>
  <c r="DN239"/>
  <c r="DO239"/>
  <c r="DM239"/>
  <c r="AQ180"/>
  <c r="AO180"/>
  <c r="AM180"/>
  <c r="AK180"/>
  <c r="AI180"/>
  <c r="AJ180"/>
  <c r="AQ178"/>
  <c r="AO178"/>
  <c r="AM178"/>
  <c r="AK178"/>
  <c r="AI178"/>
  <c r="AJ178"/>
  <c r="DO176"/>
  <c r="DM176"/>
  <c r="DN176"/>
  <c r="DO175"/>
  <c r="DM175"/>
  <c r="DN175"/>
  <c r="AP166"/>
  <c r="AN166"/>
  <c r="AL166"/>
  <c r="AP165"/>
  <c r="AN165"/>
  <c r="AL165"/>
  <c r="DO178"/>
  <c r="DM178"/>
  <c r="DN178"/>
  <c r="DO180"/>
  <c r="DM180"/>
  <c r="DN180"/>
  <c r="DN186"/>
  <c r="DO186"/>
  <c r="DM186"/>
  <c r="DN188"/>
  <c r="DO188"/>
  <c r="DM188"/>
  <c r="DO185"/>
  <c r="DM185"/>
  <c r="DN185"/>
  <c r="DO191"/>
  <c r="DM191"/>
  <c r="DN191"/>
  <c r="DO193"/>
  <c r="DM193"/>
  <c r="DN193"/>
  <c r="DO214"/>
  <c r="DM214"/>
  <c r="DN214"/>
  <c r="DO202"/>
  <c r="DM202"/>
  <c r="DN202"/>
  <c r="DO196"/>
  <c r="DM196"/>
  <c r="DN196"/>
  <c r="AQ176"/>
  <c r="AO176"/>
  <c r="AM176"/>
  <c r="AK176"/>
  <c r="AI176"/>
  <c r="AJ176"/>
  <c r="AP173"/>
  <c r="AN173"/>
  <c r="AL173"/>
  <c r="AP172"/>
  <c r="AN172"/>
  <c r="AL172"/>
  <c r="DN170"/>
  <c r="DO170"/>
  <c r="DM170"/>
  <c r="AP170"/>
  <c r="AN170"/>
  <c r="AL170"/>
  <c r="AQ166"/>
  <c r="AO166"/>
  <c r="AM166"/>
  <c r="AJ162"/>
  <c r="AQ162"/>
  <c r="AM162"/>
  <c r="AI162"/>
  <c r="AO162"/>
  <c r="AK162"/>
  <c r="AJ160"/>
  <c r="AO160"/>
  <c r="AK160"/>
  <c r="AQ160"/>
  <c r="AI160"/>
  <c r="AM160"/>
  <c r="DO204"/>
  <c r="DM204"/>
  <c r="DN204"/>
  <c r="DO206"/>
  <c r="DM206"/>
  <c r="DN206"/>
  <c r="AJ184"/>
  <c r="AO184"/>
  <c r="AK184"/>
  <c r="AQ184"/>
  <c r="AM184"/>
  <c r="AI184"/>
  <c r="AP178"/>
  <c r="AL178"/>
  <c r="AN178"/>
  <c r="AP180"/>
  <c r="AL180"/>
  <c r="AN180"/>
  <c r="DO167"/>
  <c r="DM167"/>
  <c r="DN167"/>
  <c r="AP163"/>
  <c r="AN163"/>
  <c r="AL163"/>
  <c r="AP161"/>
  <c r="AN161"/>
  <c r="AL161"/>
  <c r="DN148"/>
  <c r="DO148"/>
  <c r="DM148"/>
  <c r="DN139"/>
  <c r="DO139"/>
  <c r="DM139"/>
  <c r="AP99"/>
  <c r="AL99"/>
  <c r="AN99"/>
  <c r="AN98"/>
  <c r="AP98"/>
  <c r="AL98"/>
  <c r="DO132"/>
  <c r="DM132"/>
  <c r="DN132"/>
  <c r="DO134"/>
  <c r="DM134"/>
  <c r="DN134"/>
  <c r="DO125"/>
  <c r="DM125"/>
  <c r="DN125"/>
  <c r="DO127"/>
  <c r="DM127"/>
  <c r="DN127"/>
  <c r="DO121"/>
  <c r="DM121"/>
  <c r="DN121"/>
  <c r="AQ107"/>
  <c r="AO107"/>
  <c r="AM107"/>
  <c r="DN103"/>
  <c r="DO103"/>
  <c r="DM103"/>
  <c r="AQ100"/>
  <c r="AO100"/>
  <c r="AM100"/>
  <c r="AK100"/>
  <c r="AI100"/>
  <c r="AJ100"/>
  <c r="AP43"/>
  <c r="AN43"/>
  <c r="AL43"/>
  <c r="AJ39"/>
  <c r="AQ39"/>
  <c r="AO39"/>
  <c r="AM39"/>
  <c r="AK39"/>
  <c r="AI39"/>
  <c r="AJ35"/>
  <c r="AQ35"/>
  <c r="AO35"/>
  <c r="AM35"/>
  <c r="AK35"/>
  <c r="AI35"/>
  <c r="DO141"/>
  <c r="DM141"/>
  <c r="DN141"/>
  <c r="DO143"/>
  <c r="DM143"/>
  <c r="DN143"/>
  <c r="DW105"/>
  <c r="DX105"/>
  <c r="DR106"/>
  <c r="DV105"/>
  <c r="AO104"/>
  <c r="AQ104"/>
  <c r="AM104"/>
  <c r="AO108"/>
  <c r="AQ108"/>
  <c r="AM108"/>
  <c r="AJ101"/>
  <c r="AQ101"/>
  <c r="AM101"/>
  <c r="AI101"/>
  <c r="AO101"/>
  <c r="AK101"/>
  <c r="DO98"/>
  <c r="DM98"/>
  <c r="DN98"/>
  <c r="DO100"/>
  <c r="DM100"/>
  <c r="DN100"/>
  <c r="DO107"/>
  <c r="DM107"/>
  <c r="DN107"/>
  <c r="DO166"/>
  <c r="DM166"/>
  <c r="DN166"/>
  <c r="DN147"/>
  <c r="DM147"/>
  <c r="DO147"/>
  <c r="DN119"/>
  <c r="DM119"/>
  <c r="DO119"/>
  <c r="DN117"/>
  <c r="DM117"/>
  <c r="DO117"/>
  <c r="DN95"/>
  <c r="DO95"/>
  <c r="DM95"/>
  <c r="DN75"/>
  <c r="DO75"/>
  <c r="DM75"/>
  <c r="DN69"/>
  <c r="DO69"/>
  <c r="DM69"/>
  <c r="DN62"/>
  <c r="DO62"/>
  <c r="DM62"/>
  <c r="AQ54"/>
  <c r="AO54"/>
  <c r="AM54"/>
  <c r="AK54"/>
  <c r="AI54"/>
  <c r="AJ54"/>
  <c r="AP52"/>
  <c r="AN52"/>
  <c r="AL52"/>
  <c r="AQ51"/>
  <c r="AO51"/>
  <c r="AM51"/>
  <c r="AK51"/>
  <c r="AI51"/>
  <c r="AJ51"/>
  <c r="DN49"/>
  <c r="DO49"/>
  <c r="DM49"/>
  <c r="AP47"/>
  <c r="AN47"/>
  <c r="AL47"/>
  <c r="AP37"/>
  <c r="AN37"/>
  <c r="AL37"/>
  <c r="AQ36"/>
  <c r="AO36"/>
  <c r="AM36"/>
  <c r="AK36"/>
  <c r="AI36"/>
  <c r="AJ36"/>
  <c r="AQ25"/>
  <c r="AO25"/>
  <c r="AM25"/>
  <c r="DR25"/>
  <c r="DX24"/>
  <c r="DV24"/>
  <c r="DW24"/>
  <c r="AQ23"/>
  <c r="AM23"/>
  <c r="AO23"/>
  <c r="DO22"/>
  <c r="DM22"/>
  <c r="DN22"/>
  <c r="DO21"/>
  <c r="DM21"/>
  <c r="DN21"/>
  <c r="DO20"/>
  <c r="DM20"/>
  <c r="DN20"/>
  <c r="AT167"/>
  <c r="AT166"/>
  <c r="AI166" s="1"/>
  <c r="AT165"/>
  <c r="AN125"/>
  <c r="AJ125" s="1"/>
  <c r="AL125"/>
  <c r="AP125"/>
  <c r="AK125" s="1"/>
  <c r="AP127"/>
  <c r="AL127"/>
  <c r="AN127"/>
  <c r="AJ127"/>
  <c r="AN122"/>
  <c r="AP122"/>
  <c r="AL122"/>
  <c r="AJ118"/>
  <c r="AO118"/>
  <c r="AK118"/>
  <c r="AQ118"/>
  <c r="AM118"/>
  <c r="AI118"/>
  <c r="AP111"/>
  <c r="AL111"/>
  <c r="AN111"/>
  <c r="AN113"/>
  <c r="AP113"/>
  <c r="AL113"/>
  <c r="AP115"/>
  <c r="AL115"/>
  <c r="AN115"/>
  <c r="DN17"/>
  <c r="DO17"/>
  <c r="DM17"/>
  <c r="DO25"/>
  <c r="DM25"/>
  <c r="DN25"/>
  <c r="AJ17"/>
  <c r="AO17"/>
  <c r="AK17"/>
  <c r="AQ17"/>
  <c r="AM17"/>
  <c r="AI17"/>
  <c r="DN106"/>
  <c r="DM106"/>
  <c r="DO106"/>
  <c r="DO80"/>
  <c r="DM80"/>
  <c r="DN80"/>
  <c r="DO50"/>
  <c r="DM50"/>
  <c r="DN50"/>
  <c r="AP23"/>
  <c r="AN23"/>
  <c r="AL23"/>
  <c r="DN16"/>
  <c r="DM16"/>
  <c r="DO16"/>
  <c r="AP14"/>
  <c r="AN14"/>
  <c r="AL14"/>
  <c r="AJ108"/>
  <c r="AJ104"/>
  <c r="AI107"/>
  <c r="CC94"/>
  <c r="DN66"/>
  <c r="DO66"/>
  <c r="DM66"/>
  <c r="DH45"/>
  <c r="DG45" s="1"/>
  <c r="DH43"/>
  <c r="DG43" s="1"/>
  <c r="DH41"/>
  <c r="DG41" s="1"/>
  <c r="DH38"/>
  <c r="DG38" s="1"/>
  <c r="DH36"/>
  <c r="DH47"/>
  <c r="DG47" s="1"/>
  <c r="DH46"/>
  <c r="DG46" s="1"/>
  <c r="DH44"/>
  <c r="DG44" s="1"/>
  <c r="DH42"/>
  <c r="DG42" s="1"/>
  <c r="DH40"/>
  <c r="DG40" s="1"/>
  <c r="DH39"/>
  <c r="DG39" s="1"/>
  <c r="DH37"/>
  <c r="DG37" s="1"/>
  <c r="DH34"/>
  <c r="DG34" s="1"/>
  <c r="AP21"/>
  <c r="AL21"/>
  <c r="AN21"/>
  <c r="AP24"/>
  <c r="AN24"/>
  <c r="AL24"/>
  <c r="AP26"/>
  <c r="AN26"/>
  <c r="AL26"/>
  <c r="AO13"/>
  <c r="AQ13"/>
  <c r="AM13"/>
  <c r="AK25"/>
  <c r="AI23"/>
  <c r="AK20"/>
  <c r="AJ22"/>
  <c r="U7" i="3"/>
  <c r="DI7" s="1"/>
  <c r="DT6"/>
  <c r="DR6"/>
  <c r="DP6"/>
  <c r="DN6"/>
  <c r="DL6"/>
  <c r="DJ6"/>
  <c r="O6"/>
  <c r="D6"/>
  <c r="DQ6"/>
  <c r="DM6"/>
  <c r="DS6"/>
  <c r="DO6"/>
  <c r="DK6"/>
  <c r="E6"/>
  <c r="DL32" i="2"/>
  <c r="CX32"/>
  <c r="CJ32"/>
  <c r="BV32"/>
  <c r="BH32"/>
  <c r="AJ240" i="8"/>
  <c r="H91"/>
  <c r="DB227"/>
  <c r="S91" s="1"/>
  <c r="H76"/>
  <c r="AJ239"/>
  <c r="AA68"/>
  <c r="AJ187"/>
  <c r="AJ230"/>
  <c r="AK230"/>
  <c r="CX160"/>
  <c r="CP160"/>
  <c r="CS160"/>
  <c r="CW160"/>
  <c r="AJ181"/>
  <c r="AI163"/>
  <c r="AA43"/>
  <c r="AB43"/>
  <c r="AI122"/>
  <c r="H49" s="1"/>
  <c r="AI96"/>
  <c r="H39" s="1"/>
  <c r="AI49"/>
  <c r="H22" s="1"/>
  <c r="AI44"/>
  <c r="J49"/>
  <c r="AJ47"/>
  <c r="AJ98"/>
  <c r="AK98"/>
  <c r="CR68" i="5"/>
  <c r="CN68"/>
  <c r="CS68"/>
  <c r="N68" s="1"/>
  <c r="DN279" i="8"/>
  <c r="DO279"/>
  <c r="DM279"/>
  <c r="DN271"/>
  <c r="AB92" s="1"/>
  <c r="DO271"/>
  <c r="AC92" s="1"/>
  <c r="DM271"/>
  <c r="AA92" s="1"/>
  <c r="DN263"/>
  <c r="DO263"/>
  <c r="DM263"/>
  <c r="DN255"/>
  <c r="DO255"/>
  <c r="DM255"/>
  <c r="DN249"/>
  <c r="DO249"/>
  <c r="DM249"/>
  <c r="AP229"/>
  <c r="AN229"/>
  <c r="AL229"/>
  <c r="AP240"/>
  <c r="AN240"/>
  <c r="AL240"/>
  <c r="DN236"/>
  <c r="DM236"/>
  <c r="DO236"/>
  <c r="AQ229"/>
  <c r="AO229"/>
  <c r="AM229"/>
  <c r="AK229"/>
  <c r="AI229"/>
  <c r="AJ229"/>
  <c r="DX228"/>
  <c r="DV228"/>
  <c r="DW228"/>
  <c r="AP228"/>
  <c r="AN228"/>
  <c r="AL228"/>
  <c r="AQ194"/>
  <c r="AO194"/>
  <c r="AM194"/>
  <c r="AK194"/>
  <c r="AI194"/>
  <c r="H78" s="1"/>
  <c r="AJ194"/>
  <c r="AP188"/>
  <c r="AN188"/>
  <c r="AL188"/>
  <c r="AJ237"/>
  <c r="AO237"/>
  <c r="AK237"/>
  <c r="J93" s="1"/>
  <c r="AQ237"/>
  <c r="AM237"/>
  <c r="AI237"/>
  <c r="AP233"/>
  <c r="AL233"/>
  <c r="AN233"/>
  <c r="DO231"/>
  <c r="DM231"/>
  <c r="DN231"/>
  <c r="DO233"/>
  <c r="DM233"/>
  <c r="DN233"/>
  <c r="DN238"/>
  <c r="DO238"/>
  <c r="DM238"/>
  <c r="DO197"/>
  <c r="DM197"/>
  <c r="DN197"/>
  <c r="DN184"/>
  <c r="DO184"/>
  <c r="DM184"/>
  <c r="DN182"/>
  <c r="DO182"/>
  <c r="DM182"/>
  <c r="AQ179"/>
  <c r="AO179"/>
  <c r="AM179"/>
  <c r="AK179"/>
  <c r="AI179"/>
  <c r="AJ179"/>
  <c r="AQ177"/>
  <c r="AO177"/>
  <c r="AM177"/>
  <c r="AK177"/>
  <c r="J72" s="1"/>
  <c r="AI177"/>
  <c r="AJ177"/>
  <c r="I72" s="1"/>
  <c r="AQ173"/>
  <c r="AO173"/>
  <c r="AM173"/>
  <c r="AQ172"/>
  <c r="AO172"/>
  <c r="AM172"/>
  <c r="AQ171"/>
  <c r="AO171"/>
  <c r="AM171"/>
  <c r="AQ170"/>
  <c r="AO170"/>
  <c r="AM170"/>
  <c r="AQ169"/>
  <c r="AO169"/>
  <c r="AM169"/>
  <c r="DO177"/>
  <c r="DM177"/>
  <c r="DN177"/>
  <c r="DO179"/>
  <c r="DM179"/>
  <c r="DN179"/>
  <c r="DO181"/>
  <c r="DM181"/>
  <c r="DN181"/>
  <c r="DN187"/>
  <c r="DO187"/>
  <c r="DM187"/>
  <c r="DN189"/>
  <c r="DO189"/>
  <c r="DM189"/>
  <c r="DO190"/>
  <c r="DM190"/>
  <c r="DN190"/>
  <c r="DO192"/>
  <c r="DM192"/>
  <c r="DN192"/>
  <c r="DO216"/>
  <c r="DM216"/>
  <c r="AA71" s="1"/>
  <c r="DN216"/>
  <c r="DO210"/>
  <c r="AC70" s="1"/>
  <c r="DM210"/>
  <c r="AA70" s="1"/>
  <c r="DN210"/>
  <c r="DO198"/>
  <c r="DM198"/>
  <c r="DN198"/>
  <c r="DN171"/>
  <c r="DO171"/>
  <c r="DM171"/>
  <c r="AP171"/>
  <c r="AN171"/>
  <c r="AL171"/>
  <c r="DN169"/>
  <c r="DO169"/>
  <c r="DM169"/>
  <c r="AP169"/>
  <c r="AN169"/>
  <c r="AL169"/>
  <c r="AQ165"/>
  <c r="AO165"/>
  <c r="AM165"/>
  <c r="AK165"/>
  <c r="AI165"/>
  <c r="AJ165"/>
  <c r="DN164"/>
  <c r="DO164"/>
  <c r="DM164"/>
  <c r="AJ161"/>
  <c r="AO161"/>
  <c r="AK161"/>
  <c r="AM161"/>
  <c r="AQ161"/>
  <c r="AI161"/>
  <c r="DO205"/>
  <c r="DM205"/>
  <c r="DN205"/>
  <c r="AJ183"/>
  <c r="AQ183"/>
  <c r="AM183"/>
  <c r="AI183"/>
  <c r="AO183"/>
  <c r="AK183"/>
  <c r="AJ185"/>
  <c r="AQ185"/>
  <c r="AM185"/>
  <c r="AI185"/>
  <c r="AO185"/>
  <c r="AK185"/>
  <c r="AP177"/>
  <c r="AL177"/>
  <c r="AN177"/>
  <c r="AP179"/>
  <c r="AL179"/>
  <c r="AN179"/>
  <c r="AP181"/>
  <c r="AL181"/>
  <c r="AN181"/>
  <c r="DN163"/>
  <c r="DO163"/>
  <c r="DM163"/>
  <c r="DA161"/>
  <c r="CY161"/>
  <c r="CW161"/>
  <c r="CU161"/>
  <c r="CS161"/>
  <c r="CQ161"/>
  <c r="CX161"/>
  <c r="CT161"/>
  <c r="CP161"/>
  <c r="CZ161"/>
  <c r="CR161"/>
  <c r="CD162"/>
  <c r="CV161"/>
  <c r="DN172"/>
  <c r="DO172"/>
  <c r="DM172"/>
  <c r="AP160"/>
  <c r="AN160"/>
  <c r="AL160"/>
  <c r="DN150"/>
  <c r="DO150"/>
  <c r="DM150"/>
  <c r="DN146"/>
  <c r="DO146"/>
  <c r="DM146"/>
  <c r="DN130"/>
  <c r="DO130"/>
  <c r="DM130"/>
  <c r="DO115"/>
  <c r="DM115"/>
  <c r="DN115"/>
  <c r="DO114"/>
  <c r="DM114"/>
  <c r="DN114"/>
  <c r="DO113"/>
  <c r="DM113"/>
  <c r="DN113"/>
  <c r="DO112"/>
  <c r="DM112"/>
  <c r="DN112"/>
  <c r="DO111"/>
  <c r="DM111"/>
  <c r="DN111"/>
  <c r="AN105"/>
  <c r="AP105"/>
  <c r="AL105"/>
  <c r="AT174"/>
  <c r="AT173"/>
  <c r="AJ173" s="1"/>
  <c r="AT172"/>
  <c r="AJ172" s="1"/>
  <c r="AT171"/>
  <c r="AT170"/>
  <c r="AJ170" s="1"/>
  <c r="AT169"/>
  <c r="AJ169" s="1"/>
  <c r="CV160"/>
  <c r="CZ160"/>
  <c r="CR160"/>
  <c r="DO133"/>
  <c r="DM133"/>
  <c r="DN133"/>
  <c r="DO135"/>
  <c r="DM135"/>
  <c r="DN135"/>
  <c r="DO124"/>
  <c r="DM124"/>
  <c r="DN124"/>
  <c r="DO126"/>
  <c r="DM126"/>
  <c r="DN126"/>
  <c r="DO120"/>
  <c r="DM120"/>
  <c r="DN120"/>
  <c r="DO122"/>
  <c r="DM122"/>
  <c r="DN122"/>
  <c r="DN162"/>
  <c r="DM162"/>
  <c r="DO162"/>
  <c r="DN131"/>
  <c r="DM131"/>
  <c r="AA41" s="1"/>
  <c r="DO131"/>
  <c r="DN118"/>
  <c r="DO118"/>
  <c r="DM118"/>
  <c r="DN116"/>
  <c r="DO116"/>
  <c r="DM116"/>
  <c r="DN104"/>
  <c r="DO104"/>
  <c r="DM104"/>
  <c r="AQ99"/>
  <c r="AO99"/>
  <c r="AM99"/>
  <c r="AK99"/>
  <c r="AI99"/>
  <c r="AJ99"/>
  <c r="DO73"/>
  <c r="AC17" s="1"/>
  <c r="DM73"/>
  <c r="AA17" s="1"/>
  <c r="DN73"/>
  <c r="AB17" s="1"/>
  <c r="AJ52"/>
  <c r="I24" s="1"/>
  <c r="AQ52"/>
  <c r="AO52"/>
  <c r="AM52"/>
  <c r="AK52"/>
  <c r="J24" s="1"/>
  <c r="AI52"/>
  <c r="AJ37"/>
  <c r="AQ37"/>
  <c r="AO37"/>
  <c r="AM37"/>
  <c r="AK37"/>
  <c r="AI37"/>
  <c r="DO140"/>
  <c r="DM140"/>
  <c r="DN140"/>
  <c r="DO142"/>
  <c r="DM142"/>
  <c r="DN142"/>
  <c r="AJ103"/>
  <c r="AO103"/>
  <c r="AK103"/>
  <c r="AQ103"/>
  <c r="AM103"/>
  <c r="AI103"/>
  <c r="AJ106"/>
  <c r="AQ106"/>
  <c r="AM106"/>
  <c r="AI106"/>
  <c r="AO106"/>
  <c r="AK106"/>
  <c r="DO96"/>
  <c r="DM96"/>
  <c r="DN96"/>
  <c r="DO99"/>
  <c r="DM99"/>
  <c r="DN99"/>
  <c r="DO105"/>
  <c r="DM105"/>
  <c r="DN105"/>
  <c r="DO168"/>
  <c r="DM168"/>
  <c r="DN168"/>
  <c r="DO165"/>
  <c r="DM165"/>
  <c r="DN165"/>
  <c r="DN149"/>
  <c r="DM149"/>
  <c r="DO149"/>
  <c r="AP110"/>
  <c r="AN110"/>
  <c r="AL110"/>
  <c r="DN102"/>
  <c r="DM102"/>
  <c r="DO102"/>
  <c r="DN101"/>
  <c r="DM101"/>
  <c r="DO101"/>
  <c r="DN97"/>
  <c r="DM97"/>
  <c r="DO97"/>
  <c r="AP96"/>
  <c r="AN96"/>
  <c r="AL96"/>
  <c r="DN78"/>
  <c r="DO78"/>
  <c r="DM78"/>
  <c r="DN71"/>
  <c r="DO71"/>
  <c r="DM71"/>
  <c r="DN63"/>
  <c r="AB14" s="1"/>
  <c r="DO63"/>
  <c r="AC14" s="1"/>
  <c r="DM63"/>
  <c r="AA14" s="1"/>
  <c r="DR50"/>
  <c r="DX49"/>
  <c r="DV49"/>
  <c r="DW49"/>
  <c r="AP49"/>
  <c r="AN49"/>
  <c r="AL49"/>
  <c r="AP44"/>
  <c r="AN44"/>
  <c r="AL44"/>
  <c r="AQ43"/>
  <c r="AO43"/>
  <c r="AM43"/>
  <c r="AK43"/>
  <c r="J20" s="1"/>
  <c r="AI43"/>
  <c r="AJ43"/>
  <c r="I20" s="1"/>
  <c r="AQ41"/>
  <c r="AK41" s="1"/>
  <c r="AO41"/>
  <c r="AM41"/>
  <c r="AI41" s="1"/>
  <c r="AJ41"/>
  <c r="AP39"/>
  <c r="AN39"/>
  <c r="AL39"/>
  <c r="AQ38"/>
  <c r="AO38"/>
  <c r="AM38"/>
  <c r="AK38"/>
  <c r="AI38"/>
  <c r="AJ38"/>
  <c r="AP35"/>
  <c r="AN35"/>
  <c r="AL35"/>
  <c r="DN24"/>
  <c r="DO24"/>
  <c r="DM24"/>
  <c r="DO19"/>
  <c r="DM19"/>
  <c r="DN19"/>
  <c r="DO18"/>
  <c r="DM18"/>
  <c r="DN18"/>
  <c r="AN18"/>
  <c r="AP18"/>
  <c r="AL18"/>
  <c r="AP126"/>
  <c r="AL126"/>
  <c r="AJ126"/>
  <c r="AN126"/>
  <c r="AP128"/>
  <c r="AL128"/>
  <c r="AJ128"/>
  <c r="AN128"/>
  <c r="AP121"/>
  <c r="AL121"/>
  <c r="AN121"/>
  <c r="AN123"/>
  <c r="AP123"/>
  <c r="AL123"/>
  <c r="AJ117"/>
  <c r="AQ117"/>
  <c r="AM117"/>
  <c r="AI117"/>
  <c r="AO117"/>
  <c r="AK117"/>
  <c r="AJ119"/>
  <c r="I47" s="1"/>
  <c r="AQ119"/>
  <c r="AM119"/>
  <c r="AI119"/>
  <c r="AO119"/>
  <c r="AK119"/>
  <c r="AK110"/>
  <c r="AJ113"/>
  <c r="AK112"/>
  <c r="AK109"/>
  <c r="AJ114"/>
  <c r="AN112"/>
  <c r="AJ112"/>
  <c r="AP112"/>
  <c r="AL112"/>
  <c r="AP114"/>
  <c r="AL114"/>
  <c r="AN114"/>
  <c r="DO81"/>
  <c r="DM81"/>
  <c r="DN81"/>
  <c r="AJ16"/>
  <c r="AQ16"/>
  <c r="AM16"/>
  <c r="AI16"/>
  <c r="AO16"/>
  <c r="AK16"/>
  <c r="DO85"/>
  <c r="DM85"/>
  <c r="DN85"/>
  <c r="DO51"/>
  <c r="DM51"/>
  <c r="DN51"/>
  <c r="DO23"/>
  <c r="DN23"/>
  <c r="DM23"/>
  <c r="AQ18"/>
  <c r="AO18"/>
  <c r="AM18"/>
  <c r="AK18"/>
  <c r="AI18"/>
  <c r="AJ18"/>
  <c r="DN15"/>
  <c r="DM15"/>
  <c r="DO15"/>
  <c r="DN65"/>
  <c r="DO65"/>
  <c r="DM65"/>
  <c r="DO67"/>
  <c r="DM67"/>
  <c r="DN67"/>
  <c r="AP22"/>
  <c r="AL22"/>
  <c r="AN22"/>
  <c r="AP25"/>
  <c r="AN25"/>
  <c r="AL25"/>
  <c r="AQ14"/>
  <c r="AM14"/>
  <c r="AO14"/>
  <c r="DR16"/>
  <c r="CD16"/>
  <c r="AU7" i="5"/>
  <c r="AS7"/>
  <c r="AQ7"/>
  <c r="AO7"/>
  <c r="AM7"/>
  <c r="AK7"/>
  <c r="AI7"/>
  <c r="AG7"/>
  <c r="AE7"/>
  <c r="AT7"/>
  <c r="AP7"/>
  <c r="AL7"/>
  <c r="AH7"/>
  <c r="AD7"/>
  <c r="AR7"/>
  <c r="AN7"/>
  <c r="AJ7"/>
  <c r="AF7"/>
  <c r="CK69"/>
  <c r="CI69"/>
  <c r="CG69"/>
  <c r="CE69"/>
  <c r="CC69"/>
  <c r="CA69"/>
  <c r="BY69"/>
  <c r="BW69"/>
  <c r="BU69"/>
  <c r="BS69"/>
  <c r="BQ69"/>
  <c r="BO69"/>
  <c r="BM69"/>
  <c r="BK69"/>
  <c r="BI69"/>
  <c r="BG69"/>
  <c r="BE69"/>
  <c r="CS69" s="1"/>
  <c r="BC69"/>
  <c r="BA69"/>
  <c r="AY69"/>
  <c r="AW69"/>
  <c r="N69" s="1"/>
  <c r="AU69"/>
  <c r="AP70"/>
  <c r="CJ69"/>
  <c r="CH69"/>
  <c r="CF69"/>
  <c r="CD69"/>
  <c r="CB69"/>
  <c r="BZ69"/>
  <c r="BX69"/>
  <c r="BV69"/>
  <c r="BT69"/>
  <c r="BR69"/>
  <c r="BP69"/>
  <c r="BN69"/>
  <c r="BL69"/>
  <c r="BJ69"/>
  <c r="BH69"/>
  <c r="BF69"/>
  <c r="BD69"/>
  <c r="CR69" s="1"/>
  <c r="BB69"/>
  <c r="AZ69"/>
  <c r="CN69" s="1"/>
  <c r="AX69"/>
  <c r="CL69" s="1"/>
  <c r="AV69"/>
  <c r="AQ69"/>
  <c r="I91" i="8"/>
  <c r="I95"/>
  <c r="DC227"/>
  <c r="T91" s="1"/>
  <c r="J91"/>
  <c r="AJ228"/>
  <c r="AB71"/>
  <c r="AC71"/>
  <c r="AB70"/>
  <c r="AB68"/>
  <c r="AC68"/>
  <c r="AJ188"/>
  <c r="AC67"/>
  <c r="DC160"/>
  <c r="AI181"/>
  <c r="H72" s="1"/>
  <c r="AC43"/>
  <c r="AJ122"/>
  <c r="AK163"/>
  <c r="J66" s="1"/>
  <c r="AJ163"/>
  <c r="I66" s="1"/>
  <c r="AJ105"/>
  <c r="AJ121"/>
  <c r="I49" s="1"/>
  <c r="AI98"/>
  <c r="CP68" i="5"/>
  <c r="CL68"/>
  <c r="E68" s="1"/>
  <c r="L14" s="1"/>
  <c r="AJ21" i="8"/>
  <c r="CQ68" i="5"/>
  <c r="V5" i="4"/>
  <c r="O78" s="1"/>
  <c r="CM77" i="5" l="1"/>
  <c r="F77" s="1"/>
  <c r="AL208" i="10"/>
  <c r="AL207"/>
  <c r="AL206"/>
  <c r="AL210"/>
  <c r="AL205"/>
  <c r="AL209"/>
  <c r="AL203"/>
  <c r="AL200"/>
  <c r="AL201"/>
  <c r="AL202"/>
  <c r="AL193"/>
  <c r="AL197"/>
  <c r="AL191"/>
  <c r="AL195"/>
  <c r="AL192"/>
  <c r="AL196"/>
  <c r="AL190"/>
  <c r="AL194"/>
  <c r="AL198"/>
  <c r="S15"/>
  <c r="T15" s="1"/>
  <c r="E9" i="17"/>
  <c r="D29" s="1"/>
  <c r="F9"/>
  <c r="G9"/>
  <c r="D22" s="1"/>
  <c r="D9"/>
  <c r="D11"/>
  <c r="L2"/>
  <c r="M2" s="1"/>
  <c r="M6"/>
  <c r="M7"/>
  <c r="CN67" i="5"/>
  <c r="CL77"/>
  <c r="CQ77"/>
  <c r="CO72"/>
  <c r="CR72"/>
  <c r="M72" s="1"/>
  <c r="CO68"/>
  <c r="L77"/>
  <c r="CS67"/>
  <c r="N67" s="1"/>
  <c r="CS72"/>
  <c r="N72" s="1"/>
  <c r="CN72"/>
  <c r="N77"/>
  <c r="CR67"/>
  <c r="M67" s="1"/>
  <c r="CO67"/>
  <c r="K8" i="2"/>
  <c r="DY11"/>
  <c r="I22" i="8"/>
  <c r="AA45"/>
  <c r="N12" i="4"/>
  <c r="K12"/>
  <c r="J12"/>
  <c r="AL173" i="10"/>
  <c r="AL176"/>
  <c r="AL182"/>
  <c r="AL178"/>
  <c r="AL180"/>
  <c r="AL181"/>
  <c r="AL172"/>
  <c r="AL175"/>
  <c r="H20" i="8"/>
  <c r="AA19"/>
  <c r="AV6" i="5"/>
  <c r="G6" s="1"/>
  <c r="AB67" i="8"/>
  <c r="H93"/>
  <c r="E51" i="10"/>
  <c r="S51" s="1"/>
  <c r="T51" s="1"/>
  <c r="E39"/>
  <c r="S39" s="1"/>
  <c r="T39" s="1"/>
  <c r="S16"/>
  <c r="T16" s="1"/>
  <c r="B9"/>
  <c r="AC11"/>
  <c r="AA66" s="1"/>
  <c r="AV42" i="5"/>
  <c r="G42" s="1"/>
  <c r="AW6"/>
  <c r="AX6"/>
  <c r="AV44"/>
  <c r="AW42"/>
  <c r="AX44"/>
  <c r="AW44"/>
  <c r="AX42"/>
  <c r="AW43"/>
  <c r="H43" s="1"/>
  <c r="AV43"/>
  <c r="AX43"/>
  <c r="AV46"/>
  <c r="AW46"/>
  <c r="AX46"/>
  <c r="M69"/>
  <c r="DU9" i="2"/>
  <c r="F9" s="1"/>
  <c r="EA9"/>
  <c r="M9" s="1"/>
  <c r="ED10"/>
  <c r="DT9"/>
  <c r="E9" s="1"/>
  <c r="EE9"/>
  <c r="Q9" s="1"/>
  <c r="DX9"/>
  <c r="J9" s="1"/>
  <c r="EE12"/>
  <c r="Q12" s="1"/>
  <c r="EB9"/>
  <c r="N9" s="1"/>
  <c r="DW9"/>
  <c r="EC9"/>
  <c r="O9" s="1"/>
  <c r="ED9"/>
  <c r="DV9"/>
  <c r="CP69" i="5"/>
  <c r="AK105" i="8"/>
  <c r="J76"/>
  <c r="I74"/>
  <c r="I39"/>
  <c r="E97" i="10"/>
  <c r="CN78"/>
  <c r="E122" s="1"/>
  <c r="E89"/>
  <c r="E76"/>
  <c r="AA66" i="8"/>
  <c r="AB66"/>
  <c r="AC66"/>
  <c r="CO69" i="5"/>
  <c r="AX7"/>
  <c r="AI125" i="8"/>
  <c r="H95"/>
  <c r="H41"/>
  <c r="I89"/>
  <c r="AB18"/>
  <c r="H97"/>
  <c r="J89"/>
  <c r="J97" s="1"/>
  <c r="AK127"/>
  <c r="AI127"/>
  <c r="AI128"/>
  <c r="AK128"/>
  <c r="AC19"/>
  <c r="AB19"/>
  <c r="AB44"/>
  <c r="AC44"/>
  <c r="AA40"/>
  <c r="AB40"/>
  <c r="AC40"/>
  <c r="AJ171"/>
  <c r="AA67"/>
  <c r="J22"/>
  <c r="I51"/>
  <c r="AA39"/>
  <c r="AC39"/>
  <c r="AB41"/>
  <c r="AC45"/>
  <c r="J74"/>
  <c r="H74"/>
  <c r="AI172"/>
  <c r="J41"/>
  <c r="I76"/>
  <c r="AI105"/>
  <c r="AJ23"/>
  <c r="AK107"/>
  <c r="I93"/>
  <c r="I78"/>
  <c r="J78"/>
  <c r="DB228"/>
  <c r="AA91"/>
  <c r="AB91"/>
  <c r="J47"/>
  <c r="H47"/>
  <c r="AA72"/>
  <c r="AI170"/>
  <c r="I41"/>
  <c r="AJ107"/>
  <c r="I43" s="1"/>
  <c r="H66"/>
  <c r="AA18"/>
  <c r="AC18"/>
  <c r="H24"/>
  <c r="H18"/>
  <c r="I18"/>
  <c r="J14"/>
  <c r="H14"/>
  <c r="I14"/>
  <c r="F18" i="4"/>
  <c r="V16"/>
  <c r="N14"/>
  <c r="I14"/>
  <c r="CI14"/>
  <c r="H14"/>
  <c r="J14"/>
  <c r="K14"/>
  <c r="W14"/>
  <c r="GK8" i="6"/>
  <c r="GG8"/>
  <c r="GC8"/>
  <c r="FY8"/>
  <c r="FU8"/>
  <c r="GL8"/>
  <c r="V8" s="1"/>
  <c r="GH8"/>
  <c r="GD8"/>
  <c r="FZ8"/>
  <c r="FV8"/>
  <c r="U8"/>
  <c r="GM8"/>
  <c r="W8" s="1"/>
  <c r="GI8"/>
  <c r="GE8"/>
  <c r="GA8"/>
  <c r="FW8"/>
  <c r="GJ8"/>
  <c r="GF8"/>
  <c r="GB8"/>
  <c r="FX8"/>
  <c r="CM69" i="5"/>
  <c r="CQ69"/>
  <c r="L69" s="1"/>
  <c r="J18" i="8"/>
  <c r="CK70" i="5"/>
  <c r="CI70"/>
  <c r="CG70"/>
  <c r="CE70"/>
  <c r="CC70"/>
  <c r="CA70"/>
  <c r="BY70"/>
  <c r="BW70"/>
  <c r="BU70"/>
  <c r="BS70"/>
  <c r="BQ70"/>
  <c r="BO70"/>
  <c r="BM70"/>
  <c r="BK70"/>
  <c r="BI70"/>
  <c r="BG70"/>
  <c r="BE70"/>
  <c r="BC70"/>
  <c r="BA70"/>
  <c r="AY70"/>
  <c r="AW70"/>
  <c r="AU70"/>
  <c r="AS70"/>
  <c r="AQ70"/>
  <c r="AP73"/>
  <c r="CJ70"/>
  <c r="CH70"/>
  <c r="CF70"/>
  <c r="CD70"/>
  <c r="CB70"/>
  <c r="BZ70"/>
  <c r="BX70"/>
  <c r="BV70"/>
  <c r="BT70"/>
  <c r="BR70"/>
  <c r="BP70"/>
  <c r="BN70"/>
  <c r="BL70"/>
  <c r="BJ70"/>
  <c r="BH70"/>
  <c r="BF70"/>
  <c r="BD70"/>
  <c r="BB70"/>
  <c r="AZ70"/>
  <c r="AX70"/>
  <c r="AV70"/>
  <c r="AT70"/>
  <c r="AR70"/>
  <c r="CD17" i="8"/>
  <c r="AJ111"/>
  <c r="AK111"/>
  <c r="AI111"/>
  <c r="AK115"/>
  <c r="AI115"/>
  <c r="DA162"/>
  <c r="CY162"/>
  <c r="CW162"/>
  <c r="CU162"/>
  <c r="CS162"/>
  <c r="CQ162"/>
  <c r="CD163"/>
  <c r="CZ162"/>
  <c r="CV162"/>
  <c r="CR162"/>
  <c r="CX162"/>
  <c r="CP162"/>
  <c r="CT162"/>
  <c r="AK21"/>
  <c r="AI21"/>
  <c r="AJ24"/>
  <c r="AI24"/>
  <c r="AK24"/>
  <c r="DN34"/>
  <c r="DO34"/>
  <c r="DM34"/>
  <c r="DN39"/>
  <c r="DO39"/>
  <c r="DM39"/>
  <c r="DN42"/>
  <c r="DO42"/>
  <c r="DM42"/>
  <c r="DN46"/>
  <c r="DO46"/>
  <c r="DM46"/>
  <c r="DO36"/>
  <c r="DM36"/>
  <c r="DN36"/>
  <c r="DO41"/>
  <c r="DM41"/>
  <c r="DN41"/>
  <c r="DO45"/>
  <c r="DM45"/>
  <c r="DN45"/>
  <c r="DR26"/>
  <c r="DW25"/>
  <c r="DX25"/>
  <c r="DV25"/>
  <c r="CD230"/>
  <c r="CZ229"/>
  <c r="CX229"/>
  <c r="CV229"/>
  <c r="CT229"/>
  <c r="CR229"/>
  <c r="CP229"/>
  <c r="DA229"/>
  <c r="CY229"/>
  <c r="CW229"/>
  <c r="CU229"/>
  <c r="CS229"/>
  <c r="CQ229"/>
  <c r="AC72"/>
  <c r="AB72"/>
  <c r="DC161"/>
  <c r="AI169"/>
  <c r="AI171"/>
  <c r="AI173"/>
  <c r="AJ115"/>
  <c r="AI25"/>
  <c r="AC13"/>
  <c r="AA16"/>
  <c r="AB16"/>
  <c r="AA46"/>
  <c r="AB46"/>
  <c r="AI108"/>
  <c r="AI104"/>
  <c r="AB42"/>
  <c r="AC42"/>
  <c r="AA69"/>
  <c r="AJ166"/>
  <c r="AK166"/>
  <c r="DC228"/>
  <c r="AC95"/>
  <c r="AA89"/>
  <c r="AB89"/>
  <c r="AC90"/>
  <c r="AC94"/>
  <c r="AU8" i="5"/>
  <c r="AS8"/>
  <c r="AQ8"/>
  <c r="AO8"/>
  <c r="AM8"/>
  <c r="AK8"/>
  <c r="AI8"/>
  <c r="AG8"/>
  <c r="AE8"/>
  <c r="AR8"/>
  <c r="AN8"/>
  <c r="AJ8"/>
  <c r="AF8"/>
  <c r="AT8"/>
  <c r="AP8"/>
  <c r="AL8"/>
  <c r="AH8"/>
  <c r="AD8"/>
  <c r="AJ110" i="8"/>
  <c r="AI110"/>
  <c r="DR51"/>
  <c r="DW50"/>
  <c r="DX50"/>
  <c r="DV50"/>
  <c r="DR17"/>
  <c r="AI114"/>
  <c r="AK114"/>
  <c r="AI113"/>
  <c r="AK113"/>
  <c r="AJ174"/>
  <c r="AK174"/>
  <c r="AI174"/>
  <c r="DS7" i="3"/>
  <c r="DQ7"/>
  <c r="DO7"/>
  <c r="DM7"/>
  <c r="DK7"/>
  <c r="F7" s="1"/>
  <c r="U8"/>
  <c r="DT7"/>
  <c r="O7" s="1"/>
  <c r="DP7"/>
  <c r="DL7"/>
  <c r="D7"/>
  <c r="DR7"/>
  <c r="DN7"/>
  <c r="DJ7"/>
  <c r="AI22" i="8"/>
  <c r="AK22"/>
  <c r="AK26"/>
  <c r="AJ26"/>
  <c r="AI26"/>
  <c r="DN37"/>
  <c r="DO37"/>
  <c r="DM37"/>
  <c r="DN40"/>
  <c r="DO40"/>
  <c r="DM40"/>
  <c r="DN44"/>
  <c r="DO44"/>
  <c r="DM44"/>
  <c r="DN47"/>
  <c r="DO47"/>
  <c r="DM47"/>
  <c r="DO38"/>
  <c r="DM38"/>
  <c r="DN38"/>
  <c r="DO43"/>
  <c r="DM43"/>
  <c r="DN43"/>
  <c r="CC97"/>
  <c r="CC98"/>
  <c r="CC96"/>
  <c r="CC95"/>
  <c r="AI167"/>
  <c r="H68" s="1"/>
  <c r="AK167"/>
  <c r="AJ167"/>
  <c r="DR107"/>
  <c r="DX106"/>
  <c r="DV106"/>
  <c r="DW106"/>
  <c r="AA75"/>
  <c r="AW7" i="5"/>
  <c r="H7" s="1"/>
  <c r="AC15" i="8"/>
  <c r="AV7" i="5"/>
  <c r="AA15" i="8"/>
  <c r="AB15"/>
  <c r="J45"/>
  <c r="AA44"/>
  <c r="DD160"/>
  <c r="AB39"/>
  <c r="AC41"/>
  <c r="AB45"/>
  <c r="DD161"/>
  <c r="DB161"/>
  <c r="AK169"/>
  <c r="AK170"/>
  <c r="AK171"/>
  <c r="AK172"/>
  <c r="AK173"/>
  <c r="DB160"/>
  <c r="AK23"/>
  <c r="AJ25"/>
  <c r="AA13"/>
  <c r="AB13"/>
  <c r="AC16"/>
  <c r="AC46"/>
  <c r="AK108"/>
  <c r="AK104"/>
  <c r="AA42"/>
  <c r="AB69"/>
  <c r="AC69"/>
  <c r="DD228"/>
  <c r="AA95"/>
  <c r="AB95"/>
  <c r="AC89"/>
  <c r="AA90"/>
  <c r="AB90"/>
  <c r="AC91"/>
  <c r="AA94"/>
  <c r="AB94"/>
  <c r="AI112"/>
  <c r="G34" i="17" l="1"/>
  <c r="G36"/>
  <c r="F33"/>
  <c r="F35"/>
  <c r="F37"/>
  <c r="G33"/>
  <c r="G35"/>
  <c r="G37"/>
  <c r="F34"/>
  <c r="F36"/>
  <c r="F32"/>
  <c r="G32" s="1"/>
  <c r="C32"/>
  <c r="C33" s="1"/>
  <c r="C34" s="1"/>
  <c r="C35" s="1"/>
  <c r="C36" s="1"/>
  <c r="C37" s="1"/>
  <c r="AJ75"/>
  <c r="AJ97" s="1"/>
  <c r="F26"/>
  <c r="F28"/>
  <c r="F27"/>
  <c r="F25"/>
  <c r="C25"/>
  <c r="AK77"/>
  <c r="U37" i="10"/>
  <c r="V37" s="1"/>
  <c r="C13" i="17"/>
  <c r="D10"/>
  <c r="AK81"/>
  <c r="AK89"/>
  <c r="AK78"/>
  <c r="AK86"/>
  <c r="AK94"/>
  <c r="AM88"/>
  <c r="AM82"/>
  <c r="AJ76"/>
  <c r="AM81"/>
  <c r="AM87"/>
  <c r="F14"/>
  <c r="F16"/>
  <c r="F18"/>
  <c r="F20"/>
  <c r="F13"/>
  <c r="F15"/>
  <c r="F17"/>
  <c r="F19"/>
  <c r="F21"/>
  <c r="I100" i="2"/>
  <c r="AD207" i="10"/>
  <c r="AD209"/>
  <c r="AD205"/>
  <c r="AD203"/>
  <c r="AE203" s="1"/>
  <c r="AD206"/>
  <c r="AD208"/>
  <c r="AD210"/>
  <c r="AD201"/>
  <c r="AE201" s="1"/>
  <c r="AD191"/>
  <c r="AE191" s="1"/>
  <c r="AH191" s="1"/>
  <c r="AQ191" s="1"/>
  <c r="AD193"/>
  <c r="AE193" s="1"/>
  <c r="AH193" s="1"/>
  <c r="AQ193" s="1"/>
  <c r="AD195"/>
  <c r="AE195" s="1"/>
  <c r="AH195" s="1"/>
  <c r="AQ195" s="1"/>
  <c r="AD197"/>
  <c r="AE197" s="1"/>
  <c r="AH197" s="1"/>
  <c r="AQ197" s="1"/>
  <c r="AD190"/>
  <c r="AE190" s="1"/>
  <c r="AH190" s="1"/>
  <c r="AQ190" s="1"/>
  <c r="AD202"/>
  <c r="AE202" s="1"/>
  <c r="AD200"/>
  <c r="AE200" s="1"/>
  <c r="AD192"/>
  <c r="AE192" s="1"/>
  <c r="AH192" s="1"/>
  <c r="AQ192" s="1"/>
  <c r="AD194"/>
  <c r="AE194" s="1"/>
  <c r="AH194" s="1"/>
  <c r="AQ194" s="1"/>
  <c r="AD196"/>
  <c r="AE196" s="1"/>
  <c r="AH196" s="1"/>
  <c r="AQ196" s="1"/>
  <c r="AD198"/>
  <c r="AE198" s="1"/>
  <c r="AH198" s="1"/>
  <c r="AQ198" s="1"/>
  <c r="AJ78"/>
  <c r="AK78" s="1"/>
  <c r="BA76" s="1"/>
  <c r="H9" i="17"/>
  <c r="CC78" i="10"/>
  <c r="AA65"/>
  <c r="AC62"/>
  <c r="AQ5" i="15"/>
  <c r="AJ79" i="10"/>
  <c r="AK79" s="1"/>
  <c r="BE77" s="1"/>
  <c r="AJ75"/>
  <c r="AK75" s="1"/>
  <c r="U70" i="8"/>
  <c r="S70"/>
  <c r="V92"/>
  <c r="V94" s="1"/>
  <c r="AC34" i="10"/>
  <c r="U49"/>
  <c r="V49" s="1"/>
  <c r="U18"/>
  <c r="U15"/>
  <c r="V15" s="1"/>
  <c r="AD174"/>
  <c r="AD186"/>
  <c r="AE186" s="1"/>
  <c r="AF186" s="1"/>
  <c r="AH186" s="1"/>
  <c r="AD172"/>
  <c r="AJ98"/>
  <c r="AK98" s="1"/>
  <c r="AD188"/>
  <c r="AE188" s="1"/>
  <c r="AF188" s="1"/>
  <c r="AD185"/>
  <c r="AE185" s="1"/>
  <c r="AF185" s="1"/>
  <c r="AD182"/>
  <c r="AE182" s="1"/>
  <c r="AF182" s="1"/>
  <c r="AH182" s="1"/>
  <c r="AO182" s="1"/>
  <c r="AD180"/>
  <c r="AE180" s="1"/>
  <c r="AF180" s="1"/>
  <c r="AH180" s="1"/>
  <c r="AO180" s="1"/>
  <c r="AD179"/>
  <c r="AD175"/>
  <c r="AE175" s="1"/>
  <c r="AD173"/>
  <c r="AD187"/>
  <c r="AE187" s="1"/>
  <c r="AF187" s="1"/>
  <c r="AH187" s="1"/>
  <c r="AD184"/>
  <c r="AE184" s="1"/>
  <c r="AF184" s="1"/>
  <c r="AH184" s="1"/>
  <c r="AD181"/>
  <c r="AE181" s="1"/>
  <c r="AF181" s="1"/>
  <c r="AH181" s="1"/>
  <c r="AO181" s="1"/>
  <c r="AE179"/>
  <c r="AF179" s="1"/>
  <c r="AH179" s="1"/>
  <c r="AD178"/>
  <c r="AE178" s="1"/>
  <c r="AF178" s="1"/>
  <c r="AH178" s="1"/>
  <c r="AO178" s="1"/>
  <c r="AD176"/>
  <c r="AE176" s="1"/>
  <c r="T70" i="8"/>
  <c r="AC75"/>
  <c r="AB75"/>
  <c r="U65" i="10"/>
  <c r="U51"/>
  <c r="V51" s="1"/>
  <c r="U53"/>
  <c r="U39"/>
  <c r="V39" s="1"/>
  <c r="W39" s="1"/>
  <c r="X39" s="1"/>
  <c r="U17"/>
  <c r="U19"/>
  <c r="U21"/>
  <c r="U23"/>
  <c r="U66"/>
  <c r="V66" s="1"/>
  <c r="U50"/>
  <c r="V50" s="1"/>
  <c r="U52"/>
  <c r="U54"/>
  <c r="U38"/>
  <c r="V38" s="1"/>
  <c r="W38" s="1"/>
  <c r="X38" s="1"/>
  <c r="U40"/>
  <c r="U16"/>
  <c r="V16" s="1"/>
  <c r="U20"/>
  <c r="U22"/>
  <c r="AC46"/>
  <c r="AC12"/>
  <c r="E52"/>
  <c r="S52" s="1"/>
  <c r="T52" s="1"/>
  <c r="EC10" i="2"/>
  <c r="O10" s="1"/>
  <c r="E40" i="10"/>
  <c r="S40" s="1"/>
  <c r="T40" s="1"/>
  <c r="AJ97"/>
  <c r="AK97" s="1"/>
  <c r="AL97" s="1"/>
  <c r="AJ87"/>
  <c r="AK87" s="1"/>
  <c r="AL87" s="1"/>
  <c r="AJ88"/>
  <c r="AK88" s="1"/>
  <c r="AL88" s="1"/>
  <c r="BY78"/>
  <c r="AJ76"/>
  <c r="AK76" s="1"/>
  <c r="AJ91"/>
  <c r="AK91" s="1"/>
  <c r="AJ77"/>
  <c r="AK77" s="1"/>
  <c r="AW76" s="1"/>
  <c r="AJ94"/>
  <c r="AK94" s="1"/>
  <c r="AL94" s="1"/>
  <c r="BM78"/>
  <c r="BU78"/>
  <c r="BQ78"/>
  <c r="AJ89"/>
  <c r="AK89" s="1"/>
  <c r="AL89" s="1"/>
  <c r="AJ95"/>
  <c r="AK95" s="1"/>
  <c r="AL95" s="1"/>
  <c r="AJ90"/>
  <c r="AK90" s="1"/>
  <c r="AJ96"/>
  <c r="AK96" s="1"/>
  <c r="AL96" s="1"/>
  <c r="E17"/>
  <c r="S17" s="1"/>
  <c r="T17" s="1"/>
  <c r="ED12" i="2"/>
  <c r="EA10"/>
  <c r="M10" s="1"/>
  <c r="DT10"/>
  <c r="E10" s="1"/>
  <c r="DV12"/>
  <c r="DY12"/>
  <c r="K12" s="1"/>
  <c r="DV10"/>
  <c r="DX10"/>
  <c r="J10" s="1"/>
  <c r="DZ12"/>
  <c r="DU12"/>
  <c r="F12" s="1"/>
  <c r="F11" s="1"/>
  <c r="EC12"/>
  <c r="O12" s="1"/>
  <c r="DZ10"/>
  <c r="EE10"/>
  <c r="Q10" s="1"/>
  <c r="DW10"/>
  <c r="EB10"/>
  <c r="N10" s="1"/>
  <c r="DY10"/>
  <c r="K10" s="1"/>
  <c r="DU10"/>
  <c r="F10" s="1"/>
  <c r="DT12"/>
  <c r="E12" s="1"/>
  <c r="E11" s="1"/>
  <c r="DX12"/>
  <c r="J12" s="1"/>
  <c r="J11" s="1"/>
  <c r="EB12"/>
  <c r="N12" s="1"/>
  <c r="DW12"/>
  <c r="EA12"/>
  <c r="M12" s="1"/>
  <c r="S92" i="8"/>
  <c r="T92"/>
  <c r="J51"/>
  <c r="CN70" i="5"/>
  <c r="H70" s="1"/>
  <c r="E98" i="10"/>
  <c r="CP70" i="5"/>
  <c r="J70" s="1"/>
  <c r="CO70"/>
  <c r="I70" s="1"/>
  <c r="CP78" i="10"/>
  <c r="CO78"/>
  <c r="CQ70" i="5"/>
  <c r="L70" s="1"/>
  <c r="E90" i="10"/>
  <c r="E77"/>
  <c r="AL78" s="1"/>
  <c r="CL70" i="5"/>
  <c r="CS70"/>
  <c r="N70" s="1"/>
  <c r="CR70"/>
  <c r="M70" s="1"/>
  <c r="CM70"/>
  <c r="I70" i="8"/>
  <c r="I97"/>
  <c r="H43"/>
  <c r="H51"/>
  <c r="I68"/>
  <c r="T69" s="1"/>
  <c r="J68"/>
  <c r="DC229"/>
  <c r="DB162"/>
  <c r="DD162"/>
  <c r="I16"/>
  <c r="J16"/>
  <c r="F20" i="4"/>
  <c r="V18"/>
  <c r="N16"/>
  <c r="I16"/>
  <c r="CI16"/>
  <c r="J16"/>
  <c r="K16"/>
  <c r="W16"/>
  <c r="H16"/>
  <c r="GI9" i="6"/>
  <c r="S9" s="1"/>
  <c r="GH9"/>
  <c r="GK9"/>
  <c r="U9" s="1"/>
  <c r="GG9"/>
  <c r="GC9"/>
  <c r="FY9"/>
  <c r="FU9"/>
  <c r="GJ9"/>
  <c r="GF9"/>
  <c r="GB9"/>
  <c r="FX9"/>
  <c r="GM9"/>
  <c r="W9" s="1"/>
  <c r="GE9"/>
  <c r="GA9"/>
  <c r="FW9"/>
  <c r="GL9"/>
  <c r="V9" s="1"/>
  <c r="GD9"/>
  <c r="FZ9"/>
  <c r="FV9"/>
  <c r="I80" i="8"/>
  <c r="DA97"/>
  <c r="CW97"/>
  <c r="CS97"/>
  <c r="CZ97"/>
  <c r="CR97"/>
  <c r="CT97"/>
  <c r="CY97"/>
  <c r="CU97"/>
  <c r="CQ97"/>
  <c r="CV97"/>
  <c r="CX97"/>
  <c r="CP97"/>
  <c r="U93"/>
  <c r="U94" s="1"/>
  <c r="AC96"/>
  <c r="DW107"/>
  <c r="AB49" s="1"/>
  <c r="DV107"/>
  <c r="AA49" s="1"/>
  <c r="DX107"/>
  <c r="AC49" s="1"/>
  <c r="CS95"/>
  <c r="CW95"/>
  <c r="DA95"/>
  <c r="CP95"/>
  <c r="CT95"/>
  <c r="CX95"/>
  <c r="CQ95"/>
  <c r="CU95"/>
  <c r="CY95"/>
  <c r="CR95"/>
  <c r="CV95"/>
  <c r="CZ95"/>
  <c r="CX98"/>
  <c r="CT98"/>
  <c r="CP98"/>
  <c r="CW98"/>
  <c r="CU98"/>
  <c r="CZ98"/>
  <c r="CV98"/>
  <c r="CR98"/>
  <c r="DA98"/>
  <c r="CS98"/>
  <c r="CY98"/>
  <c r="CQ98"/>
  <c r="DW51"/>
  <c r="DR52"/>
  <c r="DX51"/>
  <c r="DV51"/>
  <c r="AU9" i="5"/>
  <c r="AS9"/>
  <c r="AQ9"/>
  <c r="AO9"/>
  <c r="AM9"/>
  <c r="AK9"/>
  <c r="AI9"/>
  <c r="AG9"/>
  <c r="AE9"/>
  <c r="AR9"/>
  <c r="AN9"/>
  <c r="AJ9"/>
  <c r="AF9"/>
  <c r="AT9"/>
  <c r="AP9"/>
  <c r="AL9"/>
  <c r="AH9"/>
  <c r="AD9"/>
  <c r="AB96" i="8"/>
  <c r="T93"/>
  <c r="DA163"/>
  <c r="CY163"/>
  <c r="CW163"/>
  <c r="CU163"/>
  <c r="CS163"/>
  <c r="CQ163"/>
  <c r="CX163"/>
  <c r="CT163"/>
  <c r="CP163"/>
  <c r="CV163"/>
  <c r="CZ163"/>
  <c r="CR163"/>
  <c r="CC12"/>
  <c r="J43"/>
  <c r="I45"/>
  <c r="AW8" i="5"/>
  <c r="AV8"/>
  <c r="H70" i="8"/>
  <c r="S69" s="1"/>
  <c r="DD229"/>
  <c r="AA12"/>
  <c r="AB12"/>
  <c r="H16"/>
  <c r="CW96"/>
  <c r="CX96"/>
  <c r="CT96"/>
  <c r="CP96"/>
  <c r="CQ96"/>
  <c r="CY96"/>
  <c r="CS96"/>
  <c r="DA96"/>
  <c r="CZ96"/>
  <c r="CV96"/>
  <c r="CR96"/>
  <c r="CU96"/>
  <c r="DT8" i="3"/>
  <c r="DR8"/>
  <c r="DP8"/>
  <c r="DN8"/>
  <c r="DL8"/>
  <c r="G8" s="1"/>
  <c r="DJ8"/>
  <c r="O8"/>
  <c r="DQ8"/>
  <c r="DM8"/>
  <c r="H8" s="1"/>
  <c r="DI8"/>
  <c r="U9"/>
  <c r="DS8"/>
  <c r="DO8"/>
  <c r="DK8"/>
  <c r="DR18" i="8"/>
  <c r="S93"/>
  <c r="AA96"/>
  <c r="DA230"/>
  <c r="CY230"/>
  <c r="CW230"/>
  <c r="CZ230"/>
  <c r="CV230"/>
  <c r="CT230"/>
  <c r="CR230"/>
  <c r="CP230"/>
  <c r="CX230"/>
  <c r="CU230"/>
  <c r="CS230"/>
  <c r="CQ230"/>
  <c r="DR27"/>
  <c r="DW26"/>
  <c r="DX26"/>
  <c r="DV26"/>
  <c r="CK73" i="5"/>
  <c r="CI73"/>
  <c r="CG73"/>
  <c r="CE73"/>
  <c r="CC73"/>
  <c r="CA73"/>
  <c r="BY73"/>
  <c r="BW73"/>
  <c r="BU73"/>
  <c r="BS73"/>
  <c r="BQ73"/>
  <c r="BO73"/>
  <c r="BM73"/>
  <c r="BK73"/>
  <c r="BI73"/>
  <c r="BG73"/>
  <c r="BE73"/>
  <c r="BC73"/>
  <c r="BA73"/>
  <c r="AY73"/>
  <c r="AW73"/>
  <c r="AU73"/>
  <c r="CJ73"/>
  <c r="CH73"/>
  <c r="CF73"/>
  <c r="CD73"/>
  <c r="CB73"/>
  <c r="BZ73"/>
  <c r="BX73"/>
  <c r="BV73"/>
  <c r="BT73"/>
  <c r="BR73"/>
  <c r="BP73"/>
  <c r="BN73"/>
  <c r="BL73"/>
  <c r="BJ73"/>
  <c r="BH73"/>
  <c r="BF73"/>
  <c r="BD73"/>
  <c r="BB73"/>
  <c r="AZ73"/>
  <c r="AX73"/>
  <c r="AV73"/>
  <c r="AQ73"/>
  <c r="J70" i="8"/>
  <c r="J80" s="1"/>
  <c r="H45"/>
  <c r="AX8" i="5"/>
  <c r="I8" s="1"/>
  <c r="DB229" i="8"/>
  <c r="AC12"/>
  <c r="DC162"/>
  <c r="AM79" i="17" l="1"/>
  <c r="AM95"/>
  <c r="AM89"/>
  <c r="AM90"/>
  <c r="AM96"/>
  <c r="AM80"/>
  <c r="AK90"/>
  <c r="AK82"/>
  <c r="AK93"/>
  <c r="AK85"/>
  <c r="AM83"/>
  <c r="AM91"/>
  <c r="AM77"/>
  <c r="AM85"/>
  <c r="AM93"/>
  <c r="AM94"/>
  <c r="AM86"/>
  <c r="AM78"/>
  <c r="AM92"/>
  <c r="AM84"/>
  <c r="AK96"/>
  <c r="AK92"/>
  <c r="AK88"/>
  <c r="AK84"/>
  <c r="AK80"/>
  <c r="AK95"/>
  <c r="AK91"/>
  <c r="AK87"/>
  <c r="AK83"/>
  <c r="AK79"/>
  <c r="C26"/>
  <c r="C27" s="1"/>
  <c r="C28" s="1"/>
  <c r="G25"/>
  <c r="G13"/>
  <c r="C14"/>
  <c r="G26" s="1"/>
  <c r="AK100"/>
  <c r="AK102"/>
  <c r="AK101"/>
  <c r="AK99"/>
  <c r="AJ103"/>
  <c r="AM101"/>
  <c r="AM100"/>
  <c r="AM99"/>
  <c r="AM102"/>
  <c r="I130" i="2"/>
  <c r="I128"/>
  <c r="I131"/>
  <c r="I129"/>
  <c r="I123"/>
  <c r="I125"/>
  <c r="I133"/>
  <c r="I135"/>
  <c r="I103"/>
  <c r="I124"/>
  <c r="I126"/>
  <c r="I132"/>
  <c r="I134"/>
  <c r="W37" i="10"/>
  <c r="X37" s="1"/>
  <c r="AC37" s="1"/>
  <c r="V65"/>
  <c r="W65" s="1"/>
  <c r="X65" s="1"/>
  <c r="Y50"/>
  <c r="W50"/>
  <c r="X50" s="1"/>
  <c r="Y51"/>
  <c r="W51"/>
  <c r="X51" s="1"/>
  <c r="Y49"/>
  <c r="W49"/>
  <c r="X49" s="1"/>
  <c r="I101" i="2"/>
  <c r="I121"/>
  <c r="I115"/>
  <c r="K103"/>
  <c r="L103" s="1"/>
  <c r="K119"/>
  <c r="N119" s="1"/>
  <c r="I108"/>
  <c r="I107"/>
  <c r="K111"/>
  <c r="P111" s="1"/>
  <c r="I116"/>
  <c r="K116"/>
  <c r="P116" s="1"/>
  <c r="I119"/>
  <c r="I111"/>
  <c r="K115"/>
  <c r="P115" s="1"/>
  <c r="K107"/>
  <c r="N107" s="1"/>
  <c r="I120"/>
  <c r="I112"/>
  <c r="I104"/>
  <c r="K108"/>
  <c r="P108" s="1"/>
  <c r="I117"/>
  <c r="I113"/>
  <c r="I109"/>
  <c r="I105"/>
  <c r="K121"/>
  <c r="V121" s="1"/>
  <c r="K117"/>
  <c r="N117" s="1"/>
  <c r="K113"/>
  <c r="P113" s="1"/>
  <c r="K109"/>
  <c r="N109" s="1"/>
  <c r="K105"/>
  <c r="O105" s="1"/>
  <c r="I102"/>
  <c r="I118"/>
  <c r="I114"/>
  <c r="I110"/>
  <c r="I106"/>
  <c r="K120"/>
  <c r="M120" s="1"/>
  <c r="K112"/>
  <c r="S112" s="1"/>
  <c r="K104"/>
  <c r="O104" s="1"/>
  <c r="K102"/>
  <c r="N102" s="1"/>
  <c r="K118"/>
  <c r="N118" s="1"/>
  <c r="K114"/>
  <c r="N114" s="1"/>
  <c r="K110"/>
  <c r="N110" s="1"/>
  <c r="K106"/>
  <c r="O106" s="1"/>
  <c r="AP198" i="10"/>
  <c r="AO198"/>
  <c r="AP194"/>
  <c r="AO194"/>
  <c r="AP190"/>
  <c r="AO190"/>
  <c r="AP195"/>
  <c r="AO195"/>
  <c r="AP191"/>
  <c r="AO191"/>
  <c r="AE210"/>
  <c r="AH210" s="1"/>
  <c r="AE206"/>
  <c r="AH206" s="1"/>
  <c r="AE205"/>
  <c r="AH205" s="1"/>
  <c r="AE207"/>
  <c r="AH207" s="1"/>
  <c r="AP196"/>
  <c r="AO196"/>
  <c r="AP192"/>
  <c r="AO192"/>
  <c r="AP197"/>
  <c r="AO197"/>
  <c r="AP193"/>
  <c r="AO193"/>
  <c r="AE208"/>
  <c r="AH208" s="1"/>
  <c r="AE209"/>
  <c r="AH209" s="1"/>
  <c r="AH202"/>
  <c r="AH203"/>
  <c r="AE173"/>
  <c r="AF173" s="1"/>
  <c r="AH173" s="1"/>
  <c r="AE172"/>
  <c r="AF172" s="1"/>
  <c r="AH172" s="1"/>
  <c r="AE174"/>
  <c r="AF174" s="1"/>
  <c r="AH174" s="1"/>
  <c r="AH200"/>
  <c r="AH201"/>
  <c r="BD172"/>
  <c r="H171" s="1"/>
  <c r="AP184"/>
  <c r="AO184"/>
  <c r="AH188"/>
  <c r="AP188" s="1"/>
  <c r="M121" i="2"/>
  <c r="AF176" i="10"/>
  <c r="AH176" s="1"/>
  <c r="AO24" i="15"/>
  <c r="AV24" s="1"/>
  <c r="BA81" i="10"/>
  <c r="BA82"/>
  <c r="BB80"/>
  <c r="BA80"/>
  <c r="BA94"/>
  <c r="BA99"/>
  <c r="AW94"/>
  <c r="AW99"/>
  <c r="AS94"/>
  <c r="AS99"/>
  <c r="AO94"/>
  <c r="AO99"/>
  <c r="AO95"/>
  <c r="AO98"/>
  <c r="Y37"/>
  <c r="AA37"/>
  <c r="AA42" s="1"/>
  <c r="Y38"/>
  <c r="AA38"/>
  <c r="AA43" s="1"/>
  <c r="Y39"/>
  <c r="AA39"/>
  <c r="AA44" s="1"/>
  <c r="Y15"/>
  <c r="Y16"/>
  <c r="AO8" i="15"/>
  <c r="AW8" s="1"/>
  <c r="AO56"/>
  <c r="AO52"/>
  <c r="AX52" s="1"/>
  <c r="AO48"/>
  <c r="AO44"/>
  <c r="AX44" s="1"/>
  <c r="AO40"/>
  <c r="AV40" s="1"/>
  <c r="AO36"/>
  <c r="AX36" s="1"/>
  <c r="AO32"/>
  <c r="AV32" s="1"/>
  <c r="AO28"/>
  <c r="AX28" s="1"/>
  <c r="AO23"/>
  <c r="AV23" s="1"/>
  <c r="AO19"/>
  <c r="AV19" s="1"/>
  <c r="AO15"/>
  <c r="AX15" s="1"/>
  <c r="AO11"/>
  <c r="AV11" s="1"/>
  <c r="AO7"/>
  <c r="AV7" s="1"/>
  <c r="AO57"/>
  <c r="AX57" s="1"/>
  <c r="AO53"/>
  <c r="AX53" s="1"/>
  <c r="AO49"/>
  <c r="AX49" s="1"/>
  <c r="AO45"/>
  <c r="AX45" s="1"/>
  <c r="AO41"/>
  <c r="AX41" s="1"/>
  <c r="AO37"/>
  <c r="AV37" s="1"/>
  <c r="AO33"/>
  <c r="AV33" s="1"/>
  <c r="AO29"/>
  <c r="AW29" s="1"/>
  <c r="AO25"/>
  <c r="AX25" s="1"/>
  <c r="AO20"/>
  <c r="AV20" s="1"/>
  <c r="AO16"/>
  <c r="AW16" s="1"/>
  <c r="AO12"/>
  <c r="AV12" s="1"/>
  <c r="AO58"/>
  <c r="AV58" s="1"/>
  <c r="AO54"/>
  <c r="AX54" s="1"/>
  <c r="AO50"/>
  <c r="AX50" s="1"/>
  <c r="AO46"/>
  <c r="AX46" s="1"/>
  <c r="AO42"/>
  <c r="AX42" s="1"/>
  <c r="AO38"/>
  <c r="AX38" s="1"/>
  <c r="AO34"/>
  <c r="AW34" s="1"/>
  <c r="AO30"/>
  <c r="AW30" s="1"/>
  <c r="AO26"/>
  <c r="AV26" s="1"/>
  <c r="AO21"/>
  <c r="AV21" s="1"/>
  <c r="AO17"/>
  <c r="AX17" s="1"/>
  <c r="AO13"/>
  <c r="AV13" s="1"/>
  <c r="AO9"/>
  <c r="AV9" s="1"/>
  <c r="AO6"/>
  <c r="AW6" s="1"/>
  <c r="AO55"/>
  <c r="AV55" s="1"/>
  <c r="AO51"/>
  <c r="AX51" s="1"/>
  <c r="AO47"/>
  <c r="AX47" s="1"/>
  <c r="AO43"/>
  <c r="AX43" s="1"/>
  <c r="AO39"/>
  <c r="AX39" s="1"/>
  <c r="AO35"/>
  <c r="AX35" s="1"/>
  <c r="AO31"/>
  <c r="AW31" s="1"/>
  <c r="AO27"/>
  <c r="AX27" s="1"/>
  <c r="AO22"/>
  <c r="AW22" s="1"/>
  <c r="AO18"/>
  <c r="AW18" s="1"/>
  <c r="AO14"/>
  <c r="AW14" s="1"/>
  <c r="AO10"/>
  <c r="AW10" s="1"/>
  <c r="AF175" i="10"/>
  <c r="AH175" s="1"/>
  <c r="S94" i="8"/>
  <c r="Y66" i="10"/>
  <c r="AS77"/>
  <c r="AL76"/>
  <c r="AS82" s="1"/>
  <c r="AL75"/>
  <c r="AQ184"/>
  <c r="AQ187"/>
  <c r="AP187"/>
  <c r="AO187"/>
  <c r="AQ186"/>
  <c r="AO186"/>
  <c r="AP186"/>
  <c r="AH185"/>
  <c r="AP180"/>
  <c r="AP178"/>
  <c r="AP181"/>
  <c r="AO179"/>
  <c r="AP179"/>
  <c r="AP182"/>
  <c r="AL98"/>
  <c r="AX172"/>
  <c r="H176" s="1"/>
  <c r="AO91"/>
  <c r="AO87"/>
  <c r="AO97"/>
  <c r="DC98" i="8"/>
  <c r="AU86" i="10"/>
  <c r="AS89"/>
  <c r="AU88"/>
  <c r="AS87"/>
  <c r="V17"/>
  <c r="AU89"/>
  <c r="AS91"/>
  <c r="AS90"/>
  <c r="V40"/>
  <c r="W40" s="1"/>
  <c r="X40" s="1"/>
  <c r="V52"/>
  <c r="W15"/>
  <c r="W16"/>
  <c r="X16" s="1"/>
  <c r="Z16" s="1"/>
  <c r="AC38"/>
  <c r="E53"/>
  <c r="S53" s="1"/>
  <c r="T53" s="1"/>
  <c r="V53" s="1"/>
  <c r="W53" s="1"/>
  <c r="X53" s="1"/>
  <c r="AQ86"/>
  <c r="AS97"/>
  <c r="AL77"/>
  <c r="AU87"/>
  <c r="AW77"/>
  <c r="AS98"/>
  <c r="AW93"/>
  <c r="BE76"/>
  <c r="AW97"/>
  <c r="BA77"/>
  <c r="AO89"/>
  <c r="AO88"/>
  <c r="AO90"/>
  <c r="AQ88"/>
  <c r="AW98"/>
  <c r="EA13" i="2"/>
  <c r="M13" s="1"/>
  <c r="DV13"/>
  <c r="DW13"/>
  <c r="EE13"/>
  <c r="Q13" s="1"/>
  <c r="DZ13"/>
  <c r="ED13"/>
  <c r="E18" i="10"/>
  <c r="S18" s="1"/>
  <c r="T18" s="1"/>
  <c r="V18" s="1"/>
  <c r="Z18" s="1"/>
  <c r="AA28" s="1"/>
  <c r="DU13" i="2"/>
  <c r="F13" s="1"/>
  <c r="DY13"/>
  <c r="K13" s="1"/>
  <c r="EC13"/>
  <c r="O13" s="1"/>
  <c r="DT13"/>
  <c r="E13" s="1"/>
  <c r="DX13"/>
  <c r="J13" s="1"/>
  <c r="EB13"/>
  <c r="N13" s="1"/>
  <c r="T94" i="8"/>
  <c r="BA97" i="10"/>
  <c r="BA95"/>
  <c r="BA93"/>
  <c r="BA98"/>
  <c r="BA96"/>
  <c r="CL73" i="5"/>
  <c r="E73" s="1"/>
  <c r="L26" s="1"/>
  <c r="G122" i="10"/>
  <c r="F122" s="1"/>
  <c r="AL90"/>
  <c r="BC88" s="1"/>
  <c r="AY88"/>
  <c r="AY86"/>
  <c r="AW90"/>
  <c r="AY89"/>
  <c r="AY87"/>
  <c r="AW91"/>
  <c r="AW89"/>
  <c r="AW87"/>
  <c r="CM73" i="5"/>
  <c r="E91" i="10"/>
  <c r="E78"/>
  <c r="AL79" s="1"/>
  <c r="CN73" i="5"/>
  <c r="CS73"/>
  <c r="N73" s="1"/>
  <c r="CR73"/>
  <c r="CP73"/>
  <c r="CO73"/>
  <c r="S42" i="8"/>
  <c r="DD163"/>
  <c r="U68" s="1"/>
  <c r="U71" s="1"/>
  <c r="DC95"/>
  <c r="DB97"/>
  <c r="F22" i="4"/>
  <c r="V20"/>
  <c r="H18"/>
  <c r="CI18"/>
  <c r="N18"/>
  <c r="I18"/>
  <c r="W18"/>
  <c r="J18"/>
  <c r="Q18"/>
  <c r="K18"/>
  <c r="GK10" i="6"/>
  <c r="GG10"/>
  <c r="GC10"/>
  <c r="FY10"/>
  <c r="FU10"/>
  <c r="GL10"/>
  <c r="V10" s="1"/>
  <c r="GH10"/>
  <c r="GD10"/>
  <c r="FZ10"/>
  <c r="FV10"/>
  <c r="U10"/>
  <c r="GM10"/>
  <c r="W10" s="1"/>
  <c r="GI10"/>
  <c r="S10" s="1"/>
  <c r="GE10"/>
  <c r="GA10"/>
  <c r="FW10"/>
  <c r="GJ10"/>
  <c r="GF10"/>
  <c r="GB10"/>
  <c r="FX10"/>
  <c r="CQ73" i="5"/>
  <c r="DW27" i="8"/>
  <c r="DR34"/>
  <c r="DX27"/>
  <c r="DV27"/>
  <c r="AP74" i="5"/>
  <c r="EE14" i="2"/>
  <c r="Q14" s="1"/>
  <c r="EC14"/>
  <c r="O14" s="1"/>
  <c r="EA14"/>
  <c r="M14" s="1"/>
  <c r="DY14"/>
  <c r="K14" s="1"/>
  <c r="DW14"/>
  <c r="DU14"/>
  <c r="F14" s="1"/>
  <c r="ED14"/>
  <c r="EB14"/>
  <c r="N14" s="1"/>
  <c r="DZ14"/>
  <c r="DX14"/>
  <c r="J14" s="1"/>
  <c r="DV14"/>
  <c r="DT14"/>
  <c r="E14" s="1"/>
  <c r="DR19" i="8"/>
  <c r="DQ12"/>
  <c r="I53"/>
  <c r="T42"/>
  <c r="AU10" i="5"/>
  <c r="AS10"/>
  <c r="AQ10"/>
  <c r="AO10"/>
  <c r="AM10"/>
  <c r="AK10"/>
  <c r="AI10"/>
  <c r="AG10"/>
  <c r="AE10"/>
  <c r="AR10"/>
  <c r="AN10"/>
  <c r="AJ10"/>
  <c r="AF10"/>
  <c r="AT10"/>
  <c r="AP10"/>
  <c r="AL10"/>
  <c r="AH10"/>
  <c r="AD10"/>
  <c r="DX52" i="8"/>
  <c r="DV52"/>
  <c r="DR53"/>
  <c r="DW52"/>
  <c r="DD230"/>
  <c r="DC230"/>
  <c r="DB230"/>
  <c r="DD96"/>
  <c r="DC96"/>
  <c r="H53"/>
  <c r="DB163"/>
  <c r="S68" s="1"/>
  <c r="S71" s="1"/>
  <c r="AW9" i="5"/>
  <c r="H9" s="1"/>
  <c r="AV9"/>
  <c r="G9" s="1"/>
  <c r="DD98" i="8"/>
  <c r="DD95"/>
  <c r="DB95"/>
  <c r="DC97"/>
  <c r="DD97"/>
  <c r="V69"/>
  <c r="V71" s="1"/>
  <c r="H80"/>
  <c r="U10" i="3"/>
  <c r="DS9"/>
  <c r="DQ9"/>
  <c r="DO9"/>
  <c r="DM9"/>
  <c r="DK9"/>
  <c r="DI9"/>
  <c r="DR9"/>
  <c r="DN9"/>
  <c r="I9" s="1"/>
  <c r="AS86" i="10" s="1"/>
  <c r="DJ9" i="3"/>
  <c r="DT9"/>
  <c r="O9" s="1"/>
  <c r="DP9"/>
  <c r="DL9"/>
  <c r="J53" i="8"/>
  <c r="V42"/>
  <c r="V44" s="1"/>
  <c r="CC17"/>
  <c r="CC16"/>
  <c r="CC15"/>
  <c r="CC14"/>
  <c r="CC13"/>
  <c r="DB96"/>
  <c r="DC163"/>
  <c r="T68" s="1"/>
  <c r="T71" s="1"/>
  <c r="AX9" i="5"/>
  <c r="DB98" i="8"/>
  <c r="BC172" i="10" l="1"/>
  <c r="G171" s="1"/>
  <c r="C15" i="17"/>
  <c r="C16" s="1"/>
  <c r="X120" i="2"/>
  <c r="P103"/>
  <c r="Q103"/>
  <c r="N116"/>
  <c r="G27" i="17"/>
  <c r="S121" i="2"/>
  <c r="Y103"/>
  <c r="X103"/>
  <c r="O116"/>
  <c r="AK107" i="17"/>
  <c r="AK105"/>
  <c r="AK106"/>
  <c r="AK108"/>
  <c r="AM108"/>
  <c r="AM105"/>
  <c r="AM106"/>
  <c r="AM107"/>
  <c r="Q109" i="2"/>
  <c r="V109"/>
  <c r="M109"/>
  <c r="X109"/>
  <c r="U103"/>
  <c r="M103"/>
  <c r="T103"/>
  <c r="W116"/>
  <c r="R116"/>
  <c r="T110"/>
  <c r="X110"/>
  <c r="R119"/>
  <c r="O119"/>
  <c r="V104"/>
  <c r="U104"/>
  <c r="N104"/>
  <c r="M104"/>
  <c r="Z104"/>
  <c r="R104"/>
  <c r="Y104"/>
  <c r="Q104"/>
  <c r="U120"/>
  <c r="P120"/>
  <c r="Y118"/>
  <c r="Y65" i="10"/>
  <c r="Y52"/>
  <c r="W52"/>
  <c r="X52" s="1"/>
  <c r="L110" i="2"/>
  <c r="Q110"/>
  <c r="U110"/>
  <c r="M110"/>
  <c r="R110"/>
  <c r="V110"/>
  <c r="W103"/>
  <c r="S103"/>
  <c r="O103"/>
  <c r="Z103"/>
  <c r="V103"/>
  <c r="R103"/>
  <c r="N103"/>
  <c r="X104"/>
  <c r="T104"/>
  <c r="P104"/>
  <c r="L104"/>
  <c r="W104"/>
  <c r="S104"/>
  <c r="Y116"/>
  <c r="S116"/>
  <c r="Z116"/>
  <c r="Y120"/>
  <c r="Q120"/>
  <c r="T120"/>
  <c r="U105"/>
  <c r="Q102"/>
  <c r="U108"/>
  <c r="V108"/>
  <c r="P102"/>
  <c r="T107"/>
  <c r="U109"/>
  <c r="L109"/>
  <c r="R109"/>
  <c r="T109"/>
  <c r="Y102"/>
  <c r="X102"/>
  <c r="M108"/>
  <c r="N108"/>
  <c r="Y119"/>
  <c r="U107"/>
  <c r="M107"/>
  <c r="U102"/>
  <c r="M102"/>
  <c r="T102"/>
  <c r="L102"/>
  <c r="Y108"/>
  <c r="Q108"/>
  <c r="Z108"/>
  <c r="R108"/>
  <c r="Y107"/>
  <c r="Q107"/>
  <c r="X107"/>
  <c r="P107"/>
  <c r="S119"/>
  <c r="W102"/>
  <c r="S102"/>
  <c r="O102"/>
  <c r="Z102"/>
  <c r="V102"/>
  <c r="R102"/>
  <c r="W108"/>
  <c r="S108"/>
  <c r="O108"/>
  <c r="L108"/>
  <c r="X108"/>
  <c r="T108"/>
  <c r="L107"/>
  <c r="W107"/>
  <c r="S107"/>
  <c r="O107"/>
  <c r="Z107"/>
  <c r="V107"/>
  <c r="R107"/>
  <c r="W119"/>
  <c r="Z119"/>
  <c r="P119"/>
  <c r="W120"/>
  <c r="S120"/>
  <c r="Z120"/>
  <c r="V120"/>
  <c r="R120"/>
  <c r="X105"/>
  <c r="S113"/>
  <c r="N120"/>
  <c r="O110"/>
  <c r="R118"/>
  <c r="P105"/>
  <c r="M105"/>
  <c r="N113"/>
  <c r="O118"/>
  <c r="O121"/>
  <c r="L121"/>
  <c r="Z112"/>
  <c r="W111"/>
  <c r="W112"/>
  <c r="W115"/>
  <c r="N112"/>
  <c r="O112"/>
  <c r="Z111"/>
  <c r="R115"/>
  <c r="P112"/>
  <c r="Y112"/>
  <c r="Y111"/>
  <c r="S111"/>
  <c r="N111"/>
  <c r="O115"/>
  <c r="N115"/>
  <c r="O111"/>
  <c r="Y115"/>
  <c r="S115"/>
  <c r="Z115"/>
  <c r="V106"/>
  <c r="U106"/>
  <c r="W110"/>
  <c r="P110"/>
  <c r="S118"/>
  <c r="L105"/>
  <c r="T105"/>
  <c r="Y105"/>
  <c r="Q105"/>
  <c r="Y113"/>
  <c r="Z113"/>
  <c r="W121"/>
  <c r="Z121"/>
  <c r="R121"/>
  <c r="O120"/>
  <c r="N106"/>
  <c r="M106"/>
  <c r="Y114"/>
  <c r="Y117"/>
  <c r="Z106"/>
  <c r="R106"/>
  <c r="Y106"/>
  <c r="Q106"/>
  <c r="Z114"/>
  <c r="O109"/>
  <c r="R117"/>
  <c r="X106"/>
  <c r="T106"/>
  <c r="P106"/>
  <c r="L106"/>
  <c r="W106"/>
  <c r="S106"/>
  <c r="S114"/>
  <c r="P114"/>
  <c r="W109"/>
  <c r="P109"/>
  <c r="S117"/>
  <c r="O117"/>
  <c r="W114"/>
  <c r="O114"/>
  <c r="R114"/>
  <c r="Y109"/>
  <c r="S109"/>
  <c r="Z109"/>
  <c r="W117"/>
  <c r="Z117"/>
  <c r="P117"/>
  <c r="Y110"/>
  <c r="S110"/>
  <c r="Z110"/>
  <c r="W118"/>
  <c r="Z118"/>
  <c r="P118"/>
  <c r="Z105"/>
  <c r="V105"/>
  <c r="R105"/>
  <c r="N105"/>
  <c r="W105"/>
  <c r="S105"/>
  <c r="W113"/>
  <c r="O113"/>
  <c r="Y121"/>
  <c r="U121"/>
  <c r="Q121"/>
  <c r="X121"/>
  <c r="T121"/>
  <c r="P121"/>
  <c r="L120"/>
  <c r="N121"/>
  <c r="AO188" i="10"/>
  <c r="AO209"/>
  <c r="AP209"/>
  <c r="AO207"/>
  <c r="AP207"/>
  <c r="AO206"/>
  <c r="AP206"/>
  <c r="AO208"/>
  <c r="AP208"/>
  <c r="AO205"/>
  <c r="AP205"/>
  <c r="AO210"/>
  <c r="AP210"/>
  <c r="BB172"/>
  <c r="F171" s="1"/>
  <c r="AP200"/>
  <c r="AO200"/>
  <c r="AP203"/>
  <c r="AO203"/>
  <c r="AP201"/>
  <c r="AO201"/>
  <c r="AP202"/>
  <c r="AO202"/>
  <c r="AI172"/>
  <c r="AO172"/>
  <c r="AI174"/>
  <c r="AP174"/>
  <c r="AO173"/>
  <c r="AI173"/>
  <c r="AP173"/>
  <c r="AO174"/>
  <c r="AI176"/>
  <c r="AP176"/>
  <c r="AO176"/>
  <c r="AO175"/>
  <c r="AI175"/>
  <c r="BI82"/>
  <c r="CN82" s="1"/>
  <c r="AX24" i="15"/>
  <c r="AW24"/>
  <c r="AV48"/>
  <c r="CW82" i="10"/>
  <c r="CW80"/>
  <c r="CW81"/>
  <c r="AX56" i="15"/>
  <c r="CW99" i="10"/>
  <c r="BE81"/>
  <c r="BE82"/>
  <c r="AO82"/>
  <c r="AW81"/>
  <c r="AW82"/>
  <c r="AO86"/>
  <c r="AO81"/>
  <c r="AS80"/>
  <c r="AS81"/>
  <c r="AO80"/>
  <c r="AX80"/>
  <c r="AW80"/>
  <c r="BF80"/>
  <c r="BE80"/>
  <c r="AT80"/>
  <c r="AP80"/>
  <c r="BE97"/>
  <c r="BE94"/>
  <c r="BI94" s="1"/>
  <c r="BE99"/>
  <c r="BI99" s="1"/>
  <c r="CN99" s="1"/>
  <c r="AC65"/>
  <c r="AC69" s="1"/>
  <c r="AF65"/>
  <c r="AF69" s="1"/>
  <c r="AH65"/>
  <c r="AH69" s="1"/>
  <c r="AJ65"/>
  <c r="AL65"/>
  <c r="AN65"/>
  <c r="AN69" s="1"/>
  <c r="AD65"/>
  <c r="AD69" s="1"/>
  <c r="AE65"/>
  <c r="AE69" s="1"/>
  <c r="AG65"/>
  <c r="AG69" s="1"/>
  <c r="AI65"/>
  <c r="AI69" s="1"/>
  <c r="AK65"/>
  <c r="AK69" s="1"/>
  <c r="AM65"/>
  <c r="AM69" s="1"/>
  <c r="AO65"/>
  <c r="AO69" s="1"/>
  <c r="Y40"/>
  <c r="AA40"/>
  <c r="AA45" s="1"/>
  <c r="BE95"/>
  <c r="W17"/>
  <c r="X17" s="1"/>
  <c r="AA17" s="1"/>
  <c r="AA16"/>
  <c r="AA26" s="1"/>
  <c r="Y17"/>
  <c r="Y18"/>
  <c r="AV53" i="15"/>
  <c r="AW53"/>
  <c r="AX58"/>
  <c r="AW56"/>
  <c r="AV56"/>
  <c r="AX55"/>
  <c r="AX22"/>
  <c r="AV16"/>
  <c r="AW9"/>
  <c r="AX19"/>
  <c r="AX11"/>
  <c r="AW17"/>
  <c r="AX14"/>
  <c r="AV8"/>
  <c r="AV17"/>
  <c r="AW27"/>
  <c r="AV43"/>
  <c r="AW40"/>
  <c r="AW48"/>
  <c r="AX40"/>
  <c r="AX48"/>
  <c r="AW23"/>
  <c r="AV22"/>
  <c r="AX20"/>
  <c r="AW19"/>
  <c r="AV18"/>
  <c r="AX16"/>
  <c r="AW15"/>
  <c r="AV14"/>
  <c r="AX12"/>
  <c r="AW11"/>
  <c r="AV10"/>
  <c r="AX8"/>
  <c r="AX23"/>
  <c r="AX7"/>
  <c r="AX21"/>
  <c r="AW20"/>
  <c r="AV15"/>
  <c r="AX13"/>
  <c r="AW12"/>
  <c r="AX9"/>
  <c r="AW7"/>
  <c r="AW43"/>
  <c r="AW21"/>
  <c r="AX18"/>
  <c r="AW13"/>
  <c r="AX10"/>
  <c r="AX32"/>
  <c r="AV6"/>
  <c r="AW32"/>
  <c r="AW28"/>
  <c r="AW25"/>
  <c r="AV42"/>
  <c r="AV45"/>
  <c r="AV50"/>
  <c r="AV54"/>
  <c r="AV57"/>
  <c r="AW42"/>
  <c r="AW45"/>
  <c r="AW50"/>
  <c r="AW58"/>
  <c r="AW54"/>
  <c r="AV39"/>
  <c r="AV46"/>
  <c r="AV47"/>
  <c r="AV51"/>
  <c r="AW39"/>
  <c r="AW46"/>
  <c r="AW47"/>
  <c r="AW51"/>
  <c r="AW55"/>
  <c r="AW37"/>
  <c r="AV36"/>
  <c r="AX34"/>
  <c r="AW33"/>
  <c r="AX37"/>
  <c r="AW36"/>
  <c r="AV35"/>
  <c r="AX33"/>
  <c r="AW26"/>
  <c r="AV52"/>
  <c r="AW52"/>
  <c r="AV41"/>
  <c r="AV44"/>
  <c r="AV49"/>
  <c r="AW41"/>
  <c r="AW44"/>
  <c r="AW49"/>
  <c r="AW57"/>
  <c r="AV38"/>
  <c r="AW35"/>
  <c r="AV34"/>
  <c r="AV25"/>
  <c r="AW38"/>
  <c r="AV31"/>
  <c r="AV27"/>
  <c r="AV30"/>
  <c r="AV29"/>
  <c r="AV28"/>
  <c r="AX26"/>
  <c r="AX31"/>
  <c r="AX30"/>
  <c r="AX29"/>
  <c r="AX6"/>
  <c r="AO75" i="10"/>
  <c r="AG40"/>
  <c r="AG45" s="1"/>
  <c r="BE98"/>
  <c r="BI98" s="1"/>
  <c r="CC98" s="1"/>
  <c r="W66"/>
  <c r="X66" s="1"/>
  <c r="AP172"/>
  <c r="AP175"/>
  <c r="T41" i="8"/>
  <c r="AE39" i="10"/>
  <c r="AE44" s="1"/>
  <c r="AG39"/>
  <c r="AG44" s="1"/>
  <c r="AF39"/>
  <c r="AF44" s="1"/>
  <c r="AJ39"/>
  <c r="AJ44" s="1"/>
  <c r="AN39"/>
  <c r="AN44" s="1"/>
  <c r="AE38"/>
  <c r="AE43" s="1"/>
  <c r="AG38"/>
  <c r="AG43" s="1"/>
  <c r="AF38"/>
  <c r="AF43" s="1"/>
  <c r="AJ38"/>
  <c r="AJ43" s="1"/>
  <c r="AN38"/>
  <c r="AN43" s="1"/>
  <c r="AA50"/>
  <c r="AA57" s="1"/>
  <c r="AA51"/>
  <c r="AA58" s="1"/>
  <c r="AA49"/>
  <c r="AA56" s="1"/>
  <c r="X15"/>
  <c r="Z15" s="1"/>
  <c r="Y53"/>
  <c r="AQ185"/>
  <c r="BA172" s="1"/>
  <c r="H177" s="1"/>
  <c r="AP185"/>
  <c r="AZ172" s="1"/>
  <c r="AO185"/>
  <c r="BE96"/>
  <c r="BE93"/>
  <c r="AU172"/>
  <c r="H175" s="1"/>
  <c r="AW86"/>
  <c r="AW172"/>
  <c r="G176" s="1"/>
  <c r="AV172"/>
  <c r="F176" s="1"/>
  <c r="AF16"/>
  <c r="AF26" s="1"/>
  <c r="AJ16"/>
  <c r="AG16"/>
  <c r="AG26" s="1"/>
  <c r="AN16"/>
  <c r="AN26" s="1"/>
  <c r="AE16"/>
  <c r="W18"/>
  <c r="X18" s="1"/>
  <c r="E54"/>
  <c r="S54" s="1"/>
  <c r="T54" s="1"/>
  <c r="V54" s="1"/>
  <c r="W54" s="1"/>
  <c r="X54" s="1"/>
  <c r="E19"/>
  <c r="S19" s="1"/>
  <c r="T19" s="1"/>
  <c r="V19" s="1"/>
  <c r="Z19" s="1"/>
  <c r="AA29" s="1"/>
  <c r="BI97"/>
  <c r="BA91"/>
  <c r="BA87"/>
  <c r="BC89"/>
  <c r="BC86"/>
  <c r="BA89"/>
  <c r="BC87"/>
  <c r="BA86"/>
  <c r="BA90"/>
  <c r="AL91"/>
  <c r="BE90" s="1"/>
  <c r="U41" i="8"/>
  <c r="F24" i="4"/>
  <c r="V22"/>
  <c r="K20"/>
  <c r="J20"/>
  <c r="I20"/>
  <c r="CI20"/>
  <c r="N20"/>
  <c r="W20"/>
  <c r="H20"/>
  <c r="GJ11" i="6"/>
  <c r="GF11"/>
  <c r="GB11"/>
  <c r="FX11"/>
  <c r="GK11"/>
  <c r="GG11"/>
  <c r="GC11"/>
  <c r="FY11"/>
  <c r="FU11"/>
  <c r="GL11"/>
  <c r="GH11"/>
  <c r="GD11"/>
  <c r="FZ11"/>
  <c r="FV11"/>
  <c r="GM11"/>
  <c r="W11" s="1"/>
  <c r="GI11"/>
  <c r="GE11"/>
  <c r="GA11"/>
  <c r="FW11"/>
  <c r="F11" s="1"/>
  <c r="AW10" i="5"/>
  <c r="CV13" i="8"/>
  <c r="DA13"/>
  <c r="CW13"/>
  <c r="CS13"/>
  <c r="CP13"/>
  <c r="CX13"/>
  <c r="CR13"/>
  <c r="CZ13"/>
  <c r="CY13"/>
  <c r="CU13"/>
  <c r="CQ13"/>
  <c r="CT13"/>
  <c r="DA15"/>
  <c r="CW15"/>
  <c r="CS15"/>
  <c r="CZ15"/>
  <c r="CR15"/>
  <c r="CX15"/>
  <c r="CP15"/>
  <c r="CY15"/>
  <c r="CQ15"/>
  <c r="CV15"/>
  <c r="CT15"/>
  <c r="CU15"/>
  <c r="DR54"/>
  <c r="DX53"/>
  <c r="DV53"/>
  <c r="DW53"/>
  <c r="AT11" i="5"/>
  <c r="AR11"/>
  <c r="AP11"/>
  <c r="AN11"/>
  <c r="AL11"/>
  <c r="AJ11"/>
  <c r="AH11"/>
  <c r="AF11"/>
  <c r="AD11"/>
  <c r="AU11"/>
  <c r="AS11"/>
  <c r="AQ11"/>
  <c r="AO11"/>
  <c r="AM11"/>
  <c r="AK11"/>
  <c r="AI11"/>
  <c r="AG11"/>
  <c r="AE11"/>
  <c r="CY14" i="8"/>
  <c r="CU14"/>
  <c r="CQ14"/>
  <c r="CV14"/>
  <c r="CT14"/>
  <c r="DA14"/>
  <c r="CW14"/>
  <c r="CS14"/>
  <c r="CZ14"/>
  <c r="CR14"/>
  <c r="CX14"/>
  <c r="CP14"/>
  <c r="CY16"/>
  <c r="CU16"/>
  <c r="CQ16"/>
  <c r="CZ16"/>
  <c r="CR16"/>
  <c r="CT16"/>
  <c r="DA16"/>
  <c r="CW16"/>
  <c r="CS16"/>
  <c r="CV16"/>
  <c r="CX16"/>
  <c r="CP16"/>
  <c r="U11" i="3"/>
  <c r="DT10"/>
  <c r="O10" s="1"/>
  <c r="DR10"/>
  <c r="DP10"/>
  <c r="DN10"/>
  <c r="DL10"/>
  <c r="DJ10"/>
  <c r="DQ10"/>
  <c r="DM10"/>
  <c r="DI10"/>
  <c r="DS10"/>
  <c r="DO10"/>
  <c r="J10" s="1"/>
  <c r="DK10"/>
  <c r="ED15" i="2"/>
  <c r="EB15"/>
  <c r="N15" s="1"/>
  <c r="U111" s="1"/>
  <c r="DZ15"/>
  <c r="DX15"/>
  <c r="J15" s="1"/>
  <c r="Q111" s="1"/>
  <c r="DV15"/>
  <c r="DT15"/>
  <c r="E15" s="1"/>
  <c r="L111" s="1"/>
  <c r="EE15"/>
  <c r="Q15" s="1"/>
  <c r="X111" s="1"/>
  <c r="EC15"/>
  <c r="O15" s="1"/>
  <c r="V111" s="1"/>
  <c r="EA15"/>
  <c r="M15" s="1"/>
  <c r="T111" s="1"/>
  <c r="DY15"/>
  <c r="K15" s="1"/>
  <c r="R111" s="1"/>
  <c r="DW15"/>
  <c r="DU15"/>
  <c r="F15" s="1"/>
  <c r="M111" s="1"/>
  <c r="AP75" i="5"/>
  <c r="CJ74"/>
  <c r="CH74"/>
  <c r="CF74"/>
  <c r="CD74"/>
  <c r="CB74"/>
  <c r="BZ74"/>
  <c r="BX74"/>
  <c r="BV74"/>
  <c r="BT74"/>
  <c r="BR74"/>
  <c r="BP74"/>
  <c r="BN74"/>
  <c r="BL74"/>
  <c r="BJ74"/>
  <c r="BH74"/>
  <c r="BF74"/>
  <c r="BD74"/>
  <c r="BB74"/>
  <c r="AZ74"/>
  <c r="AX74"/>
  <c r="AV74"/>
  <c r="AQ74"/>
  <c r="CK74"/>
  <c r="CI74"/>
  <c r="CG74"/>
  <c r="CE74"/>
  <c r="CC74"/>
  <c r="CA74"/>
  <c r="BY74"/>
  <c r="BW74"/>
  <c r="BU74"/>
  <c r="BS74"/>
  <c r="BQ74"/>
  <c r="BO74"/>
  <c r="BM74"/>
  <c r="BK74"/>
  <c r="BI74"/>
  <c r="BG74"/>
  <c r="BE74"/>
  <c r="BC74"/>
  <c r="BA74"/>
  <c r="AY74"/>
  <c r="AW74"/>
  <c r="AU74"/>
  <c r="DR36" i="8"/>
  <c r="DX34"/>
  <c r="DV34"/>
  <c r="DW34"/>
  <c r="AV10" i="5"/>
  <c r="G10" s="1"/>
  <c r="S41" i="8"/>
  <c r="AX10" i="5"/>
  <c r="I10" s="1"/>
  <c r="CY17" i="8"/>
  <c r="CU17"/>
  <c r="CQ17"/>
  <c r="CT17"/>
  <c r="CV17"/>
  <c r="DA17"/>
  <c r="CW17"/>
  <c r="CS17"/>
  <c r="CX17"/>
  <c r="CP17"/>
  <c r="CZ17"/>
  <c r="CR17"/>
  <c r="DQ97"/>
  <c r="DQ96"/>
  <c r="DQ95"/>
  <c r="DQ17"/>
  <c r="DQ16"/>
  <c r="DQ15"/>
  <c r="DQ14"/>
  <c r="DQ13"/>
  <c r="DX12"/>
  <c r="DQ19"/>
  <c r="DX19" s="1"/>
  <c r="DQ18"/>
  <c r="DV12"/>
  <c r="DQ20"/>
  <c r="DW12"/>
  <c r="DR20"/>
  <c r="DW19"/>
  <c r="AY172" i="10" l="1"/>
  <c r="C17" i="17"/>
  <c r="C18" s="1"/>
  <c r="C19" s="1"/>
  <c r="C20" s="1"/>
  <c r="C21" s="1"/>
  <c r="G28"/>
  <c r="G14"/>
  <c r="AS172" i="10"/>
  <c r="F175" s="1"/>
  <c r="CI82"/>
  <c r="CP82" s="1"/>
  <c r="E126"/>
  <c r="BI80"/>
  <c r="BQ99"/>
  <c r="BU99"/>
  <c r="BI81"/>
  <c r="BJ80"/>
  <c r="CR80" s="1"/>
  <c r="CI97"/>
  <c r="CP97" s="1"/>
  <c r="CC97"/>
  <c r="BY99"/>
  <c r="CC99"/>
  <c r="CI94"/>
  <c r="CO94" s="1"/>
  <c r="CC94"/>
  <c r="E143"/>
  <c r="CI99"/>
  <c r="CP99" s="1"/>
  <c r="BM99"/>
  <c r="CI98"/>
  <c r="BM98"/>
  <c r="AL69"/>
  <c r="AP65"/>
  <c r="AS65" s="1"/>
  <c r="AC66"/>
  <c r="AC70" s="1"/>
  <c r="AJ69"/>
  <c r="AP69"/>
  <c r="AF66"/>
  <c r="AF70" s="1"/>
  <c r="AH66"/>
  <c r="AH70" s="1"/>
  <c r="AJ66"/>
  <c r="AJ70" s="1"/>
  <c r="AL66"/>
  <c r="AL70" s="1"/>
  <c r="AN66"/>
  <c r="AN70" s="1"/>
  <c r="AD66"/>
  <c r="AD70" s="1"/>
  <c r="AE66"/>
  <c r="AE70" s="1"/>
  <c r="AG66"/>
  <c r="AG70" s="1"/>
  <c r="AI66"/>
  <c r="AI70" s="1"/>
  <c r="AK66"/>
  <c r="AK70" s="1"/>
  <c r="AM66"/>
  <c r="AM70" s="1"/>
  <c r="AO66"/>
  <c r="AO70" s="1"/>
  <c r="AJ49"/>
  <c r="AJ56" s="1"/>
  <c r="AJ45"/>
  <c r="AM45"/>
  <c r="AJ17"/>
  <c r="Z17"/>
  <c r="AA27" s="1"/>
  <c r="AJ26"/>
  <c r="AE26"/>
  <c r="AE17"/>
  <c r="AN17"/>
  <c r="AN27" s="1"/>
  <c r="AG17"/>
  <c r="AG27" s="1"/>
  <c r="AF17"/>
  <c r="AF27" s="1"/>
  <c r="AA15"/>
  <c r="AA25" s="1"/>
  <c r="AI18"/>
  <c r="AI28" s="1"/>
  <c r="AA18"/>
  <c r="AC15"/>
  <c r="Y19"/>
  <c r="AE40"/>
  <c r="AE45" s="1"/>
  <c r="AN15"/>
  <c r="AN25" s="1"/>
  <c r="BQ98"/>
  <c r="AJ40"/>
  <c r="AN40"/>
  <c r="AN45" s="1"/>
  <c r="AF40"/>
  <c r="AF45" s="1"/>
  <c r="AT172"/>
  <c r="G175" s="1"/>
  <c r="BU97"/>
  <c r="BU98"/>
  <c r="BU94"/>
  <c r="AE49"/>
  <c r="AE56" s="1"/>
  <c r="AG49"/>
  <c r="AG56" s="1"/>
  <c r="AF49"/>
  <c r="AF56" s="1"/>
  <c r="AN49"/>
  <c r="AN56" s="1"/>
  <c r="AE51"/>
  <c r="AE58" s="1"/>
  <c r="AG51"/>
  <c r="AG58" s="1"/>
  <c r="AF51"/>
  <c r="AF58" s="1"/>
  <c r="AJ51"/>
  <c r="AJ58" s="1"/>
  <c r="AN51"/>
  <c r="AN58" s="1"/>
  <c r="AF50"/>
  <c r="AF57" s="1"/>
  <c r="AJ50"/>
  <c r="AJ57" s="1"/>
  <c r="AN50"/>
  <c r="AN57" s="1"/>
  <c r="AE50"/>
  <c r="AE57" s="1"/>
  <c r="AG50"/>
  <c r="AG57" s="1"/>
  <c r="AE37"/>
  <c r="AG37"/>
  <c r="AG42" s="1"/>
  <c r="AF37"/>
  <c r="AF42" s="1"/>
  <c r="AJ37"/>
  <c r="AJ42" s="1"/>
  <c r="AN37"/>
  <c r="AN42" s="1"/>
  <c r="AF15"/>
  <c r="AF25" s="1"/>
  <c r="AA53"/>
  <c r="AA60" s="1"/>
  <c r="AA52"/>
  <c r="AA59" s="1"/>
  <c r="AE15"/>
  <c r="AJ15"/>
  <c r="AG15"/>
  <c r="AG25" s="1"/>
  <c r="Y54"/>
  <c r="BQ97"/>
  <c r="H179"/>
  <c r="F177"/>
  <c r="G177"/>
  <c r="CM74" i="5"/>
  <c r="AF18" i="10"/>
  <c r="AF28" s="1"/>
  <c r="AJ18"/>
  <c r="AJ28" s="1"/>
  <c r="AG18"/>
  <c r="AG28" s="1"/>
  <c r="AN18"/>
  <c r="AN28" s="1"/>
  <c r="AE18"/>
  <c r="AE28" s="1"/>
  <c r="W19"/>
  <c r="X19" s="1"/>
  <c r="E20"/>
  <c r="S20" s="1"/>
  <c r="T20" s="1"/>
  <c r="V20" s="1"/>
  <c r="Z20" s="1"/>
  <c r="AA30" s="1"/>
  <c r="BY98"/>
  <c r="BY97"/>
  <c r="CN98"/>
  <c r="E142" s="1"/>
  <c r="BM97"/>
  <c r="BE74"/>
  <c r="CN97"/>
  <c r="E141" s="1"/>
  <c r="BQ94"/>
  <c r="BY94"/>
  <c r="BM94"/>
  <c r="CN94"/>
  <c r="E138" s="1"/>
  <c r="BG88"/>
  <c r="BG86"/>
  <c r="BK86" s="1"/>
  <c r="BI90"/>
  <c r="CC90" s="1"/>
  <c r="BE88"/>
  <c r="BE86"/>
  <c r="BG89"/>
  <c r="BG87"/>
  <c r="BE91"/>
  <c r="BI91" s="1"/>
  <c r="CC91" s="1"/>
  <c r="BE89"/>
  <c r="BI89" s="1"/>
  <c r="CC89" s="1"/>
  <c r="BE87"/>
  <c r="BI87" s="1"/>
  <c r="CC87" s="1"/>
  <c r="CO74" i="5"/>
  <c r="CS74"/>
  <c r="N74" s="1"/>
  <c r="CN74"/>
  <c r="CR74"/>
  <c r="M74" s="1"/>
  <c r="CL74"/>
  <c r="DV19" i="8"/>
  <c r="DC16"/>
  <c r="F26" i="4"/>
  <c r="V24"/>
  <c r="CI22"/>
  <c r="N22"/>
  <c r="I22"/>
  <c r="J22"/>
  <c r="H22"/>
  <c r="K22"/>
  <c r="W22"/>
  <c r="GK12" i="6"/>
  <c r="GG12"/>
  <c r="GC12"/>
  <c r="FY12"/>
  <c r="FU12"/>
  <c r="GJ12"/>
  <c r="GF12"/>
  <c r="GB12"/>
  <c r="FX12"/>
  <c r="GM12"/>
  <c r="W12" s="1"/>
  <c r="GI12"/>
  <c r="GE12"/>
  <c r="GA12"/>
  <c r="FW12"/>
  <c r="GL12"/>
  <c r="V12" s="1"/>
  <c r="GH12"/>
  <c r="GD12"/>
  <c r="FZ12"/>
  <c r="FV12"/>
  <c r="U12"/>
  <c r="CQ74" i="5"/>
  <c r="L74" s="1"/>
  <c r="CP74"/>
  <c r="AV11"/>
  <c r="DW13" i="8"/>
  <c r="DX13"/>
  <c r="DV13"/>
  <c r="DX15"/>
  <c r="DW15"/>
  <c r="DV15"/>
  <c r="DQ101"/>
  <c r="DQ100"/>
  <c r="DV17"/>
  <c r="DX17"/>
  <c r="DW17"/>
  <c r="DX96"/>
  <c r="DW96"/>
  <c r="DV96"/>
  <c r="DW54"/>
  <c r="AB23" s="1"/>
  <c r="DX54"/>
  <c r="AC23" s="1"/>
  <c r="DV54"/>
  <c r="AA23" s="1"/>
  <c r="DD17"/>
  <c r="DB17"/>
  <c r="DB16"/>
  <c r="DB14"/>
  <c r="DD14"/>
  <c r="AX11" i="5"/>
  <c r="I11" s="1"/>
  <c r="AW11"/>
  <c r="H11" s="1"/>
  <c r="DC15" i="8"/>
  <c r="DB15"/>
  <c r="DD15"/>
  <c r="DC13"/>
  <c r="DD13"/>
  <c r="DB13"/>
  <c r="DW20"/>
  <c r="DV20"/>
  <c r="DX20"/>
  <c r="DX18"/>
  <c r="DW18"/>
  <c r="DV18"/>
  <c r="DX14"/>
  <c r="DV14"/>
  <c r="DW14"/>
  <c r="DX16"/>
  <c r="DV16"/>
  <c r="DW16"/>
  <c r="DX95"/>
  <c r="DV95"/>
  <c r="DW95"/>
  <c r="DW97"/>
  <c r="DX97"/>
  <c r="DV97"/>
  <c r="DW36"/>
  <c r="DR37"/>
  <c r="DX36"/>
  <c r="DV36"/>
  <c r="AP78" i="5"/>
  <c r="CJ75"/>
  <c r="CH75"/>
  <c r="CF75"/>
  <c r="CD75"/>
  <c r="CB75"/>
  <c r="BZ75"/>
  <c r="BX75"/>
  <c r="BV75"/>
  <c r="BT75"/>
  <c r="BR75"/>
  <c r="BP75"/>
  <c r="BN75"/>
  <c r="BL75"/>
  <c r="BJ75"/>
  <c r="BH75"/>
  <c r="BF75"/>
  <c r="BD75"/>
  <c r="BB75"/>
  <c r="AZ75"/>
  <c r="AX75"/>
  <c r="AV75"/>
  <c r="AT75"/>
  <c r="AR75"/>
  <c r="CK75"/>
  <c r="CI75"/>
  <c r="CG75"/>
  <c r="CE75"/>
  <c r="CC75"/>
  <c r="CA75"/>
  <c r="BY75"/>
  <c r="BW75"/>
  <c r="BU75"/>
  <c r="BS75"/>
  <c r="BQ75"/>
  <c r="BO75"/>
  <c r="BM75"/>
  <c r="BK75"/>
  <c r="BI75"/>
  <c r="BG75"/>
  <c r="BE75"/>
  <c r="BC75"/>
  <c r="BA75"/>
  <c r="AY75"/>
  <c r="CM75" s="1"/>
  <c r="AW75"/>
  <c r="AU75"/>
  <c r="AS75"/>
  <c r="AQ75"/>
  <c r="ED16" i="2"/>
  <c r="EB16"/>
  <c r="N16" s="1"/>
  <c r="U112" s="1"/>
  <c r="DZ16"/>
  <c r="DX16"/>
  <c r="J16" s="1"/>
  <c r="Q112" s="1"/>
  <c r="DV16"/>
  <c r="DT16"/>
  <c r="E16" s="1"/>
  <c r="L112" s="1"/>
  <c r="EE16"/>
  <c r="Q16" s="1"/>
  <c r="X112" s="1"/>
  <c r="EC16"/>
  <c r="O16" s="1"/>
  <c r="V112" s="1"/>
  <c r="EA16"/>
  <c r="M16" s="1"/>
  <c r="T112" s="1"/>
  <c r="DY16"/>
  <c r="K16" s="1"/>
  <c r="R112" s="1"/>
  <c r="DW16"/>
  <c r="DU16"/>
  <c r="F16" s="1"/>
  <c r="M112" s="1"/>
  <c r="U12" i="3"/>
  <c r="DS11"/>
  <c r="DQ11"/>
  <c r="DO11"/>
  <c r="J11" s="1"/>
  <c r="AQ87" i="10" s="1"/>
  <c r="DM11" i="3"/>
  <c r="DK11"/>
  <c r="DI11"/>
  <c r="DR11"/>
  <c r="DN11"/>
  <c r="DJ11"/>
  <c r="DT11"/>
  <c r="O11" s="1"/>
  <c r="DP11"/>
  <c r="K11" s="1"/>
  <c r="AQ89" i="10" s="1"/>
  <c r="DL11" i="3"/>
  <c r="AU12" i="5"/>
  <c r="AS12"/>
  <c r="AQ12"/>
  <c r="AO12"/>
  <c r="AM12"/>
  <c r="AK12"/>
  <c r="AI12"/>
  <c r="AG12"/>
  <c r="AE12"/>
  <c r="AT12"/>
  <c r="AR12"/>
  <c r="AP12"/>
  <c r="AN12"/>
  <c r="AL12"/>
  <c r="AJ12"/>
  <c r="AH12"/>
  <c r="AF12"/>
  <c r="AD12"/>
  <c r="DC17" i="8"/>
  <c r="DD16"/>
  <c r="DC14"/>
  <c r="G15" i="17" l="1"/>
  <c r="F179" i="10"/>
  <c r="CN81"/>
  <c r="E125" s="1"/>
  <c r="CN80"/>
  <c r="E124" s="1"/>
  <c r="CO82"/>
  <c r="G126"/>
  <c r="CI80"/>
  <c r="CI81"/>
  <c r="CP81" s="1"/>
  <c r="H124"/>
  <c r="CJ80"/>
  <c r="CT80" s="1"/>
  <c r="CO80"/>
  <c r="CP94"/>
  <c r="G138" s="1"/>
  <c r="F138" s="1"/>
  <c r="CO97"/>
  <c r="CO98"/>
  <c r="CP98"/>
  <c r="G142" s="1"/>
  <c r="CO99"/>
  <c r="G143"/>
  <c r="AS69"/>
  <c r="AR69"/>
  <c r="AT69"/>
  <c r="AU69"/>
  <c r="AT65"/>
  <c r="AU65"/>
  <c r="AR65"/>
  <c r="AW65"/>
  <c r="BF65" s="1"/>
  <c r="AW69"/>
  <c r="BF69" s="1"/>
  <c r="J111" s="1"/>
  <c r="AQ69"/>
  <c r="AP70"/>
  <c r="AS70" s="1"/>
  <c r="AP66"/>
  <c r="AW42"/>
  <c r="J109" s="1"/>
  <c r="AC25"/>
  <c r="AJ27"/>
  <c r="AE42"/>
  <c r="AE27"/>
  <c r="AJ25"/>
  <c r="AE25"/>
  <c r="AI19"/>
  <c r="AI29" s="1"/>
  <c r="AA19"/>
  <c r="Y20"/>
  <c r="AW37"/>
  <c r="G179"/>
  <c r="AF52"/>
  <c r="AF59" s="1"/>
  <c r="AJ52"/>
  <c r="AJ59" s="1"/>
  <c r="AN52"/>
  <c r="AN59" s="1"/>
  <c r="AE52"/>
  <c r="AE59" s="1"/>
  <c r="AG52"/>
  <c r="AG59" s="1"/>
  <c r="AE53"/>
  <c r="AE60" s="1"/>
  <c r="AG53"/>
  <c r="AG60" s="1"/>
  <c r="AF53"/>
  <c r="AF60" s="1"/>
  <c r="AJ53"/>
  <c r="AJ60" s="1"/>
  <c r="AN53"/>
  <c r="AN60" s="1"/>
  <c r="AA54"/>
  <c r="AA61" s="1"/>
  <c r="BK87"/>
  <c r="CK87" s="1"/>
  <c r="BK89"/>
  <c r="CK89" s="1"/>
  <c r="AF19"/>
  <c r="AF29" s="1"/>
  <c r="AJ19"/>
  <c r="AJ29" s="1"/>
  <c r="AG19"/>
  <c r="AG29" s="1"/>
  <c r="AN19"/>
  <c r="AN29" s="1"/>
  <c r="AE19"/>
  <c r="AE29" s="1"/>
  <c r="W20"/>
  <c r="X20" s="1"/>
  <c r="E21"/>
  <c r="S21" s="1"/>
  <c r="T21" s="1"/>
  <c r="V21" s="1"/>
  <c r="Z21" s="1"/>
  <c r="AA31" s="1"/>
  <c r="G141"/>
  <c r="BY87"/>
  <c r="BY89"/>
  <c r="BW87"/>
  <c r="BY90"/>
  <c r="BY91"/>
  <c r="BW86"/>
  <c r="CA86"/>
  <c r="CE86"/>
  <c r="CN89"/>
  <c r="E133" s="1"/>
  <c r="BU89"/>
  <c r="CN90"/>
  <c r="E134" s="1"/>
  <c r="BU90"/>
  <c r="CN87"/>
  <c r="E131" s="1"/>
  <c r="BU87"/>
  <c r="CK86"/>
  <c r="CR86"/>
  <c r="I130" s="1"/>
  <c r="BQ87"/>
  <c r="CI87"/>
  <c r="BQ89"/>
  <c r="CI89"/>
  <c r="BQ90"/>
  <c r="CI90"/>
  <c r="BO86"/>
  <c r="BS86"/>
  <c r="BS87"/>
  <c r="BI86"/>
  <c r="CC86" s="1"/>
  <c r="BM90"/>
  <c r="BK88"/>
  <c r="BM89"/>
  <c r="BM87"/>
  <c r="CP75" i="5"/>
  <c r="J75" s="1"/>
  <c r="CQ75"/>
  <c r="L75" s="1"/>
  <c r="CL75"/>
  <c r="CO75"/>
  <c r="I75" s="1"/>
  <c r="CN75"/>
  <c r="H75" s="1"/>
  <c r="CR75"/>
  <c r="M75" s="1"/>
  <c r="CS75"/>
  <c r="N75" s="1"/>
  <c r="S14" i="8"/>
  <c r="S112" s="1"/>
  <c r="K24" i="4"/>
  <c r="I24"/>
  <c r="W24"/>
  <c r="H24"/>
  <c r="Q24"/>
  <c r="N24"/>
  <c r="CI24"/>
  <c r="J24"/>
  <c r="F28"/>
  <c r="V26"/>
  <c r="GL13" i="6"/>
  <c r="V13" s="1"/>
  <c r="GH13"/>
  <c r="GD13"/>
  <c r="FZ13"/>
  <c r="FV13"/>
  <c r="GK13"/>
  <c r="U13" s="1"/>
  <c r="GG13"/>
  <c r="GC13"/>
  <c r="FY13"/>
  <c r="FU13"/>
  <c r="GJ13"/>
  <c r="GF13"/>
  <c r="GB13"/>
  <c r="FX13"/>
  <c r="G13" s="1"/>
  <c r="GM13"/>
  <c r="W13" s="1"/>
  <c r="GI13"/>
  <c r="GE13"/>
  <c r="GA13"/>
  <c r="FW13"/>
  <c r="DR38" i="8"/>
  <c r="DX37"/>
  <c r="DV37"/>
  <c r="DW37"/>
  <c r="DT12" i="3"/>
  <c r="O12" s="1"/>
  <c r="DR12"/>
  <c r="DP12"/>
  <c r="K12" s="1"/>
  <c r="DN12"/>
  <c r="DL12"/>
  <c r="DJ12"/>
  <c r="DS12"/>
  <c r="DO12"/>
  <c r="DK12"/>
  <c r="U13"/>
  <c r="DQ12"/>
  <c r="DM12"/>
  <c r="DI12"/>
  <c r="ED17" i="2"/>
  <c r="EB17"/>
  <c r="N17" s="1"/>
  <c r="U113" s="1"/>
  <c r="DZ17"/>
  <c r="DX17"/>
  <c r="J17" s="1"/>
  <c r="Q113" s="1"/>
  <c r="DV17"/>
  <c r="DT17"/>
  <c r="E17" s="1"/>
  <c r="L113" s="1"/>
  <c r="EE17"/>
  <c r="Q17" s="1"/>
  <c r="X113" s="1"/>
  <c r="EC17"/>
  <c r="O17" s="1"/>
  <c r="V113" s="1"/>
  <c r="EA17"/>
  <c r="M17" s="1"/>
  <c r="T113" s="1"/>
  <c r="DY17"/>
  <c r="K17" s="1"/>
  <c r="R113" s="1"/>
  <c r="DW17"/>
  <c r="DU17"/>
  <c r="F17" s="1"/>
  <c r="M113" s="1"/>
  <c r="CJ78" i="5"/>
  <c r="CH78"/>
  <c r="CF78"/>
  <c r="CD78"/>
  <c r="CB78"/>
  <c r="BZ78"/>
  <c r="BX78"/>
  <c r="BV78"/>
  <c r="BT78"/>
  <c r="BR78"/>
  <c r="BP78"/>
  <c r="BN78"/>
  <c r="BL78"/>
  <c r="BJ78"/>
  <c r="BH78"/>
  <c r="BF78"/>
  <c r="BD78"/>
  <c r="BB78"/>
  <c r="AZ78"/>
  <c r="AX78"/>
  <c r="AV78"/>
  <c r="AQ78"/>
  <c r="CK78"/>
  <c r="CI78"/>
  <c r="CG78"/>
  <c r="CE78"/>
  <c r="CC78"/>
  <c r="CA78"/>
  <c r="BY78"/>
  <c r="BW78"/>
  <c r="BU78"/>
  <c r="BS78"/>
  <c r="BQ78"/>
  <c r="BO78"/>
  <c r="BM78"/>
  <c r="BK78"/>
  <c r="BI78"/>
  <c r="BG78"/>
  <c r="BE78"/>
  <c r="BC78"/>
  <c r="BA78"/>
  <c r="AY78"/>
  <c r="AW78"/>
  <c r="AU78"/>
  <c r="DV101" i="8"/>
  <c r="DW101"/>
  <c r="DX101"/>
  <c r="AV12" i="5"/>
  <c r="G12" s="1"/>
  <c r="AW12"/>
  <c r="H12" s="1"/>
  <c r="AS76" i="10" s="1"/>
  <c r="AX12" i="5"/>
  <c r="I12" s="1"/>
  <c r="AB47" i="8"/>
  <c r="AC47"/>
  <c r="U14"/>
  <c r="AA20"/>
  <c r="AB20"/>
  <c r="AU18" i="5"/>
  <c r="AS18"/>
  <c r="AQ18"/>
  <c r="AO18"/>
  <c r="AM18"/>
  <c r="AK18"/>
  <c r="AI18"/>
  <c r="AG18"/>
  <c r="AE18"/>
  <c r="AT18"/>
  <c r="AR18"/>
  <c r="AP18"/>
  <c r="AN18"/>
  <c r="AL18"/>
  <c r="AJ18"/>
  <c r="AH18"/>
  <c r="AF18"/>
  <c r="AD18"/>
  <c r="DX100" i="8"/>
  <c r="DV100"/>
  <c r="AA48" s="1"/>
  <c r="DW100"/>
  <c r="AA47"/>
  <c r="T14"/>
  <c r="AC20"/>
  <c r="G16" i="17" l="1"/>
  <c r="F126" i="10"/>
  <c r="CP80"/>
  <c r="G124" s="1"/>
  <c r="F124" s="1"/>
  <c r="CO81"/>
  <c r="G125"/>
  <c r="J124"/>
  <c r="CS80"/>
  <c r="I124" s="1"/>
  <c r="F141"/>
  <c r="F143"/>
  <c r="F142"/>
  <c r="BB69"/>
  <c r="F111" s="1"/>
  <c r="AU70"/>
  <c r="BD69" s="1"/>
  <c r="H111" s="1"/>
  <c r="AS66"/>
  <c r="BB65" s="1"/>
  <c r="AU66"/>
  <c r="BD65" s="1"/>
  <c r="AQ70"/>
  <c r="AV69" s="1"/>
  <c r="AT70"/>
  <c r="BC69" s="1"/>
  <c r="G111" s="1"/>
  <c r="AR70"/>
  <c r="BA69" s="1"/>
  <c r="E111" s="1"/>
  <c r="AR66"/>
  <c r="BA65" s="1"/>
  <c r="AT66"/>
  <c r="BC65" s="1"/>
  <c r="AA20"/>
  <c r="Y21"/>
  <c r="BM86"/>
  <c r="BY86"/>
  <c r="BS89"/>
  <c r="BO87"/>
  <c r="CR87"/>
  <c r="I131" s="1"/>
  <c r="CA87"/>
  <c r="AF54"/>
  <c r="AF61" s="1"/>
  <c r="AJ54"/>
  <c r="AJ61" s="1"/>
  <c r="AW56" s="1"/>
  <c r="J110" s="1"/>
  <c r="AN54"/>
  <c r="AN61" s="1"/>
  <c r="AE54"/>
  <c r="AE61" s="1"/>
  <c r="AG54"/>
  <c r="AG61" s="1"/>
  <c r="CE87"/>
  <c r="CA89"/>
  <c r="CE89"/>
  <c r="BW89"/>
  <c r="CR89"/>
  <c r="I133" s="1"/>
  <c r="BO89"/>
  <c r="AF20"/>
  <c r="AF30" s="1"/>
  <c r="AJ20"/>
  <c r="AJ30" s="1"/>
  <c r="AG20"/>
  <c r="AG30" s="1"/>
  <c r="AN20"/>
  <c r="AN30" s="1"/>
  <c r="AE20"/>
  <c r="AE30" s="1"/>
  <c r="W21"/>
  <c r="X21" s="1"/>
  <c r="E22"/>
  <c r="S22" s="1"/>
  <c r="T22" s="1"/>
  <c r="V22" s="1"/>
  <c r="Z22" s="1"/>
  <c r="AA32" s="1"/>
  <c r="BW88"/>
  <c r="CE88"/>
  <c r="CA88"/>
  <c r="CN91"/>
  <c r="E135" s="1"/>
  <c r="BU91"/>
  <c r="CN86"/>
  <c r="E130" s="1"/>
  <c r="BU86"/>
  <c r="CK88"/>
  <c r="CR88"/>
  <c r="I132" s="1"/>
  <c r="CS86"/>
  <c r="CT86"/>
  <c r="K130" s="1"/>
  <c r="CT89"/>
  <c r="K133" s="1"/>
  <c r="CS89"/>
  <c r="CT87"/>
  <c r="K131" s="1"/>
  <c r="CS87"/>
  <c r="CO90"/>
  <c r="CP90"/>
  <c r="CP89"/>
  <c r="CO89"/>
  <c r="CP87"/>
  <c r="G131" s="1"/>
  <c r="CO87"/>
  <c r="BQ91"/>
  <c r="CI91"/>
  <c r="BQ86"/>
  <c r="CI86"/>
  <c r="BO88"/>
  <c r="BS88"/>
  <c r="BM91"/>
  <c r="CS78" i="5"/>
  <c r="N78" s="1"/>
  <c r="CQ78"/>
  <c r="CL78"/>
  <c r="E78" s="1"/>
  <c r="L38" s="1"/>
  <c r="CP78"/>
  <c r="CR78"/>
  <c r="CN78"/>
  <c r="CO78"/>
  <c r="CM78"/>
  <c r="AW18"/>
  <c r="AC48" i="8"/>
  <c r="U43" s="1"/>
  <c r="U44" s="1"/>
  <c r="N26" i="4"/>
  <c r="I26"/>
  <c r="W26"/>
  <c r="J26"/>
  <c r="CI26"/>
  <c r="H26"/>
  <c r="K26"/>
  <c r="F30"/>
  <c r="V28"/>
  <c r="GM14" i="6"/>
  <c r="W14" s="1"/>
  <c r="GI14"/>
  <c r="GE14"/>
  <c r="GA14"/>
  <c r="FW14"/>
  <c r="GL14"/>
  <c r="GH14"/>
  <c r="GD14"/>
  <c r="FZ14"/>
  <c r="FV14"/>
  <c r="GK14"/>
  <c r="GG14"/>
  <c r="GC14"/>
  <c r="FY14"/>
  <c r="FU14"/>
  <c r="GJ14"/>
  <c r="GF14"/>
  <c r="O14" s="1"/>
  <c r="AS95" i="10" s="1"/>
  <c r="GB14" i="6"/>
  <c r="FX14"/>
  <c r="T112" i="8"/>
  <c r="S43"/>
  <c r="S44" s="1"/>
  <c r="AA50"/>
  <c r="AU19" i="5"/>
  <c r="AS19"/>
  <c r="AQ19"/>
  <c r="AO19"/>
  <c r="AM19"/>
  <c r="AK19"/>
  <c r="AI19"/>
  <c r="AG19"/>
  <c r="AE19"/>
  <c r="AT19"/>
  <c r="AR19"/>
  <c r="AP19"/>
  <c r="AN19"/>
  <c r="AL19"/>
  <c r="AJ19"/>
  <c r="AH19"/>
  <c r="AF19"/>
  <c r="AD19"/>
  <c r="U112" i="8"/>
  <c r="AP79" i="5"/>
  <c r="DW38" i="8"/>
  <c r="DR39"/>
  <c r="DX38"/>
  <c r="DV38"/>
  <c r="AB48"/>
  <c r="AB50" s="1"/>
  <c r="AV18" i="5"/>
  <c r="G18" s="1"/>
  <c r="EE18" i="2"/>
  <c r="Q18" s="1"/>
  <c r="X114" s="1"/>
  <c r="EC18"/>
  <c r="O18" s="1"/>
  <c r="V114" s="1"/>
  <c r="EA18"/>
  <c r="M18" s="1"/>
  <c r="T114" s="1"/>
  <c r="DY18"/>
  <c r="DW18"/>
  <c r="DU18"/>
  <c r="F18" s="1"/>
  <c r="M114" s="1"/>
  <c r="ED18"/>
  <c r="EB18"/>
  <c r="N18" s="1"/>
  <c r="U114" s="1"/>
  <c r="DZ18"/>
  <c r="DX18"/>
  <c r="J18" s="1"/>
  <c r="Q114" s="1"/>
  <c r="DV18"/>
  <c r="DT18"/>
  <c r="E18" s="1"/>
  <c r="L114" s="1"/>
  <c r="DS13" i="3"/>
  <c r="N13" s="1"/>
  <c r="DQ13"/>
  <c r="L13" s="1"/>
  <c r="DO13"/>
  <c r="DM13"/>
  <c r="DK13"/>
  <c r="DI13"/>
  <c r="U15"/>
  <c r="DT13"/>
  <c r="O13" s="1"/>
  <c r="DP13"/>
  <c r="DL13"/>
  <c r="DR13"/>
  <c r="M13" s="1"/>
  <c r="DN13"/>
  <c r="DJ13"/>
  <c r="AX18" i="5"/>
  <c r="G17" i="17" l="1"/>
  <c r="F125" i="10"/>
  <c r="BE69"/>
  <c r="I111" s="1"/>
  <c r="AW49"/>
  <c r="AA21"/>
  <c r="Y22"/>
  <c r="AC50" i="8"/>
  <c r="AF21" i="10"/>
  <c r="AF31" s="1"/>
  <c r="AJ21"/>
  <c r="AJ31" s="1"/>
  <c r="AG21"/>
  <c r="AG31" s="1"/>
  <c r="AN21"/>
  <c r="AN31" s="1"/>
  <c r="AE21"/>
  <c r="AE31" s="1"/>
  <c r="W22"/>
  <c r="X22" s="1"/>
  <c r="E23"/>
  <c r="S23" s="1"/>
  <c r="T23" s="1"/>
  <c r="V23" s="1"/>
  <c r="Z23" s="1"/>
  <c r="AA33" s="1"/>
  <c r="AS75"/>
  <c r="AW75"/>
  <c r="BA75"/>
  <c r="J131"/>
  <c r="J133"/>
  <c r="J130"/>
  <c r="F131"/>
  <c r="G133"/>
  <c r="F133" s="1"/>
  <c r="G134"/>
  <c r="F134" s="1"/>
  <c r="CS88"/>
  <c r="CT88"/>
  <c r="K132" s="1"/>
  <c r="CO86"/>
  <c r="CP86"/>
  <c r="CP91"/>
  <c r="CO91"/>
  <c r="K28" i="4"/>
  <c r="N28"/>
  <c r="I28"/>
  <c r="CI28"/>
  <c r="J28"/>
  <c r="W28"/>
  <c r="H28"/>
  <c r="F32"/>
  <c r="V30"/>
  <c r="GL15" i="6"/>
  <c r="GH15"/>
  <c r="GD15"/>
  <c r="FZ15"/>
  <c r="FV15"/>
  <c r="GK15"/>
  <c r="GG15"/>
  <c r="P15" s="1"/>
  <c r="GC15"/>
  <c r="FY15"/>
  <c r="FU15"/>
  <c r="GJ15"/>
  <c r="GF15"/>
  <c r="GB15"/>
  <c r="FX15"/>
  <c r="GM15"/>
  <c r="W15" s="1"/>
  <c r="GI15"/>
  <c r="GE15"/>
  <c r="GA15"/>
  <c r="FW15"/>
  <c r="ED19" i="2"/>
  <c r="EB19"/>
  <c r="N19" s="1"/>
  <c r="U115" s="1"/>
  <c r="DZ19"/>
  <c r="DX19"/>
  <c r="J19" s="1"/>
  <c r="Q115" s="1"/>
  <c r="DV19"/>
  <c r="DT19"/>
  <c r="E19" s="1"/>
  <c r="L115" s="1"/>
  <c r="EE19"/>
  <c r="Q19" s="1"/>
  <c r="X115" s="1"/>
  <c r="EC19"/>
  <c r="O19" s="1"/>
  <c r="V115" s="1"/>
  <c r="EA19"/>
  <c r="M19" s="1"/>
  <c r="T115" s="1"/>
  <c r="DY19"/>
  <c r="DW19"/>
  <c r="DU19"/>
  <c r="F19" s="1"/>
  <c r="M115" s="1"/>
  <c r="CK79" i="5"/>
  <c r="CI79"/>
  <c r="CG79"/>
  <c r="CE79"/>
  <c r="CC79"/>
  <c r="CA79"/>
  <c r="BY79"/>
  <c r="BW79"/>
  <c r="BU79"/>
  <c r="BS79"/>
  <c r="BQ79"/>
  <c r="BO79"/>
  <c r="BM79"/>
  <c r="BK79"/>
  <c r="BI79"/>
  <c r="BG79"/>
  <c r="BE79"/>
  <c r="BC79"/>
  <c r="BA79"/>
  <c r="AY79"/>
  <c r="AW79"/>
  <c r="AU79"/>
  <c r="AR79"/>
  <c r="AP81"/>
  <c r="CJ79"/>
  <c r="CH79"/>
  <c r="CF79"/>
  <c r="CD79"/>
  <c r="CB79"/>
  <c r="BZ79"/>
  <c r="BX79"/>
  <c r="BV79"/>
  <c r="BT79"/>
  <c r="BR79"/>
  <c r="BP79"/>
  <c r="BN79"/>
  <c r="BL79"/>
  <c r="BJ79"/>
  <c r="BH79"/>
  <c r="BF79"/>
  <c r="BD79"/>
  <c r="BB79"/>
  <c r="AZ79"/>
  <c r="AX79"/>
  <c r="AV79"/>
  <c r="AS79"/>
  <c r="AQ79"/>
  <c r="AU20"/>
  <c r="AS20"/>
  <c r="AQ20"/>
  <c r="AO20"/>
  <c r="AM20"/>
  <c r="AK20"/>
  <c r="AI20"/>
  <c r="AG20"/>
  <c r="AE20"/>
  <c r="AT20"/>
  <c r="AR20"/>
  <c r="AP20"/>
  <c r="AN20"/>
  <c r="AL20"/>
  <c r="AJ20"/>
  <c r="AH20"/>
  <c r="AF20"/>
  <c r="AD20"/>
  <c r="U16" i="3"/>
  <c r="DT15"/>
  <c r="DR15"/>
  <c r="DP15"/>
  <c r="DN15"/>
  <c r="DL15"/>
  <c r="DJ15"/>
  <c r="E15" s="1"/>
  <c r="O15"/>
  <c r="DQ15"/>
  <c r="DM15"/>
  <c r="DI15"/>
  <c r="D15" s="1"/>
  <c r="DS15"/>
  <c r="DO15"/>
  <c r="DK15"/>
  <c r="DX39" i="8"/>
  <c r="AC21" s="1"/>
  <c r="DV39"/>
  <c r="AA21" s="1"/>
  <c r="DW39"/>
  <c r="AB21" s="1"/>
  <c r="T43"/>
  <c r="T44" s="1"/>
  <c r="AV19" i="5"/>
  <c r="AW19"/>
  <c r="H19" s="1"/>
  <c r="AX19"/>
  <c r="G18" i="17" l="1"/>
  <c r="AA22" i="10"/>
  <c r="Y23"/>
  <c r="AO96"/>
  <c r="AS96"/>
  <c r="AF22"/>
  <c r="AF32" s="1"/>
  <c r="AJ22"/>
  <c r="AJ32" s="1"/>
  <c r="AG22"/>
  <c r="AG32" s="1"/>
  <c r="AN22"/>
  <c r="AN32" s="1"/>
  <c r="AE22"/>
  <c r="AE32" s="1"/>
  <c r="W23"/>
  <c r="X23" s="1"/>
  <c r="BE75"/>
  <c r="BI75" s="1"/>
  <c r="CC75" s="1"/>
  <c r="CL79" i="5"/>
  <c r="J132" i="10"/>
  <c r="G135"/>
  <c r="F135" s="1"/>
  <c r="G130"/>
  <c r="F130" s="1"/>
  <c r="CN79" i="5"/>
  <c r="H79" s="1"/>
  <c r="CM79"/>
  <c r="CP79"/>
  <c r="J79" s="1"/>
  <c r="CO79"/>
  <c r="I79" s="1"/>
  <c r="CS79"/>
  <c r="N79" s="1"/>
  <c r="CQ79"/>
  <c r="L79" s="1"/>
  <c r="CR79"/>
  <c r="M79" s="1"/>
  <c r="CI30" i="4"/>
  <c r="J30"/>
  <c r="N30"/>
  <c r="I30"/>
  <c r="H30"/>
  <c r="Q30"/>
  <c r="K30"/>
  <c r="W30"/>
  <c r="F34"/>
  <c r="V32"/>
  <c r="GK16" i="6"/>
  <c r="GG16"/>
  <c r="P16" s="1"/>
  <c r="AW96" i="10" s="1"/>
  <c r="GC16" i="6"/>
  <c r="FY16"/>
  <c r="FU16"/>
  <c r="GL16"/>
  <c r="GH16"/>
  <c r="GD16"/>
  <c r="FZ16"/>
  <c r="FV16"/>
  <c r="GM16"/>
  <c r="W16" s="1"/>
  <c r="GI16"/>
  <c r="GE16"/>
  <c r="GA16"/>
  <c r="FW16"/>
  <c r="GJ16"/>
  <c r="GF16"/>
  <c r="O16" s="1"/>
  <c r="AW95" i="10" s="1"/>
  <c r="BI95" s="1"/>
  <c r="GB16" i="6"/>
  <c r="FX16"/>
  <c r="S16" i="8"/>
  <c r="AA24"/>
  <c r="AU21" i="5"/>
  <c r="AS21"/>
  <c r="AQ21"/>
  <c r="AO21"/>
  <c r="AM21"/>
  <c r="AK21"/>
  <c r="AI21"/>
  <c r="AG21"/>
  <c r="AE21"/>
  <c r="AT21"/>
  <c r="AR21"/>
  <c r="AP21"/>
  <c r="AN21"/>
  <c r="AL21"/>
  <c r="AJ21"/>
  <c r="AH21"/>
  <c r="AF21"/>
  <c r="AD21"/>
  <c r="AB24" i="8"/>
  <c r="T16"/>
  <c r="U16"/>
  <c r="AC24"/>
  <c r="DS16" i="3"/>
  <c r="DQ16"/>
  <c r="DO16"/>
  <c r="DM16"/>
  <c r="DK16"/>
  <c r="F16" s="1"/>
  <c r="DI16"/>
  <c r="D16" s="1"/>
  <c r="U17"/>
  <c r="DT16"/>
  <c r="O16" s="1"/>
  <c r="DP16"/>
  <c r="DL16"/>
  <c r="DR16"/>
  <c r="DN16"/>
  <c r="DJ16"/>
  <c r="CK81" i="5"/>
  <c r="CI81"/>
  <c r="CG81"/>
  <c r="CE81"/>
  <c r="CC81"/>
  <c r="CA81"/>
  <c r="BY81"/>
  <c r="BW81"/>
  <c r="BU81"/>
  <c r="BS81"/>
  <c r="BQ81"/>
  <c r="BO81"/>
  <c r="BM81"/>
  <c r="BK81"/>
  <c r="BI81"/>
  <c r="BG81"/>
  <c r="BE81"/>
  <c r="BC81"/>
  <c r="BA81"/>
  <c r="AY81"/>
  <c r="AW81"/>
  <c r="AU81"/>
  <c r="AP82"/>
  <c r="CJ81"/>
  <c r="CH81"/>
  <c r="CF81"/>
  <c r="CD81"/>
  <c r="CB81"/>
  <c r="BZ81"/>
  <c r="BX81"/>
  <c r="BV81"/>
  <c r="BT81"/>
  <c r="BR81"/>
  <c r="BP81"/>
  <c r="BN81"/>
  <c r="BL81"/>
  <c r="BJ81"/>
  <c r="BH81"/>
  <c r="BF81"/>
  <c r="BD81"/>
  <c r="BB81"/>
  <c r="AZ81"/>
  <c r="AX81"/>
  <c r="AV81"/>
  <c r="AQ81"/>
  <c r="EE20" i="2"/>
  <c r="Q20" s="1"/>
  <c r="X116" s="1"/>
  <c r="EC20"/>
  <c r="O20" s="1"/>
  <c r="V116" s="1"/>
  <c r="EA20"/>
  <c r="M20" s="1"/>
  <c r="T116" s="1"/>
  <c r="DY20"/>
  <c r="DW20"/>
  <c r="DU20"/>
  <c r="F20" s="1"/>
  <c r="M116" s="1"/>
  <c r="ED20"/>
  <c r="EB20"/>
  <c r="N20" s="1"/>
  <c r="U116" s="1"/>
  <c r="DZ20"/>
  <c r="DX20"/>
  <c r="J20" s="1"/>
  <c r="Q116" s="1"/>
  <c r="DV20"/>
  <c r="DT20"/>
  <c r="E20" s="1"/>
  <c r="L116" s="1"/>
  <c r="AV20" i="5"/>
  <c r="AW20"/>
  <c r="AX20"/>
  <c r="I20" s="1"/>
  <c r="G19" i="17" l="1"/>
  <c r="CI95" i="10"/>
  <c r="CO95" s="1"/>
  <c r="CC95"/>
  <c r="CP95"/>
  <c r="AI23"/>
  <c r="AI33" s="1"/>
  <c r="AA23"/>
  <c r="CN95"/>
  <c r="BQ95"/>
  <c r="BU95"/>
  <c r="BI96"/>
  <c r="CC96" s="1"/>
  <c r="BM95"/>
  <c r="BU96"/>
  <c r="AF23"/>
  <c r="AF33" s="1"/>
  <c r="AM23"/>
  <c r="AM33" s="1"/>
  <c r="AL23"/>
  <c r="AK23"/>
  <c r="AK33" s="1"/>
  <c r="AJ23"/>
  <c r="AH23"/>
  <c r="AH33" s="1"/>
  <c r="AG23"/>
  <c r="AG33" s="1"/>
  <c r="AN23"/>
  <c r="AN33" s="1"/>
  <c r="AO23"/>
  <c r="AO33" s="1"/>
  <c r="AE23"/>
  <c r="AE33" s="1"/>
  <c r="AC23"/>
  <c r="AC33" s="1"/>
  <c r="AD23"/>
  <c r="AD33" s="1"/>
  <c r="BQ75"/>
  <c r="BY75"/>
  <c r="CN75"/>
  <c r="E119" s="1"/>
  <c r="BM75"/>
  <c r="BU75"/>
  <c r="CI75"/>
  <c r="CO75" s="1"/>
  <c r="CR81" i="5"/>
  <c r="CN81"/>
  <c r="CP81"/>
  <c r="CS81"/>
  <c r="N81" s="1"/>
  <c r="CO81"/>
  <c r="CQ81"/>
  <c r="CL81"/>
  <c r="E81" s="1"/>
  <c r="CM81"/>
  <c r="F36" i="4"/>
  <c r="V34"/>
  <c r="K32"/>
  <c r="I32"/>
  <c r="CI32"/>
  <c r="J32"/>
  <c r="N32"/>
  <c r="W32"/>
  <c r="H32"/>
  <c r="GF17" i="6"/>
  <c r="GC17"/>
  <c r="FU17"/>
  <c r="D17" s="1"/>
  <c r="GL17"/>
  <c r="GH17"/>
  <c r="GD17"/>
  <c r="FZ17"/>
  <c r="FV17"/>
  <c r="E17" s="1"/>
  <c r="GM17"/>
  <c r="W17" s="1"/>
  <c r="GI17"/>
  <c r="S17" s="1"/>
  <c r="GE17"/>
  <c r="GA17"/>
  <c r="FW17"/>
  <c r="V17"/>
  <c r="GJ17"/>
  <c r="T17" s="1"/>
  <c r="GB17"/>
  <c r="FX17"/>
  <c r="GK17"/>
  <c r="U17" s="1"/>
  <c r="GG17"/>
  <c r="FY17"/>
  <c r="ED21" i="2"/>
  <c r="EB21"/>
  <c r="N21" s="1"/>
  <c r="U117" s="1"/>
  <c r="DZ21"/>
  <c r="DX21"/>
  <c r="J21" s="1"/>
  <c r="Q117" s="1"/>
  <c r="DV21"/>
  <c r="DT21"/>
  <c r="E21" s="1"/>
  <c r="L117" s="1"/>
  <c r="EE21"/>
  <c r="Q21" s="1"/>
  <c r="X117" s="1"/>
  <c r="EC21"/>
  <c r="O21" s="1"/>
  <c r="V117" s="1"/>
  <c r="EA21"/>
  <c r="M21" s="1"/>
  <c r="T117" s="1"/>
  <c r="DY21"/>
  <c r="DW21"/>
  <c r="DU21"/>
  <c r="F21" s="1"/>
  <c r="M117" s="1"/>
  <c r="CK82" i="5"/>
  <c r="CI82"/>
  <c r="CG82"/>
  <c r="CE82"/>
  <c r="CC82"/>
  <c r="CA82"/>
  <c r="BY82"/>
  <c r="BW82"/>
  <c r="BU82"/>
  <c r="BS82"/>
  <c r="BQ82"/>
  <c r="BO82"/>
  <c r="BM82"/>
  <c r="BK82"/>
  <c r="BI82"/>
  <c r="BG82"/>
  <c r="BE82"/>
  <c r="BC82"/>
  <c r="BA82"/>
  <c r="AY82"/>
  <c r="AW82"/>
  <c r="AU82"/>
  <c r="AP83"/>
  <c r="CJ82"/>
  <c r="CH82"/>
  <c r="CF82"/>
  <c r="CD82"/>
  <c r="CB82"/>
  <c r="BZ82"/>
  <c r="BX82"/>
  <c r="BV82"/>
  <c r="BT82"/>
  <c r="BR82"/>
  <c r="BP82"/>
  <c r="BN82"/>
  <c r="BL82"/>
  <c r="BJ82"/>
  <c r="BH82"/>
  <c r="BF82"/>
  <c r="BD82"/>
  <c r="BB82"/>
  <c r="AZ82"/>
  <c r="AX82"/>
  <c r="AV82"/>
  <c r="AQ82"/>
  <c r="DT17" i="3"/>
  <c r="DR17"/>
  <c r="DP17"/>
  <c r="DN17"/>
  <c r="DL17"/>
  <c r="G17" s="1"/>
  <c r="DJ17"/>
  <c r="O17"/>
  <c r="DQ17"/>
  <c r="DM17"/>
  <c r="DI17"/>
  <c r="U18"/>
  <c r="DS17"/>
  <c r="DO17"/>
  <c r="DK17"/>
  <c r="H17"/>
  <c r="T114" i="8"/>
  <c r="S114"/>
  <c r="AW21" i="5"/>
  <c r="H21" s="1"/>
  <c r="AX21"/>
  <c r="U114" i="8"/>
  <c r="U115" s="1"/>
  <c r="U17"/>
  <c r="AU22" i="5"/>
  <c r="AS22"/>
  <c r="AQ22"/>
  <c r="AO22"/>
  <c r="AM22"/>
  <c r="AK22"/>
  <c r="AI22"/>
  <c r="AG22"/>
  <c r="AE22"/>
  <c r="AT22"/>
  <c r="AR22"/>
  <c r="AP22"/>
  <c r="AN22"/>
  <c r="AL22"/>
  <c r="AJ22"/>
  <c r="AH22"/>
  <c r="AF22"/>
  <c r="AD22"/>
  <c r="AV21"/>
  <c r="G21" s="1"/>
  <c r="G20" i="17" l="1"/>
  <c r="AJ33" i="10"/>
  <c r="AP23"/>
  <c r="AQ23" s="1"/>
  <c r="AL33"/>
  <c r="AP33" s="1"/>
  <c r="AQ33" s="1"/>
  <c r="CI96"/>
  <c r="G139"/>
  <c r="F139" s="1"/>
  <c r="BQ96"/>
  <c r="BY96"/>
  <c r="CN96"/>
  <c r="E140" s="1"/>
  <c r="BM96"/>
  <c r="CP75"/>
  <c r="G119" s="1"/>
  <c r="F119" s="1"/>
  <c r="CN82" i="5"/>
  <c r="CL82"/>
  <c r="CM82"/>
  <c r="F82" s="1"/>
  <c r="CO82"/>
  <c r="CQ82"/>
  <c r="L82" s="1"/>
  <c r="CS82"/>
  <c r="N82" s="1"/>
  <c r="CP82"/>
  <c r="CR82"/>
  <c r="M82" s="1"/>
  <c r="F38" i="4"/>
  <c r="V36"/>
  <c r="CI34"/>
  <c r="N34"/>
  <c r="I34"/>
  <c r="J34"/>
  <c r="H34"/>
  <c r="K34"/>
  <c r="W34"/>
  <c r="GL18" i="6"/>
  <c r="V18" s="1"/>
  <c r="GH18"/>
  <c r="GD18"/>
  <c r="FZ18"/>
  <c r="FV18"/>
  <c r="E18" s="1"/>
  <c r="GK18"/>
  <c r="U18" s="1"/>
  <c r="GG18"/>
  <c r="GC18"/>
  <c r="FY18"/>
  <c r="H18" s="1"/>
  <c r="FU18"/>
  <c r="D18" s="1"/>
  <c r="GJ18"/>
  <c r="T18" s="1"/>
  <c r="GF18"/>
  <c r="GB18"/>
  <c r="FX18"/>
  <c r="GM18"/>
  <c r="W18" s="1"/>
  <c r="GI18"/>
  <c r="S18" s="1"/>
  <c r="GE18"/>
  <c r="GA18"/>
  <c r="FW18"/>
  <c r="AU23" i="5"/>
  <c r="AS23"/>
  <c r="AQ23"/>
  <c r="AO23"/>
  <c r="AM23"/>
  <c r="AK23"/>
  <c r="AI23"/>
  <c r="AG23"/>
  <c r="AE23"/>
  <c r="AT23"/>
  <c r="AR23"/>
  <c r="AP23"/>
  <c r="AN23"/>
  <c r="AL23"/>
  <c r="AJ23"/>
  <c r="AH23"/>
  <c r="AF23"/>
  <c r="AD23"/>
  <c r="EE22" i="2"/>
  <c r="Q22" s="1"/>
  <c r="X118" s="1"/>
  <c r="EC22"/>
  <c r="O22" s="1"/>
  <c r="V118" s="1"/>
  <c r="EA22"/>
  <c r="M22" s="1"/>
  <c r="T118" s="1"/>
  <c r="DY22"/>
  <c r="DW22"/>
  <c r="DU22"/>
  <c r="F22" s="1"/>
  <c r="M118" s="1"/>
  <c r="ED22"/>
  <c r="EB22"/>
  <c r="N22" s="1"/>
  <c r="U118" s="1"/>
  <c r="DZ22"/>
  <c r="DX22"/>
  <c r="J22" s="1"/>
  <c r="Q118" s="1"/>
  <c r="DV22"/>
  <c r="DT22"/>
  <c r="E22" s="1"/>
  <c r="L118" s="1"/>
  <c r="AW22" i="5"/>
  <c r="AX22"/>
  <c r="I22" s="1"/>
  <c r="U19" i="3"/>
  <c r="DS18"/>
  <c r="DQ18"/>
  <c r="DO18"/>
  <c r="DM18"/>
  <c r="DK18"/>
  <c r="DI18"/>
  <c r="DR18"/>
  <c r="DN18"/>
  <c r="I18" s="1"/>
  <c r="DJ18"/>
  <c r="DT18"/>
  <c r="O18" s="1"/>
  <c r="DP18"/>
  <c r="DL18"/>
  <c r="CJ83" i="5"/>
  <c r="CH83"/>
  <c r="CF83"/>
  <c r="CD83"/>
  <c r="CB83"/>
  <c r="BZ83"/>
  <c r="BX83"/>
  <c r="BV83"/>
  <c r="BT83"/>
  <c r="BR83"/>
  <c r="BP83"/>
  <c r="BN83"/>
  <c r="BL83"/>
  <c r="BJ83"/>
  <c r="BH83"/>
  <c r="BF83"/>
  <c r="BD83"/>
  <c r="BB83"/>
  <c r="AZ83"/>
  <c r="AX83"/>
  <c r="AV83"/>
  <c r="AS83"/>
  <c r="AQ83"/>
  <c r="CK83"/>
  <c r="CI83"/>
  <c r="CG83"/>
  <c r="CE83"/>
  <c r="CC83"/>
  <c r="CA83"/>
  <c r="BY83"/>
  <c r="BW83"/>
  <c r="BU83"/>
  <c r="BS83"/>
  <c r="BQ83"/>
  <c r="BO83"/>
  <c r="BM83"/>
  <c r="BK83"/>
  <c r="BI83"/>
  <c r="BG83"/>
  <c r="BE83"/>
  <c r="BC83"/>
  <c r="BA83"/>
  <c r="AY83"/>
  <c r="AW83"/>
  <c r="AU83"/>
  <c r="AR83"/>
  <c r="AV22"/>
  <c r="G22" s="1"/>
  <c r="G21" i="17" l="1"/>
  <c r="CO96" i="10"/>
  <c r="CP96"/>
  <c r="G140" s="1"/>
  <c r="AW25"/>
  <c r="J108" s="1"/>
  <c r="CO83" i="5"/>
  <c r="I83" s="1"/>
  <c r="CP83"/>
  <c r="J83" s="1"/>
  <c r="CL83"/>
  <c r="CS83"/>
  <c r="N83" s="1"/>
  <c r="CN83"/>
  <c r="H83" s="1"/>
  <c r="CM83"/>
  <c r="CQ83"/>
  <c r="L83" s="1"/>
  <c r="CR83"/>
  <c r="M83" s="1"/>
  <c r="F40" i="4"/>
  <c r="V38"/>
  <c r="N36"/>
  <c r="I36"/>
  <c r="CI36"/>
  <c r="W36"/>
  <c r="H36"/>
  <c r="K36"/>
  <c r="Q36"/>
  <c r="J36"/>
  <c r="GK19" i="6"/>
  <c r="U19" s="1"/>
  <c r="FU19"/>
  <c r="GB19"/>
  <c r="GM19"/>
  <c r="W19" s="1"/>
  <c r="GI19"/>
  <c r="S19" s="1"/>
  <c r="GE19"/>
  <c r="GA19"/>
  <c r="FW19"/>
  <c r="GL19"/>
  <c r="V19" s="1"/>
  <c r="GH19"/>
  <c r="GD19"/>
  <c r="FZ19"/>
  <c r="FV19"/>
  <c r="GG19"/>
  <c r="GC19"/>
  <c r="FY19"/>
  <c r="H19" s="1"/>
  <c r="GJ19"/>
  <c r="T19" s="1"/>
  <c r="GF19"/>
  <c r="FX19"/>
  <c r="ED23" i="2"/>
  <c r="EB23"/>
  <c r="N23" s="1"/>
  <c r="U119" s="1"/>
  <c r="DZ23"/>
  <c r="DX23"/>
  <c r="J23" s="1"/>
  <c r="Q119" s="1"/>
  <c r="DV23"/>
  <c r="DT23"/>
  <c r="E23" s="1"/>
  <c r="L119" s="1"/>
  <c r="EE23"/>
  <c r="Q23" s="1"/>
  <c r="X119" s="1"/>
  <c r="EC23"/>
  <c r="O23" s="1"/>
  <c r="V119" s="1"/>
  <c r="EA23"/>
  <c r="M23" s="1"/>
  <c r="T119" s="1"/>
  <c r="DY23"/>
  <c r="DW23"/>
  <c r="DU23"/>
  <c r="F23" s="1"/>
  <c r="M119" s="1"/>
  <c r="AT24" i="5"/>
  <c r="AR24"/>
  <c r="AP24"/>
  <c r="AN24"/>
  <c r="AL24"/>
  <c r="AJ24"/>
  <c r="AH24"/>
  <c r="AF24"/>
  <c r="AD24"/>
  <c r="AU24"/>
  <c r="AS24"/>
  <c r="AQ24"/>
  <c r="AO24"/>
  <c r="AM24"/>
  <c r="AK24"/>
  <c r="AI24"/>
  <c r="AG24"/>
  <c r="AE24"/>
  <c r="AW23"/>
  <c r="H23" s="1"/>
  <c r="AV23"/>
  <c r="U20" i="3"/>
  <c r="DT19"/>
  <c r="O19" s="1"/>
  <c r="DR19"/>
  <c r="DP19"/>
  <c r="DN19"/>
  <c r="DL19"/>
  <c r="DJ19"/>
  <c r="DQ19"/>
  <c r="DM19"/>
  <c r="DI19"/>
  <c r="DS19"/>
  <c r="DO19"/>
  <c r="J19" s="1"/>
  <c r="DK19"/>
  <c r="AX23" i="5"/>
  <c r="I23" s="1"/>
  <c r="F140" i="10" l="1"/>
  <c r="AV24" i="5"/>
  <c r="G24" s="1"/>
  <c r="F42" i="4"/>
  <c r="V40"/>
  <c r="CI38"/>
  <c r="N38"/>
  <c r="I38"/>
  <c r="J38"/>
  <c r="H38"/>
  <c r="K38"/>
  <c r="W38"/>
  <c r="GJ20" i="6"/>
  <c r="T20" s="1"/>
  <c r="GF20"/>
  <c r="GB20"/>
  <c r="K20" s="1"/>
  <c r="FX20"/>
  <c r="GM20"/>
  <c r="W20" s="1"/>
  <c r="GI20"/>
  <c r="S20" s="1"/>
  <c r="GE20"/>
  <c r="GA20"/>
  <c r="FW20"/>
  <c r="GL20"/>
  <c r="V20" s="1"/>
  <c r="GH20"/>
  <c r="GD20"/>
  <c r="M20" s="1"/>
  <c r="FZ20"/>
  <c r="FV20"/>
  <c r="GK20"/>
  <c r="U20" s="1"/>
  <c r="GG20"/>
  <c r="GC20"/>
  <c r="L20" s="1"/>
  <c r="FY20"/>
  <c r="FU20"/>
  <c r="U21" i="3"/>
  <c r="DS20"/>
  <c r="DQ20"/>
  <c r="DO20"/>
  <c r="J20" s="1"/>
  <c r="DM20"/>
  <c r="DK20"/>
  <c r="DI20"/>
  <c r="DR20"/>
  <c r="DN20"/>
  <c r="DJ20"/>
  <c r="DT20"/>
  <c r="O20" s="1"/>
  <c r="DP20"/>
  <c r="K20" s="1"/>
  <c r="DL20"/>
  <c r="AT30" i="5"/>
  <c r="AR30"/>
  <c r="AP30"/>
  <c r="AN30"/>
  <c r="AL30"/>
  <c r="AJ30"/>
  <c r="AH30"/>
  <c r="AF30"/>
  <c r="AD30"/>
  <c r="AU30"/>
  <c r="AS30"/>
  <c r="AQ30"/>
  <c r="AO30"/>
  <c r="AM30"/>
  <c r="AK30"/>
  <c r="AI30"/>
  <c r="AG30"/>
  <c r="AE30"/>
  <c r="EE28" i="2"/>
  <c r="Q28" s="1"/>
  <c r="EC28"/>
  <c r="O28" s="1"/>
  <c r="EA28"/>
  <c r="M28" s="1"/>
  <c r="DY28"/>
  <c r="K28" s="1"/>
  <c r="DW28"/>
  <c r="DU28"/>
  <c r="F28" s="1"/>
  <c r="ED28"/>
  <c r="EB28"/>
  <c r="N28" s="1"/>
  <c r="DZ28"/>
  <c r="DX28"/>
  <c r="J28" s="1"/>
  <c r="DV28"/>
  <c r="DT28"/>
  <c r="E28" s="1"/>
  <c r="AW24" i="5"/>
  <c r="H24" s="1"/>
  <c r="AX24"/>
  <c r="I24" s="1"/>
  <c r="AX30" l="1"/>
  <c r="F44" i="4"/>
  <c r="V42"/>
  <c r="N40"/>
  <c r="CI40"/>
  <c r="J40"/>
  <c r="K40"/>
  <c r="I40"/>
  <c r="W40"/>
  <c r="H40"/>
  <c r="GM21" i="6"/>
  <c r="W21" s="1"/>
  <c r="GI21"/>
  <c r="S21" s="1"/>
  <c r="GE21"/>
  <c r="N21" s="1"/>
  <c r="GA21"/>
  <c r="FW21"/>
  <c r="GL21"/>
  <c r="V21" s="1"/>
  <c r="GH21"/>
  <c r="GD21"/>
  <c r="FZ21"/>
  <c r="FV21"/>
  <c r="GK21"/>
  <c r="U21" s="1"/>
  <c r="GG21"/>
  <c r="P21" s="1"/>
  <c r="GC21"/>
  <c r="FY21"/>
  <c r="FU21"/>
  <c r="GJ21"/>
  <c r="T21" s="1"/>
  <c r="GF21"/>
  <c r="O21" s="1"/>
  <c r="GB21"/>
  <c r="FX21"/>
  <c r="AT31" i="5"/>
  <c r="AR31"/>
  <c r="AP31"/>
  <c r="AN31"/>
  <c r="AL31"/>
  <c r="AJ31"/>
  <c r="AH31"/>
  <c r="AF31"/>
  <c r="AD31"/>
  <c r="AU31"/>
  <c r="AS31"/>
  <c r="AQ31"/>
  <c r="AO31"/>
  <c r="AM31"/>
  <c r="AK31"/>
  <c r="AI31"/>
  <c r="AG31"/>
  <c r="AE31"/>
  <c r="DT21" i="3"/>
  <c r="DR21"/>
  <c r="DP21"/>
  <c r="DN21"/>
  <c r="DL21"/>
  <c r="DJ21"/>
  <c r="K21"/>
  <c r="DS21"/>
  <c r="DO21"/>
  <c r="DK21"/>
  <c r="O21"/>
  <c r="U22"/>
  <c r="DQ21"/>
  <c r="DM21"/>
  <c r="DI21"/>
  <c r="AV30" i="5"/>
  <c r="G30" s="1"/>
  <c r="AW30"/>
  <c r="ED29" i="2"/>
  <c r="EB29"/>
  <c r="N29" s="1"/>
  <c r="DZ29"/>
  <c r="DX29"/>
  <c r="J29" s="1"/>
  <c r="DV29"/>
  <c r="DT29"/>
  <c r="E29" s="1"/>
  <c r="EE29"/>
  <c r="Q29" s="1"/>
  <c r="EC29"/>
  <c r="O29" s="1"/>
  <c r="EA29"/>
  <c r="M29" s="1"/>
  <c r="DY29"/>
  <c r="K29" s="1"/>
  <c r="DW29"/>
  <c r="DU29"/>
  <c r="F29" s="1"/>
  <c r="AS74" i="10" l="1"/>
  <c r="AW74"/>
  <c r="BA74"/>
  <c r="AV31" i="5"/>
  <c r="F46" i="4"/>
  <c r="V44"/>
  <c r="H42"/>
  <c r="CI42"/>
  <c r="N42"/>
  <c r="I42"/>
  <c r="J42"/>
  <c r="Q42"/>
  <c r="K42"/>
  <c r="W42"/>
  <c r="GL22" i="6"/>
  <c r="V22" s="1"/>
  <c r="GH22"/>
  <c r="GD22"/>
  <c r="FZ22"/>
  <c r="FV22"/>
  <c r="E22" s="1"/>
  <c r="GK22"/>
  <c r="U22" s="1"/>
  <c r="GG22"/>
  <c r="GC22"/>
  <c r="FY22"/>
  <c r="GJ22"/>
  <c r="T22" s="1"/>
  <c r="GF22"/>
  <c r="GB22"/>
  <c r="FX22"/>
  <c r="GM22"/>
  <c r="W22" s="1"/>
  <c r="GI22"/>
  <c r="S22" s="1"/>
  <c r="GE22"/>
  <c r="GA22"/>
  <c r="FW22"/>
  <c r="FU22"/>
  <c r="D22" s="1"/>
  <c r="EE30" i="2"/>
  <c r="Q30" s="1"/>
  <c r="EC30"/>
  <c r="O30" s="1"/>
  <c r="EA30"/>
  <c r="M30" s="1"/>
  <c r="DY30"/>
  <c r="K30" s="1"/>
  <c r="DW30"/>
  <c r="DU30"/>
  <c r="F30" s="1"/>
  <c r="ED30"/>
  <c r="EB30"/>
  <c r="N30" s="1"/>
  <c r="DZ30"/>
  <c r="DX30"/>
  <c r="J30" s="1"/>
  <c r="DV30"/>
  <c r="DT30"/>
  <c r="E30" s="1"/>
  <c r="DS22" i="3"/>
  <c r="N22" s="1"/>
  <c r="DQ22"/>
  <c r="DO22"/>
  <c r="DM22"/>
  <c r="DK22"/>
  <c r="DI22"/>
  <c r="U24"/>
  <c r="DT22"/>
  <c r="O22" s="1"/>
  <c r="DP22"/>
  <c r="DL22"/>
  <c r="DR22"/>
  <c r="M22" s="1"/>
  <c r="DN22"/>
  <c r="DJ22"/>
  <c r="L22"/>
  <c r="AT32" i="5"/>
  <c r="AR32"/>
  <c r="AP32"/>
  <c r="AN32"/>
  <c r="AL32"/>
  <c r="AJ32"/>
  <c r="AH32"/>
  <c r="AF32"/>
  <c r="AD32"/>
  <c r="AU32"/>
  <c r="AS32"/>
  <c r="AQ32"/>
  <c r="AO32"/>
  <c r="AM32"/>
  <c r="AK32"/>
  <c r="AI32"/>
  <c r="AG32"/>
  <c r="AE32"/>
  <c r="AX31"/>
  <c r="AW31"/>
  <c r="H31" s="1"/>
  <c r="AV32" l="1"/>
  <c r="F48" i="4"/>
  <c r="V46"/>
  <c r="K44"/>
  <c r="J44"/>
  <c r="N44"/>
  <c r="I44"/>
  <c r="CI44"/>
  <c r="W44"/>
  <c r="H44"/>
  <c r="GJ23" i="6"/>
  <c r="GF23"/>
  <c r="GB23"/>
  <c r="FX23"/>
  <c r="GG23"/>
  <c r="FY23"/>
  <c r="H23" s="1"/>
  <c r="GI23"/>
  <c r="S23" s="1"/>
  <c r="GA23"/>
  <c r="GL23"/>
  <c r="V23" s="1"/>
  <c r="GH23"/>
  <c r="GD23"/>
  <c r="FZ23"/>
  <c r="FV23"/>
  <c r="T23"/>
  <c r="GK23"/>
  <c r="U23" s="1"/>
  <c r="GC23"/>
  <c r="FU23"/>
  <c r="GM23"/>
  <c r="W23" s="1"/>
  <c r="GE23"/>
  <c r="FW23"/>
  <c r="ED32" i="2"/>
  <c r="EB32"/>
  <c r="N32" s="1"/>
  <c r="N31" s="1"/>
  <c r="DZ32"/>
  <c r="DX32"/>
  <c r="J32" s="1"/>
  <c r="J31" s="1"/>
  <c r="DV32"/>
  <c r="DT32"/>
  <c r="E32" s="1"/>
  <c r="E31" s="1"/>
  <c r="EE32"/>
  <c r="Q32" s="1"/>
  <c r="Q31" s="1"/>
  <c r="EC32"/>
  <c r="O32" s="1"/>
  <c r="O31" s="1"/>
  <c r="EA32"/>
  <c r="M32" s="1"/>
  <c r="M31" s="1"/>
  <c r="DY32"/>
  <c r="K32" s="1"/>
  <c r="DW32"/>
  <c r="DU32"/>
  <c r="F32" s="1"/>
  <c r="F31" s="1"/>
  <c r="AT33" i="5"/>
  <c r="AR33"/>
  <c r="AP33"/>
  <c r="AN33"/>
  <c r="AL33"/>
  <c r="AJ33"/>
  <c r="AH33"/>
  <c r="AF33"/>
  <c r="AD33"/>
  <c r="AU33"/>
  <c r="AS33"/>
  <c r="AQ33"/>
  <c r="AO33"/>
  <c r="AM33"/>
  <c r="AK33"/>
  <c r="AI33"/>
  <c r="AG33"/>
  <c r="AE33"/>
  <c r="AX32"/>
  <c r="I32" s="1"/>
  <c r="U25" i="3"/>
  <c r="DT24"/>
  <c r="O24" s="1"/>
  <c r="DR24"/>
  <c r="DP24"/>
  <c r="DN24"/>
  <c r="DL24"/>
  <c r="DJ24"/>
  <c r="E24" s="1"/>
  <c r="DQ24"/>
  <c r="DM24"/>
  <c r="DI24"/>
  <c r="D24" s="1"/>
  <c r="DS24"/>
  <c r="DO24"/>
  <c r="DK24"/>
  <c r="AW32" i="5"/>
  <c r="AI16" i="10" l="1"/>
  <c r="AI26" s="1"/>
  <c r="AI17"/>
  <c r="AI27" s="1"/>
  <c r="AI15"/>
  <c r="AI25" s="1"/>
  <c r="AX33" i="5"/>
  <c r="F50" i="4"/>
  <c r="V48"/>
  <c r="J46"/>
  <c r="N46"/>
  <c r="I46"/>
  <c r="W46"/>
  <c r="CI46"/>
  <c r="H46"/>
  <c r="K46"/>
  <c r="GM24" i="6"/>
  <c r="W24" s="1"/>
  <c r="GI24"/>
  <c r="S24" s="1"/>
  <c r="GE24"/>
  <c r="GA24"/>
  <c r="FW24"/>
  <c r="GF24"/>
  <c r="FX24"/>
  <c r="GH24"/>
  <c r="FZ24"/>
  <c r="GK24"/>
  <c r="U24" s="1"/>
  <c r="GG24"/>
  <c r="GC24"/>
  <c r="L24" s="1"/>
  <c r="FY24"/>
  <c r="FU24"/>
  <c r="GJ24"/>
  <c r="GB24"/>
  <c r="K24" s="1"/>
  <c r="T24"/>
  <c r="GL24"/>
  <c r="V24" s="1"/>
  <c r="GD24"/>
  <c r="M24" s="1"/>
  <c r="FV24"/>
  <c r="AT34" i="5"/>
  <c r="AR34"/>
  <c r="AP34"/>
  <c r="AN34"/>
  <c r="AL34"/>
  <c r="AJ34"/>
  <c r="AH34"/>
  <c r="AF34"/>
  <c r="AD34"/>
  <c r="AU34"/>
  <c r="AS34"/>
  <c r="AQ34"/>
  <c r="AO34"/>
  <c r="AM34"/>
  <c r="AK34"/>
  <c r="AI34"/>
  <c r="AG34"/>
  <c r="AE34"/>
  <c r="DS25" i="3"/>
  <c r="DQ25"/>
  <c r="DO25"/>
  <c r="DM25"/>
  <c r="DK25"/>
  <c r="F25" s="1"/>
  <c r="DI25"/>
  <c r="D25" s="1"/>
  <c r="U26"/>
  <c r="DT25"/>
  <c r="O25" s="1"/>
  <c r="DP25"/>
  <c r="DL25"/>
  <c r="DR25"/>
  <c r="DN25"/>
  <c r="DJ25"/>
  <c r="EE33" i="2"/>
  <c r="Q33" s="1"/>
  <c r="EC33"/>
  <c r="O33" s="1"/>
  <c r="EA33"/>
  <c r="M33" s="1"/>
  <c r="DY33"/>
  <c r="K33" s="1"/>
  <c r="DW33"/>
  <c r="DU33"/>
  <c r="F33" s="1"/>
  <c r="ED33"/>
  <c r="EB33"/>
  <c r="N33" s="1"/>
  <c r="DZ33"/>
  <c r="DX33"/>
  <c r="J33" s="1"/>
  <c r="DV33"/>
  <c r="DT33"/>
  <c r="E33" s="1"/>
  <c r="AV33" i="5"/>
  <c r="G33" s="1"/>
  <c r="AW33"/>
  <c r="H33" s="1"/>
  <c r="AV34" l="1"/>
  <c r="G34" s="1"/>
  <c r="Q48" i="4"/>
  <c r="N48"/>
  <c r="CI48"/>
  <c r="W48"/>
  <c r="H48"/>
  <c r="K48"/>
  <c r="I48"/>
  <c r="J48"/>
  <c r="F52"/>
  <c r="V50"/>
  <c r="GL25" i="6"/>
  <c r="V25" s="1"/>
  <c r="GH25"/>
  <c r="GD25"/>
  <c r="FZ25"/>
  <c r="FV25"/>
  <c r="GK25"/>
  <c r="GC25"/>
  <c r="FU25"/>
  <c r="GI25"/>
  <c r="S25" s="1"/>
  <c r="GA25"/>
  <c r="GJ25"/>
  <c r="T25" s="1"/>
  <c r="GF25"/>
  <c r="O25" s="1"/>
  <c r="GB25"/>
  <c r="FX25"/>
  <c r="GG25"/>
  <c r="P25" s="1"/>
  <c r="FY25"/>
  <c r="U25"/>
  <c r="GM25"/>
  <c r="W25" s="1"/>
  <c r="GE25"/>
  <c r="N25" s="1"/>
  <c r="FW25"/>
  <c r="ED34" i="2"/>
  <c r="EB34"/>
  <c r="N34" s="1"/>
  <c r="DZ34"/>
  <c r="DX34"/>
  <c r="J34" s="1"/>
  <c r="DV34"/>
  <c r="DT34"/>
  <c r="E34" s="1"/>
  <c r="EE34"/>
  <c r="Q34" s="1"/>
  <c r="EC34"/>
  <c r="O34" s="1"/>
  <c r="EA34"/>
  <c r="M34" s="1"/>
  <c r="DY34"/>
  <c r="K34" s="1"/>
  <c r="DW34"/>
  <c r="DU34"/>
  <c r="F34" s="1"/>
  <c r="DT26" i="3"/>
  <c r="O26" s="1"/>
  <c r="DR26"/>
  <c r="DP26"/>
  <c r="DN26"/>
  <c r="DL26"/>
  <c r="G26" s="1"/>
  <c r="DJ26"/>
  <c r="DQ26"/>
  <c r="DM26"/>
  <c r="H26" s="1"/>
  <c r="DI26"/>
  <c r="U27"/>
  <c r="DS26"/>
  <c r="DO26"/>
  <c r="DK26"/>
  <c r="AT35" i="5"/>
  <c r="AR35"/>
  <c r="AP35"/>
  <c r="AN35"/>
  <c r="AL35"/>
  <c r="AJ35"/>
  <c r="AH35"/>
  <c r="AF35"/>
  <c r="AD35"/>
  <c r="AU35"/>
  <c r="AS35"/>
  <c r="AQ35"/>
  <c r="AO35"/>
  <c r="AM35"/>
  <c r="AK35"/>
  <c r="AI35"/>
  <c r="AG35"/>
  <c r="AE35"/>
  <c r="AX34"/>
  <c r="I34" s="1"/>
  <c r="AW34"/>
  <c r="AX35" l="1"/>
  <c r="I35" s="1"/>
  <c r="F54" i="4"/>
  <c r="V52"/>
  <c r="CI50"/>
  <c r="N50"/>
  <c r="I50"/>
  <c r="J50"/>
  <c r="H50"/>
  <c r="K50"/>
  <c r="W50"/>
  <c r="GK28" i="6"/>
  <c r="GG28"/>
  <c r="GC28"/>
  <c r="FY28"/>
  <c r="FU28"/>
  <c r="GL28"/>
  <c r="GD28"/>
  <c r="FV28"/>
  <c r="GJ28"/>
  <c r="GB28"/>
  <c r="GM28"/>
  <c r="W28" s="1"/>
  <c r="GI28"/>
  <c r="GE28"/>
  <c r="N28" s="1"/>
  <c r="GA28"/>
  <c r="FW28"/>
  <c r="GH28"/>
  <c r="FZ28"/>
  <c r="GF28"/>
  <c r="FX28"/>
  <c r="AU36" i="5"/>
  <c r="AS36"/>
  <c r="AQ36"/>
  <c r="AO36"/>
  <c r="AM36"/>
  <c r="AK36"/>
  <c r="AI36"/>
  <c r="AG36"/>
  <c r="AE36"/>
  <c r="AT36"/>
  <c r="AR36"/>
  <c r="AP36"/>
  <c r="AN36"/>
  <c r="AL36"/>
  <c r="AJ36"/>
  <c r="AH36"/>
  <c r="AF36"/>
  <c r="AD36"/>
  <c r="U28" i="3"/>
  <c r="DS27"/>
  <c r="DQ27"/>
  <c r="DO27"/>
  <c r="DM27"/>
  <c r="DK27"/>
  <c r="DI27"/>
  <c r="DR27"/>
  <c r="DN27"/>
  <c r="I27" s="1"/>
  <c r="AW88" i="10" s="1"/>
  <c r="DJ27" i="3"/>
  <c r="DT27"/>
  <c r="O27" s="1"/>
  <c r="DP27"/>
  <c r="DL27"/>
  <c r="EE35" i="2"/>
  <c r="Q35" s="1"/>
  <c r="EC35"/>
  <c r="O35" s="1"/>
  <c r="EA35"/>
  <c r="M35" s="1"/>
  <c r="DY35"/>
  <c r="K35" s="1"/>
  <c r="DW35"/>
  <c r="DU35"/>
  <c r="F35" s="1"/>
  <c r="ED35"/>
  <c r="EB35"/>
  <c r="N35" s="1"/>
  <c r="DZ35"/>
  <c r="DX35"/>
  <c r="J35" s="1"/>
  <c r="DV35"/>
  <c r="DT35"/>
  <c r="E35" s="1"/>
  <c r="AW35" i="5"/>
  <c r="H35" s="1"/>
  <c r="AV35"/>
  <c r="AS45" l="1"/>
  <c r="AU45"/>
  <c r="AI45"/>
  <c r="AK45"/>
  <c r="AM45"/>
  <c r="AO45"/>
  <c r="AQ45"/>
  <c r="AT45"/>
  <c r="AH45"/>
  <c r="AJ45"/>
  <c r="AL45"/>
  <c r="AN45"/>
  <c r="AP45"/>
  <c r="AR45"/>
  <c r="F56" i="4"/>
  <c r="V54"/>
  <c r="N52"/>
  <c r="K52"/>
  <c r="J52"/>
  <c r="I52"/>
  <c r="CI52"/>
  <c r="W52"/>
  <c r="H52"/>
  <c r="GM29" i="6"/>
  <c r="W29" s="1"/>
  <c r="GI29"/>
  <c r="S29" s="1"/>
  <c r="GE29"/>
  <c r="GA29"/>
  <c r="FW29"/>
  <c r="GJ29"/>
  <c r="GB29"/>
  <c r="GH29"/>
  <c r="FZ29"/>
  <c r="GK29"/>
  <c r="U29" s="1"/>
  <c r="GG29"/>
  <c r="GC29"/>
  <c r="FY29"/>
  <c r="FU29"/>
  <c r="GF29"/>
  <c r="FX29"/>
  <c r="GL29"/>
  <c r="V29" s="1"/>
  <c r="GD29"/>
  <c r="FV29"/>
  <c r="U29" i="3"/>
  <c r="DT28"/>
  <c r="O28" s="1"/>
  <c r="DR28"/>
  <c r="DP28"/>
  <c r="DN28"/>
  <c r="DL28"/>
  <c r="DJ28"/>
  <c r="DQ28"/>
  <c r="DM28"/>
  <c r="DI28"/>
  <c r="DS28"/>
  <c r="DO28"/>
  <c r="J28" s="1"/>
  <c r="DK28"/>
  <c r="EE36" i="2"/>
  <c r="EC36"/>
  <c r="O36" s="1"/>
  <c r="EA36"/>
  <c r="M36" s="1"/>
  <c r="DY36"/>
  <c r="K36" s="1"/>
  <c r="DW36"/>
  <c r="DU36"/>
  <c r="F36" s="1"/>
  <c r="ED36"/>
  <c r="EB36"/>
  <c r="N36" s="1"/>
  <c r="DZ36"/>
  <c r="DX36"/>
  <c r="J36" s="1"/>
  <c r="DV36"/>
  <c r="DT36"/>
  <c r="E36" s="1"/>
  <c r="Q36"/>
  <c r="AT41" i="5"/>
  <c r="AR41"/>
  <c r="AP41"/>
  <c r="AN41"/>
  <c r="AL41"/>
  <c r="AJ41"/>
  <c r="AH41"/>
  <c r="AF41"/>
  <c r="AU41"/>
  <c r="AS41"/>
  <c r="AQ41"/>
  <c r="AO41"/>
  <c r="AM41"/>
  <c r="AK41"/>
  <c r="AI41"/>
  <c r="AG41"/>
  <c r="AE41"/>
  <c r="AW36"/>
  <c r="H36" s="1"/>
  <c r="AV36"/>
  <c r="G36" s="1"/>
  <c r="AX36"/>
  <c r="I36" s="1"/>
  <c r="AV45" l="1"/>
  <c r="AX45"/>
  <c r="AW45"/>
  <c r="F58" i="4"/>
  <c r="V56"/>
  <c r="H54"/>
  <c r="N54"/>
  <c r="I54"/>
  <c r="CI54"/>
  <c r="J54"/>
  <c r="Q54"/>
  <c r="K54"/>
  <c r="W54"/>
  <c r="GM30" i="6"/>
  <c r="GI30"/>
  <c r="S30" s="1"/>
  <c r="GE30"/>
  <c r="GA30"/>
  <c r="FW30"/>
  <c r="GH30"/>
  <c r="FZ30"/>
  <c r="W30"/>
  <c r="GF30"/>
  <c r="FX30"/>
  <c r="GK30"/>
  <c r="U30" s="1"/>
  <c r="GG30"/>
  <c r="GC30"/>
  <c r="FY30"/>
  <c r="FU30"/>
  <c r="GL30"/>
  <c r="V30" s="1"/>
  <c r="GD30"/>
  <c r="FV30"/>
  <c r="GJ30"/>
  <c r="GB30"/>
  <c r="AX41" i="5"/>
  <c r="I41" s="1"/>
  <c r="AO77" i="10" s="1"/>
  <c r="BI77" s="1"/>
  <c r="EE37" i="2"/>
  <c r="Q37" s="1"/>
  <c r="EC37"/>
  <c r="O37" s="1"/>
  <c r="EA37"/>
  <c r="M37" s="1"/>
  <c r="DY37"/>
  <c r="K37" s="1"/>
  <c r="DW37"/>
  <c r="DU37"/>
  <c r="F37" s="1"/>
  <c r="ED37"/>
  <c r="EB37"/>
  <c r="N37" s="1"/>
  <c r="DZ37"/>
  <c r="DX37"/>
  <c r="J37" s="1"/>
  <c r="DV37"/>
  <c r="DT37"/>
  <c r="E37" s="1"/>
  <c r="U30" i="3"/>
  <c r="DS29"/>
  <c r="DQ29"/>
  <c r="DO29"/>
  <c r="J29" s="1"/>
  <c r="DM29"/>
  <c r="DK29"/>
  <c r="DI29"/>
  <c r="DR29"/>
  <c r="DN29"/>
  <c r="DJ29"/>
  <c r="DT29"/>
  <c r="O29" s="1"/>
  <c r="DP29"/>
  <c r="K29" s="1"/>
  <c r="DL29"/>
  <c r="AV41" i="5"/>
  <c r="AW41"/>
  <c r="H41" s="1"/>
  <c r="BY77" i="10" l="1"/>
  <c r="CI77"/>
  <c r="CN77"/>
  <c r="E121" s="1"/>
  <c r="AO76"/>
  <c r="BI76" s="1"/>
  <c r="BM76" s="1"/>
  <c r="BU77"/>
  <c r="CC77"/>
  <c r="BM77"/>
  <c r="BQ77"/>
  <c r="BQ76"/>
  <c r="G41" i="5"/>
  <c r="F60" i="4"/>
  <c r="V58"/>
  <c r="N56"/>
  <c r="CI56"/>
  <c r="J56"/>
  <c r="K56"/>
  <c r="I56"/>
  <c r="W56"/>
  <c r="H56"/>
  <c r="GJ31" i="6"/>
  <c r="GF31"/>
  <c r="GB31"/>
  <c r="FX31"/>
  <c r="GG31"/>
  <c r="FY31"/>
  <c r="GM31"/>
  <c r="W31" s="1"/>
  <c r="GE31"/>
  <c r="GL31"/>
  <c r="GH31"/>
  <c r="GD31"/>
  <c r="FZ31"/>
  <c r="FV31"/>
  <c r="GK31"/>
  <c r="GC31"/>
  <c r="FU31"/>
  <c r="GI31"/>
  <c r="GA31"/>
  <c r="FW31"/>
  <c r="F31" s="1"/>
  <c r="DT30" i="3"/>
  <c r="O30" s="1"/>
  <c r="DR30"/>
  <c r="DP30"/>
  <c r="K30" s="1"/>
  <c r="DN30"/>
  <c r="DL30"/>
  <c r="DJ30"/>
  <c r="DS30"/>
  <c r="DO30"/>
  <c r="DK30"/>
  <c r="U31"/>
  <c r="DQ30"/>
  <c r="DM30"/>
  <c r="DI30"/>
  <c r="ED38" i="2"/>
  <c r="EB38"/>
  <c r="N38" s="1"/>
  <c r="DZ38"/>
  <c r="DX38"/>
  <c r="J38" s="1"/>
  <c r="DV38"/>
  <c r="DT38"/>
  <c r="E38" s="1"/>
  <c r="EE38"/>
  <c r="Q38" s="1"/>
  <c r="EC38"/>
  <c r="O38" s="1"/>
  <c r="EA38"/>
  <c r="M38" s="1"/>
  <c r="DY38"/>
  <c r="DW38"/>
  <c r="DU38"/>
  <c r="F38" s="1"/>
  <c r="CC76" i="10" l="1"/>
  <c r="BU76"/>
  <c r="AO74"/>
  <c r="BI74" s="1"/>
  <c r="CC74" s="1"/>
  <c r="CP77"/>
  <c r="G121" s="1"/>
  <c r="BY76"/>
  <c r="CI76"/>
  <c r="CO76" s="1"/>
  <c r="CN76"/>
  <c r="E120" s="1"/>
  <c r="BU74"/>
  <c r="BQ74"/>
  <c r="F62" i="4"/>
  <c r="V60"/>
  <c r="J58"/>
  <c r="H58"/>
  <c r="N58"/>
  <c r="I58"/>
  <c r="CI58"/>
  <c r="K58"/>
  <c r="W58"/>
  <c r="GM32" i="6"/>
  <c r="W32" s="1"/>
  <c r="GI32"/>
  <c r="GE32"/>
  <c r="GA32"/>
  <c r="FW32"/>
  <c r="GH32"/>
  <c r="FZ32"/>
  <c r="GJ32"/>
  <c r="GB32"/>
  <c r="GK32"/>
  <c r="U32" s="1"/>
  <c r="GG32"/>
  <c r="GC32"/>
  <c r="FY32"/>
  <c r="FU32"/>
  <c r="GL32"/>
  <c r="V32" s="1"/>
  <c r="GD32"/>
  <c r="FV32"/>
  <c r="GF32"/>
  <c r="FX32"/>
  <c r="EE39" i="2"/>
  <c r="Q39" s="1"/>
  <c r="EC39"/>
  <c r="O39" s="1"/>
  <c r="EA39"/>
  <c r="M39" s="1"/>
  <c r="DY39"/>
  <c r="DW39"/>
  <c r="DU39"/>
  <c r="F39" s="1"/>
  <c r="ED39"/>
  <c r="EB39"/>
  <c r="N39" s="1"/>
  <c r="DZ39"/>
  <c r="DX39"/>
  <c r="J39" s="1"/>
  <c r="DV39"/>
  <c r="DT39"/>
  <c r="E39" s="1"/>
  <c r="DS31" i="3"/>
  <c r="N31" s="1"/>
  <c r="DQ31"/>
  <c r="DO31"/>
  <c r="DM31"/>
  <c r="DK31"/>
  <c r="DI31"/>
  <c r="U33"/>
  <c r="DT31"/>
  <c r="O31" s="1"/>
  <c r="DP31"/>
  <c r="DL31"/>
  <c r="DR31"/>
  <c r="M31" s="1"/>
  <c r="BA88" i="10" s="1"/>
  <c r="DN31" i="3"/>
  <c r="DJ31"/>
  <c r="L31"/>
  <c r="BM74" i="10" l="1"/>
  <c r="CP76"/>
  <c r="G120" s="1"/>
  <c r="F120" s="1"/>
  <c r="CO77"/>
  <c r="F121" s="1"/>
  <c r="CN74"/>
  <c r="E118" s="1"/>
  <c r="CI74"/>
  <c r="CO74" s="1"/>
  <c r="BY74"/>
  <c r="CP74"/>
  <c r="G118" s="1"/>
  <c r="F64" i="4"/>
  <c r="V62"/>
  <c r="K60"/>
  <c r="Q60"/>
  <c r="CI60"/>
  <c r="W60"/>
  <c r="H60"/>
  <c r="N60"/>
  <c r="I60"/>
  <c r="J60"/>
  <c r="GL33" i="6"/>
  <c r="V33" s="1"/>
  <c r="GH33"/>
  <c r="GD33"/>
  <c r="FZ33"/>
  <c r="FV33"/>
  <c r="GI33"/>
  <c r="GA33"/>
  <c r="GG33"/>
  <c r="FY33"/>
  <c r="GJ33"/>
  <c r="GF33"/>
  <c r="GB33"/>
  <c r="FX33"/>
  <c r="G33" s="1"/>
  <c r="GM33"/>
  <c r="W33" s="1"/>
  <c r="GE33"/>
  <c r="FW33"/>
  <c r="GK33"/>
  <c r="U33" s="1"/>
  <c r="GC33"/>
  <c r="FU33"/>
  <c r="ED40" i="2"/>
  <c r="EB40"/>
  <c r="N40" s="1"/>
  <c r="DZ40"/>
  <c r="DX40"/>
  <c r="J40" s="1"/>
  <c r="DV40"/>
  <c r="DT40"/>
  <c r="E40" s="1"/>
  <c r="EE40"/>
  <c r="Q40" s="1"/>
  <c r="EC40"/>
  <c r="O40" s="1"/>
  <c r="EA40"/>
  <c r="M40" s="1"/>
  <c r="DY40"/>
  <c r="DW40"/>
  <c r="DU40"/>
  <c r="F40" s="1"/>
  <c r="U34" i="3"/>
  <c r="DT33"/>
  <c r="DR33"/>
  <c r="DP33"/>
  <c r="DN33"/>
  <c r="DL33"/>
  <c r="DJ33"/>
  <c r="O33"/>
  <c r="DQ33"/>
  <c r="DM33"/>
  <c r="DI33"/>
  <c r="D33" s="1"/>
  <c r="DS33"/>
  <c r="DO33"/>
  <c r="DK33"/>
  <c r="E33"/>
  <c r="AS88" i="10" s="1"/>
  <c r="BI88" s="1"/>
  <c r="CC88" s="1"/>
  <c r="F118" l="1"/>
  <c r="BY88"/>
  <c r="BU88"/>
  <c r="BQ88"/>
  <c r="CN88"/>
  <c r="E132" s="1"/>
  <c r="BM88"/>
  <c r="CI88"/>
  <c r="F66" i="4"/>
  <c r="V64"/>
  <c r="J62"/>
  <c r="H62"/>
  <c r="N62"/>
  <c r="I62"/>
  <c r="CI62"/>
  <c r="K62"/>
  <c r="W62"/>
  <c r="GM34" i="6"/>
  <c r="GI34"/>
  <c r="GE34"/>
  <c r="GA34"/>
  <c r="FW34"/>
  <c r="GL34"/>
  <c r="GD34"/>
  <c r="FV34"/>
  <c r="GF34"/>
  <c r="O34" s="1"/>
  <c r="FX34"/>
  <c r="GK34"/>
  <c r="GG34"/>
  <c r="GC34"/>
  <c r="FY34"/>
  <c r="FU34"/>
  <c r="GH34"/>
  <c r="FZ34"/>
  <c r="GJ34"/>
  <c r="GB34"/>
  <c r="W34"/>
  <c r="DS34" i="3"/>
  <c r="DQ34"/>
  <c r="DO34"/>
  <c r="DM34"/>
  <c r="DK34"/>
  <c r="F34" s="1"/>
  <c r="DI34"/>
  <c r="D34" s="1"/>
  <c r="U35"/>
  <c r="DT34"/>
  <c r="O34" s="1"/>
  <c r="DP34"/>
  <c r="DL34"/>
  <c r="DR34"/>
  <c r="DN34"/>
  <c r="DJ34"/>
  <c r="EE41" i="2"/>
  <c r="Q41" s="1"/>
  <c r="EC41"/>
  <c r="O41" s="1"/>
  <c r="EA41"/>
  <c r="M41" s="1"/>
  <c r="DY41"/>
  <c r="DW41"/>
  <c r="DU41"/>
  <c r="F41" s="1"/>
  <c r="ED41"/>
  <c r="EB41"/>
  <c r="N41" s="1"/>
  <c r="DZ41"/>
  <c r="DX41"/>
  <c r="J41" s="1"/>
  <c r="DV41"/>
  <c r="DT41"/>
  <c r="E41" s="1"/>
  <c r="CP88" i="10" l="1"/>
  <c r="CO88"/>
  <c r="F68" i="4"/>
  <c r="V66"/>
  <c r="K64"/>
  <c r="I64"/>
  <c r="CI64"/>
  <c r="J64"/>
  <c r="N64"/>
  <c r="W64"/>
  <c r="H64"/>
  <c r="GJ35" i="6"/>
  <c r="GF35"/>
  <c r="GB35"/>
  <c r="FX35"/>
  <c r="GG35"/>
  <c r="FY35"/>
  <c r="GI35"/>
  <c r="GA35"/>
  <c r="GL35"/>
  <c r="GH35"/>
  <c r="GD35"/>
  <c r="FZ35"/>
  <c r="FV35"/>
  <c r="GK35"/>
  <c r="GC35"/>
  <c r="FU35"/>
  <c r="GM35"/>
  <c r="W35" s="1"/>
  <c r="GE35"/>
  <c r="FW35"/>
  <c r="P35"/>
  <c r="ED42" i="2"/>
  <c r="EB42"/>
  <c r="N42" s="1"/>
  <c r="DZ42"/>
  <c r="DX42"/>
  <c r="J42" s="1"/>
  <c r="DV42"/>
  <c r="DT42"/>
  <c r="E42" s="1"/>
  <c r="EE42"/>
  <c r="Q42" s="1"/>
  <c r="EC42"/>
  <c r="O42" s="1"/>
  <c r="EA42"/>
  <c r="M42" s="1"/>
  <c r="DY42"/>
  <c r="DW42"/>
  <c r="DU42"/>
  <c r="F42" s="1"/>
  <c r="DT35" i="3"/>
  <c r="DR35"/>
  <c r="DP35"/>
  <c r="DN35"/>
  <c r="DL35"/>
  <c r="G35" s="1"/>
  <c r="DJ35"/>
  <c r="O35"/>
  <c r="DQ35"/>
  <c r="DM35"/>
  <c r="H35" s="1"/>
  <c r="DI35"/>
  <c r="DS35"/>
  <c r="DO35"/>
  <c r="DK35"/>
  <c r="G132" i="10" l="1"/>
  <c r="F132" s="1"/>
  <c r="F70" i="4"/>
  <c r="V68"/>
  <c r="N66"/>
  <c r="I66"/>
  <c r="W66"/>
  <c r="H66"/>
  <c r="CI66"/>
  <c r="J66"/>
  <c r="Q66"/>
  <c r="K66"/>
  <c r="GK36" i="6"/>
  <c r="GG36"/>
  <c r="P36" s="1"/>
  <c r="GC36"/>
  <c r="FY36"/>
  <c r="FU36"/>
  <c r="GJ36"/>
  <c r="GB36"/>
  <c r="GH36"/>
  <c r="FZ36"/>
  <c r="GM36"/>
  <c r="W36" s="1"/>
  <c r="GI36"/>
  <c r="GE36"/>
  <c r="GA36"/>
  <c r="FW36"/>
  <c r="GF36"/>
  <c r="O36" s="1"/>
  <c r="FX36"/>
  <c r="GL36"/>
  <c r="GD36"/>
  <c r="FV36"/>
  <c r="EE46" i="2"/>
  <c r="Q46" s="1"/>
  <c r="EC46"/>
  <c r="O46" s="1"/>
  <c r="EA46"/>
  <c r="M46" s="1"/>
  <c r="DY46"/>
  <c r="K46" s="1"/>
  <c r="DW46"/>
  <c r="DU46"/>
  <c r="F46" s="1"/>
  <c r="ED46"/>
  <c r="EB46"/>
  <c r="N46" s="1"/>
  <c r="DZ46"/>
  <c r="DX46"/>
  <c r="J46" s="1"/>
  <c r="DV46"/>
  <c r="DT46"/>
  <c r="E46" s="1"/>
  <c r="F72" i="4" l="1"/>
  <c r="V70"/>
  <c r="N68"/>
  <c r="K68"/>
  <c r="CI68"/>
  <c r="J68"/>
  <c r="I68"/>
  <c r="W68"/>
  <c r="H68"/>
  <c r="GJ37" i="6"/>
  <c r="GF37"/>
  <c r="GB37"/>
  <c r="FX37"/>
  <c r="GM37"/>
  <c r="W37" s="1"/>
  <c r="GE37"/>
  <c r="FW37"/>
  <c r="GK37"/>
  <c r="U37" s="1"/>
  <c r="FU37"/>
  <c r="D37" s="1"/>
  <c r="GL37"/>
  <c r="V37" s="1"/>
  <c r="GH37"/>
  <c r="GD37"/>
  <c r="FZ37"/>
  <c r="FV37"/>
  <c r="E37" s="1"/>
  <c r="GI37"/>
  <c r="S37" s="1"/>
  <c r="GA37"/>
  <c r="T37"/>
  <c r="GG37"/>
  <c r="FY37"/>
  <c r="GC37"/>
  <c r="ED47" i="2"/>
  <c r="EB47"/>
  <c r="N47" s="1"/>
  <c r="DZ47"/>
  <c r="DX47"/>
  <c r="J47" s="1"/>
  <c r="DV47"/>
  <c r="DT47"/>
  <c r="E47" s="1"/>
  <c r="EE47"/>
  <c r="Q47" s="1"/>
  <c r="EC47"/>
  <c r="O47" s="1"/>
  <c r="EA47"/>
  <c r="M47" s="1"/>
  <c r="DY47"/>
  <c r="K47" s="1"/>
  <c r="DW47"/>
  <c r="DU47"/>
  <c r="F47" s="1"/>
  <c r="F74" i="4" l="1"/>
  <c r="V72"/>
  <c r="CI70"/>
  <c r="N70"/>
  <c r="I70"/>
  <c r="J70"/>
  <c r="H70"/>
  <c r="K70"/>
  <c r="W70"/>
  <c r="GL38" i="6"/>
  <c r="GH38"/>
  <c r="GD38"/>
  <c r="FZ38"/>
  <c r="FV38"/>
  <c r="GK38"/>
  <c r="U38" s="1"/>
  <c r="GC38"/>
  <c r="FU38"/>
  <c r="D38" s="1"/>
  <c r="GI38"/>
  <c r="S38" s="1"/>
  <c r="GJ38"/>
  <c r="T38" s="1"/>
  <c r="GF38"/>
  <c r="GB38"/>
  <c r="FX38"/>
  <c r="GG38"/>
  <c r="FY38"/>
  <c r="H38" s="1"/>
  <c r="V38"/>
  <c r="GM38"/>
  <c r="W38" s="1"/>
  <c r="GE38"/>
  <c r="FW38"/>
  <c r="E38"/>
  <c r="GA38"/>
  <c r="EE48" i="2"/>
  <c r="Q48" s="1"/>
  <c r="EC48"/>
  <c r="O48" s="1"/>
  <c r="EA48"/>
  <c r="M48" s="1"/>
  <c r="DY48"/>
  <c r="K48" s="1"/>
  <c r="DW48"/>
  <c r="DU48"/>
  <c r="F48" s="1"/>
  <c r="ED48"/>
  <c r="EB48"/>
  <c r="N48" s="1"/>
  <c r="DZ48"/>
  <c r="DX48"/>
  <c r="J48" s="1"/>
  <c r="DV48"/>
  <c r="DT48"/>
  <c r="E48" s="1"/>
  <c r="F76" i="4" l="1"/>
  <c r="V76" s="1"/>
  <c r="V74"/>
  <c r="Q72"/>
  <c r="I72"/>
  <c r="K72"/>
  <c r="W72"/>
  <c r="H72"/>
  <c r="N72"/>
  <c r="CI72"/>
  <c r="J72"/>
  <c r="GK39" i="6"/>
  <c r="U39" s="1"/>
  <c r="GG39"/>
  <c r="GC39"/>
  <c r="FY39"/>
  <c r="FU39"/>
  <c r="H39"/>
  <c r="GH39"/>
  <c r="FX39"/>
  <c r="GM39"/>
  <c r="W39" s="1"/>
  <c r="GI39"/>
  <c r="GE39"/>
  <c r="GA39"/>
  <c r="FW39"/>
  <c r="S39"/>
  <c r="GL39"/>
  <c r="V39" s="1"/>
  <c r="GD39"/>
  <c r="FV39"/>
  <c r="GJ39"/>
  <c r="GB39"/>
  <c r="T39"/>
  <c r="FZ39"/>
  <c r="GF39"/>
  <c r="EE50" i="2"/>
  <c r="Q50" s="1"/>
  <c r="Q49" s="1"/>
  <c r="EC50"/>
  <c r="O50" s="1"/>
  <c r="O49" s="1"/>
  <c r="EA50"/>
  <c r="M50" s="1"/>
  <c r="M49" s="1"/>
  <c r="DY50"/>
  <c r="K50" s="1"/>
  <c r="DW50"/>
  <c r="DU50"/>
  <c r="F50" s="1"/>
  <c r="F49" s="1"/>
  <c r="ED50"/>
  <c r="EB50"/>
  <c r="N50" s="1"/>
  <c r="N49" s="1"/>
  <c r="DZ50"/>
  <c r="DX50"/>
  <c r="J50" s="1"/>
  <c r="J49" s="1"/>
  <c r="DV50"/>
  <c r="DT50"/>
  <c r="E50" s="1"/>
  <c r="E49" s="1"/>
  <c r="AH21" i="10" l="1"/>
  <c r="AH31" s="1"/>
  <c r="AH22"/>
  <c r="AH32" s="1"/>
  <c r="AH20"/>
  <c r="AH30" s="1"/>
  <c r="AD21"/>
  <c r="AD31" s="1"/>
  <c r="AD22"/>
  <c r="AD32" s="1"/>
  <c r="AD20"/>
  <c r="AD30" s="1"/>
  <c r="AI20"/>
  <c r="AI30" s="1"/>
  <c r="AI21"/>
  <c r="AI31" s="1"/>
  <c r="AI22"/>
  <c r="AI32" s="1"/>
  <c r="AM21"/>
  <c r="AM31" s="1"/>
  <c r="AM22"/>
  <c r="AM32" s="1"/>
  <c r="AM20"/>
  <c r="AM30" s="1"/>
  <c r="AC21"/>
  <c r="AC31" s="1"/>
  <c r="AC22"/>
  <c r="AC32" s="1"/>
  <c r="AC20"/>
  <c r="AC30" s="1"/>
  <c r="AL21"/>
  <c r="AL31" s="1"/>
  <c r="AL22"/>
  <c r="AL32" s="1"/>
  <c r="AL20"/>
  <c r="AL30" s="1"/>
  <c r="AK21"/>
  <c r="AK31" s="1"/>
  <c r="AK22"/>
  <c r="AK32" s="1"/>
  <c r="AK20"/>
  <c r="AK30" s="1"/>
  <c r="AO21"/>
  <c r="AO31" s="1"/>
  <c r="AO22"/>
  <c r="AO32" s="1"/>
  <c r="AO20"/>
  <c r="AO30" s="1"/>
  <c r="CI76" i="4"/>
  <c r="N76"/>
  <c r="J76"/>
  <c r="I76"/>
  <c r="K76"/>
  <c r="W76"/>
  <c r="H76"/>
  <c r="N74"/>
  <c r="I74"/>
  <c r="W74"/>
  <c r="J74"/>
  <c r="CI74"/>
  <c r="H74"/>
  <c r="K74"/>
  <c r="GJ40" i="6"/>
  <c r="T40" s="1"/>
  <c r="GF40"/>
  <c r="GB40"/>
  <c r="K40" s="1"/>
  <c r="FX40"/>
  <c r="GK40"/>
  <c r="U40" s="1"/>
  <c r="GC40"/>
  <c r="L40" s="1"/>
  <c r="FU40"/>
  <c r="GM40"/>
  <c r="W40" s="1"/>
  <c r="GE40"/>
  <c r="FW40"/>
  <c r="GL40"/>
  <c r="V40" s="1"/>
  <c r="GH40"/>
  <c r="GD40"/>
  <c r="FZ40"/>
  <c r="FV40"/>
  <c r="GG40"/>
  <c r="FY40"/>
  <c r="M40"/>
  <c r="GI40"/>
  <c r="S40" s="1"/>
  <c r="GA40"/>
  <c r="ED51" i="2"/>
  <c r="EB51"/>
  <c r="N51" s="1"/>
  <c r="DZ51"/>
  <c r="DX51"/>
  <c r="J51" s="1"/>
  <c r="DV51"/>
  <c r="DT51"/>
  <c r="E51" s="1"/>
  <c r="EE51"/>
  <c r="Q51" s="1"/>
  <c r="EC51"/>
  <c r="O51" s="1"/>
  <c r="EA51"/>
  <c r="M51" s="1"/>
  <c r="DY51"/>
  <c r="K51" s="1"/>
  <c r="DW51"/>
  <c r="DU51"/>
  <c r="F51" s="1"/>
  <c r="AP32" i="10" l="1"/>
  <c r="AQ32" s="1"/>
  <c r="AP31"/>
  <c r="AQ31" s="1"/>
  <c r="AP30"/>
  <c r="H78" i="4"/>
  <c r="K78"/>
  <c r="J78"/>
  <c r="F78"/>
  <c r="I78"/>
  <c r="GK41" i="6"/>
  <c r="U41" s="1"/>
  <c r="GG41"/>
  <c r="P41" s="1"/>
  <c r="GC41"/>
  <c r="FY41"/>
  <c r="FU41"/>
  <c r="GL41"/>
  <c r="GD41"/>
  <c r="FV41"/>
  <c r="GB41"/>
  <c r="GM41"/>
  <c r="W41" s="1"/>
  <c r="GI41"/>
  <c r="GE41"/>
  <c r="N41" s="1"/>
  <c r="GA41"/>
  <c r="FW41"/>
  <c r="S41"/>
  <c r="GH41"/>
  <c r="FZ41"/>
  <c r="GF41"/>
  <c r="O41" s="1"/>
  <c r="FX41"/>
  <c r="GJ41"/>
  <c r="T41" s="1"/>
  <c r="V41"/>
  <c r="EE52" i="2"/>
  <c r="Q52" s="1"/>
  <c r="EC52"/>
  <c r="O52" s="1"/>
  <c r="EA52"/>
  <c r="M52" s="1"/>
  <c r="DY52"/>
  <c r="K52" s="1"/>
  <c r="DW52"/>
  <c r="DU52"/>
  <c r="F52" s="1"/>
  <c r="ED52"/>
  <c r="EB52"/>
  <c r="N52" s="1"/>
  <c r="DZ52"/>
  <c r="DX52"/>
  <c r="J52" s="1"/>
  <c r="DV52"/>
  <c r="DT52"/>
  <c r="E52" s="1"/>
  <c r="AQ30" i="10" l="1"/>
  <c r="GJ42" i="6"/>
  <c r="GF42"/>
  <c r="GB42"/>
  <c r="FX42"/>
  <c r="GK42"/>
  <c r="GC42"/>
  <c r="FU42"/>
  <c r="GI42"/>
  <c r="S42" s="1"/>
  <c r="GA42"/>
  <c r="T42"/>
  <c r="GL42"/>
  <c r="V42" s="1"/>
  <c r="GH42"/>
  <c r="GD42"/>
  <c r="FZ42"/>
  <c r="FV42"/>
  <c r="E42" s="1"/>
  <c r="U42"/>
  <c r="GG42"/>
  <c r="FY42"/>
  <c r="GM42"/>
  <c r="W42" s="1"/>
  <c r="GE42"/>
  <c r="FW42"/>
  <c r="D42"/>
  <c r="EE53" i="2"/>
  <c r="Q53" s="1"/>
  <c r="EC53"/>
  <c r="O53" s="1"/>
  <c r="EA53"/>
  <c r="M53" s="1"/>
  <c r="DY53"/>
  <c r="K53" s="1"/>
  <c r="DW53"/>
  <c r="DU53"/>
  <c r="F53" s="1"/>
  <c r="EB53"/>
  <c r="N53" s="1"/>
  <c r="DX53"/>
  <c r="J53" s="1"/>
  <c r="DT53"/>
  <c r="E53" s="1"/>
  <c r="DT54"/>
  <c r="ED53"/>
  <c r="DZ53"/>
  <c r="DV53"/>
  <c r="GK43" i="6" l="1"/>
  <c r="U43" s="1"/>
  <c r="GG43"/>
  <c r="GC43"/>
  <c r="FY43"/>
  <c r="FU43"/>
  <c r="H43"/>
  <c r="GH43"/>
  <c r="FZ43"/>
  <c r="GF43"/>
  <c r="GM43"/>
  <c r="W43" s="1"/>
  <c r="GI43"/>
  <c r="S43" s="1"/>
  <c r="GE43"/>
  <c r="GA43"/>
  <c r="FW43"/>
  <c r="GL43"/>
  <c r="V43" s="1"/>
  <c r="GD43"/>
  <c r="FV43"/>
  <c r="GJ43"/>
  <c r="T43" s="1"/>
  <c r="GB43"/>
  <c r="FX43"/>
  <c r="ED54" i="2"/>
  <c r="EB54"/>
  <c r="N54" s="1"/>
  <c r="DZ54"/>
  <c r="DX54"/>
  <c r="J54" s="1"/>
  <c r="DV54"/>
  <c r="EC54"/>
  <c r="O54" s="1"/>
  <c r="DY54"/>
  <c r="K54" s="1"/>
  <c r="DU54"/>
  <c r="F54" s="1"/>
  <c r="E54"/>
  <c r="EE54"/>
  <c r="Q54" s="1"/>
  <c r="EA54"/>
  <c r="M54" s="1"/>
  <c r="DW54"/>
  <c r="GJ44" i="6" l="1"/>
  <c r="GF44"/>
  <c r="GB44"/>
  <c r="FX44"/>
  <c r="GK44"/>
  <c r="GC44"/>
  <c r="L44" s="1"/>
  <c r="FU44"/>
  <c r="GM44"/>
  <c r="W44" s="1"/>
  <c r="GE44"/>
  <c r="FW44"/>
  <c r="K44"/>
  <c r="GL44"/>
  <c r="V44" s="1"/>
  <c r="GH44"/>
  <c r="GD44"/>
  <c r="M44" s="1"/>
  <c r="FZ44"/>
  <c r="FV44"/>
  <c r="T44"/>
  <c r="GG44"/>
  <c r="FY44"/>
  <c r="GI44"/>
  <c r="S44" s="1"/>
  <c r="GA44"/>
  <c r="U44"/>
  <c r="ED55" i="2"/>
  <c r="EB55"/>
  <c r="N55" s="1"/>
  <c r="DZ55"/>
  <c r="DX55"/>
  <c r="J55" s="1"/>
  <c r="DV55"/>
  <c r="DT55"/>
  <c r="E55" s="1"/>
  <c r="EE55"/>
  <c r="Q55" s="1"/>
  <c r="EA55"/>
  <c r="M55" s="1"/>
  <c r="DW55"/>
  <c r="EC55"/>
  <c r="O55" s="1"/>
  <c r="DY55"/>
  <c r="K55" s="1"/>
  <c r="DU55"/>
  <c r="F55" s="1"/>
  <c r="GM45" i="6" l="1"/>
  <c r="W45" s="1"/>
  <c r="GI45"/>
  <c r="S45" s="1"/>
  <c r="GE45"/>
  <c r="N45" s="1"/>
  <c r="GA45"/>
  <c r="FW45"/>
  <c r="GL45"/>
  <c r="V45" s="1"/>
  <c r="GD45"/>
  <c r="FV45"/>
  <c r="GF45"/>
  <c r="O45" s="1"/>
  <c r="GK45"/>
  <c r="U45" s="1"/>
  <c r="GG45"/>
  <c r="GC45"/>
  <c r="FY45"/>
  <c r="FU45"/>
  <c r="P45"/>
  <c r="GH45"/>
  <c r="FZ45"/>
  <c r="GJ45"/>
  <c r="T45" s="1"/>
  <c r="GB45"/>
  <c r="FX45"/>
  <c r="ED56" i="2"/>
  <c r="EB56"/>
  <c r="N56" s="1"/>
  <c r="DZ56"/>
  <c r="DX56"/>
  <c r="J56" s="1"/>
  <c r="DV56"/>
  <c r="DT56"/>
  <c r="E56" s="1"/>
  <c r="EE56"/>
  <c r="Q56" s="1"/>
  <c r="EA56"/>
  <c r="M56" s="1"/>
  <c r="DW56"/>
  <c r="EC56"/>
  <c r="O56" s="1"/>
  <c r="DY56"/>
  <c r="K56" s="1"/>
  <c r="DU56"/>
  <c r="F56" s="1"/>
  <c r="GJ48" i="6" l="1"/>
  <c r="GF48"/>
  <c r="GB48"/>
  <c r="FX48"/>
  <c r="GG48"/>
  <c r="FY48"/>
  <c r="GI48"/>
  <c r="GL48"/>
  <c r="GH48"/>
  <c r="GD48"/>
  <c r="FZ48"/>
  <c r="FV48"/>
  <c r="GK48"/>
  <c r="GC48"/>
  <c r="FU48"/>
  <c r="GM48"/>
  <c r="W48" s="1"/>
  <c r="GE48"/>
  <c r="N48" s="1"/>
  <c r="FW48"/>
  <c r="GA48"/>
  <c r="ED57" i="2"/>
  <c r="EB57"/>
  <c r="N57" s="1"/>
  <c r="DZ57"/>
  <c r="DX57"/>
  <c r="J57" s="1"/>
  <c r="DV57"/>
  <c r="DT57"/>
  <c r="E57" s="1"/>
  <c r="EE57"/>
  <c r="Q57" s="1"/>
  <c r="EA57"/>
  <c r="M57" s="1"/>
  <c r="DW57"/>
  <c r="EC57"/>
  <c r="O57" s="1"/>
  <c r="DY57"/>
  <c r="K57" s="1"/>
  <c r="DU57"/>
  <c r="F57" s="1"/>
  <c r="GJ49" i="6" l="1"/>
  <c r="GF49"/>
  <c r="GB49"/>
  <c r="FX49"/>
  <c r="GK49"/>
  <c r="GC49"/>
  <c r="FU49"/>
  <c r="GA49"/>
  <c r="GL49"/>
  <c r="GH49"/>
  <c r="GD49"/>
  <c r="FZ49"/>
  <c r="FV49"/>
  <c r="U49"/>
  <c r="GG49"/>
  <c r="FY49"/>
  <c r="V49"/>
  <c r="GM49"/>
  <c r="W49" s="1"/>
  <c r="GE49"/>
  <c r="FW49"/>
  <c r="GI49"/>
  <c r="S49" s="1"/>
  <c r="EE58" i="2"/>
  <c r="Q58" s="1"/>
  <c r="EC58"/>
  <c r="O58" s="1"/>
  <c r="EA58"/>
  <c r="M58" s="1"/>
  <c r="DY58"/>
  <c r="DW58"/>
  <c r="DU58"/>
  <c r="F58" s="1"/>
  <c r="EB58"/>
  <c r="N58" s="1"/>
  <c r="DX58"/>
  <c r="J58" s="1"/>
  <c r="DT58"/>
  <c r="E58" s="1"/>
  <c r="ED58"/>
  <c r="DZ58"/>
  <c r="DV58"/>
  <c r="AC17" i="10" l="1"/>
  <c r="AC27" s="1"/>
  <c r="AC16"/>
  <c r="AC26" s="1"/>
  <c r="AC18"/>
  <c r="AC28" s="1"/>
  <c r="AC19"/>
  <c r="AC29" s="1"/>
  <c r="AL16"/>
  <c r="AL26" s="1"/>
  <c r="AL15"/>
  <c r="AL17"/>
  <c r="AL27" s="1"/>
  <c r="AL18"/>
  <c r="AL28" s="1"/>
  <c r="AL19"/>
  <c r="AL29" s="1"/>
  <c r="AK17"/>
  <c r="AK27" s="1"/>
  <c r="AK16"/>
  <c r="AK26" s="1"/>
  <c r="AK15"/>
  <c r="AK25" s="1"/>
  <c r="AK18"/>
  <c r="AK28" s="1"/>
  <c r="AK19"/>
  <c r="AK29" s="1"/>
  <c r="AO17"/>
  <c r="AO27" s="1"/>
  <c r="AO16"/>
  <c r="AO26" s="1"/>
  <c r="AO15"/>
  <c r="AO25" s="1"/>
  <c r="AO18"/>
  <c r="AO28" s="1"/>
  <c r="AO19"/>
  <c r="AO29" s="1"/>
  <c r="AH17"/>
  <c r="AH27" s="1"/>
  <c r="AH16"/>
  <c r="AH26" s="1"/>
  <c r="AH15"/>
  <c r="AH25" s="1"/>
  <c r="AH18"/>
  <c r="AH28" s="1"/>
  <c r="AH19"/>
  <c r="AH29" s="1"/>
  <c r="AD15"/>
  <c r="AD25" s="1"/>
  <c r="AD17"/>
  <c r="AD27" s="1"/>
  <c r="AD16"/>
  <c r="AD26" s="1"/>
  <c r="AD18"/>
  <c r="AD28" s="1"/>
  <c r="AD19"/>
  <c r="AD29" s="1"/>
  <c r="AM17"/>
  <c r="AM27" s="1"/>
  <c r="AM16"/>
  <c r="AM26" s="1"/>
  <c r="AM15"/>
  <c r="AM25" s="1"/>
  <c r="AM18"/>
  <c r="AM28" s="1"/>
  <c r="AM19"/>
  <c r="AM29" s="1"/>
  <c r="GL50" i="6"/>
  <c r="V50" s="1"/>
  <c r="GH50"/>
  <c r="GD50"/>
  <c r="FZ50"/>
  <c r="FV50"/>
  <c r="GG50"/>
  <c r="FY50"/>
  <c r="GI50"/>
  <c r="GA50"/>
  <c r="S50"/>
  <c r="GJ50"/>
  <c r="GF50"/>
  <c r="GB50"/>
  <c r="FX50"/>
  <c r="GK50"/>
  <c r="U50" s="1"/>
  <c r="GC50"/>
  <c r="FU50"/>
  <c r="GM50"/>
  <c r="W50" s="1"/>
  <c r="GE50"/>
  <c r="FW50"/>
  <c r="ED59" i="2"/>
  <c r="EB59"/>
  <c r="DZ59"/>
  <c r="DX59"/>
  <c r="J59" s="1"/>
  <c r="DV59"/>
  <c r="DT59"/>
  <c r="E59" s="1"/>
  <c r="EC59"/>
  <c r="O59" s="1"/>
  <c r="DY59"/>
  <c r="DU59"/>
  <c r="F59" s="1"/>
  <c r="N59"/>
  <c r="EE59"/>
  <c r="Q59" s="1"/>
  <c r="EA59"/>
  <c r="M59" s="1"/>
  <c r="DW59"/>
  <c r="AP29" i="10" l="1"/>
  <c r="AT25" s="1"/>
  <c r="G108" s="1"/>
  <c r="AP28"/>
  <c r="AP27"/>
  <c r="AQ27" s="1"/>
  <c r="AP26"/>
  <c r="AQ26" s="1"/>
  <c r="AL25"/>
  <c r="AP25" s="1"/>
  <c r="AP15"/>
  <c r="AP18"/>
  <c r="AQ18" s="1"/>
  <c r="AP19"/>
  <c r="AP16"/>
  <c r="AQ16" s="1"/>
  <c r="AP17"/>
  <c r="GK51" i="6"/>
  <c r="GG51"/>
  <c r="GC51"/>
  <c r="FY51"/>
  <c r="FU51"/>
  <c r="GJ51"/>
  <c r="GF51"/>
  <c r="GB51"/>
  <c r="FX51"/>
  <c r="GM51"/>
  <c r="GI51"/>
  <c r="GE51"/>
  <c r="GA51"/>
  <c r="FW51"/>
  <c r="F51" s="1"/>
  <c r="GL51"/>
  <c r="GH51"/>
  <c r="GD51"/>
  <c r="FZ51"/>
  <c r="FV51"/>
  <c r="W51"/>
  <c r="Q60" i="2"/>
  <c r="EC60"/>
  <c r="O60" s="1"/>
  <c r="EA60"/>
  <c r="M60" s="1"/>
  <c r="DY60"/>
  <c r="DW60"/>
  <c r="DU60"/>
  <c r="F60" s="1"/>
  <c r="EB60"/>
  <c r="N60" s="1"/>
  <c r="DX60"/>
  <c r="J60" s="1"/>
  <c r="DT60"/>
  <c r="E60" s="1"/>
  <c r="ED60"/>
  <c r="DZ60"/>
  <c r="DV60"/>
  <c r="AS25" i="10" l="1"/>
  <c r="F108" s="1"/>
  <c r="AQ29"/>
  <c r="AU25"/>
  <c r="H108" s="1"/>
  <c r="AQ28"/>
  <c r="AQ17"/>
  <c r="AR25"/>
  <c r="E108" s="1"/>
  <c r="AQ25"/>
  <c r="AQ15"/>
  <c r="AQ19"/>
  <c r="AO93"/>
  <c r="AS93"/>
  <c r="GL52" i="6"/>
  <c r="GH52"/>
  <c r="GD52"/>
  <c r="FZ52"/>
  <c r="FV52"/>
  <c r="GK52"/>
  <c r="U52" s="1"/>
  <c r="GG52"/>
  <c r="GC52"/>
  <c r="FY52"/>
  <c r="FU52"/>
  <c r="GJ52"/>
  <c r="GF52"/>
  <c r="GB52"/>
  <c r="FX52"/>
  <c r="GM52"/>
  <c r="W52" s="1"/>
  <c r="GI52"/>
  <c r="GE52"/>
  <c r="GA52"/>
  <c r="FW52"/>
  <c r="V52"/>
  <c r="ED61" i="2"/>
  <c r="EB61"/>
  <c r="N61" s="1"/>
  <c r="DZ61"/>
  <c r="DX61"/>
  <c r="J61" s="1"/>
  <c r="DV61"/>
  <c r="DT61"/>
  <c r="E61" s="1"/>
  <c r="EE61"/>
  <c r="Q61" s="1"/>
  <c r="EA61"/>
  <c r="M61" s="1"/>
  <c r="DW61"/>
  <c r="EC61"/>
  <c r="O61" s="1"/>
  <c r="DY61"/>
  <c r="DU61"/>
  <c r="F61" s="1"/>
  <c r="AV25" i="10" l="1"/>
  <c r="I108" s="1"/>
  <c r="BI93"/>
  <c r="CC93" s="1"/>
  <c r="GM53" i="6"/>
  <c r="GI53"/>
  <c r="GE53"/>
  <c r="GA53"/>
  <c r="FW53"/>
  <c r="GF53"/>
  <c r="GB53"/>
  <c r="W53"/>
  <c r="GK53"/>
  <c r="GG53"/>
  <c r="GC53"/>
  <c r="FY53"/>
  <c r="FU53"/>
  <c r="GL53"/>
  <c r="V53" s="1"/>
  <c r="GH53"/>
  <c r="GD53"/>
  <c r="FZ53"/>
  <c r="FV53"/>
  <c r="U53"/>
  <c r="GJ53"/>
  <c r="FX53"/>
  <c r="G53" s="1"/>
  <c r="EE62" i="2"/>
  <c r="Q62" s="1"/>
  <c r="EC62"/>
  <c r="O62" s="1"/>
  <c r="EA62"/>
  <c r="M62" s="1"/>
  <c r="DY62"/>
  <c r="DW62"/>
  <c r="DU62"/>
  <c r="F62" s="1"/>
  <c r="ED62"/>
  <c r="DZ62"/>
  <c r="DV62"/>
  <c r="EB62"/>
  <c r="N62" s="1"/>
  <c r="DX62"/>
  <c r="J62" s="1"/>
  <c r="DT62"/>
  <c r="E62" s="1"/>
  <c r="CI93" i="10" l="1"/>
  <c r="CO93" s="1"/>
  <c r="AP20"/>
  <c r="BQ93"/>
  <c r="BY93"/>
  <c r="BU93"/>
  <c r="BM93"/>
  <c r="CN93"/>
  <c r="E137" s="1"/>
  <c r="GL54" i="6"/>
  <c r="GH54"/>
  <c r="GD54"/>
  <c r="FZ54"/>
  <c r="FV54"/>
  <c r="GM54"/>
  <c r="GI54"/>
  <c r="GE54"/>
  <c r="GA54"/>
  <c r="FW54"/>
  <c r="GJ54"/>
  <c r="GF54"/>
  <c r="O54" s="1"/>
  <c r="GB54"/>
  <c r="FX54"/>
  <c r="W54"/>
  <c r="GK54"/>
  <c r="GG54"/>
  <c r="GC54"/>
  <c r="FY54"/>
  <c r="FU54"/>
  <c r="ED67" i="2"/>
  <c r="EB67"/>
  <c r="DZ67"/>
  <c r="DX67"/>
  <c r="J67" s="1"/>
  <c r="DV67"/>
  <c r="DT67"/>
  <c r="E67" s="1"/>
  <c r="EC67"/>
  <c r="O67" s="1"/>
  <c r="DY67"/>
  <c r="K67" s="1"/>
  <c r="DU67"/>
  <c r="F67" s="1"/>
  <c r="N67"/>
  <c r="EE67"/>
  <c r="Q67" s="1"/>
  <c r="EA67"/>
  <c r="M67" s="1"/>
  <c r="DW67"/>
  <c r="CP93" i="10" l="1"/>
  <c r="G137" s="1"/>
  <c r="F137" s="1"/>
  <c r="AQ20"/>
  <c r="AP21"/>
  <c r="AQ21" s="1"/>
  <c r="AP22"/>
  <c r="AQ22" s="1"/>
  <c r="GM55" i="6"/>
  <c r="GI55"/>
  <c r="GE55"/>
  <c r="GA55"/>
  <c r="FW55"/>
  <c r="GJ55"/>
  <c r="GF55"/>
  <c r="GB55"/>
  <c r="W55"/>
  <c r="GK55"/>
  <c r="GG55"/>
  <c r="P55" s="1"/>
  <c r="GC55"/>
  <c r="FY55"/>
  <c r="FU55"/>
  <c r="GL55"/>
  <c r="GH55"/>
  <c r="GD55"/>
  <c r="FZ55"/>
  <c r="FV55"/>
  <c r="FX55"/>
  <c r="EE68" i="2"/>
  <c r="Q68" s="1"/>
  <c r="EC68"/>
  <c r="O68" s="1"/>
  <c r="EA68"/>
  <c r="M68" s="1"/>
  <c r="DY68"/>
  <c r="K68" s="1"/>
  <c r="DW68"/>
  <c r="DU68"/>
  <c r="F68" s="1"/>
  <c r="ED68"/>
  <c r="DZ68"/>
  <c r="DV68"/>
  <c r="EB68"/>
  <c r="N68" s="1"/>
  <c r="DX68"/>
  <c r="J68" s="1"/>
  <c r="DT68"/>
  <c r="E68" s="1"/>
  <c r="AC43" i="10" l="1"/>
  <c r="GL56" i="6"/>
  <c r="GH56"/>
  <c r="GD56"/>
  <c r="FZ56"/>
  <c r="FV56"/>
  <c r="GM56"/>
  <c r="W56" s="1"/>
  <c r="GI56"/>
  <c r="GE56"/>
  <c r="GA56"/>
  <c r="FW56"/>
  <c r="GJ56"/>
  <c r="GF56"/>
  <c r="GB56"/>
  <c r="FX56"/>
  <c r="GK56"/>
  <c r="GG56"/>
  <c r="P56" s="1"/>
  <c r="GC56"/>
  <c r="FY56"/>
  <c r="FU56"/>
  <c r="O56"/>
  <c r="EE69" i="2"/>
  <c r="EC69"/>
  <c r="EA69"/>
  <c r="M69" s="1"/>
  <c r="AK38" i="10" s="1"/>
  <c r="AK43" s="1"/>
  <c r="DY69" i="2"/>
  <c r="K69" s="1"/>
  <c r="AI38" i="10" s="1"/>
  <c r="AI43" s="1"/>
  <c r="DW69" i="2"/>
  <c r="DU69"/>
  <c r="F69" s="1"/>
  <c r="AD38" i="10" s="1"/>
  <c r="AD43" s="1"/>
  <c r="Q69" i="2"/>
  <c r="AO38" i="10" s="1"/>
  <c r="AO43" s="1"/>
  <c r="O69" i="2"/>
  <c r="AM38" i="10" s="1"/>
  <c r="AM43" s="1"/>
  <c r="EB69" i="2"/>
  <c r="N69" s="1"/>
  <c r="AL38" i="10" s="1"/>
  <c r="AL43" s="1"/>
  <c r="DX69" i="2"/>
  <c r="J69" s="1"/>
  <c r="AH38" i="10" s="1"/>
  <c r="AH43" s="1"/>
  <c r="DT69" i="2"/>
  <c r="E69" s="1"/>
  <c r="ED69"/>
  <c r="DZ69"/>
  <c r="DV69"/>
  <c r="AO37" i="10" l="1"/>
  <c r="AO42" s="1"/>
  <c r="AK37"/>
  <c r="AK42" s="1"/>
  <c r="AH37"/>
  <c r="AH42" s="1"/>
  <c r="AD37"/>
  <c r="AD42" s="1"/>
  <c r="AL37"/>
  <c r="AL42" s="1"/>
  <c r="AM37"/>
  <c r="AM42" s="1"/>
  <c r="AI37"/>
  <c r="AI42" s="1"/>
  <c r="AP43"/>
  <c r="AC42"/>
  <c r="AM40"/>
  <c r="AM39"/>
  <c r="AM44" s="1"/>
  <c r="AD40"/>
  <c r="AD45" s="1"/>
  <c r="AD39"/>
  <c r="AD44" s="1"/>
  <c r="AI40"/>
  <c r="AI45" s="1"/>
  <c r="AI39"/>
  <c r="AI44" s="1"/>
  <c r="AP38"/>
  <c r="AQ38" s="1"/>
  <c r="AH40"/>
  <c r="AH45" s="1"/>
  <c r="AH39"/>
  <c r="AH44" s="1"/>
  <c r="AC40"/>
  <c r="AC45" s="1"/>
  <c r="AC39"/>
  <c r="AC44" s="1"/>
  <c r="AL40"/>
  <c r="AL45" s="1"/>
  <c r="AP45" s="1"/>
  <c r="AQ45" s="1"/>
  <c r="AL39"/>
  <c r="AL44" s="1"/>
  <c r="AO40"/>
  <c r="AO45" s="1"/>
  <c r="AO39"/>
  <c r="AO44" s="1"/>
  <c r="AK40"/>
  <c r="AK45" s="1"/>
  <c r="AK39"/>
  <c r="AK44" s="1"/>
  <c r="GK57" i="6"/>
  <c r="GG57"/>
  <c r="GC57"/>
  <c r="FY57"/>
  <c r="FU57"/>
  <c r="GL57"/>
  <c r="GH57"/>
  <c r="GD57"/>
  <c r="FZ57"/>
  <c r="FV57"/>
  <c r="U57"/>
  <c r="E57"/>
  <c r="GM57"/>
  <c r="W57" s="1"/>
  <c r="GI57"/>
  <c r="GE57"/>
  <c r="GA57"/>
  <c r="FW57"/>
  <c r="V57"/>
  <c r="D57"/>
  <c r="GJ57"/>
  <c r="T57" s="1"/>
  <c r="GF57"/>
  <c r="GB57"/>
  <c r="FX57"/>
  <c r="S57"/>
  <c r="EE71" i="2"/>
  <c r="Q71" s="1"/>
  <c r="EC71"/>
  <c r="O71" s="1"/>
  <c r="EA71"/>
  <c r="M71" s="1"/>
  <c r="DY71"/>
  <c r="K71" s="1"/>
  <c r="DW71"/>
  <c r="DU71"/>
  <c r="F71" s="1"/>
  <c r="ED71"/>
  <c r="DZ71"/>
  <c r="DV71"/>
  <c r="EB71"/>
  <c r="N71" s="1"/>
  <c r="DX71"/>
  <c r="J71" s="1"/>
  <c r="DT71"/>
  <c r="E71" s="1"/>
  <c r="AP37" i="10" l="1"/>
  <c r="AR37" s="1"/>
  <c r="AP42"/>
  <c r="AR42" s="1"/>
  <c r="E109" s="1"/>
  <c r="AP44"/>
  <c r="AQ44" s="1"/>
  <c r="AQ43"/>
  <c r="AH51"/>
  <c r="AH58" s="1"/>
  <c r="AH50"/>
  <c r="AH57" s="1"/>
  <c r="AO51"/>
  <c r="AO58" s="1"/>
  <c r="AO50"/>
  <c r="AO57" s="1"/>
  <c r="AC51"/>
  <c r="AC58" s="1"/>
  <c r="AC50"/>
  <c r="AC57" s="1"/>
  <c r="AL51"/>
  <c r="AL58" s="1"/>
  <c r="AP58" s="1"/>
  <c r="AQ58" s="1"/>
  <c r="AL50"/>
  <c r="AL57" s="1"/>
  <c r="AD51"/>
  <c r="AD58" s="1"/>
  <c r="AD50"/>
  <c r="AD57" s="1"/>
  <c r="AM51"/>
  <c r="AM58" s="1"/>
  <c r="AM50"/>
  <c r="AM57" s="1"/>
  <c r="AK51"/>
  <c r="AK58" s="1"/>
  <c r="AK50"/>
  <c r="AK57" s="1"/>
  <c r="AP40"/>
  <c r="AP39"/>
  <c r="AQ39" s="1"/>
  <c r="DX72" i="2"/>
  <c r="J72" s="1"/>
  <c r="AH49" i="10" s="1"/>
  <c r="AH56" s="1"/>
  <c r="GK58" i="6"/>
  <c r="GG58"/>
  <c r="GC58"/>
  <c r="FY58"/>
  <c r="FU58"/>
  <c r="GL58"/>
  <c r="GH58"/>
  <c r="GD58"/>
  <c r="FZ58"/>
  <c r="FV58"/>
  <c r="E58" s="1"/>
  <c r="U58"/>
  <c r="H58"/>
  <c r="GM58"/>
  <c r="W58" s="1"/>
  <c r="GI58"/>
  <c r="S58" s="1"/>
  <c r="GE58"/>
  <c r="GA58"/>
  <c r="FW58"/>
  <c r="V58"/>
  <c r="GJ58"/>
  <c r="T58" s="1"/>
  <c r="GF58"/>
  <c r="GB58"/>
  <c r="FX58"/>
  <c r="D58"/>
  <c r="ED72" i="2"/>
  <c r="EB72"/>
  <c r="N72" s="1"/>
  <c r="AL49" i="10" s="1"/>
  <c r="AL56" s="1"/>
  <c r="DZ72" i="2"/>
  <c r="DV72"/>
  <c r="DT72"/>
  <c r="E72" s="1"/>
  <c r="AC49" i="10" s="1"/>
  <c r="AC56" s="1"/>
  <c r="EC72" i="2"/>
  <c r="O72" s="1"/>
  <c r="AM49" i="10" s="1"/>
  <c r="AM56" s="1"/>
  <c r="DY72" i="2"/>
  <c r="K72" s="1"/>
  <c r="AI49" i="10" s="1"/>
  <c r="AI56" s="1"/>
  <c r="DU72" i="2"/>
  <c r="F72" s="1"/>
  <c r="AD49" i="10" s="1"/>
  <c r="AD56" s="1"/>
  <c r="EE72" i="2"/>
  <c r="Q72" s="1"/>
  <c r="AO49" i="10" s="1"/>
  <c r="AO56" s="1"/>
  <c r="EA72" i="2"/>
  <c r="M72" s="1"/>
  <c r="AK49" i="10" s="1"/>
  <c r="AK56" s="1"/>
  <c r="DW72" i="2"/>
  <c r="AP57" i="10" l="1"/>
  <c r="AQ57" s="1"/>
  <c r="AQ37"/>
  <c r="AQ42"/>
  <c r="AP56"/>
  <c r="AI51"/>
  <c r="AI58" s="1"/>
  <c r="AI50"/>
  <c r="AI57" s="1"/>
  <c r="AU42"/>
  <c r="H109" s="1"/>
  <c r="AS42"/>
  <c r="F109" s="1"/>
  <c r="AT42"/>
  <c r="G109" s="1"/>
  <c r="AU37"/>
  <c r="AQ40"/>
  <c r="AP50"/>
  <c r="AQ50" s="1"/>
  <c r="AP51"/>
  <c r="AQ51" s="1"/>
  <c r="AK53"/>
  <c r="AK60" s="1"/>
  <c r="AK52"/>
  <c r="AK59" s="1"/>
  <c r="AK54"/>
  <c r="AK61" s="1"/>
  <c r="AM52"/>
  <c r="AM59" s="1"/>
  <c r="AM53"/>
  <c r="AM60" s="1"/>
  <c r="AM54"/>
  <c r="AM61" s="1"/>
  <c r="AL52"/>
  <c r="AL59" s="1"/>
  <c r="AP59" s="1"/>
  <c r="AL53"/>
  <c r="AL60" s="1"/>
  <c r="AP60" s="1"/>
  <c r="AQ60" s="1"/>
  <c r="AL54"/>
  <c r="AL61" s="1"/>
  <c r="AP61" s="1"/>
  <c r="AQ61" s="1"/>
  <c r="AO53"/>
  <c r="AO60" s="1"/>
  <c r="AO52"/>
  <c r="AO59" s="1"/>
  <c r="AO54"/>
  <c r="AO61" s="1"/>
  <c r="AI52"/>
  <c r="AI59" s="1"/>
  <c r="AI53"/>
  <c r="AI60" s="1"/>
  <c r="AI54"/>
  <c r="AI61" s="1"/>
  <c r="AC52"/>
  <c r="AC59" s="1"/>
  <c r="AC53"/>
  <c r="AC60" s="1"/>
  <c r="AC54"/>
  <c r="AC61" s="1"/>
  <c r="AP49"/>
  <c r="AD52"/>
  <c r="AD59" s="1"/>
  <c r="AD53"/>
  <c r="AD60" s="1"/>
  <c r="AD54"/>
  <c r="AD61" s="1"/>
  <c r="AH52"/>
  <c r="AH59" s="1"/>
  <c r="AH53"/>
  <c r="AH60" s="1"/>
  <c r="AH54"/>
  <c r="AH61" s="1"/>
  <c r="AT37"/>
  <c r="AS37"/>
  <c r="GL59" i="6"/>
  <c r="V59" s="1"/>
  <c r="GH59"/>
  <c r="GD59"/>
  <c r="FZ59"/>
  <c r="FV59"/>
  <c r="GM59"/>
  <c r="W59" s="1"/>
  <c r="GI59"/>
  <c r="GE59"/>
  <c r="GA59"/>
  <c r="FW59"/>
  <c r="S59"/>
  <c r="GJ59"/>
  <c r="T59" s="1"/>
  <c r="GF59"/>
  <c r="GB59"/>
  <c r="FX59"/>
  <c r="GK59"/>
  <c r="U59" s="1"/>
  <c r="GG59"/>
  <c r="GC59"/>
  <c r="FY59"/>
  <c r="H59" s="1"/>
  <c r="FU59"/>
  <c r="AQ59" i="10" l="1"/>
  <c r="AT56"/>
  <c r="G110" s="1"/>
  <c r="AQ56"/>
  <c r="AR56"/>
  <c r="E110" s="1"/>
  <c r="AV56"/>
  <c r="I110" s="1"/>
  <c r="AS56"/>
  <c r="F110" s="1"/>
  <c r="AS49"/>
  <c r="AQ49"/>
  <c r="AP53"/>
  <c r="AQ53" s="1"/>
  <c r="AR49"/>
  <c r="AP54"/>
  <c r="AQ54" s="1"/>
  <c r="AP52"/>
  <c r="AQ52" s="1"/>
  <c r="GM60" i="6"/>
  <c r="W60" s="1"/>
  <c r="GI60"/>
  <c r="S60" s="1"/>
  <c r="GE60"/>
  <c r="GA60"/>
  <c r="FW60"/>
  <c r="GJ60"/>
  <c r="T60" s="1"/>
  <c r="GF60"/>
  <c r="GB60"/>
  <c r="K60" s="1"/>
  <c r="FX60"/>
  <c r="GK60"/>
  <c r="U60" s="1"/>
  <c r="GG60"/>
  <c r="GC60"/>
  <c r="L60" s="1"/>
  <c r="FY60"/>
  <c r="FU60"/>
  <c r="GL60"/>
  <c r="V60" s="1"/>
  <c r="GH60"/>
  <c r="GD60"/>
  <c r="M60" s="1"/>
  <c r="FZ60"/>
  <c r="FV60"/>
  <c r="AT49" i="10" l="1"/>
  <c r="GL61" i="6"/>
  <c r="V61" s="1"/>
  <c r="GH61"/>
  <c r="GD61"/>
  <c r="FZ61"/>
  <c r="FV61"/>
  <c r="GM61"/>
  <c r="W61" s="1"/>
  <c r="GI61"/>
  <c r="S61" s="1"/>
  <c r="GE61"/>
  <c r="N61" s="1"/>
  <c r="GA61"/>
  <c r="FW61"/>
  <c r="GJ61"/>
  <c r="T61" s="1"/>
  <c r="GF61"/>
  <c r="O61" s="1"/>
  <c r="GB61"/>
  <c r="FX61"/>
  <c r="GK61"/>
  <c r="U61" s="1"/>
  <c r="GG61"/>
  <c r="GC61"/>
  <c r="FY61"/>
  <c r="FU61"/>
  <c r="P61"/>
  <c r="GM62" l="1"/>
  <c r="W62" s="1"/>
  <c r="GI62"/>
  <c r="S62" s="1"/>
  <c r="GE62"/>
  <c r="GA62"/>
  <c r="FW62"/>
  <c r="GJ62"/>
  <c r="T62" s="1"/>
  <c r="GF62"/>
  <c r="GB62"/>
  <c r="FX62"/>
  <c r="GK62"/>
  <c r="U62" s="1"/>
  <c r="GG62"/>
  <c r="GC62"/>
  <c r="FY62"/>
  <c r="FU62"/>
  <c r="D62" s="1"/>
  <c r="GL62"/>
  <c r="V62" s="1"/>
  <c r="GH62"/>
  <c r="GD62"/>
  <c r="FZ62"/>
  <c r="FV62"/>
  <c r="E62" s="1"/>
  <c r="GJ63" l="1"/>
  <c r="GF63"/>
  <c r="GB63"/>
  <c r="FX63"/>
  <c r="GK63"/>
  <c r="U63" s="1"/>
  <c r="GG63"/>
  <c r="FY63"/>
  <c r="H63" s="1"/>
  <c r="GL63"/>
  <c r="V63" s="1"/>
  <c r="GH63"/>
  <c r="GD63"/>
  <c r="FZ63"/>
  <c r="FV63"/>
  <c r="T63"/>
  <c r="GM63"/>
  <c r="W63" s="1"/>
  <c r="GI63"/>
  <c r="S63" s="1"/>
  <c r="GE63"/>
  <c r="GA63"/>
  <c r="FW63"/>
  <c r="GC63"/>
  <c r="FU63"/>
  <c r="GK64" l="1"/>
  <c r="U64" s="1"/>
  <c r="GG64"/>
  <c r="GC64"/>
  <c r="L64" s="1"/>
  <c r="FY64"/>
  <c r="FU64"/>
  <c r="GL64"/>
  <c r="V64" s="1"/>
  <c r="GH64"/>
  <c r="FZ64"/>
  <c r="GM64"/>
  <c r="W64" s="1"/>
  <c r="GI64"/>
  <c r="S64" s="1"/>
  <c r="GE64"/>
  <c r="GA64"/>
  <c r="FW64"/>
  <c r="GJ64"/>
  <c r="T64" s="1"/>
  <c r="GF64"/>
  <c r="GB64"/>
  <c r="K64" s="1"/>
  <c r="FX64"/>
  <c r="GD64"/>
  <c r="M64" s="1"/>
  <c r="FV64"/>
  <c r="GL65" l="1"/>
  <c r="V65" s="1"/>
  <c r="GH65"/>
  <c r="GD65"/>
  <c r="FZ65"/>
  <c r="FV65"/>
  <c r="GM65"/>
  <c r="W65" s="1"/>
  <c r="GI65"/>
  <c r="S65" s="1"/>
  <c r="GE65"/>
  <c r="N65" s="1"/>
  <c r="GA65"/>
  <c r="FW65"/>
  <c r="GJ65"/>
  <c r="T65" s="1"/>
  <c r="GF65"/>
  <c r="O65" s="1"/>
  <c r="GB65"/>
  <c r="FX65"/>
  <c r="GK65"/>
  <c r="U65" s="1"/>
  <c r="GG65"/>
  <c r="GC65"/>
  <c r="FY65"/>
  <c r="FU65"/>
  <c r="P65"/>
  <c r="GK68" l="1"/>
  <c r="GG68"/>
  <c r="GC68"/>
  <c r="FY68"/>
  <c r="FU68"/>
  <c r="H68"/>
  <c r="GL68"/>
  <c r="GH68"/>
  <c r="GD68"/>
  <c r="FZ68"/>
  <c r="I68" s="1"/>
  <c r="U68"/>
  <c r="GM68"/>
  <c r="W68" s="1"/>
  <c r="GI68"/>
  <c r="GE68"/>
  <c r="GA68"/>
  <c r="J68" s="1"/>
  <c r="FW68"/>
  <c r="V68"/>
  <c r="GJ68"/>
  <c r="T68" s="1"/>
  <c r="GF68"/>
  <c r="O68" s="1"/>
  <c r="GB68"/>
  <c r="FX68"/>
  <c r="S68"/>
  <c r="FV68"/>
  <c r="BY95" i="10" l="1"/>
  <c r="E139"/>
  <c r="FV70" i="6" l="1"/>
  <c r="FX70"/>
  <c r="FZ70"/>
  <c r="GB70"/>
  <c r="GD70"/>
  <c r="GF70"/>
  <c r="GH70"/>
  <c r="GJ70"/>
  <c r="GL70"/>
  <c r="FU70"/>
  <c r="FW70"/>
  <c r="FY70"/>
  <c r="GA70"/>
  <c r="GC70"/>
  <c r="GE70"/>
  <c r="GG70"/>
  <c r="GI70"/>
  <c r="GK70"/>
  <c r="GM70"/>
  <c r="GL69"/>
  <c r="GH69"/>
  <c r="GD69"/>
  <c r="FZ69"/>
  <c r="FV69"/>
  <c r="GK69"/>
  <c r="GG69"/>
  <c r="GC69"/>
  <c r="FY69"/>
  <c r="FU69"/>
  <c r="GJ69"/>
  <c r="GF69"/>
  <c r="GB69"/>
  <c r="FX69"/>
  <c r="GM69"/>
  <c r="GI69"/>
  <c r="GE69"/>
  <c r="GA69"/>
  <c r="FW69"/>
  <c r="FU73" l="1"/>
  <c r="FW73"/>
  <c r="FY73"/>
  <c r="GA73"/>
  <c r="GC73"/>
  <c r="GE73"/>
  <c r="GG73"/>
  <c r="GI73"/>
  <c r="GK73"/>
  <c r="GM73"/>
  <c r="FV73"/>
  <c r="FX73"/>
  <c r="FZ73"/>
  <c r="GB73"/>
  <c r="GD73"/>
  <c r="GF73"/>
  <c r="GH73"/>
  <c r="GJ73"/>
  <c r="GL73"/>
  <c r="FV74" l="1"/>
  <c r="FX74"/>
  <c r="FZ74"/>
  <c r="GB74"/>
  <c r="GD74"/>
  <c r="GF74"/>
  <c r="GH74"/>
  <c r="GJ74"/>
  <c r="GL74"/>
  <c r="FU74"/>
  <c r="FW74"/>
  <c r="FY74"/>
  <c r="GA74"/>
  <c r="GC74"/>
  <c r="GE74"/>
  <c r="GG74"/>
  <c r="GI74"/>
  <c r="GK74"/>
  <c r="GM74"/>
  <c r="FU75" l="1"/>
  <c r="FW75"/>
  <c r="FY75"/>
  <c r="GA75"/>
  <c r="GC75"/>
  <c r="GE75"/>
  <c r="GG75"/>
  <c r="GI75"/>
  <c r="GK75"/>
  <c r="GM75"/>
  <c r="FV75"/>
  <c r="FX75"/>
  <c r="FZ75"/>
  <c r="GB75"/>
  <c r="GD75"/>
  <c r="GF75"/>
  <c r="GH75"/>
  <c r="GJ75"/>
  <c r="GL75"/>
  <c r="FV76" l="1"/>
  <c r="FX76"/>
  <c r="FZ76"/>
  <c r="GB76"/>
  <c r="GD76"/>
  <c r="GF76"/>
  <c r="GH76"/>
  <c r="GJ76"/>
  <c r="GL76"/>
  <c r="FU76"/>
  <c r="FW76"/>
  <c r="FY76"/>
  <c r="GA76"/>
  <c r="GC76"/>
  <c r="GE76"/>
  <c r="GG76"/>
  <c r="GI76"/>
  <c r="GK76"/>
  <c r="GM76"/>
  <c r="AI14" i="8"/>
  <c r="AK14"/>
  <c r="AJ14"/>
  <c r="AK13"/>
  <c r="AI13"/>
  <c r="H12" s="1"/>
  <c r="S15" s="1"/>
  <c r="AJ13"/>
  <c r="AK12"/>
  <c r="AJ12"/>
  <c r="I12" l="1"/>
  <c r="I26" s="1"/>
  <c r="J12"/>
  <c r="J26" s="1"/>
  <c r="S17"/>
  <c r="S113"/>
  <c r="S115" s="1"/>
  <c r="T15"/>
  <c r="H26"/>
  <c r="V15" l="1"/>
  <c r="V17" s="1"/>
  <c r="T113"/>
  <c r="T115" s="1"/>
  <c r="T17"/>
  <c r="V113" l="1"/>
  <c r="V115" s="1"/>
</calcChain>
</file>

<file path=xl/comments1.xml><?xml version="1.0" encoding="utf-8"?>
<comments xmlns="http://schemas.openxmlformats.org/spreadsheetml/2006/main">
  <authors>
    <author/>
  </authors>
  <commentList>
    <comment ref="P24" authorId="0">
      <text>
        <r>
          <rPr>
            <sz val="10"/>
            <color rgb="FF000000"/>
            <rFont val="Arial"/>
            <family val="2"/>
          </rPr>
          <t>Autopilot System
Enhanced Sensor
Mineral Analysis Scanner
High Density Capacitor
FTL Transponder
Auxiliary Power
Grid, Emitter and E-War</t>
        </r>
      </text>
    </comment>
  </commentList>
</comments>
</file>

<file path=xl/sharedStrings.xml><?xml version="1.0" encoding="utf-8"?>
<sst xmlns="http://schemas.openxmlformats.org/spreadsheetml/2006/main" count="4750" uniqueCount="1226">
  <si>
    <t>BATTLESTAR
GALACATICA
ONLINE</t>
  </si>
  <si>
    <t>Viper MK-II</t>
  </si>
  <si>
    <t>Rhino</t>
  </si>
  <si>
    <t>Viper MK-III</t>
  </si>
  <si>
    <t>Raptor</t>
  </si>
  <si>
    <t>Viper MK-VII</t>
  </si>
  <si>
    <t>Scythe</t>
  </si>
  <si>
    <t>Maul</t>
  </si>
  <si>
    <t>Glaive</t>
  </si>
  <si>
    <t>Halberd</t>
  </si>
  <si>
    <t>Aesir</t>
  </si>
  <si>
    <t>Jotunn</t>
  </si>
  <si>
    <t>Vanir</t>
  </si>
  <si>
    <t>Gungnir</t>
  </si>
  <si>
    <t>Brimir</t>
  </si>
  <si>
    <t>Raider</t>
  </si>
  <si>
    <t>Marauder</t>
  </si>
  <si>
    <t>Raider MK-II</t>
  </si>
  <si>
    <t>Heavy Raider</t>
  </si>
  <si>
    <t>War Raider</t>
  </si>
  <si>
    <t>Banshee</t>
  </si>
  <si>
    <t>Wraith</t>
  </si>
  <si>
    <t>Spectre</t>
  </si>
  <si>
    <t>Liche</t>
  </si>
  <si>
    <t>Fenrir</t>
  </si>
  <si>
    <t>Jormung</t>
  </si>
  <si>
    <t>Hel</t>
  </si>
  <si>
    <t>Nidhogg</t>
  </si>
  <si>
    <t>Surtur</t>
  </si>
  <si>
    <t>Reference Sheet Version 5.03 ENG</t>
  </si>
  <si>
    <t>Standard</t>
  </si>
  <si>
    <t>Advanced</t>
  </si>
  <si>
    <t>FR</t>
  </si>
  <si>
    <t>Cubits Cost</t>
  </si>
  <si>
    <t>30.000</t>
  </si>
  <si>
    <t>23.000</t>
  </si>
  <si>
    <t>45.000</t>
  </si>
  <si>
    <t>Tylium Cost</t>
  </si>
  <si>
    <t>Merits Cost</t>
  </si>
  <si>
    <t>Role</t>
  </si>
  <si>
    <t>Support &amp; Supply</t>
  </si>
  <si>
    <t>Weapon setup</t>
  </si>
  <si>
    <t>Weapons</t>
  </si>
  <si>
    <t>Hull</t>
  </si>
  <si>
    <t>Engines</t>
  </si>
  <si>
    <t>Computers</t>
  </si>
  <si>
    <t>Hull Points</t>
  </si>
  <si>
    <t>Hull Recovery p/sec</t>
  </si>
  <si>
    <t>Durability</t>
  </si>
  <si>
    <t>Armor</t>
  </si>
  <si>
    <t>Critical Defence</t>
  </si>
  <si>
    <t>Avoidance</t>
  </si>
  <si>
    <t>Turn Rate</t>
  </si>
  <si>
    <t>Acceleration</t>
  </si>
  <si>
    <t>Flank Speed</t>
  </si>
  <si>
    <t>Boost Speed</t>
  </si>
  <si>
    <t>Boost Cost p/sec</t>
  </si>
  <si>
    <t>FTL Range</t>
  </si>
  <si>
    <t>FTL Charge</t>
  </si>
  <si>
    <t>FTL Cost p/LY</t>
  </si>
  <si>
    <t>Transponder Pow. Cost</t>
  </si>
  <si>
    <t>-</t>
  </si>
  <si>
    <t>Power</t>
  </si>
  <si>
    <t>Power Recharge p/sec</t>
  </si>
  <si>
    <t>Firewall Rating</t>
  </si>
  <si>
    <t>Emitter Rating</t>
  </si>
  <si>
    <t>Dradis Range</t>
  </si>
  <si>
    <t>Weapons Table</t>
  </si>
  <si>
    <t>BSGO Name - EaCy 
Main Server - Picon</t>
  </si>
  <si>
    <t>Pick a level to compare the stats</t>
  </si>
  <si>
    <t>Missile</t>
  </si>
  <si>
    <t>Calculations</t>
  </si>
  <si>
    <t>Reload Time</t>
  </si>
  <si>
    <t>Level 11</t>
  </si>
  <si>
    <t>Level 12</t>
  </si>
  <si>
    <t>Level 13</t>
  </si>
  <si>
    <t>Level 14</t>
  </si>
  <si>
    <t>Level 15</t>
  </si>
  <si>
    <t>Total calculated for level</t>
  </si>
  <si>
    <t>Min. Damage</t>
  </si>
  <si>
    <t>Max. Damage</t>
  </si>
  <si>
    <t>Arm. Piercing</t>
  </si>
  <si>
    <t>Mining</t>
  </si>
  <si>
    <t>Min. Range</t>
  </si>
  <si>
    <t>Max. Range</t>
  </si>
  <si>
    <t>Opt. Range</t>
  </si>
  <si>
    <t>Accuracy</t>
  </si>
  <si>
    <t>Crit. Offence</t>
  </si>
  <si>
    <t>Power Cost</t>
  </si>
  <si>
    <t>Firing Arc</t>
  </si>
  <si>
    <t>Level</t>
  </si>
  <si>
    <t>&amp; Power Cost</t>
  </si>
  <si>
    <t>Strikes</t>
  </si>
  <si>
    <t>N/A</t>
  </si>
  <si>
    <t>Escorts</t>
  </si>
  <si>
    <t>Standard Short Range (MT) Cannon Battery</t>
  </si>
  <si>
    <t>Precision Short Range MT Cannon Battery</t>
  </si>
  <si>
    <t>Experimental MT Cannon Battery</t>
  </si>
  <si>
    <t>Standard Gen. Purpose (MT) Cannon Battery</t>
  </si>
  <si>
    <t>Precision Gen. Purpose MT Cannon Battery</t>
  </si>
  <si>
    <t>Standard Long Range (MT) Cannon Battery</t>
  </si>
  <si>
    <t>Precision Long Range MT Cannon Battery</t>
  </si>
  <si>
    <t>Mining Battery</t>
  </si>
  <si>
    <t>Experimental Mining Battery</t>
  </si>
  <si>
    <t>Standard Gen. Purpose (MT) Missile Battery</t>
  </si>
  <si>
    <t>Precision Gen. Purpose MT Missile Battery</t>
  </si>
  <si>
    <t>Experimental MT Missile Battery</t>
  </si>
  <si>
    <t>Standard Long Range (MT) Missile Battery</t>
  </si>
  <si>
    <t>Precision Long Range MT Missile Battery</t>
  </si>
  <si>
    <t>Liners</t>
  </si>
  <si>
    <t>Point Defence  Battery</t>
  </si>
  <si>
    <t>Flak  Battery</t>
  </si>
  <si>
    <t>Carrier</t>
  </si>
  <si>
    <t>Engine Table</t>
  </si>
  <si>
    <t>Pick a level to look at the stats</t>
  </si>
  <si>
    <t>Speed</t>
  </si>
  <si>
    <t>Torque Factor</t>
  </si>
  <si>
    <t>FTL Range in Light Years</t>
  </si>
  <si>
    <t>FTL Cost in Light Years</t>
  </si>
  <si>
    <t>Duration</t>
  </si>
  <si>
    <t>Light Drive Overcharger</t>
  </si>
  <si>
    <t>Light Turbo Boosters</t>
  </si>
  <si>
    <t>Light Gyro-Stabilization</t>
  </si>
  <si>
    <t>Light RCS Ducting</t>
  </si>
  <si>
    <t>Light FTL Couplings</t>
  </si>
  <si>
    <t>Experimental Light FTL Overdrive</t>
  </si>
  <si>
    <t>Light FTL Power Regulators</t>
  </si>
  <si>
    <t>Strike RCS - Slide</t>
  </si>
  <si>
    <t>Medium Drive Overcharger</t>
  </si>
  <si>
    <t>Medium Turbo Boosters</t>
  </si>
  <si>
    <t>Medium Gyro-Stabilization</t>
  </si>
  <si>
    <t>Medium RCS Ducting</t>
  </si>
  <si>
    <t>Medium FTL Couplings</t>
  </si>
  <si>
    <t>Experimental Medium FTL Overdrive</t>
  </si>
  <si>
    <t>Medium FTL Power Regulators</t>
  </si>
  <si>
    <t>Escort RCS - Slide</t>
  </si>
  <si>
    <t>Heavy Drive Overcharger</t>
  </si>
  <si>
    <t>Heavy Turbo Boosters</t>
  </si>
  <si>
    <t>Heavy Gyro-Stabilization</t>
  </si>
  <si>
    <t>Heavy RCS Ducting</t>
  </si>
  <si>
    <t>Heavy FTL Couplings</t>
  </si>
  <si>
    <t>Experimental Heavy FTL Overdrive</t>
  </si>
  <si>
    <t>Heavy FTL Power Regulators</t>
  </si>
  <si>
    <t>Line RCS - Slide</t>
  </si>
  <si>
    <t>Carrier Turbo Boosters</t>
  </si>
  <si>
    <t>Carrier Gyro-Stabilization</t>
  </si>
  <si>
    <t>Skill Training</t>
  </si>
  <si>
    <t>Current Level</t>
  </si>
  <si>
    <t>Needed For Next Level</t>
  </si>
  <si>
    <t>Skill Training Effect</t>
  </si>
  <si>
    <t>Current Percentage</t>
  </si>
  <si>
    <t>Target Percentage</t>
  </si>
  <si>
    <t>Allowed Upgrades With Each Skill</t>
  </si>
  <si>
    <t>Upgrade  Level</t>
  </si>
  <si>
    <t>Allowed Upgrades To Level</t>
  </si>
  <si>
    <t>Calculation</t>
  </si>
  <si>
    <t>XP</t>
  </si>
  <si>
    <t>Time</t>
  </si>
  <si>
    <t>Current</t>
  </si>
  <si>
    <t>Target</t>
  </si>
  <si>
    <t>Skills</t>
  </si>
  <si>
    <t>XP needed for next level</t>
  </si>
  <si>
    <t>Time needed for next level</t>
  </si>
  <si>
    <t>XP needed</t>
  </si>
  <si>
    <t>Time needed</t>
  </si>
  <si>
    <t>Gunnery</t>
  </si>
  <si>
    <t>Cannon Optimal Range</t>
  </si>
  <si>
    <t>Cannon Systems</t>
  </si>
  <si>
    <t>Marksman</t>
  </si>
  <si>
    <t>Cannon Accuracy</t>
  </si>
  <si>
    <t>Precision Fire</t>
  </si>
  <si>
    <t>Cannon Critical Offence</t>
  </si>
  <si>
    <t>Missile Combat</t>
  </si>
  <si>
    <t>Missile Maximum Range</t>
  </si>
  <si>
    <t>Missile Launchers</t>
  </si>
  <si>
    <t>Rapid Lock</t>
  </si>
  <si>
    <t>Missile System Cool Down</t>
  </si>
  <si>
    <t>Precision Targeting</t>
  </si>
  <si>
    <t>Missile Critical Offence</t>
  </si>
  <si>
    <t>Asteroid Mining</t>
  </si>
  <si>
    <t>Mining Cannon Mining Rate</t>
  </si>
  <si>
    <t>Mining Cannons</t>
  </si>
  <si>
    <t>Ranged Extraction</t>
  </si>
  <si>
    <t>Mining Cannon Maximum Range</t>
  </si>
  <si>
    <t>Combat Mining</t>
  </si>
  <si>
    <t>Mining Cannon Accuracy</t>
  </si>
  <si>
    <t>Computer</t>
  </si>
  <si>
    <t>Electronic Operator</t>
  </si>
  <si>
    <t>Normal Computer Systems</t>
  </si>
  <si>
    <t>Counter Measures</t>
  </si>
  <si>
    <t>Capacitor Management</t>
  </si>
  <si>
    <t>Power Recovery</t>
  </si>
  <si>
    <t>Electronic Support</t>
  </si>
  <si>
    <t>Electronic Support Power Cost</t>
  </si>
  <si>
    <t>Buffing Systems</t>
  </si>
  <si>
    <t>Program Integration</t>
  </si>
  <si>
    <t>Electronic Support Duration</t>
  </si>
  <si>
    <t>Signal Processing</t>
  </si>
  <si>
    <t>Electronic Support Range</t>
  </si>
  <si>
    <t>Electronic Warfare</t>
  </si>
  <si>
    <t>Electronic Warfare Power Cost</t>
  </si>
  <si>
    <t>Debuffing Systems</t>
  </si>
  <si>
    <t>Hacking</t>
  </si>
  <si>
    <t>Electronic Warfare Penetration Strength</t>
  </si>
  <si>
    <t>Jammer Cycling</t>
  </si>
  <si>
    <t>Electronic Warfare Cool Down</t>
  </si>
  <si>
    <t>Armored Combat</t>
  </si>
  <si>
    <t>Critical Defense</t>
  </si>
  <si>
    <t>Hull Plates</t>
  </si>
  <si>
    <t>Defensive Positioning</t>
  </si>
  <si>
    <t>Durability Loss</t>
  </si>
  <si>
    <t>Emergency Procedure</t>
  </si>
  <si>
    <t>Damage Control</t>
  </si>
  <si>
    <t>Hull Point Recovery</t>
  </si>
  <si>
    <t>System Redundancy / Damage Control</t>
  </si>
  <si>
    <t>Repair Priorization</t>
  </si>
  <si>
    <t>Damage Control System Cool Down</t>
  </si>
  <si>
    <t>Mechanic</t>
  </si>
  <si>
    <t>Damage Control System Power Cost</t>
  </si>
  <si>
    <t>Munition Launchers</t>
  </si>
  <si>
    <t>Decoy / Mine Cool Down</t>
  </si>
  <si>
    <t>Decoy Launcher / Mine Launcher</t>
  </si>
  <si>
    <t>Guidance Theory</t>
  </si>
  <si>
    <t>Decoy Chance</t>
  </si>
  <si>
    <t>Munition Efficiency</t>
  </si>
  <si>
    <t>Decoy / Mine Power Cost</t>
  </si>
  <si>
    <t>Engine</t>
  </si>
  <si>
    <t>Engineering</t>
  </si>
  <si>
    <t>Drive Overcharger / Turbo Boosters</t>
  </si>
  <si>
    <t>Overcharge Regulator</t>
  </si>
  <si>
    <t>Boost Tuning</t>
  </si>
  <si>
    <t>Piloting</t>
  </si>
  <si>
    <t>Gyro Stabilization / RCS Ducting / RCS - Slide</t>
  </si>
  <si>
    <t>Evasion</t>
  </si>
  <si>
    <t>Thrusters</t>
  </si>
  <si>
    <t>RCS Maneuver Cool Down</t>
  </si>
  <si>
    <t>Navigation</t>
  </si>
  <si>
    <t>FTL - Couplings / Overdrive / Power Regulators</t>
  </si>
  <si>
    <t>Jump Calculation</t>
  </si>
  <si>
    <t>FTL Charge Time</t>
  </si>
  <si>
    <t>Reactor Monitoring</t>
  </si>
  <si>
    <t>FTL Cost</t>
  </si>
  <si>
    <t>Total</t>
  </si>
  <si>
    <t>Some trivia</t>
  </si>
  <si>
    <t>It takes 4 days &amp; 15 min. to train</t>
  </si>
  <si>
    <t>To train all skills to level 10</t>
  </si>
  <si>
    <t>It will take you</t>
  </si>
  <si>
    <t>1 skill to level 10, no pauses, no</t>
  </si>
  <si>
    <t>You will need 6.930.000 XP</t>
  </si>
  <si>
    <t>boosters and if you got the xp ;o)</t>
  </si>
  <si>
    <t>You'll be a level 84 with 41.000 XP</t>
  </si>
  <si>
    <t>That's almost 5 months</t>
  </si>
  <si>
    <t>So, hang in there!</t>
  </si>
  <si>
    <t>Armor Value</t>
  </si>
  <si>
    <t>Hull Systems</t>
  </si>
  <si>
    <t>Hull Recovery</t>
  </si>
  <si>
    <t>Hullpoint Restore</t>
  </si>
  <si>
    <t>Minimal Damage</t>
  </si>
  <si>
    <t>Maximal Damage</t>
  </si>
  <si>
    <t>Armour Piercing</t>
  </si>
  <si>
    <t>Critical Offense</t>
  </si>
  <si>
    <t>Minimal Range</t>
  </si>
  <si>
    <t>Maximal Range</t>
  </si>
  <si>
    <t>Strike System Redundancy</t>
  </si>
  <si>
    <t>Strike Damage Control</t>
  </si>
  <si>
    <t>Strike Decoy Launcher</t>
  </si>
  <si>
    <t>LX-43 Strike Mine Launcher</t>
  </si>
  <si>
    <t>Escort System Redundancy</t>
  </si>
  <si>
    <t>Escort Damage Control</t>
  </si>
  <si>
    <t>Escort Decoy Launcher</t>
  </si>
  <si>
    <t>EX-27A Escort Mine Launcher</t>
  </si>
  <si>
    <t>Line System Redundancy</t>
  </si>
  <si>
    <t>Line Damage Control</t>
  </si>
  <si>
    <t>CX-93A2 Line Minefield Launcher</t>
  </si>
  <si>
    <t>Carrier System Redundancy</t>
  </si>
  <si>
    <t>Carrier Damage Control</t>
  </si>
  <si>
    <t>RX-104 Capital Minefield Launcher</t>
  </si>
  <si>
    <t>Computer Table</t>
  </si>
  <si>
    <t>computer_table</t>
  </si>
  <si>
    <t>Power points</t>
  </si>
  <si>
    <t>Powerpoint Restore</t>
  </si>
  <si>
    <t>Powerpoints</t>
  </si>
  <si>
    <t>Enhanced Sensor Module</t>
  </si>
  <si>
    <t>Selected</t>
  </si>
  <si>
    <t>Area</t>
  </si>
  <si>
    <t>Ignore</t>
  </si>
  <si>
    <t>Buffing own systems</t>
  </si>
  <si>
    <t>'Artemis' / 'Cerberus'</t>
  </si>
  <si>
    <t>'Gladiator' / 'Echidna'</t>
  </si>
  <si>
    <t>'Hermes' / 'Charybdis'</t>
  </si>
  <si>
    <t>'Aurora' / 'Harpy'</t>
  </si>
  <si>
    <t>'Ares' / 'Hydra'</t>
  </si>
  <si>
    <t>Debuffing Enemy Systems</t>
  </si>
  <si>
    <t>'Asclepius' / 'Sphinx'</t>
  </si>
  <si>
    <t>'Iapetus' / 'Scylla'</t>
  </si>
  <si>
    <t>'Cassiopeia' / 'Gorgon'</t>
  </si>
  <si>
    <t>'Aphrodite' / 'Siren'</t>
  </si>
  <si>
    <t>Enhanced Sensor Array</t>
  </si>
  <si>
    <t>Experimental Mineral Analysis Array</t>
  </si>
  <si>
    <t>High Density Capacitor Array</t>
  </si>
  <si>
    <t>Auxiliary Power Array</t>
  </si>
  <si>
    <t>E-War Array</t>
  </si>
  <si>
    <t>Enhanced Sensor Grid</t>
  </si>
  <si>
    <t>Experimental Mineral Analysis Grid</t>
  </si>
  <si>
    <t>High Density Capacitor Grid</t>
  </si>
  <si>
    <t>Auxiliary Power Grid</t>
  </si>
  <si>
    <t>E-War Grid</t>
  </si>
  <si>
    <t>Debuffing</t>
  </si>
  <si>
    <t>'Helena' Target Designator</t>
  </si>
  <si>
    <t>Carrier Repair and Recharge</t>
  </si>
  <si>
    <t>Mineral Analysis Apparatus</t>
  </si>
  <si>
    <t>Amount
of gear</t>
  </si>
  <si>
    <t>Upgrade level</t>
  </si>
  <si>
    <t>Total cost</t>
  </si>
  <si>
    <t>BSGO Strike Ship, Gear &amp; Ammo Reference Card</t>
  </si>
  <si>
    <t>Consumables</t>
  </si>
  <si>
    <t>Amount of gear</t>
  </si>
  <si>
    <t>Upgrade</t>
  </si>
  <si>
    <t>RESOURCE CALCULATIONS</t>
  </si>
  <si>
    <t>Strike Upgrade Table</t>
  </si>
  <si>
    <t>Item select</t>
  </si>
  <si>
    <t>Item choice</t>
  </si>
  <si>
    <t>Cubits</t>
  </si>
  <si>
    <t>Tylium</t>
  </si>
  <si>
    <t>Tuning kit calculations</t>
  </si>
  <si>
    <t>Ship choice</t>
  </si>
  <si>
    <t>Ship selection</t>
  </si>
  <si>
    <t>Version Type</t>
  </si>
  <si>
    <t>Purchase cost</t>
  </si>
  <si>
    <t>Standard ship</t>
  </si>
  <si>
    <t>Advanced ship</t>
  </si>
  <si>
    <t>Fleet Recon ship</t>
  </si>
  <si>
    <t>Ship calculated values</t>
  </si>
  <si>
    <t>Paint select</t>
  </si>
  <si>
    <t>Paint choice</t>
  </si>
  <si>
    <t>Paint calculated values</t>
  </si>
  <si>
    <t>from</t>
  </si>
  <si>
    <t>to</t>
  </si>
  <si>
    <t>Tuning kits</t>
  </si>
  <si>
    <t>Description (Effect)</t>
  </si>
  <si>
    <t>Amount</t>
  </si>
  <si>
    <t>Merits</t>
  </si>
  <si>
    <t>from lvl</t>
  </si>
  <si>
    <t>to lvl</t>
  </si>
  <si>
    <t>CUBITS</t>
  </si>
  <si>
    <t>TYLIUM</t>
  </si>
  <si>
    <t>TUNINGKITS</t>
  </si>
  <si>
    <t>Level 1</t>
  </si>
  <si>
    <t>Level 2</t>
  </si>
  <si>
    <t>Level 3</t>
  </si>
  <si>
    <t>Level 4</t>
  </si>
  <si>
    <t>Level 5</t>
  </si>
  <si>
    <t>Level 6</t>
  </si>
  <si>
    <t>Level 7</t>
  </si>
  <si>
    <t>Level 8</t>
  </si>
  <si>
    <t>Level 9</t>
  </si>
  <si>
    <t>Level 10</t>
  </si>
  <si>
    <t>Tuning Kits</t>
  </si>
  <si>
    <t>Recources</t>
  </si>
  <si>
    <t>HERT-A Rounds  (+ 10% Accuracy)</t>
  </si>
  <si>
    <t>Any Light Autocannon</t>
  </si>
  <si>
    <t>Select a Strike you wish to buy</t>
  </si>
  <si>
    <t>Fleet Recon</t>
  </si>
  <si>
    <t>Boosters</t>
  </si>
  <si>
    <t>Viper MK II / Raider Hull Paints</t>
  </si>
  <si>
    <t>Viper MK-VII / War Raider</t>
  </si>
  <si>
    <t>Missiles</t>
  </si>
  <si>
    <t>Light Mining Cannon</t>
  </si>
  <si>
    <t>Viper MK-II / Raider</t>
  </si>
  <si>
    <t>Viper MK II Syfy / Raider Syfy (free)</t>
  </si>
  <si>
    <t>Version</t>
  </si>
  <si>
    <t>Std</t>
  </si>
  <si>
    <t>No</t>
  </si>
  <si>
    <t>Adv</t>
  </si>
  <si>
    <t>Yes</t>
  </si>
  <si>
    <t>Mines</t>
  </si>
  <si>
    <t>Any Light Missile Launcher</t>
  </si>
  <si>
    <t>Viper MK-III / Raider MK-II</t>
  </si>
  <si>
    <t>FTL Override (return to  Galactica or Basestar)</t>
  </si>
  <si>
    <t>Viper MK II Blue Vector / Raider Red Stream</t>
  </si>
  <si>
    <t>Any kind of Hull Plating</t>
  </si>
  <si>
    <t>Selected gear</t>
  </si>
  <si>
    <t>Strike Advanced DC Pack</t>
  </si>
  <si>
    <t>Rhino / Marauder</t>
  </si>
  <si>
    <t>1000 Experience (instant XP)</t>
  </si>
  <si>
    <t>Viper MK II Red Sweep / Raider Hornet Jag</t>
  </si>
  <si>
    <t>Selected consumables</t>
  </si>
  <si>
    <t>Decoy's</t>
  </si>
  <si>
    <t>System Redundancy</t>
  </si>
  <si>
    <t>Raptor / Heavy Raider</t>
  </si>
  <si>
    <t>5000 Experience (instant XP)</t>
  </si>
  <si>
    <t>Viper MK II Caprica Guard / Raider Frost or Blue Jag</t>
  </si>
  <si>
    <t>RCS - Ducting (Higher avoidance)</t>
  </si>
  <si>
    <t>Power Cells</t>
  </si>
  <si>
    <t>Damage Control (Instantly regain HP, requires DC packs)</t>
  </si>
  <si>
    <t>25000 Experience (instant XP)</t>
  </si>
  <si>
    <t>Raider Dark Camo</t>
  </si>
  <si>
    <t>Resources</t>
  </si>
  <si>
    <t>Decoy Launcher</t>
  </si>
  <si>
    <t>-15 Minutes Skill Training (reduces current training time)</t>
  </si>
  <si>
    <t>Viper MK II Night Strike / Raider Grey Hex</t>
  </si>
  <si>
    <t>Hardening/Emitter/E-War Module / Cluster</t>
  </si>
  <si>
    <t>LX-43 Mine Launcher</t>
  </si>
  <si>
    <t>-4 Hours Skill Training (reduces current training time)</t>
  </si>
  <si>
    <t>Viper MK II Gold / Raider Gold</t>
  </si>
  <si>
    <t>Computer (Buffing Electronic Warfare)</t>
  </si>
  <si>
    <t>Drive Overcharger (Higher flank &amp; boost speed)</t>
  </si>
  <si>
    <t>-12 Hours Skill Training (reduces current training time)</t>
  </si>
  <si>
    <t>Viper MK II Longest Night / Raider Longest Night</t>
  </si>
  <si>
    <t>'Artemis' / 'Cerberus' (Boost weapon damage)</t>
  </si>
  <si>
    <t>Raptor / Heavy Raider Hull Paints</t>
  </si>
  <si>
    <t>Turbo Boosters (Higher boost speed)</t>
  </si>
  <si>
    <t>+ 100% Experience / 1 hour (Increases XP rate by 100%)</t>
  </si>
  <si>
    <t>Computer (Debuffing Electronic Warfare)</t>
  </si>
  <si>
    <t>Rhino / Marauder Hull Paints</t>
  </si>
  <si>
    <t>Gyro-Stabilization (Turn faster)</t>
  </si>
  <si>
    <t>+ 100% Experience / 7 days (Increases XP rate by 100%)</t>
  </si>
  <si>
    <t>'Asclepius' / 'Sphinx' (Reduces enemy weapon damage)</t>
  </si>
  <si>
    <t>Viper MK VII / War Raider Hull Paints</t>
  </si>
  <si>
    <t>+ 100% Merits / 1 hour (Increases merit income by 100%)</t>
  </si>
  <si>
    <t>Raptor Civilian / Heavy Raider Red Vector</t>
  </si>
  <si>
    <t>Out of the store (These items are no longer for sale, but still upgradable)</t>
  </si>
  <si>
    <t>FTL Couplings (Increases FTL jump range)</t>
  </si>
  <si>
    <t>+ 100% Merits / 7 days (Increases merit income by 100%)</t>
  </si>
  <si>
    <t>Heavy Raider Dark Camo</t>
  </si>
  <si>
    <t>Experimental Light Autocannon</t>
  </si>
  <si>
    <t>FTL Power Regulators (Reduces FTL jump cost)</t>
  </si>
  <si>
    <t>2x Skill Training / 24 Hours (doubles training rate)</t>
  </si>
  <si>
    <t>Raptor Rescue</t>
  </si>
  <si>
    <t>RCS - Slide (Move in 1 direction while freely turning)</t>
  </si>
  <si>
    <t>Ammo</t>
  </si>
  <si>
    <t>Raptor Oxide Camo / Heavy Raider Gold Circuit</t>
  </si>
  <si>
    <t>Enhanced Sensor Module / Cluster (Larger Dradis)</t>
  </si>
  <si>
    <t>Cannon Ammo</t>
  </si>
  <si>
    <t>Raptor Purple Camo</t>
  </si>
  <si>
    <t>Autopilot Module / Cluster</t>
  </si>
  <si>
    <t>Light HE Rounds  (Standard Damage)</t>
  </si>
  <si>
    <t>Raptor Frost Pine Camo / Heavy Raider White Jag</t>
  </si>
  <si>
    <t>Mineral Analysis Module / Cluster (Scan asteroids)</t>
  </si>
  <si>
    <t>AP-A Rounds  (+ 20% Armor Piercing)</t>
  </si>
  <si>
    <t>Heavy Raider Corruption</t>
  </si>
  <si>
    <t>BSGO Escort Ship, Gear &amp; Ammo Reference Card</t>
  </si>
  <si>
    <t>Experimental Mineral Analysis Module / Cluster</t>
  </si>
  <si>
    <t>AP-B Rounds  (+ 25% Armor Piercing)</t>
  </si>
  <si>
    <t>Raptor Grey Edge / Heavy Raider Red Edge</t>
  </si>
  <si>
    <t>High Density Capacitor Module / Cluster</t>
  </si>
  <si>
    <t>AP-D Rounds  (+ 50% Armor Piercing)</t>
  </si>
  <si>
    <t>Raptor Gold / Heavy Raider Gold</t>
  </si>
  <si>
    <t>Medium HE Rounds  (Standard Damage)</t>
  </si>
  <si>
    <t>FTL Transponder Module / Cluster (Drop beacon)</t>
  </si>
  <si>
    <t>HE-A Rounds  (+ 3% Damage)</t>
  </si>
  <si>
    <t>Raptor Longest Night / Heavy Raider Longest Night</t>
  </si>
  <si>
    <t>Any Medium Cannon Battery</t>
  </si>
  <si>
    <t>Halberd / Liche</t>
  </si>
  <si>
    <t>Medium HE Warhead  (Standard Damage)</t>
  </si>
  <si>
    <t>Auxiliary Power Module / Cluster</t>
  </si>
  <si>
    <t>HE-B Rounds  (+ 6% Damage)</t>
  </si>
  <si>
    <t>Medium HE Mine  (Standard Damage)</t>
  </si>
  <si>
    <t>HE-D Rounds  (+ 15% Damage)</t>
  </si>
  <si>
    <t>Viper MK III / Raider MK II Hull Paints</t>
  </si>
  <si>
    <t>DC Packs</t>
  </si>
  <si>
    <t>'Hermes' / 'Charybdis' (Boost avoidance)</t>
  </si>
  <si>
    <t>HERT-B Rounds  (+ 15% Accuracy)</t>
  </si>
  <si>
    <t>'Aurora' / 'Harpy' (Boost turn rate &amp; speed)</t>
  </si>
  <si>
    <t>HERT-D Rounds  (+ 25% Accuracy)</t>
  </si>
  <si>
    <t>Rhino Gold / Marauder Gold</t>
  </si>
  <si>
    <t>'Ares' / 'Hydra' (Boost sensors &amp; EW)</t>
  </si>
  <si>
    <t>HESC-A Rounds   (+ 10% Minimum Damage)</t>
  </si>
  <si>
    <t>Rhino Longest Night / Marauder Longest Night</t>
  </si>
  <si>
    <t>Mineral Analysis Array (Scan asteroids)</t>
  </si>
  <si>
    <t>HESC-B Rounds  (+ 25% Minimum Damage)</t>
  </si>
  <si>
    <t>Scythe / Banshee Hull Paints</t>
  </si>
  <si>
    <t>'Iapetus' / 'Scylla' (Reduces enemy avoidance)</t>
  </si>
  <si>
    <t>HESC-D Rounds  (+ 60% Minimum Damage)</t>
  </si>
  <si>
    <t>Glaive / Spectre Hull Paints</t>
  </si>
  <si>
    <t>'Cassiopeia' / 'Gorgon' (Reduces enemy turn rate &amp; speed)</t>
  </si>
  <si>
    <t>Viper MK VII T Stripes / War Raider Red X</t>
  </si>
  <si>
    <t>Maul / Wraith Hull Paints</t>
  </si>
  <si>
    <t>'Aphrodite' / 'Siren' (Reduces enemy sensors &amp; EW)</t>
  </si>
  <si>
    <t>Light HE Warhead  (Standard Damage)</t>
  </si>
  <si>
    <t>Viper MK VII Sage Camo / War Raider Red Wave</t>
  </si>
  <si>
    <t>Light CR Warhead  (+ 15% Damage)</t>
  </si>
  <si>
    <t>Viper MK VII Bee Hive / War Raider Star Scream</t>
  </si>
  <si>
    <t>Experimental Light Mining Cannon</t>
  </si>
  <si>
    <t>Light EFP Warhead  (+ 30% Damage)</t>
  </si>
  <si>
    <t>Viper MK VII Oxide Camo / War Raider Dark Camo</t>
  </si>
  <si>
    <t>Experimental Medium Mining Cannon Battery</t>
  </si>
  <si>
    <t>Experimental Light Missile Launcher</t>
  </si>
  <si>
    <t>Light Nuclear Warhead  (+ 2000% Damage)</t>
  </si>
  <si>
    <t>Viper MK VII White Pulse / War Raider White Blaze</t>
  </si>
  <si>
    <t>Experimental FTL Overdrive</t>
  </si>
  <si>
    <t>Viper MK VII Gold / War Raider Gold</t>
  </si>
  <si>
    <t>'Gladiator' / 'Echidna' (Boost weapon damage &amp; avoidance)</t>
  </si>
  <si>
    <t>Light HE Mine  (Standard Damage)</t>
  </si>
  <si>
    <t>Viper MK VII Longest Night / War Raider Longest Night</t>
  </si>
  <si>
    <t>Light EFP Mine  (+ 20% Damage)</t>
  </si>
  <si>
    <t>Light Nuclear Mine   (+ 30% Damage)</t>
  </si>
  <si>
    <t>BSGO Liner Ship, Gear &amp; Ammo Reference Card</t>
  </si>
  <si>
    <t>Strike Standard DC Pack</t>
  </si>
  <si>
    <t>Strike Improved DC Pack</t>
  </si>
  <si>
    <t>Any Heavy Cannon Battery</t>
  </si>
  <si>
    <t>Aesir / Fenrir</t>
  </si>
  <si>
    <t>Minefields</t>
  </si>
  <si>
    <t>Liner Advanced DC Pack</t>
  </si>
  <si>
    <t>Light Standard Decoy</t>
  </si>
  <si>
    <t>Light Improved Decoy</t>
  </si>
  <si>
    <t>Light Advanced Decoy</t>
  </si>
  <si>
    <t>Mineral Analysis Grid (Scan asteroids)</t>
  </si>
  <si>
    <t>Jotunn / Jormung Hull Paints</t>
  </si>
  <si>
    <t>Light Standard Power Cell</t>
  </si>
  <si>
    <t>Gungnir / Nidhogg Hull Paints</t>
  </si>
  <si>
    <t>Light Improved Power Cell</t>
  </si>
  <si>
    <t>\</t>
  </si>
  <si>
    <t>Light Advanced Power Cell</t>
  </si>
  <si>
    <t>Tylium (Used for gear upgrades and Fuel)</t>
  </si>
  <si>
    <t>Titanium (Required to repair your ship and gear)</t>
  </si>
  <si>
    <t>Experimental Heavy Cannon Battery</t>
  </si>
  <si>
    <t>Tuning Kit (Required to upgrade gear above lvl 10)</t>
  </si>
  <si>
    <t>Comm Access (Required to send out Fleet Messages)</t>
  </si>
  <si>
    <t>FTL Transponder Cell (Required for Beacon Droppers)</t>
  </si>
  <si>
    <t>Technical Analysis Kit (Analyse Unidentified Objects)</t>
  </si>
  <si>
    <t>BSGO Carrier Ship, Gear &amp; Ammo Reference Card</t>
  </si>
  <si>
    <t>AP-C Rounds  (+ 35% Armor Piercing)</t>
  </si>
  <si>
    <t>HE-C Rounds  (+ 9% Damage)</t>
  </si>
  <si>
    <t>HERT-C Rounds  (+ 20% Accuracy)</t>
  </si>
  <si>
    <t>XL Missile Battery</t>
  </si>
  <si>
    <t>Brimir / Surtur</t>
  </si>
  <si>
    <t>HESC-C Rounds  (+ 40% Minimum Damage)</t>
  </si>
  <si>
    <t>XL HT Composite Plating</t>
  </si>
  <si>
    <t>Escort Upgrade Table</t>
  </si>
  <si>
    <t>XL Turbo Boosters</t>
  </si>
  <si>
    <t>Select an Escort you wish to buy</t>
  </si>
  <si>
    <t>Medium Mining Cannon Battery</t>
  </si>
  <si>
    <t>Scythe / Banshee</t>
  </si>
  <si>
    <t>Scythe Oxide Camo</t>
  </si>
  <si>
    <t>Any Medium Missile Battery</t>
  </si>
  <si>
    <t>Maul / Wraith</t>
  </si>
  <si>
    <t>Scythe / Banshee Gold</t>
  </si>
  <si>
    <t>Glaive / Spectre</t>
  </si>
  <si>
    <t>Scythe Longest Night / Liche Longest Night</t>
  </si>
  <si>
    <t>Glaive Oxide Camo</t>
  </si>
  <si>
    <t>EX-27A Mine Launcher</t>
  </si>
  <si>
    <t>Glaive Longest Night / Spectre Longest Night</t>
  </si>
  <si>
    <t>Maul Night Lurker</t>
  </si>
  <si>
    <t>Maul Red Sweep</t>
  </si>
  <si>
    <t>Maul Gold / Wraith Gold</t>
  </si>
  <si>
    <t>Maul Longest Night / Wraith Longest Night</t>
  </si>
  <si>
    <t>Total investment of all refeference cards</t>
  </si>
  <si>
    <t>Enhanced Sensor Array (Larger Dradis)</t>
  </si>
  <si>
    <t>Halberd / Liche Hull Paints</t>
  </si>
  <si>
    <t>Selected ships</t>
  </si>
  <si>
    <t>FTL Transponder Array (Drop beacon)</t>
  </si>
  <si>
    <t>Total investment</t>
  </si>
  <si>
    <t>Hardening/Emitter/E-War Array</t>
  </si>
  <si>
    <t>Experimental Medium Cannon Battery</t>
  </si>
  <si>
    <t>Medium CR Warhead  (+ 15% Damage)</t>
  </si>
  <si>
    <t>Experimental Medium Missile Battery</t>
  </si>
  <si>
    <t>Medium EFP Warhead  (+ 30% Damage)</t>
  </si>
  <si>
    <t>Medium Nuclear Warhead  (+ 2000% Damage)</t>
  </si>
  <si>
    <t>Medium EFP Mine  (+ 20% Damage)</t>
  </si>
  <si>
    <t>Medium Nuclear Mine   (+ 30% Damage)</t>
  </si>
  <si>
    <t>Escort Standard DC Pack</t>
  </si>
  <si>
    <t>Escort Improved DC Pack</t>
  </si>
  <si>
    <t>Escort Advanced DC Pack</t>
  </si>
  <si>
    <t>Medium Standard Decoy</t>
  </si>
  <si>
    <t>Medium Improved Decoy</t>
  </si>
  <si>
    <t>Medium Advanced Decoy</t>
  </si>
  <si>
    <t>Medium Standard Power Cell</t>
  </si>
  <si>
    <t>Medium Improved Power Cell</t>
  </si>
  <si>
    <t>Medium Advanced Power Cell</t>
  </si>
  <si>
    <t>Liner Upgrade Table</t>
  </si>
  <si>
    <t>Select a Liner you wish to buy</t>
  </si>
  <si>
    <t>Aesir / Fenrir Hull Paints</t>
  </si>
  <si>
    <t>Point Defence Battery</t>
  </si>
  <si>
    <t>Flak Battery</t>
  </si>
  <si>
    <t>Jotunn / Jormung</t>
  </si>
  <si>
    <t>Vanir / Hel Hull Paints</t>
  </si>
  <si>
    <t>Heavy Mining Battery</t>
  </si>
  <si>
    <t>Vanir / Hel</t>
  </si>
  <si>
    <t>Any Heavy Missile Launcher</t>
  </si>
  <si>
    <t>Gungnir / Nidhogg</t>
  </si>
  <si>
    <t>Jotunn Longest Night / Jormung Longest Night</t>
  </si>
  <si>
    <t>CX-93A2 Minefield Launcher</t>
  </si>
  <si>
    <t>Gungnir Oxide Camo</t>
  </si>
  <si>
    <t>Gungnir Longest Night / Nidhogg Longest Night</t>
  </si>
  <si>
    <t>Enhanced Sensor Grid (Larger Dradis)</t>
  </si>
  <si>
    <t>Heavy HE Rounds  (Standard Damage)</t>
  </si>
  <si>
    <t>FTL Transponder Grid (Drop beacon)</t>
  </si>
  <si>
    <t>Hardening/Emitter/E-War Grid</t>
  </si>
  <si>
    <t>Point Defence Rounds  (Standard Damage)</t>
  </si>
  <si>
    <t>AP Point Defence Rounds  (+ 15% Damage)</t>
  </si>
  <si>
    <t>DU Point Defence Rounds  (+ 30% Damage)</t>
  </si>
  <si>
    <t>Experimental Heavy Mining Battery</t>
  </si>
  <si>
    <t>HE Flak Shells  (Standard Damage)</t>
  </si>
  <si>
    <t>Experimental Heavy Missile Launcher</t>
  </si>
  <si>
    <t>CBU Flak Shells  (+ 15% Damage)</t>
  </si>
  <si>
    <t>AHEAD Flak Shells  (+ 30% Damage)</t>
  </si>
  <si>
    <t>Heavy HE Warhead  (Standard Damage)</t>
  </si>
  <si>
    <t>Heavy CR Warhead  (+ 15% Damage)</t>
  </si>
  <si>
    <t>Heavy EFP Warhead  (+ 30% Damage)</t>
  </si>
  <si>
    <t>Heavy Nuclear Warhead  (+ 2000% Damage)</t>
  </si>
  <si>
    <t>Heavy HE Minefield  (Standard Damage)</t>
  </si>
  <si>
    <t>Heavy EFP Minefield  (+ 20% Damage)</t>
  </si>
  <si>
    <t>Heavy Nuclear Minefield   (+ 30% Damage)</t>
  </si>
  <si>
    <t>Liner Standard DC Pack</t>
  </si>
  <si>
    <t>Liner Improved DC Pack</t>
  </si>
  <si>
    <t>Heavy Standard Power Cell</t>
  </si>
  <si>
    <t>Heavy Improved Power Cell</t>
  </si>
  <si>
    <t>Heavy Advanced Power Cell</t>
  </si>
  <si>
    <t>Carrier Upgrade Table</t>
  </si>
  <si>
    <t>XL Cannon Battery</t>
  </si>
  <si>
    <t>Select a Carrier you wish to buy</t>
  </si>
  <si>
    <t>Brimir / Surtur Hull Paints</t>
  </si>
  <si>
    <t>XL Mining Battery</t>
  </si>
  <si>
    <t>XL System Redundancy</t>
  </si>
  <si>
    <t>XL Damage Control</t>
  </si>
  <si>
    <t>RX-104 Minefield Launcher</t>
  </si>
  <si>
    <t>XL Drive Overcharger</t>
  </si>
  <si>
    <t>XL Gyro-Stabilization</t>
  </si>
  <si>
    <t>XL HE Rounds  (Standard Damage)</t>
  </si>
  <si>
    <t>AP-A XL Rounds  (+ 20% Armor Piercing)</t>
  </si>
  <si>
    <t>AP-B XL Rounds  (+ 25% Armor Piercing)</t>
  </si>
  <si>
    <t>AP-D XL Rounds  (+ 50% Armor Piercing)</t>
  </si>
  <si>
    <t>HE-A XL Rounds  (+ 3% Damage)</t>
  </si>
  <si>
    <t>HE-B XL Rounds  (+ 6% Damage)</t>
  </si>
  <si>
    <t>HE-D XL Rounds  (+ 15% Damage)</t>
  </si>
  <si>
    <t>HERT-A XL Rounds  (+ 10% Accuracy)</t>
  </si>
  <si>
    <t>HERT-B XL Rounds  (+ 15% Accuracy)</t>
  </si>
  <si>
    <t>HERT-D XL Rounds  (+ 25% Accuracy)</t>
  </si>
  <si>
    <t>HESC-A XL Rounds   (+ 10% Minimum Damage)</t>
  </si>
  <si>
    <t>HESC-B XL Rounds  (+ 25% Minimum Damage)</t>
  </si>
  <si>
    <t>HESC-D XL Rounds  (+ 60% Minimum Damage)</t>
  </si>
  <si>
    <t>XL Point Defence Rounds  (Standard Damage)</t>
  </si>
  <si>
    <t>XL AP Point Defence Rounds  (+ 15% Damage)</t>
  </si>
  <si>
    <t>XL DU Point Defence Rounds  (+ 30% Damage)</t>
  </si>
  <si>
    <t>XL HE Flak Shells  (Standard Damage)</t>
  </si>
  <si>
    <t>XL CBU Flak Shells  (+ 15% Damage)</t>
  </si>
  <si>
    <t>XL AHEAD Flak Shells  (+ 30% Damage)</t>
  </si>
  <si>
    <t>XL HE Warhead  (Standard Damage)</t>
  </si>
  <si>
    <t>XL CR Warhead  (+ 15% Damage)</t>
  </si>
  <si>
    <t>XL EFP Warhead  (+ 30% Damage)</t>
  </si>
  <si>
    <t>XL Nuclear Warhead  (+ 2000% Damage)</t>
  </si>
  <si>
    <t>Capital-Class HE Minefield  (Standard Damage)</t>
  </si>
  <si>
    <t>Capital-Class EFP Minefield  (+ 20% Damage)</t>
  </si>
  <si>
    <t>Capital-Class Nuclear Minefield   (+ 30% Damage)</t>
  </si>
  <si>
    <t>XL Standard DC Pack</t>
  </si>
  <si>
    <t>XL Improved DC Pack</t>
  </si>
  <si>
    <t>XL Advanced DC Pack</t>
  </si>
  <si>
    <t>XL Advanced Power Cell</t>
  </si>
  <si>
    <t xml:space="preserve">Raptor/Heavy </t>
  </si>
  <si>
    <t>Gun</t>
  </si>
  <si>
    <t>Launcher</t>
  </si>
  <si>
    <t>Raven MK IV-R/A</t>
  </si>
  <si>
    <t>armor def</t>
  </si>
  <si>
    <t>Furtif</t>
  </si>
  <si>
    <t>porté visieul</t>
  </si>
  <si>
    <t>RF</t>
  </si>
  <si>
    <t>durabilité</t>
  </si>
  <si>
    <t>blindage</t>
  </si>
  <si>
    <t>defence critique</t>
  </si>
  <si>
    <t>vitesse de rotation</t>
  </si>
  <si>
    <t>accélération en rotation</t>
  </si>
  <si>
    <t>vitesse max</t>
  </si>
  <si>
    <t>porté FTL</t>
  </si>
  <si>
    <t>chargement FTL</t>
  </si>
  <si>
    <t>energie</t>
  </si>
  <si>
    <t>recharge energie</t>
  </si>
  <si>
    <t>pare-feux</t>
  </si>
  <si>
    <t>porté visuel</t>
  </si>
  <si>
    <t xml:space="preserve">Strikes </t>
  </si>
  <si>
    <t xml:space="preserve">Carriers </t>
  </si>
  <si>
    <t>repére</t>
  </si>
  <si>
    <t>lvl</t>
  </si>
  <si>
    <t>Target Level</t>
  </si>
  <si>
    <t>Needed For Target Lvl</t>
  </si>
  <si>
    <t>Vaisseau</t>
  </si>
  <si>
    <t>Type</t>
  </si>
  <si>
    <t>Classe</t>
  </si>
  <si>
    <t>Cout</t>
  </si>
  <si>
    <t>Cubit</t>
  </si>
  <si>
    <t>Merit</t>
  </si>
  <si>
    <t>nombres</t>
  </si>
  <si>
    <t xml:space="preserve">emplacement </t>
  </si>
  <si>
    <t>armes</t>
  </si>
  <si>
    <t>3 face</t>
  </si>
  <si>
    <t>4 face</t>
  </si>
  <si>
    <t>4Face/1 arriere</t>
  </si>
  <si>
    <t>3Face</t>
  </si>
  <si>
    <t>4Face</t>
  </si>
  <si>
    <t>5Face</t>
  </si>
  <si>
    <t>0Face</t>
  </si>
  <si>
    <t>1Left/2Face/1Right</t>
  </si>
  <si>
    <t>2Left/2Face/2Right</t>
  </si>
  <si>
    <t>2Left/3Face/2Right</t>
  </si>
  <si>
    <t>3Left/2Face/3Right</t>
  </si>
  <si>
    <t>3Left/3Face/3Right</t>
  </si>
  <si>
    <t>armes defencif</t>
  </si>
  <si>
    <t>canons</t>
  </si>
  <si>
    <t>coques</t>
  </si>
  <si>
    <t>ordinateurs</t>
  </si>
  <si>
    <t>moteurs</t>
  </si>
  <si>
    <t>points</t>
  </si>
  <si>
    <t>régénération</t>
  </si>
  <si>
    <t>evitements</t>
  </si>
  <si>
    <t xml:space="preserve">accélération </t>
  </si>
  <si>
    <t>vitesse boost</t>
  </si>
  <si>
    <t>cout du boost</t>
  </si>
  <si>
    <t>cout FTL</t>
  </si>
  <si>
    <t>taux-d'emmition</t>
  </si>
  <si>
    <t>porté drasdis</t>
  </si>
  <si>
    <t>2Face/2Arriere</t>
  </si>
  <si>
    <t>gun setup</t>
  </si>
  <si>
    <t>2 Face</t>
  </si>
  <si>
    <t>2 left/2 right</t>
  </si>
  <si>
    <t>3left/3right</t>
  </si>
  <si>
    <t>launcher setup</t>
  </si>
  <si>
    <t>armor def setup</t>
  </si>
  <si>
    <t>1 face/1 arriere</t>
  </si>
  <si>
    <t>PV</t>
  </si>
  <si>
    <t>DC pack</t>
  </si>
  <si>
    <t>dc pack</t>
  </si>
  <si>
    <t>Escorte</t>
  </si>
  <si>
    <t>Liner</t>
  </si>
  <si>
    <t>repere equipement</t>
  </si>
  <si>
    <t>leure Chance</t>
  </si>
  <si>
    <t>valeur de l' equipement 1</t>
  </si>
  <si>
    <t xml:space="preserve">surcharge </t>
  </si>
  <si>
    <t>economiseur tylium</t>
  </si>
  <si>
    <t>level 14</t>
  </si>
  <si>
    <t>SI((BG4=FAUX);0;SI((BF4&lt;10);SOMME(('Hull Table'!P6+(ARRONDI.SUP((BF4*'Hull Table'!W6);2))));SOMME(('Hull Table'!P6+(ARRONDI.SUP(((9*'Hull Table'!W6)+(CHOISIR((BF4-9);'Hull Table'!AC6;('Hull Table'!AC6+'Hull Table'!AF6);(('Hull Table'!AC6+'Hull Table'!AF6)+'Hull Table'!AI6);((('Hull Table'!AC6+'Hull Table'!AF6)+'Hull Table'!AI6)+'Hull Table'!AL6);(((('Hull Table'!AC6+'Hull Table'!AF6)+'Hull Table'!AI6)+'Hull Table'!AL6)+'Hull Table'!AO6);)));2))))))</t>
  </si>
  <si>
    <t>Cout de Post Combustion</t>
  </si>
  <si>
    <t>tableau plaque de coque Hull plate table</t>
  </si>
  <si>
    <t>choisi le niveau pour comparer                         Pick a level to compare</t>
  </si>
  <si>
    <t>point de coque Hull Points</t>
  </si>
  <si>
    <t>valeur de blindage        Armor Value</t>
  </si>
  <si>
    <t>defence critique         Critical Defence</t>
  </si>
  <si>
    <t>facteur de couple torque factor</t>
  </si>
  <si>
    <t>chasseurs Strikes</t>
  </si>
  <si>
    <t>?</t>
  </si>
  <si>
    <t>Régénération</t>
  </si>
  <si>
    <t>repére compté</t>
  </si>
  <si>
    <t>Charge FTL</t>
  </si>
  <si>
    <t>valeur de l'equipement 2</t>
  </si>
  <si>
    <t>valeur de l'equipement 3</t>
  </si>
  <si>
    <t>valeur de l'equipement 4</t>
  </si>
  <si>
    <t>valeur de l'equipement 5</t>
  </si>
  <si>
    <t>caractéristique Chasseur avec equipement et compéthences</t>
  </si>
  <si>
    <t>caractéristique Escorte avec equipement et compéthences</t>
  </si>
  <si>
    <t>valeur avec compétence du vaisseau</t>
  </si>
  <si>
    <t>valeur de base du vaisseau</t>
  </si>
  <si>
    <t>caractéristique Liner avec equipement et compéthences</t>
  </si>
  <si>
    <t>caractéristique Carrier avec equipement et compéthences</t>
  </si>
  <si>
    <t>caractéristique Furtif avec equipement et compéthences</t>
  </si>
  <si>
    <t xml:space="preserve">caractéristique du vaisseau avec equipement et compéthences </t>
  </si>
  <si>
    <t>comparaison vaisseau</t>
  </si>
  <si>
    <t>différence entre base et equipement</t>
  </si>
  <si>
    <t>Raven MK IV-R/A / Malefactor R</t>
  </si>
  <si>
    <t>Malefactor R</t>
  </si>
  <si>
    <t>Malefactor R/A</t>
  </si>
  <si>
    <t>level</t>
  </si>
  <si>
    <t>debuff arme</t>
  </si>
  <si>
    <t>dradis</t>
  </si>
  <si>
    <t>buff canon</t>
  </si>
  <si>
    <t>buff missile</t>
  </si>
  <si>
    <t>buff moteur</t>
  </si>
  <si>
    <t>buff blindage</t>
  </si>
  <si>
    <t>visuelle range</t>
  </si>
  <si>
    <t xml:space="preserve">futif </t>
  </si>
  <si>
    <t>Avoidance - evitement</t>
  </si>
  <si>
    <t>Turn Rate - vitesse  rotaion</t>
  </si>
  <si>
    <t>Torque - accélération rotation</t>
  </si>
  <si>
    <t>Flank Speed - vitesse</t>
  </si>
  <si>
    <t>Boost Speed - vitesse post-combution</t>
  </si>
  <si>
    <t>repére de l'arme</t>
  </si>
  <si>
    <t>arme 1</t>
  </si>
  <si>
    <t>arme 2</t>
  </si>
  <si>
    <t>arme 3</t>
  </si>
  <si>
    <t>arme 4</t>
  </si>
  <si>
    <t>arme 5</t>
  </si>
  <si>
    <t>arme 6</t>
  </si>
  <si>
    <t>arme 7</t>
  </si>
  <si>
    <t>arme 8</t>
  </si>
  <si>
    <t>arme 9</t>
  </si>
  <si>
    <t>dps</t>
  </si>
  <si>
    <t>dps droite</t>
  </si>
  <si>
    <t>dps face</t>
  </si>
  <si>
    <t>dps gauche</t>
  </si>
  <si>
    <t>dps arriere</t>
  </si>
  <si>
    <t>lanceurs de misiles</t>
  </si>
  <si>
    <t>lanceurs de missiles</t>
  </si>
  <si>
    <t>arme def 1</t>
  </si>
  <si>
    <t>arme def 2</t>
  </si>
  <si>
    <t>arme def 3</t>
  </si>
  <si>
    <t>arme def 4</t>
  </si>
  <si>
    <t>canon 1</t>
  </si>
  <si>
    <t>canon 2</t>
  </si>
  <si>
    <t>canon 3</t>
  </si>
  <si>
    <t>canon 4</t>
  </si>
  <si>
    <t>canon 5</t>
  </si>
  <si>
    <t>canon 6</t>
  </si>
  <si>
    <t xml:space="preserve">armes </t>
  </si>
  <si>
    <t>armes defencifs</t>
  </si>
  <si>
    <t>furtif</t>
  </si>
  <si>
    <t>court</t>
  </si>
  <si>
    <t>lourd</t>
  </si>
  <si>
    <t>lanceur 1</t>
  </si>
  <si>
    <t>lanceur 2</t>
  </si>
  <si>
    <t>long</t>
  </si>
  <si>
    <t>Point Defence  Battery m2</t>
  </si>
  <si>
    <t>emplacement</t>
  </si>
  <si>
    <t>dps mining</t>
  </si>
  <si>
    <t>dps mining total</t>
  </si>
  <si>
    <t xml:space="preserve">canon experimentale </t>
  </si>
  <si>
    <t>canon d'extraction</t>
  </si>
  <si>
    <t>Coût</t>
  </si>
  <si>
    <t>Armes</t>
  </si>
  <si>
    <t>Armes defencif</t>
  </si>
  <si>
    <t>Canons</t>
  </si>
  <si>
    <t>Lanceurs de missiles</t>
  </si>
  <si>
    <t>Coques</t>
  </si>
  <si>
    <t>Moteurs</t>
  </si>
  <si>
    <t>Ordinateurs</t>
  </si>
  <si>
    <t>cubits</t>
  </si>
  <si>
    <t>tylium</t>
  </si>
  <si>
    <t>kit tuning</t>
  </si>
  <si>
    <t>equipement</t>
  </si>
  <si>
    <t>colone cubit</t>
  </si>
  <si>
    <t xml:space="preserve">colone tylium </t>
  </si>
  <si>
    <t>colone kit tuning</t>
  </si>
  <si>
    <t>Level 0</t>
  </si>
  <si>
    <t>cout equipement</t>
  </si>
  <si>
    <t>cout coques</t>
  </si>
  <si>
    <t>cout moteurs</t>
  </si>
  <si>
    <t>cout ordinateurs</t>
  </si>
  <si>
    <t>cout total</t>
  </si>
  <si>
    <t xml:space="preserve">a revoir </t>
  </si>
  <si>
    <t>lanceur de missile</t>
  </si>
  <si>
    <t>Furtif Upgrade Table</t>
  </si>
  <si>
    <t>canon court M</t>
  </si>
  <si>
    <t>canon standart M</t>
  </si>
  <si>
    <t>canon standart P</t>
  </si>
  <si>
    <t>canon court P</t>
  </si>
  <si>
    <t xml:space="preserve">canon Experimental </t>
  </si>
  <si>
    <t>canon long M</t>
  </si>
  <si>
    <t>canon long P</t>
  </si>
  <si>
    <t xml:space="preserve">canon d'extraction Experimental </t>
  </si>
  <si>
    <t>Novas</t>
  </si>
  <si>
    <t>lanceur de missile standart M</t>
  </si>
  <si>
    <t>lanceur de missile standart P</t>
  </si>
  <si>
    <t>lanceur de missile long M</t>
  </si>
  <si>
    <t>lanceur de missile long P</t>
  </si>
  <si>
    <t>HT</t>
  </si>
  <si>
    <t>composite</t>
  </si>
  <si>
    <t>PV+HT</t>
  </si>
  <si>
    <t>blindage+HT</t>
  </si>
  <si>
    <t>composite+HT</t>
  </si>
  <si>
    <t>Hardening Cluster</t>
  </si>
  <si>
    <t>Emitter Cluster</t>
  </si>
  <si>
    <t>E-War Module  Cluster</t>
  </si>
  <si>
    <t>canon d'extarction Experimental</t>
  </si>
  <si>
    <t xml:space="preserve"> lanceur de missile Experimental </t>
  </si>
  <si>
    <t>Hardening</t>
  </si>
  <si>
    <t>Emitter</t>
  </si>
  <si>
    <t>precision moyenne</t>
  </si>
  <si>
    <t xml:space="preserve">erreur dans repere equipement ici </t>
  </si>
  <si>
    <t>hors promo</t>
  </si>
  <si>
    <t>module op</t>
  </si>
  <si>
    <t>merite</t>
  </si>
  <si>
    <t>lvl 1</t>
  </si>
  <si>
    <t>lvl 2</t>
  </si>
  <si>
    <t>lvl 3</t>
  </si>
  <si>
    <t>lvl 4</t>
  </si>
  <si>
    <t>lvl 5</t>
  </si>
  <si>
    <t>lvl 6</t>
  </si>
  <si>
    <t>lvl 7</t>
  </si>
  <si>
    <t>lvl 8</t>
  </si>
  <si>
    <t>lvl 9</t>
  </si>
  <si>
    <t>lvl 10</t>
  </si>
  <si>
    <t>tout equipement</t>
  </si>
  <si>
    <t>Esculape' / 'Sphinx'</t>
  </si>
  <si>
    <t>à l'unité</t>
  </si>
  <si>
    <t>escorte</t>
  </si>
  <si>
    <t>liner</t>
  </si>
  <si>
    <t>carrier</t>
  </si>
  <si>
    <t>Flak</t>
  </si>
  <si>
    <t xml:space="preserve"> Point Defence Rounds  (Standard Damage)</t>
  </si>
  <si>
    <t xml:space="preserve">pour la communauté de </t>
  </si>
  <si>
    <t>Ce programme a était crée par</t>
  </si>
  <si>
    <t>HE-A Rounds  (+ 3% Damage) totaux</t>
  </si>
  <si>
    <t>HE-B Rounds  (+ 6% Damage) totaux</t>
  </si>
  <si>
    <t>HE-C Rounds  (+ 9% Damage) totaux</t>
  </si>
  <si>
    <t>HE-D Rounds  (+ 15% Damage) totaux</t>
  </si>
  <si>
    <t>HERT-A Rounds  (+ 10% Précision)</t>
  </si>
  <si>
    <t>HERT-B Rounds  (+ 15% Précision)</t>
  </si>
  <si>
    <t>HERT-C Rounds  (+ 20% Précision)</t>
  </si>
  <si>
    <t>HERT-D Rounds  (+ 25% Précision)</t>
  </si>
  <si>
    <t>Type du npc</t>
  </si>
  <si>
    <t>Niveau</t>
  </si>
  <si>
    <t>Secteur</t>
  </si>
  <si>
    <t>points de coques</t>
  </si>
  <si>
    <t>Scar</t>
  </si>
  <si>
    <t>Duneyrr</t>
  </si>
  <si>
    <t>Revenant</t>
  </si>
  <si>
    <t>hatir</t>
  </si>
  <si>
    <t>vidofnir</t>
  </si>
  <si>
    <t>aretis</t>
  </si>
  <si>
    <t>abalon</t>
  </si>
  <si>
    <t>gamma</t>
  </si>
  <si>
    <t>munnin</t>
  </si>
  <si>
    <t>delta aurican</t>
  </si>
  <si>
    <t>calibaan</t>
  </si>
  <si>
    <t>mk2 / chasseur de base</t>
  </si>
  <si>
    <t>Tau Altaar</t>
  </si>
  <si>
    <t>Sigma</t>
  </si>
  <si>
    <t>Lyraes</t>
  </si>
  <si>
    <t>zeidian</t>
  </si>
  <si>
    <t>Denebol</t>
  </si>
  <si>
    <t>alpha extigens</t>
  </si>
  <si>
    <t>omicron decimus</t>
  </si>
  <si>
    <t>tau altaar</t>
  </si>
  <si>
    <t>kryphon</t>
  </si>
  <si>
    <t>asterian</t>
  </si>
  <si>
    <t>51 bonamist</t>
  </si>
  <si>
    <t>71 Duneyrr</t>
  </si>
  <si>
    <t>32 serpentos</t>
  </si>
  <si>
    <t>Spectris</t>
  </si>
  <si>
    <t>Tau altarr</t>
  </si>
  <si>
    <t>Marsamxett</t>
  </si>
  <si>
    <t>Rapace / Bombardier</t>
  </si>
  <si>
    <t>sigma Lyraes</t>
  </si>
  <si>
    <t>Rapace/bombardier</t>
  </si>
  <si>
    <t>Rhino/marauder</t>
  </si>
  <si>
    <t>...</t>
  </si>
  <si>
    <t>MK7</t>
  </si>
  <si>
    <t>Alpha extingens</t>
  </si>
  <si>
    <t>Kryphon</t>
  </si>
  <si>
    <t>Tau altaar</t>
  </si>
  <si>
    <t>Serpentos</t>
  </si>
  <si>
    <t>Maul/wraith</t>
  </si>
  <si>
    <t>Bonamist</t>
  </si>
  <si>
    <t>wraith</t>
  </si>
  <si>
    <t>Asterian</t>
  </si>
  <si>
    <t>Omicron decimus</t>
  </si>
  <si>
    <t>halberd</t>
  </si>
  <si>
    <t>liche</t>
  </si>
  <si>
    <t>vanir</t>
  </si>
  <si>
    <t>32 Serpentos</t>
  </si>
  <si>
    <t xml:space="preserve">Spectris </t>
  </si>
  <si>
    <t>Alpha Extigens</t>
  </si>
  <si>
    <t>Sigma Lyraes</t>
  </si>
  <si>
    <t>Omicron Decimus</t>
  </si>
  <si>
    <t xml:space="preserve"> Denebol</t>
  </si>
  <si>
    <t xml:space="preserve"> Spectris</t>
  </si>
  <si>
    <t xml:space="preserve"> 51 Bonamist</t>
  </si>
  <si>
    <t>muspell</t>
  </si>
  <si>
    <t xml:space="preserve">Nilfhel </t>
  </si>
  <si>
    <t>nilfhel</t>
  </si>
  <si>
    <t xml:space="preserve"> abalon</t>
  </si>
  <si>
    <t xml:space="preserve">Asterian </t>
  </si>
  <si>
    <t xml:space="preserve"> tau altaar</t>
  </si>
  <si>
    <t>Nilfhel</t>
  </si>
  <si>
    <t xml:space="preserve">zeidian </t>
  </si>
  <si>
    <t>gemino</t>
  </si>
  <si>
    <t xml:space="preserve"> hatir</t>
  </si>
  <si>
    <t xml:space="preserve"> vidofnir</t>
  </si>
  <si>
    <t>Gemino</t>
  </si>
  <si>
    <t>restauration de point vie</t>
  </si>
  <si>
    <t>Précision</t>
  </si>
  <si>
    <t>régénération dc pack</t>
  </si>
  <si>
    <t>Canon</t>
  </si>
  <si>
    <t>Leurres</t>
  </si>
  <si>
    <t>Cellules energie</t>
  </si>
  <si>
    <t>Champs de Mines</t>
  </si>
  <si>
    <t>Munitions pour les armes defencif</t>
  </si>
  <si>
    <t>Munitions pour les canons</t>
  </si>
  <si>
    <t>Muntions pour les lanceur de Missiles</t>
  </si>
  <si>
    <t>Muntions pour les Coques</t>
  </si>
  <si>
    <t>Light Nuclear Warhead  (+ 500% Damage)</t>
  </si>
  <si>
    <t>Torpilles</t>
  </si>
  <si>
    <t>drain d'energie</t>
  </si>
  <si>
    <t>attention il peut y avoir des différences entre certain tableau de code ou repére car certaine paramétre on était crée a différent jours  donc avec différente solution,</t>
  </si>
  <si>
    <t xml:space="preserve">plaque de coque </t>
  </si>
  <si>
    <t xml:space="preserve">plaque de blindage </t>
  </si>
  <si>
    <t xml:space="preserve">plaque HT (defence crtitique) </t>
  </si>
  <si>
    <t xml:space="preserve">plaque de composite </t>
  </si>
  <si>
    <t>plaque de coque &amp; HT</t>
  </si>
  <si>
    <t>plaque de blindage &amp; HT</t>
  </si>
  <si>
    <t>plaque composite &amp; HT</t>
  </si>
  <si>
    <t>lance mines</t>
  </si>
  <si>
    <t>Lanceur de Torpilles</t>
  </si>
  <si>
    <t>canon experimentale +5%</t>
  </si>
  <si>
    <t>XL Nuclear Warhead  (+ 500% Damage)</t>
  </si>
  <si>
    <t>Heavy Nuclear Warhead  (+ 500% Damage)</t>
  </si>
  <si>
    <t>Medium Nuclear Warhead  (+ 500% Damage)</t>
  </si>
  <si>
    <t>HESC-A Rounds  (+ 10% Minimum Damage)</t>
  </si>
  <si>
    <t>ordinateur</t>
  </si>
  <si>
    <t>Torpille</t>
  </si>
  <si>
    <t>Flack</t>
  </si>
  <si>
    <t>DC Pack</t>
  </si>
  <si>
    <t>Leures</t>
  </si>
  <si>
    <t>Cellules d'energie</t>
  </si>
  <si>
    <t>munitions</t>
  </si>
  <si>
    <t>repére classe</t>
  </si>
  <si>
    <t>strike</t>
  </si>
  <si>
    <t>DCA</t>
  </si>
  <si>
    <t>régéneration d'energie energie</t>
  </si>
  <si>
    <t>nb d'armes</t>
  </si>
  <si>
    <t>Extraction</t>
  </si>
  <si>
    <t>ex</t>
  </si>
  <si>
    <t>C</t>
  </si>
  <si>
    <t>M</t>
  </si>
  <si>
    <t>T</t>
  </si>
  <si>
    <t>F</t>
  </si>
  <si>
    <t>D</t>
  </si>
  <si>
    <t>nombre canons installé</t>
  </si>
  <si>
    <t>Expérimental canon +5%</t>
  </si>
  <si>
    <t>Type d'armes</t>
  </si>
  <si>
    <t>Type armes liner</t>
  </si>
  <si>
    <t>répère type armes def</t>
  </si>
  <si>
    <t>type d'armes</t>
  </si>
  <si>
    <t>repère type armes</t>
  </si>
  <si>
    <t>type armes def</t>
  </si>
  <si>
    <t>Type d'armes def</t>
  </si>
  <si>
    <t>code muntions</t>
  </si>
  <si>
    <t>code munition def</t>
  </si>
  <si>
    <t>avec muntion standart</t>
  </si>
  <si>
    <t xml:space="preserve"> avec munition selectioné</t>
  </si>
  <si>
    <t>avec muntion selectioné</t>
  </si>
  <si>
    <t>type canon</t>
  </si>
  <si>
    <t>code munition canon</t>
  </si>
  <si>
    <t>nombre armes def installé</t>
  </si>
  <si>
    <t>nombre canon installé</t>
  </si>
  <si>
    <t>armes def</t>
  </si>
  <si>
    <t>canon</t>
  </si>
  <si>
    <t>missiles</t>
  </si>
  <si>
    <t>Type de canons</t>
  </si>
  <si>
    <t>canon cinétique</t>
  </si>
  <si>
    <t>avec compéthence</t>
  </si>
  <si>
    <t>sans les compéthence</t>
  </si>
  <si>
    <t>Caractéristique vaisseau</t>
  </si>
  <si>
    <t>répère type missiles</t>
  </si>
  <si>
    <t>répère type canons</t>
  </si>
  <si>
    <t>type missiles</t>
  </si>
  <si>
    <t>code munition missile</t>
  </si>
  <si>
    <t>Type de missiles</t>
  </si>
  <si>
    <t>nombre lanceur installé</t>
  </si>
  <si>
    <t>CC</t>
  </si>
  <si>
    <t>canon c</t>
  </si>
  <si>
    <t>missiles carrier</t>
  </si>
  <si>
    <t>MC</t>
  </si>
  <si>
    <t>MF</t>
  </si>
  <si>
    <t>missiles furtif</t>
  </si>
  <si>
    <t>rien</t>
  </si>
  <si>
    <t>avec muntion selectioné par lanceur</t>
  </si>
  <si>
    <t>avec munition standart par lanceur</t>
  </si>
  <si>
    <t xml:space="preserve">avec munition standart </t>
  </si>
  <si>
    <t>avec munition seléctioné</t>
  </si>
  <si>
    <t>sans compéthence armes</t>
  </si>
  <si>
    <t>restauration énergie</t>
  </si>
  <si>
    <t>recharge énergie</t>
  </si>
  <si>
    <t>Munition pour les ordinateurs</t>
  </si>
  <si>
    <t>Assaut</t>
  </si>
  <si>
    <t>Multi-role</t>
  </si>
  <si>
    <t>1 Face</t>
  </si>
  <si>
    <t>Commande</t>
  </si>
  <si>
    <t>Intercepte</t>
  </si>
  <si>
    <t>canon experimentale d'extraction</t>
  </si>
  <si>
    <t>canon court standart (M)</t>
  </si>
  <si>
    <t>canon court critique (P)</t>
  </si>
  <si>
    <t xml:space="preserve"> canon critique (P)</t>
  </si>
  <si>
    <t xml:space="preserve"> canon long standart (M)</t>
  </si>
  <si>
    <t xml:space="preserve"> canon long critique (P)</t>
  </si>
  <si>
    <t>canon standart (M)</t>
  </si>
  <si>
    <t>lanceur de missiles moyenne portée (P)</t>
  </si>
  <si>
    <t>lanceur de Missiles moyenne portée (M)</t>
  </si>
  <si>
    <t>lanceur de missiles experimentale</t>
  </si>
  <si>
    <t>lanceur de missiles long portée (M)</t>
  </si>
  <si>
    <t>lanceur de missiles long portée (P)</t>
  </si>
  <si>
    <t>dégât mines</t>
  </si>
  <si>
    <t>equipement1</t>
  </si>
  <si>
    <t>equipement 2</t>
  </si>
  <si>
    <t>equipement 3</t>
  </si>
  <si>
    <t>equipement 4</t>
  </si>
  <si>
    <t>equipement 5</t>
  </si>
  <si>
    <t>min</t>
  </si>
  <si>
    <t>max</t>
  </si>
  <si>
    <t>champs de mines</t>
  </si>
  <si>
    <t>plaque de coque</t>
  </si>
  <si>
    <t>plaque de blindage</t>
  </si>
  <si>
    <t>lance leurre</t>
  </si>
  <si>
    <t>module d'analyse minérale</t>
  </si>
  <si>
    <t>pilote automatique</t>
  </si>
  <si>
    <t>module expérimentale d'analyse minérale</t>
  </si>
  <si>
    <t>condensateur haute densité</t>
  </si>
  <si>
    <t>FTL  Module Transpondeur</t>
  </si>
  <si>
    <t>module auxiliaire d'alimentation</t>
  </si>
  <si>
    <t xml:space="preserve"> Module Emitteur</t>
  </si>
  <si>
    <t xml:space="preserve"> Module E-War</t>
  </si>
  <si>
    <t>passif</t>
  </si>
  <si>
    <t>Buff</t>
  </si>
  <si>
    <t>Propre carrier</t>
  </si>
  <si>
    <t>mk2</t>
  </si>
  <si>
    <t>rhino</t>
  </si>
  <si>
    <t>mk3</t>
  </si>
  <si>
    <t>rapace</t>
  </si>
  <si>
    <t>mk7</t>
  </si>
  <si>
    <t>scythe</t>
  </si>
  <si>
    <t>maul</t>
  </si>
  <si>
    <t>glaive</t>
  </si>
  <si>
    <t>helbert</t>
  </si>
  <si>
    <t>aesir</t>
  </si>
  <si>
    <t>jothun</t>
  </si>
  <si>
    <t>brimir</t>
  </si>
  <si>
    <t>gungir</t>
  </si>
  <si>
    <t>compethence</t>
  </si>
  <si>
    <t>avancé 1</t>
  </si>
  <si>
    <t>avancé 2</t>
  </si>
  <si>
    <t>image vaisseaux</t>
  </si>
  <si>
    <t>images des vaisseaux ligne 200</t>
  </si>
  <si>
    <t>Lanceur de torpilles type cyclone</t>
  </si>
  <si>
    <t>Lanceur de torpilles menticore</t>
  </si>
  <si>
    <t>Drain d'énergie min</t>
  </si>
  <si>
    <t>Drain d'énergie max</t>
  </si>
  <si>
    <t>drain d'energie min</t>
  </si>
  <si>
    <t>drain d'energie max</t>
  </si>
  <si>
    <t>type de munition</t>
  </si>
  <si>
    <t>répère type munition</t>
  </si>
  <si>
    <t>code muntion</t>
  </si>
  <si>
    <t>régènération</t>
  </si>
  <si>
    <t>plaque HT</t>
  </si>
  <si>
    <t>rcs &amp; cout du bost</t>
  </si>
  <si>
    <t>gyro &amp; porté FTL</t>
  </si>
  <si>
    <t>accélération rotation &amp; chargement FTL</t>
  </si>
  <si>
    <t>accélération &amp; cout FTL</t>
  </si>
  <si>
    <t>condensateur</t>
  </si>
  <si>
    <t>taux d'emition</t>
  </si>
  <si>
    <t>Mine</t>
  </si>
  <si>
    <t>Leures chance</t>
  </si>
  <si>
    <t>leure</t>
  </si>
  <si>
    <t>cellule d'energie</t>
  </si>
  <si>
    <t xml:space="preserve">munition </t>
  </si>
  <si>
    <t>réstauration énergie</t>
  </si>
  <si>
    <t>réstauration dc pack</t>
  </si>
  <si>
    <t>EM-X</t>
  </si>
  <si>
    <t>torpille à tête nuclaire tactique</t>
  </si>
  <si>
    <t>ASM-12 agrius</t>
  </si>
  <si>
    <t>ASM-224 Greyon</t>
  </si>
  <si>
    <t>torpille a tête nuclaire</t>
  </si>
  <si>
    <t>condensateur haute capacité</t>
  </si>
  <si>
    <t>condensateur de capacité auxiliare</t>
  </si>
  <si>
    <t>régulateur de charge à impultion</t>
  </si>
  <si>
    <t>coque en composite de carbone</t>
  </si>
  <si>
    <t>ratelier de missile à rechargement rapide</t>
  </si>
  <si>
    <t>système à induction éléctromagnétique</t>
  </si>
  <si>
    <t>système de secours</t>
  </si>
  <si>
    <t>kit d'amélioration de blindage</t>
  </si>
  <si>
    <t>blindage de coque en céramique</t>
  </si>
  <si>
    <t>renforcement de la coque (PV)</t>
  </si>
  <si>
    <t>récupération de pouvoir (énergie)</t>
  </si>
  <si>
    <t>Renforcement de la coque</t>
  </si>
  <si>
    <t>Plaque d'armur renforcé (blindage)</t>
  </si>
  <si>
    <t>vitesse</t>
  </si>
  <si>
    <t>vitesse pc</t>
  </si>
  <si>
    <t>plaque d'armure en composite</t>
  </si>
  <si>
    <t xml:space="preserve"> equipe de cotrole de déga (dc pack)</t>
  </si>
  <si>
    <t>vaisseau selectioné</t>
  </si>
  <si>
    <t>Chasseur</t>
  </si>
  <si>
    <t>Base</t>
  </si>
  <si>
    <t>Avancé</t>
  </si>
  <si>
    <t>Vaisseau selectionné</t>
  </si>
  <si>
    <t>Nombre</t>
  </si>
  <si>
    <t>Emplacement</t>
  </si>
  <si>
    <t>Artillerie canon 130 mm</t>
  </si>
  <si>
    <t>Array 10mm</t>
  </si>
  <si>
    <t>flechette 8mm</t>
  </si>
  <si>
    <t>mitrailleuse 11,7mm</t>
  </si>
  <si>
    <t>canon auto 20mm</t>
  </si>
  <si>
    <t xml:space="preserve">Defence </t>
  </si>
  <si>
    <t>total Armes</t>
  </si>
  <si>
    <t>Pack de missile 88mm</t>
  </si>
  <si>
    <t>Missile d'interception</t>
  </si>
  <si>
    <t>Lanceur de mines electromagnétique</t>
  </si>
  <si>
    <t>Canon experimental</t>
  </si>
  <si>
    <t>Canon expérimental +5%</t>
  </si>
  <si>
    <t>Canon d'extraction</t>
  </si>
  <si>
    <t>Lanceur de torpille cyclone</t>
  </si>
  <si>
    <t xml:space="preserve">Lanceur de torpille menticorre </t>
  </si>
  <si>
    <t>Canon cour (M)</t>
  </si>
  <si>
    <t>Canon cour (P)</t>
  </si>
  <si>
    <t>Canon standard (M)</t>
  </si>
  <si>
    <t>Canon standard (P)</t>
  </si>
  <si>
    <t>Canon long (M)</t>
  </si>
  <si>
    <t>Canon d'extraction exp</t>
  </si>
  <si>
    <t>Lanceur de missile moy porté (M)</t>
  </si>
  <si>
    <t>Lanceur de missile moy porté (P)</t>
  </si>
  <si>
    <t>Lanceur de missile long porté (M)</t>
  </si>
  <si>
    <t>Lanceur de missile long porté (P)</t>
  </si>
  <si>
    <t>Lanceur de missile exp</t>
  </si>
  <si>
    <t>images armes chasseur</t>
  </si>
  <si>
    <t>DPS</t>
  </si>
  <si>
    <t>dps gauche moyenne</t>
  </si>
  <si>
    <t>dps face moyenne</t>
  </si>
  <si>
    <t>dps droite moyenne</t>
  </si>
  <si>
    <t>dps arriere moyenne</t>
  </si>
  <si>
    <t>dps mining moyenne</t>
  </si>
  <si>
    <t>Level compéthence</t>
  </si>
  <si>
    <t xml:space="preserve">Munitions pour les armes  </t>
  </si>
  <si>
    <t>Cout armes</t>
  </si>
  <si>
    <t>images armes escorte</t>
  </si>
  <si>
    <t>Canon experiment</t>
  </si>
  <si>
    <t>Canon experimentale 5%</t>
  </si>
  <si>
    <t>Canon stardard (M)</t>
  </si>
  <si>
    <t>Canon long (P)</t>
  </si>
  <si>
    <t>Lanceur de torpille</t>
  </si>
  <si>
    <t>images armes liner</t>
  </si>
  <si>
    <t>images armes carrier</t>
  </si>
  <si>
    <t>images armes furtif</t>
  </si>
  <si>
    <t>Point de defence m2</t>
  </si>
  <si>
    <t>Point de defence batterie</t>
  </si>
  <si>
    <t>artillerry canon 130mm</t>
  </si>
  <si>
    <t>array 10mm</t>
  </si>
  <si>
    <t>armes defencive</t>
  </si>
  <si>
    <t>drain d'énergie min</t>
  </si>
  <si>
    <t>Armes defencives</t>
  </si>
  <si>
    <t>mitrailleuse 11,7 mm</t>
  </si>
  <si>
    <t>canon auto 20 mm</t>
  </si>
</sst>
</file>

<file path=xl/styles.xml><?xml version="1.0" encoding="utf-8"?>
<styleSheet xmlns="http://schemas.openxmlformats.org/spreadsheetml/2006/main">
  <numFmts count="18">
    <numFmt numFmtId="44" formatCode="_-* #,##0.00\ &quot;€&quot;_-;\-* #,##0.00\ &quot;€&quot;_-;_-* &quot;-&quot;??\ &quot;€&quot;_-;_-@_-"/>
    <numFmt numFmtId="43" formatCode="_-* #,##0.00\ _€_-;\-* #,##0.00\ _€_-;_-* &quot;-&quot;??\ _€_-;_-@_-"/>
    <numFmt numFmtId="164" formatCode="#,##0;#,##0"/>
    <numFmt numFmtId="165" formatCode="0;0"/>
    <numFmt numFmtId="166" formatCode="0.00;0.00"/>
    <numFmt numFmtId="167" formatCode="\+\ 0.00\ %;\-\ 0.00\ %"/>
    <numFmt numFmtId="168" formatCode="\+\ 0\ %"/>
    <numFmt numFmtId="169" formatCode="#,##0.0;#,##0.0"/>
    <numFmt numFmtId="170" formatCode="\+\ 0.00"/>
    <numFmt numFmtId="171" formatCode="\-\ 0\ %"/>
    <numFmt numFmtId="172" formatCode="\x\ 0.0"/>
    <numFmt numFmtId="173" formatCode="#,##0.00\ ;\-#,##0.00"/>
    <numFmt numFmtId="174" formatCode="#,##0.###############"/>
    <numFmt numFmtId="175" formatCode="#,##0.00;#,##0.00"/>
    <numFmt numFmtId="176" formatCode="[h]:mm:ss;@"/>
    <numFmt numFmtId="177" formatCode="0.0"/>
    <numFmt numFmtId="178" formatCode="_-* #,##0\ _€_-;\-* #,##0\ _€_-;_-* &quot;-&quot;??\ _€_-;_-@_-"/>
    <numFmt numFmtId="179" formatCode="_-* #,##0.0\ _€_-;\-* #,##0.0\ _€_-;_-* &quot;-&quot;??\ _€_-;_-@_-"/>
  </numFmts>
  <fonts count="789">
    <font>
      <sz val="10"/>
      <color rgb="FF000000"/>
      <name val="Arial"/>
    </font>
    <font>
      <b/>
      <sz val="11"/>
      <color rgb="FF000000"/>
      <name val="Calibri"/>
      <family val="2"/>
    </font>
    <font>
      <b/>
      <sz val="12"/>
      <color rgb="FF000000"/>
      <name val="Calibri"/>
      <family val="2"/>
    </font>
    <font>
      <sz val="11"/>
      <color rgb="FF000000"/>
      <name val="Calibri"/>
      <family val="2"/>
    </font>
    <font>
      <sz val="11"/>
      <color rgb="FF000000"/>
      <name val="Calibri"/>
      <family val="2"/>
    </font>
    <font>
      <b/>
      <sz val="11"/>
      <color rgb="FF000000"/>
      <name val="Calibri"/>
      <family val="2"/>
    </font>
    <font>
      <b/>
      <sz val="20"/>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b/>
      <sz val="24"/>
      <color rgb="FF000000"/>
      <name val="Calibri"/>
      <family val="2"/>
    </font>
    <font>
      <b/>
      <sz val="11"/>
      <color rgb="FF000000"/>
      <name val="Calibri"/>
      <family val="2"/>
    </font>
    <font>
      <b/>
      <sz val="11"/>
      <color rgb="FF000000"/>
      <name val="Calibri"/>
      <family val="2"/>
    </font>
    <font>
      <sz val="11"/>
      <color rgb="FF000000"/>
      <name val="Calibri"/>
      <family val="2"/>
    </font>
    <font>
      <sz val="11"/>
      <color rgb="FF000000"/>
      <name val="Calibri"/>
      <family val="2"/>
    </font>
    <font>
      <b/>
      <sz val="11"/>
      <color rgb="FF000000"/>
      <name val="Calibri"/>
      <family val="2"/>
    </font>
    <font>
      <b/>
      <sz val="20"/>
      <color rgb="FF000000"/>
      <name val="Calibri"/>
      <family val="2"/>
    </font>
    <font>
      <sz val="11"/>
      <color rgb="FF000000"/>
      <name val="Calibri"/>
      <family val="2"/>
    </font>
    <font>
      <sz val="11"/>
      <color rgb="FF000000"/>
      <name val="Calibri"/>
      <family val="2"/>
    </font>
    <font>
      <i/>
      <sz val="11"/>
      <color rgb="FF000000"/>
      <name val="Calibri"/>
      <family val="2"/>
    </font>
    <font>
      <b/>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b/>
      <sz val="11"/>
      <color rgb="FF000000"/>
      <name val="Calibri"/>
      <family val="2"/>
    </font>
    <font>
      <b/>
      <sz val="11"/>
      <color rgb="FF000000"/>
      <name val="Calibri"/>
      <family val="2"/>
    </font>
    <font>
      <b/>
      <sz val="11"/>
      <color rgb="FF000000"/>
      <name val="Calibri"/>
      <family val="2"/>
    </font>
    <font>
      <sz val="11"/>
      <color rgb="FF000000"/>
      <name val="Calibri"/>
      <family val="2"/>
    </font>
    <font>
      <b/>
      <sz val="11"/>
      <color rgb="FF000000"/>
      <name val="Calibri"/>
      <family val="2"/>
    </font>
    <font>
      <sz val="11"/>
      <color rgb="FF000000"/>
      <name val="Calibri"/>
      <family val="2"/>
    </font>
    <font>
      <b/>
      <sz val="18"/>
      <color rgb="FF000000"/>
      <name val="Calibri"/>
      <family val="2"/>
    </font>
    <font>
      <b/>
      <sz val="11"/>
      <color rgb="FF000000"/>
      <name val="Calibri"/>
      <family val="2"/>
    </font>
    <font>
      <sz val="11"/>
      <color rgb="FF000000"/>
      <name val="Calibri"/>
      <family val="2"/>
    </font>
    <font>
      <b/>
      <sz val="11"/>
      <color rgb="FF000000"/>
      <name val="Calibri"/>
      <family val="2"/>
    </font>
    <font>
      <b/>
      <sz val="11"/>
      <color rgb="FF000000"/>
      <name val="Calibri"/>
      <family val="2"/>
    </font>
    <font>
      <sz val="11"/>
      <color rgb="FF000000"/>
      <name val="Calibri"/>
      <family val="2"/>
    </font>
    <font>
      <sz val="11"/>
      <color rgb="FF000000"/>
      <name val="Calibri"/>
      <family val="2"/>
    </font>
    <font>
      <b/>
      <sz val="11"/>
      <color rgb="FF000000"/>
      <name val="Calibri"/>
      <family val="2"/>
    </font>
    <font>
      <i/>
      <sz val="11"/>
      <color rgb="FF000000"/>
      <name val="Calibri"/>
      <family val="2"/>
    </font>
    <font>
      <b/>
      <sz val="11"/>
      <color rgb="FF000000"/>
      <name val="Calibri"/>
      <family val="2"/>
    </font>
    <font>
      <i/>
      <sz val="11"/>
      <color rgb="FF000000"/>
      <name val="Calibri"/>
      <family val="2"/>
    </font>
    <font>
      <sz val="11"/>
      <color rgb="FF000000"/>
      <name val="Calibri"/>
      <family val="2"/>
    </font>
    <font>
      <b/>
      <sz val="11"/>
      <color rgb="FF000000"/>
      <name val="Calibri"/>
      <family val="2"/>
    </font>
    <font>
      <sz val="11"/>
      <color rgb="FF000000"/>
      <name val="Calibri"/>
      <family val="2"/>
    </font>
    <font>
      <b/>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i/>
      <sz val="11"/>
      <color rgb="FF000000"/>
      <name val="Calibri"/>
      <family val="2"/>
    </font>
    <font>
      <b/>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b/>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6"/>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b/>
      <sz val="9"/>
      <color rgb="FF000000"/>
      <name val="Calibri"/>
      <family val="2"/>
    </font>
    <font>
      <b/>
      <sz val="9"/>
      <color rgb="FF000000"/>
      <name val="Calibri"/>
      <family val="2"/>
    </font>
    <font>
      <i/>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b/>
      <sz val="9"/>
      <color rgb="FF000000"/>
      <name val="Calibri"/>
      <family val="2"/>
    </font>
    <font>
      <sz val="11"/>
      <color rgb="FF000000"/>
      <name val="Calibri"/>
      <family val="2"/>
    </font>
    <font>
      <sz val="11"/>
      <color rgb="FF000000"/>
      <name val="Calibri"/>
      <family val="2"/>
    </font>
    <font>
      <b/>
      <sz val="24"/>
      <color rgb="FF000000"/>
      <name val="Calibri"/>
      <family val="2"/>
    </font>
    <font>
      <sz val="11"/>
      <color rgb="FF000000"/>
      <name val="Calibri"/>
      <family val="2"/>
    </font>
    <font>
      <b/>
      <sz val="11"/>
      <color rgb="FF000000"/>
      <name val="Calibri"/>
      <family val="2"/>
    </font>
    <font>
      <sz val="11"/>
      <color rgb="FF000000"/>
      <name val="Calibri"/>
      <family val="2"/>
    </font>
    <font>
      <b/>
      <sz val="11"/>
      <color rgb="FF000000"/>
      <name val="Calibri"/>
      <family val="2"/>
    </font>
    <font>
      <sz val="11"/>
      <color rgb="FF000000"/>
      <name val="Calibri"/>
      <family val="2"/>
    </font>
    <font>
      <sz val="16"/>
      <color rgb="FF000000"/>
      <name val="Calibri"/>
      <family val="2"/>
    </font>
    <font>
      <sz val="14"/>
      <color rgb="FF000000"/>
      <name val="Calibri"/>
      <family val="2"/>
    </font>
    <font>
      <sz val="11"/>
      <color rgb="FF000000"/>
      <name val="Calibri"/>
      <family val="2"/>
    </font>
    <font>
      <sz val="11"/>
      <color rgb="FF000000"/>
      <name val="Calibri"/>
      <family val="2"/>
    </font>
    <font>
      <b/>
      <sz val="11"/>
      <color rgb="FF000000"/>
      <name val="Calibri"/>
      <family val="2"/>
    </font>
    <font>
      <sz val="16"/>
      <color rgb="FFFF0000"/>
      <name val="Calibri"/>
      <family val="2"/>
    </font>
    <font>
      <sz val="11"/>
      <color rgb="FF000000"/>
      <name val="Calibri"/>
      <family val="2"/>
    </font>
    <font>
      <sz val="11"/>
      <color rgb="FF000000"/>
      <name val="Calibri"/>
      <family val="2"/>
    </font>
    <font>
      <b/>
      <sz val="11"/>
      <color rgb="FF000000"/>
      <name val="Calibri"/>
      <family val="2"/>
    </font>
    <font>
      <b/>
      <sz val="18"/>
      <color rgb="FF000000"/>
      <name val="Calibri"/>
      <family val="2"/>
    </font>
    <font>
      <sz val="11"/>
      <color rgb="FF000000"/>
      <name val="Calibri"/>
      <family val="2"/>
    </font>
    <font>
      <i/>
      <sz val="11"/>
      <color rgb="FF000000"/>
      <name val="Calibri"/>
      <family val="2"/>
    </font>
    <font>
      <sz val="11"/>
      <color rgb="FF000000"/>
      <name val="Calibri"/>
      <family val="2"/>
    </font>
    <font>
      <i/>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18"/>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b/>
      <sz val="20"/>
      <color rgb="FF000000"/>
      <name val="Calibri"/>
      <family val="2"/>
    </font>
    <font>
      <sz val="11"/>
      <color rgb="FF000000"/>
      <name val="Calibri"/>
      <family val="2"/>
    </font>
    <font>
      <sz val="11"/>
      <color rgb="FF000000"/>
      <name val="Calibri"/>
      <family val="2"/>
    </font>
    <font>
      <sz val="11"/>
      <color rgb="FF000000"/>
      <name val="Calibri"/>
      <family val="2"/>
    </font>
    <font>
      <i/>
      <sz val="11"/>
      <color rgb="FF000000"/>
      <name val="Calibri"/>
      <family val="2"/>
    </font>
    <font>
      <i/>
      <sz val="11"/>
      <color rgb="FF000000"/>
      <name val="Calibri"/>
      <family val="2"/>
    </font>
    <font>
      <sz val="11"/>
      <color rgb="FF000000"/>
      <name val="Calibri"/>
      <family val="2"/>
    </font>
    <font>
      <sz val="11"/>
      <color rgb="FF000000"/>
      <name val="Calibri"/>
      <family val="2"/>
    </font>
    <font>
      <sz val="11"/>
      <color rgb="FF000000"/>
      <name val="Calibri"/>
      <family val="2"/>
    </font>
    <font>
      <b/>
      <sz val="28"/>
      <color rgb="FF000000"/>
      <name val="Calibri"/>
      <family val="2"/>
    </font>
    <font>
      <sz val="11"/>
      <color rgb="FF000000"/>
      <name val="Calibri"/>
      <family val="2"/>
    </font>
    <font>
      <b/>
      <sz val="12"/>
      <color rgb="FF000000"/>
      <name val="Calibri"/>
      <family val="2"/>
    </font>
    <font>
      <sz val="11"/>
      <color rgb="FF000000"/>
      <name val="Calibri"/>
      <family val="2"/>
    </font>
    <font>
      <sz val="11"/>
      <color rgb="FF000000"/>
      <name val="Calibri"/>
      <family val="2"/>
    </font>
    <font>
      <sz val="11"/>
      <color rgb="FF000000"/>
      <name val="Calibri"/>
      <family val="2"/>
    </font>
    <font>
      <b/>
      <sz val="24"/>
      <color rgb="FF000000"/>
      <name val="Calibri"/>
      <family val="2"/>
    </font>
    <font>
      <b/>
      <sz val="11"/>
      <color rgb="FF000000"/>
      <name val="Calibri"/>
      <family val="2"/>
    </font>
    <font>
      <b/>
      <sz val="20"/>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i/>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i/>
      <sz val="11"/>
      <color rgb="FF000000"/>
      <name val="Calibri"/>
      <family val="2"/>
    </font>
    <font>
      <sz val="11"/>
      <color rgb="FF000000"/>
      <name val="Calibri"/>
      <family val="2"/>
    </font>
    <font>
      <sz val="11"/>
      <color rgb="FF000000"/>
      <name val="Calibri"/>
      <family val="2"/>
    </font>
    <font>
      <b/>
      <sz val="12"/>
      <color rgb="FF000000"/>
      <name val="Calibri"/>
      <family val="2"/>
    </font>
    <font>
      <i/>
      <sz val="11"/>
      <color rgb="FF000000"/>
      <name val="Calibri"/>
      <family val="2"/>
    </font>
    <font>
      <b/>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4"/>
      <color rgb="FF000000"/>
      <name val="Calibri"/>
      <family val="2"/>
    </font>
    <font>
      <sz val="11"/>
      <color rgb="FF000000"/>
      <name val="Calibri"/>
      <family val="2"/>
    </font>
    <font>
      <i/>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20"/>
      <color rgb="FF000000"/>
      <name val="Calibri"/>
      <family val="2"/>
    </font>
    <font>
      <b/>
      <sz val="24"/>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b/>
      <sz val="11"/>
      <color rgb="FF000000"/>
      <name val="Calibri"/>
      <family val="2"/>
    </font>
    <font>
      <sz val="11"/>
      <color rgb="FF000000"/>
      <name val="Calibri"/>
      <family val="2"/>
    </font>
    <font>
      <b/>
      <sz val="12"/>
      <color rgb="FF000000"/>
      <name val="Calibri"/>
      <family val="2"/>
    </font>
    <font>
      <sz val="11"/>
      <color rgb="FF000000"/>
      <name val="Calibri"/>
      <family val="2"/>
    </font>
    <font>
      <i/>
      <sz val="11"/>
      <color rgb="FF000000"/>
      <name val="Calibri"/>
      <family val="2"/>
    </font>
    <font>
      <b/>
      <sz val="28"/>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i/>
      <sz val="11"/>
      <color rgb="FF000000"/>
      <name val="Calibri"/>
      <family val="2"/>
    </font>
    <font>
      <sz val="11"/>
      <color rgb="FF000000"/>
      <name val="Calibri"/>
      <family val="2"/>
    </font>
    <font>
      <b/>
      <sz val="11"/>
      <color rgb="FF000000"/>
      <name val="Calibri"/>
      <family val="2"/>
    </font>
    <font>
      <i/>
      <sz val="11"/>
      <color rgb="FF000000"/>
      <name val="Calibri"/>
      <family val="2"/>
    </font>
    <font>
      <sz val="11"/>
      <color rgb="FF000000"/>
      <name val="Calibri"/>
      <family val="2"/>
    </font>
    <font>
      <sz val="11"/>
      <color rgb="FF000000"/>
      <name val="Calibri"/>
      <family val="2"/>
    </font>
    <font>
      <sz val="11"/>
      <color rgb="FF000000"/>
      <name val="Calibri"/>
      <family val="2"/>
    </font>
    <font>
      <b/>
      <sz val="22"/>
      <color rgb="FF000000"/>
      <name val="Calibri"/>
      <family val="2"/>
    </font>
    <font>
      <sz val="11"/>
      <color rgb="FF000000"/>
      <name val="Calibri"/>
      <family val="2"/>
    </font>
    <font>
      <b/>
      <sz val="9"/>
      <color rgb="FF000000"/>
      <name val="Calibri"/>
      <family val="2"/>
    </font>
    <font>
      <b/>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9"/>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b/>
      <sz val="11"/>
      <color rgb="FF000000"/>
      <name val="Calibri"/>
      <family val="2"/>
    </font>
    <font>
      <b/>
      <sz val="11"/>
      <color rgb="FF000000"/>
      <name val="Calibri"/>
      <family val="2"/>
    </font>
    <font>
      <b/>
      <sz val="18"/>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6"/>
      <color rgb="FF000000"/>
      <name val="Calibri"/>
      <family val="2"/>
    </font>
    <font>
      <i/>
      <sz val="11"/>
      <color rgb="FF000000"/>
      <name val="Calibri"/>
      <family val="2"/>
    </font>
    <font>
      <b/>
      <sz val="11"/>
      <color rgb="FF000000"/>
      <name val="Calibri"/>
      <family val="2"/>
    </font>
    <font>
      <sz val="11"/>
      <color rgb="FF000000"/>
      <name val="Calibri"/>
      <family val="2"/>
    </font>
    <font>
      <b/>
      <sz val="11"/>
      <color rgb="FF000000"/>
      <name val="Calibri"/>
      <family val="2"/>
    </font>
    <font>
      <b/>
      <sz val="28"/>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b/>
      <sz val="20"/>
      <color rgb="FF000000"/>
      <name val="Calibri"/>
      <family val="2"/>
    </font>
    <font>
      <b/>
      <sz val="11"/>
      <color rgb="FF000000"/>
      <name val="Calibri"/>
      <family val="2"/>
    </font>
    <font>
      <sz val="11"/>
      <color rgb="FF000000"/>
      <name val="Calibri"/>
      <family val="2"/>
    </font>
    <font>
      <sz val="11"/>
      <color rgb="FF000000"/>
      <name val="Calibri"/>
      <family val="2"/>
    </font>
    <font>
      <b/>
      <sz val="9"/>
      <color rgb="FF000000"/>
      <name val="Calibri"/>
      <family val="2"/>
    </font>
    <font>
      <b/>
      <sz val="11"/>
      <color rgb="FF000000"/>
      <name val="Calibri"/>
      <family val="2"/>
    </font>
    <font>
      <sz val="11"/>
      <color rgb="FF000000"/>
      <name val="Calibri"/>
      <family val="2"/>
    </font>
    <font>
      <sz val="11"/>
      <color rgb="FF000000"/>
      <name val="Calibri"/>
      <family val="2"/>
    </font>
    <font>
      <b/>
      <sz val="24"/>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i/>
      <sz val="11"/>
      <color rgb="FF000000"/>
      <name val="Calibri"/>
      <family val="2"/>
    </font>
    <font>
      <sz val="10"/>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0"/>
      <color rgb="FF000000"/>
      <name val="Calibri"/>
      <family val="2"/>
    </font>
    <font>
      <b/>
      <sz val="11"/>
      <color rgb="FF000000"/>
      <name val="Calibri"/>
      <family val="2"/>
    </font>
    <font>
      <i/>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i/>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b/>
      <sz val="12"/>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b/>
      <sz val="20"/>
      <color rgb="FF000000"/>
      <name val="Calibri"/>
      <family val="2"/>
    </font>
    <font>
      <b/>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b/>
      <sz val="11"/>
      <color rgb="FF000000"/>
      <name val="Calibri"/>
      <family val="2"/>
    </font>
    <font>
      <b/>
      <sz val="11"/>
      <color rgb="FF000000"/>
      <name val="Calibri"/>
      <family val="2"/>
    </font>
    <font>
      <sz val="11"/>
      <color rgb="FF000000"/>
      <name val="Calibri"/>
      <family val="2"/>
    </font>
    <font>
      <b/>
      <sz val="11"/>
      <color rgb="FF000000"/>
      <name val="Calibri"/>
      <family val="2"/>
    </font>
    <font>
      <sz val="11"/>
      <color rgb="FF000000"/>
      <name val="Calibri"/>
      <family val="2"/>
    </font>
    <font>
      <i/>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b/>
      <sz val="11"/>
      <color rgb="FF000000"/>
      <name val="Calibri"/>
      <family val="2"/>
    </font>
    <font>
      <sz val="11"/>
      <color rgb="FF000000"/>
      <name val="Calibri"/>
      <family val="2"/>
    </font>
    <font>
      <b/>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18"/>
      <color rgb="FF000000"/>
      <name val="Calibri"/>
      <family val="2"/>
    </font>
    <font>
      <sz val="11"/>
      <color rgb="FF000000"/>
      <name val="Calibri"/>
      <family val="2"/>
    </font>
    <font>
      <sz val="11"/>
      <color rgb="FF000000"/>
      <name val="Calibri"/>
      <family val="2"/>
    </font>
    <font>
      <b/>
      <sz val="14"/>
      <color rgb="FF000000"/>
      <name val="Calibri"/>
      <family val="2"/>
    </font>
    <font>
      <b/>
      <sz val="11"/>
      <color rgb="FF000000"/>
      <name val="Calibri"/>
      <family val="2"/>
    </font>
    <font>
      <b/>
      <sz val="11"/>
      <color rgb="FF000000"/>
      <name val="Calibri"/>
      <family val="2"/>
    </font>
    <font>
      <i/>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i/>
      <sz val="11"/>
      <color rgb="FF000000"/>
      <name val="Calibri"/>
      <family val="2"/>
    </font>
    <font>
      <b/>
      <sz val="28"/>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b/>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6"/>
      <color rgb="FFFF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b/>
      <sz val="28"/>
      <color rgb="FF000000"/>
      <name val="Calibri"/>
      <family val="2"/>
    </font>
    <font>
      <b/>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b/>
      <sz val="28"/>
      <color rgb="FF000000"/>
      <name val="Calibri"/>
      <family val="2"/>
    </font>
    <font>
      <b/>
      <sz val="18"/>
      <color rgb="FF000000"/>
      <name val="Calibri"/>
      <family val="2"/>
    </font>
    <font>
      <sz val="11"/>
      <color rgb="FF000000"/>
      <name val="Calibri"/>
      <family val="2"/>
    </font>
    <font>
      <b/>
      <sz val="11"/>
      <color rgb="FF000000"/>
      <name val="Calibri"/>
      <family val="2"/>
    </font>
    <font>
      <b/>
      <sz val="20"/>
      <color rgb="FF000000"/>
      <name val="Calibri"/>
      <family val="2"/>
    </font>
    <font>
      <sz val="11"/>
      <color rgb="FF000000"/>
      <name val="Calibri"/>
      <family val="2"/>
    </font>
    <font>
      <b/>
      <sz val="18"/>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b/>
      <sz val="11"/>
      <color rgb="FF000000"/>
      <name val="Calibri"/>
      <family val="2"/>
    </font>
    <font>
      <b/>
      <sz val="11"/>
      <color rgb="FF000000"/>
      <name val="Calibri"/>
      <family val="2"/>
    </font>
    <font>
      <b/>
      <sz val="11"/>
      <color rgb="FF000000"/>
      <name val="Calibri"/>
      <family val="2"/>
    </font>
    <font>
      <sz val="11"/>
      <color rgb="FF000000"/>
      <name val="Calibri"/>
      <family val="2"/>
    </font>
    <font>
      <b/>
      <sz val="11"/>
      <color rgb="FF000000"/>
      <name val="Calibri"/>
      <family val="2"/>
    </font>
    <font>
      <b/>
      <sz val="11"/>
      <color rgb="FF000000"/>
      <name val="Calibri"/>
      <family val="2"/>
    </font>
    <font>
      <b/>
      <sz val="18"/>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18"/>
      <color rgb="FF000000"/>
      <name val="Calibri"/>
      <family val="2"/>
    </font>
    <font>
      <b/>
      <sz val="11"/>
      <color rgb="FF000000"/>
      <name val="Calibri"/>
      <family val="2"/>
    </font>
    <font>
      <b/>
      <sz val="20"/>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b/>
      <sz val="10"/>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i/>
      <sz val="11"/>
      <color rgb="FF000000"/>
      <name val="Calibri"/>
      <family val="2"/>
    </font>
    <font>
      <i/>
      <sz val="11"/>
      <color rgb="FF000000"/>
      <name val="Calibri"/>
      <family val="2"/>
    </font>
    <font>
      <sz val="11"/>
      <color rgb="FF000000"/>
      <name val="Calibri"/>
      <family val="2"/>
    </font>
    <font>
      <sz val="11"/>
      <color rgb="FF000000"/>
      <name val="Calibri"/>
      <family val="2"/>
    </font>
    <font>
      <sz val="11"/>
      <color rgb="FF000000"/>
      <name val="Calibri"/>
      <family val="2"/>
    </font>
    <font>
      <b/>
      <sz val="14"/>
      <color rgb="FF000000"/>
      <name val="Calibri"/>
      <family val="2"/>
    </font>
    <font>
      <sz val="11"/>
      <color rgb="FF000000"/>
      <name val="Calibri"/>
      <family val="2"/>
    </font>
    <font>
      <b/>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b/>
      <sz val="11"/>
      <color rgb="FF000000"/>
      <name val="Calibri"/>
      <family val="2"/>
    </font>
    <font>
      <b/>
      <sz val="11"/>
      <color rgb="FF000000"/>
      <name val="Calibri"/>
      <family val="2"/>
    </font>
    <font>
      <b/>
      <sz val="11"/>
      <color rgb="FF000000"/>
      <name val="Calibri"/>
      <family val="2"/>
    </font>
    <font>
      <b/>
      <sz val="11"/>
      <color rgb="FF000000"/>
      <name val="Calibri"/>
      <family val="2"/>
    </font>
    <font>
      <i/>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24"/>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9"/>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i/>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b/>
      <sz val="10"/>
      <color rgb="FF000000"/>
      <name val="Calibri"/>
      <family val="2"/>
    </font>
    <font>
      <sz val="11"/>
      <color rgb="FF000000"/>
      <name val="Calibri"/>
      <family val="2"/>
    </font>
    <font>
      <b/>
      <sz val="11"/>
      <color rgb="FF000000"/>
      <name val="Calibri"/>
      <family val="2"/>
    </font>
    <font>
      <b/>
      <sz val="11"/>
      <color rgb="FF000000"/>
      <name val="Calibri"/>
      <family val="2"/>
    </font>
    <font>
      <sz val="11"/>
      <color rgb="FF000000"/>
      <name val="Calibri"/>
      <family val="2"/>
    </font>
    <font>
      <sz val="11"/>
      <color rgb="FF000000"/>
      <name val="Calibri"/>
      <family val="2"/>
    </font>
    <font>
      <i/>
      <sz val="11"/>
      <color rgb="FF000000"/>
      <name val="Calibri"/>
      <family val="2"/>
    </font>
    <font>
      <sz val="11"/>
      <color rgb="FF000000"/>
      <name val="Calibri"/>
      <family val="2"/>
    </font>
    <font>
      <sz val="11"/>
      <color rgb="FF000000"/>
      <name val="Calibri"/>
      <family val="2"/>
    </font>
    <font>
      <b/>
      <sz val="14"/>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6"/>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i/>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b/>
      <sz val="11"/>
      <color rgb="FF000000"/>
      <name val="Calibri"/>
      <family val="2"/>
    </font>
    <font>
      <b/>
      <sz val="11"/>
      <color rgb="FF000000"/>
      <name val="Calibri"/>
      <family val="2"/>
    </font>
    <font>
      <i/>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6"/>
      <color rgb="FF000000"/>
      <name val="Calibri"/>
      <family val="2"/>
    </font>
    <font>
      <sz val="11"/>
      <color rgb="FF000000"/>
      <name val="Calibri"/>
      <family val="2"/>
    </font>
    <font>
      <sz val="11"/>
      <color rgb="FF000000"/>
      <name val="Calibri"/>
      <family val="2"/>
    </font>
    <font>
      <b/>
      <sz val="11"/>
      <color rgb="FF000000"/>
      <name val="Calibri"/>
      <family val="2"/>
    </font>
    <font>
      <sz val="8"/>
      <color rgb="FF000000"/>
      <name val="Calibri"/>
      <family val="2"/>
    </font>
    <font>
      <b/>
      <sz val="9"/>
      <color rgb="FF000000"/>
      <name val="Calibri"/>
      <family val="2"/>
    </font>
    <font>
      <b/>
      <sz val="11"/>
      <color rgb="FF000000"/>
      <name val="Calibri"/>
      <family val="2"/>
    </font>
    <font>
      <b/>
      <sz val="11"/>
      <color rgb="FF000000"/>
      <name val="Calibri"/>
      <family val="2"/>
    </font>
    <font>
      <sz val="11"/>
      <color rgb="FF000000"/>
      <name val="Calibri"/>
      <family val="2"/>
    </font>
    <font>
      <sz val="11"/>
      <color rgb="FF000000"/>
      <name val="Calibri"/>
      <family val="2"/>
    </font>
    <font>
      <b/>
      <sz val="12"/>
      <color rgb="FF000000"/>
      <name val="Calibri"/>
      <family val="2"/>
    </font>
    <font>
      <sz val="11"/>
      <color rgb="FF000000"/>
      <name val="Calibri"/>
      <family val="2"/>
    </font>
    <font>
      <b/>
      <sz val="10"/>
      <color rgb="FF000000"/>
      <name val="Calibri"/>
      <family val="2"/>
    </font>
    <font>
      <i/>
      <sz val="11"/>
      <color rgb="FF000000"/>
      <name val="Calibri"/>
      <family val="2"/>
    </font>
    <font>
      <sz val="11"/>
      <color rgb="FF000000"/>
      <name val="Calibri"/>
      <family val="2"/>
    </font>
    <font>
      <b/>
      <sz val="12"/>
      <color rgb="FF000000"/>
      <name val="Calibri"/>
      <family val="2"/>
    </font>
    <font>
      <b/>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b/>
      <sz val="20"/>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b/>
      <sz val="18"/>
      <color rgb="FF000000"/>
      <name val="Calibri"/>
      <family val="2"/>
    </font>
    <font>
      <b/>
      <sz val="20"/>
      <color rgb="FF000000"/>
      <name val="Calibri"/>
      <family val="2"/>
    </font>
    <font>
      <b/>
      <sz val="11"/>
      <color rgb="FF000000"/>
      <name val="Calibri"/>
      <family val="2"/>
    </font>
    <font>
      <b/>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b/>
      <sz val="22"/>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4"/>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i/>
      <sz val="11"/>
      <color rgb="FF000000"/>
      <name val="Calibri"/>
      <family val="2"/>
    </font>
    <font>
      <b/>
      <sz val="11"/>
      <color rgb="FF000000"/>
      <name val="Calibri"/>
      <family val="2"/>
    </font>
    <font>
      <b/>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b/>
      <sz val="12"/>
      <color rgb="FF000000"/>
      <name val="Calibri"/>
      <family val="2"/>
    </font>
    <font>
      <b/>
      <sz val="11"/>
      <color rgb="FF000000"/>
      <name val="Calibri"/>
      <family val="2"/>
    </font>
    <font>
      <b/>
      <sz val="11"/>
      <color rgb="FF000000"/>
      <name val="Calibri"/>
      <family val="2"/>
    </font>
    <font>
      <b/>
      <sz val="20"/>
      <color rgb="FF000000"/>
      <name val="Calibri"/>
      <family val="2"/>
    </font>
    <font>
      <sz val="11"/>
      <color rgb="FF000000"/>
      <name val="Calibri"/>
      <family val="2"/>
    </font>
    <font>
      <sz val="11"/>
      <color rgb="FF000000"/>
      <name val="Calibri"/>
      <family val="2"/>
    </font>
    <font>
      <sz val="11"/>
      <color rgb="FF000000"/>
      <name val="Calibri"/>
      <family val="2"/>
    </font>
    <font>
      <i/>
      <sz val="11"/>
      <color rgb="FF000000"/>
      <name val="Calibri"/>
      <family val="2"/>
    </font>
    <font>
      <sz val="11"/>
      <color rgb="FF000000"/>
      <name val="Calibri"/>
      <family val="2"/>
    </font>
    <font>
      <sz val="11"/>
      <color rgb="FF000000"/>
      <name val="Calibri"/>
      <family val="2"/>
    </font>
    <font>
      <b/>
      <sz val="11"/>
      <color rgb="FF000000"/>
      <name val="Calibri"/>
      <family val="2"/>
    </font>
    <font>
      <b/>
      <sz val="11"/>
      <color rgb="FF000000"/>
      <name val="Calibri"/>
      <family val="2"/>
    </font>
    <font>
      <b/>
      <sz val="11"/>
      <color rgb="FF000000"/>
      <name val="Calibri"/>
      <family val="2"/>
    </font>
    <font>
      <sz val="11"/>
      <color rgb="FF000000"/>
      <name val="Calibri"/>
      <family val="2"/>
    </font>
    <font>
      <b/>
      <sz val="18"/>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b/>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i/>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b/>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6"/>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b/>
      <u/>
      <sz val="20"/>
      <color rgb="FF000000"/>
      <name val="Calibri"/>
      <family val="2"/>
    </font>
    <font>
      <i/>
      <sz val="11"/>
      <color rgb="FF000000"/>
      <name val="Calibri"/>
      <family val="2"/>
    </font>
    <font>
      <sz val="16"/>
      <color rgb="FF000000"/>
      <name val="Calibri"/>
      <family val="2"/>
    </font>
    <font>
      <sz val="11"/>
      <color rgb="FF000000"/>
      <name val="Calibri"/>
      <family val="2"/>
    </font>
    <font>
      <i/>
      <sz val="11"/>
      <color rgb="FF000000"/>
      <name val="Calibri"/>
      <family val="2"/>
    </font>
    <font>
      <b/>
      <sz val="11"/>
      <color rgb="FF000000"/>
      <name val="Calibri"/>
      <family val="2"/>
    </font>
    <font>
      <sz val="11"/>
      <color rgb="FF000000"/>
      <name val="Calibri"/>
      <family val="2"/>
    </font>
    <font>
      <sz val="11"/>
      <color rgb="FF000000"/>
      <name val="Calibri"/>
      <family val="2"/>
    </font>
    <font>
      <b/>
      <sz val="12"/>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b/>
      <sz val="18"/>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b/>
      <sz val="18"/>
      <color rgb="FF000000"/>
      <name val="Calibri"/>
      <family val="2"/>
    </font>
    <font>
      <sz val="11"/>
      <color rgb="FF000000"/>
      <name val="Calibri"/>
      <family val="2"/>
    </font>
    <font>
      <sz val="11"/>
      <color rgb="FF000000"/>
      <name val="Calibri"/>
      <family val="2"/>
    </font>
    <font>
      <sz val="11"/>
      <color rgb="FF000000"/>
      <name val="Calibri"/>
      <family val="2"/>
    </font>
    <font>
      <b/>
      <sz val="14"/>
      <color rgb="FF000000"/>
      <name val="Calibri"/>
      <family val="2"/>
    </font>
    <font>
      <sz val="11"/>
      <color rgb="FF000000"/>
      <name val="Calibri"/>
      <family val="2"/>
    </font>
    <font>
      <sz val="16"/>
      <color rgb="FF000000"/>
      <name val="Calibri"/>
      <family val="2"/>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0"/>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1"/>
      <color rgb="FF000000"/>
      <name val="Calibri"/>
      <family val="2"/>
    </font>
    <font>
      <sz val="11"/>
      <color rgb="FF000000"/>
      <name val="Calibri"/>
      <family val="2"/>
    </font>
    <font>
      <b/>
      <sz val="24"/>
      <color rgb="FF000000"/>
      <name val="Calibri"/>
      <family val="2"/>
    </font>
    <font>
      <i/>
      <sz val="11"/>
      <color rgb="FF000000"/>
      <name val="Calibri"/>
      <family val="2"/>
    </font>
    <font>
      <b/>
      <sz val="12"/>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i/>
      <sz val="11"/>
      <color rgb="FF000000"/>
      <name val="Calibri"/>
      <family val="2"/>
    </font>
    <font>
      <sz val="11"/>
      <color rgb="FF000000"/>
      <name val="Calibri"/>
      <family val="2"/>
    </font>
    <font>
      <sz val="11"/>
      <color rgb="FF000000"/>
      <name val="Calibri"/>
      <family val="2"/>
    </font>
    <font>
      <sz val="12"/>
      <color rgb="FF000000"/>
      <name val="Arial"/>
      <family val="2"/>
    </font>
    <font>
      <sz val="12"/>
      <color rgb="FF000000"/>
      <name val="Calibri"/>
      <family val="2"/>
    </font>
    <font>
      <sz val="10"/>
      <color rgb="FF000000"/>
      <name val="Arial"/>
      <family val="2"/>
    </font>
    <font>
      <sz val="10"/>
      <color rgb="FF000000"/>
      <name val="Arial"/>
      <family val="2"/>
    </font>
    <font>
      <sz val="8"/>
      <name val="Tahoma"/>
      <family val="2"/>
    </font>
    <font>
      <b/>
      <sz val="18"/>
      <color theme="9" tint="0.59999389629810485"/>
      <name val="Calibri"/>
      <family val="2"/>
    </font>
    <font>
      <sz val="11"/>
      <color theme="1"/>
      <name val="Calibri"/>
      <family val="2"/>
    </font>
    <font>
      <sz val="11"/>
      <color theme="0"/>
      <name val="Calibri"/>
      <family val="2"/>
    </font>
    <font>
      <sz val="11"/>
      <color rgb="FFFF0000"/>
      <name val="Calibri"/>
      <family val="2"/>
    </font>
    <font>
      <b/>
      <sz val="11"/>
      <color rgb="FFFF0000"/>
      <name val="Calibri"/>
      <family val="2"/>
    </font>
    <font>
      <sz val="18"/>
      <color rgb="FF000000"/>
      <name val="Arial"/>
      <family val="2"/>
    </font>
    <font>
      <sz val="10"/>
      <color theme="0"/>
      <name val="Arial"/>
      <family val="2"/>
    </font>
    <font>
      <sz val="10"/>
      <color rgb="FFFF0000"/>
      <name val="Arial"/>
      <family val="2"/>
    </font>
    <font>
      <sz val="10"/>
      <color theme="1"/>
      <name val="Arial"/>
      <family val="2"/>
    </font>
    <font>
      <b/>
      <sz val="10"/>
      <color rgb="FF000000"/>
      <name val="Arial"/>
      <family val="2"/>
    </font>
    <font>
      <sz val="10"/>
      <color rgb="FF0070C0"/>
      <name val="Arial"/>
      <family val="2"/>
    </font>
    <font>
      <sz val="11"/>
      <name val="Calibri"/>
      <family val="2"/>
    </font>
    <font>
      <sz val="10"/>
      <color rgb="FF000000"/>
      <name val="Arial"/>
      <family val="2"/>
    </font>
    <font>
      <u/>
      <sz val="10"/>
      <color theme="10"/>
      <name val="Arial"/>
      <family val="2"/>
    </font>
    <font>
      <u/>
      <sz val="10"/>
      <color theme="10"/>
      <name val="Arial"/>
      <family val="2"/>
    </font>
    <font>
      <sz val="10"/>
      <name val="Verdana"/>
      <family val="2"/>
    </font>
    <font>
      <sz val="10"/>
      <name val="Arial"/>
      <family val="2"/>
    </font>
    <font>
      <b/>
      <sz val="11"/>
      <color rgb="FF000000"/>
      <name val="Calibri"/>
      <family val="2"/>
      <scheme val="minor"/>
    </font>
    <font>
      <b/>
      <sz val="10"/>
      <color theme="1"/>
      <name val="Arial"/>
      <family val="2"/>
    </font>
    <font>
      <sz val="20"/>
      <color rgb="FF000000"/>
      <name val="Arial"/>
      <family val="2"/>
    </font>
    <font>
      <sz val="10"/>
      <color rgb="FF000000"/>
      <name val="Arial"/>
      <family val="2"/>
    </font>
    <font>
      <sz val="20"/>
      <color theme="1"/>
      <name val="Arial"/>
      <family val="2"/>
    </font>
    <font>
      <b/>
      <sz val="11"/>
      <color theme="0"/>
      <name val="Calibri"/>
      <family val="2"/>
    </font>
    <font>
      <sz val="10"/>
      <color theme="1"/>
      <name val="Calibri"/>
      <family val="2"/>
    </font>
  </fonts>
  <fills count="495">
    <fill>
      <patternFill patternType="none"/>
    </fill>
    <fill>
      <patternFill patternType="gray125"/>
    </fill>
    <fill>
      <patternFill patternType="solid">
        <fgColor rgb="FFAFDC7E"/>
        <bgColor indexed="64"/>
      </patternFill>
    </fill>
    <fill>
      <patternFill patternType="solid">
        <fgColor rgb="FFFFFFCC"/>
        <bgColor indexed="64"/>
      </patternFill>
    </fill>
    <fill>
      <patternFill patternType="solid">
        <fgColor rgb="FFCFE2F3"/>
        <bgColor indexed="64"/>
      </patternFill>
    </fill>
    <fill>
      <patternFill patternType="solid">
        <fgColor rgb="FFFFFF99"/>
        <bgColor indexed="64"/>
      </patternFill>
    </fill>
    <fill>
      <patternFill patternType="solid">
        <fgColor rgb="FFAFDC7E"/>
        <bgColor indexed="64"/>
      </patternFill>
    </fill>
    <fill>
      <patternFill patternType="solid">
        <fgColor rgb="FFD8D8D8"/>
        <bgColor indexed="64"/>
      </patternFill>
    </fill>
    <fill>
      <patternFill patternType="solid">
        <fgColor rgb="FFDDD9C3"/>
        <bgColor indexed="64"/>
      </patternFill>
    </fill>
    <fill>
      <patternFill patternType="solid">
        <fgColor rgb="FFFFFF00"/>
        <bgColor indexed="64"/>
      </patternFill>
    </fill>
    <fill>
      <patternFill patternType="solid">
        <fgColor rgb="FFB8CCE4"/>
        <bgColor indexed="64"/>
      </patternFill>
    </fill>
    <fill>
      <patternFill patternType="solid">
        <fgColor rgb="FFFFC000"/>
        <bgColor indexed="64"/>
      </patternFill>
    </fill>
    <fill>
      <patternFill patternType="solid">
        <fgColor rgb="FFC2D69B"/>
        <bgColor indexed="64"/>
      </patternFill>
    </fill>
    <fill>
      <patternFill patternType="solid">
        <fgColor rgb="FFFFFF99"/>
        <bgColor indexed="64"/>
      </patternFill>
    </fill>
    <fill>
      <patternFill patternType="solid">
        <fgColor rgb="FFB6DDE8"/>
        <bgColor indexed="64"/>
      </patternFill>
    </fill>
    <fill>
      <patternFill patternType="solid">
        <fgColor rgb="FFAFDC7E"/>
        <bgColor indexed="64"/>
      </patternFill>
    </fill>
    <fill>
      <patternFill patternType="solid">
        <fgColor rgb="FFD99594"/>
        <bgColor indexed="64"/>
      </patternFill>
    </fill>
    <fill>
      <patternFill patternType="solid">
        <fgColor rgb="FFAFDC7E"/>
        <bgColor indexed="64"/>
      </patternFill>
    </fill>
    <fill>
      <patternFill patternType="solid">
        <fgColor rgb="FFD99594"/>
        <bgColor indexed="64"/>
      </patternFill>
    </fill>
    <fill>
      <patternFill patternType="solid">
        <fgColor rgb="FFCCC0D9"/>
        <bgColor indexed="64"/>
      </patternFill>
    </fill>
    <fill>
      <patternFill patternType="solid">
        <fgColor rgb="FFFFFF00"/>
        <bgColor indexed="64"/>
      </patternFill>
    </fill>
    <fill>
      <patternFill patternType="solid">
        <fgColor rgb="FFFBD4B4"/>
        <bgColor indexed="64"/>
      </patternFill>
    </fill>
    <fill>
      <patternFill patternType="solid">
        <fgColor rgb="FF92CDDC"/>
        <bgColor indexed="64"/>
      </patternFill>
    </fill>
    <fill>
      <patternFill patternType="solid">
        <fgColor rgb="FFD99594"/>
        <bgColor indexed="64"/>
      </patternFill>
    </fill>
    <fill>
      <patternFill patternType="solid">
        <fgColor rgb="FFAFDC7E"/>
        <bgColor indexed="64"/>
      </patternFill>
    </fill>
    <fill>
      <patternFill patternType="solid">
        <fgColor rgb="FFAFDC7E"/>
        <bgColor indexed="64"/>
      </patternFill>
    </fill>
    <fill>
      <patternFill patternType="solid">
        <fgColor rgb="FFC2D69B"/>
        <bgColor indexed="64"/>
      </patternFill>
    </fill>
    <fill>
      <patternFill patternType="solid">
        <fgColor rgb="FFFF9C85"/>
        <bgColor indexed="64"/>
      </patternFill>
    </fill>
    <fill>
      <patternFill patternType="solid">
        <fgColor rgb="FFFFFF00"/>
        <bgColor indexed="64"/>
      </patternFill>
    </fill>
    <fill>
      <patternFill patternType="solid">
        <fgColor rgb="FF92D050"/>
        <bgColor indexed="64"/>
      </patternFill>
    </fill>
    <fill>
      <patternFill patternType="solid">
        <fgColor rgb="FFFFD966"/>
        <bgColor indexed="64"/>
      </patternFill>
    </fill>
    <fill>
      <patternFill patternType="solid">
        <fgColor rgb="FF92CDDC"/>
        <bgColor indexed="64"/>
      </patternFill>
    </fill>
    <fill>
      <patternFill patternType="solid">
        <fgColor rgb="FFAFDC7E"/>
        <bgColor indexed="64"/>
      </patternFill>
    </fill>
    <fill>
      <patternFill patternType="solid">
        <fgColor rgb="FFE5DFEC"/>
        <bgColor indexed="64"/>
      </patternFill>
    </fill>
    <fill>
      <patternFill patternType="solid">
        <fgColor rgb="FFFFFFCC"/>
        <bgColor indexed="64"/>
      </patternFill>
    </fill>
    <fill>
      <patternFill patternType="solid">
        <fgColor rgb="FFC2D69B"/>
        <bgColor indexed="64"/>
      </patternFill>
    </fill>
    <fill>
      <patternFill patternType="solid">
        <fgColor rgb="FF92D050"/>
        <bgColor indexed="64"/>
      </patternFill>
    </fill>
    <fill>
      <patternFill patternType="solid">
        <fgColor rgb="FFFF7C5D"/>
        <bgColor indexed="64"/>
      </patternFill>
    </fill>
    <fill>
      <patternFill patternType="solid">
        <fgColor rgb="FF92CDDC"/>
        <bgColor indexed="64"/>
      </patternFill>
    </fill>
    <fill>
      <patternFill patternType="solid">
        <fgColor rgb="FFB8CCE4"/>
        <bgColor indexed="64"/>
      </patternFill>
    </fill>
    <fill>
      <patternFill patternType="solid">
        <fgColor rgb="FFCFDDED"/>
        <bgColor indexed="64"/>
      </patternFill>
    </fill>
    <fill>
      <patternFill patternType="solid">
        <fgColor rgb="FF92CDDC"/>
        <bgColor indexed="64"/>
      </patternFill>
    </fill>
    <fill>
      <patternFill patternType="solid">
        <fgColor rgb="FFD6E3BC"/>
        <bgColor indexed="64"/>
      </patternFill>
    </fill>
    <fill>
      <patternFill patternType="solid">
        <fgColor rgb="FFC2D69B"/>
        <bgColor indexed="64"/>
      </patternFill>
    </fill>
    <fill>
      <patternFill patternType="solid">
        <fgColor rgb="FFCFDDED"/>
        <bgColor indexed="64"/>
      </patternFill>
    </fill>
    <fill>
      <patternFill patternType="solid">
        <fgColor rgb="FFFFFF66"/>
        <bgColor indexed="64"/>
      </patternFill>
    </fill>
    <fill>
      <patternFill patternType="solid">
        <fgColor rgb="FFFFFF66"/>
        <bgColor indexed="64"/>
      </patternFill>
    </fill>
    <fill>
      <patternFill patternType="solid">
        <fgColor rgb="FFD99594"/>
        <bgColor indexed="64"/>
      </patternFill>
    </fill>
    <fill>
      <patternFill patternType="solid">
        <fgColor rgb="FFAFDC7E"/>
        <bgColor indexed="64"/>
      </patternFill>
    </fill>
    <fill>
      <patternFill patternType="solid">
        <fgColor rgb="FFC2D69B"/>
        <bgColor indexed="64"/>
      </patternFill>
    </fill>
    <fill>
      <patternFill patternType="solid">
        <fgColor rgb="FFB8CCE4"/>
        <bgColor indexed="64"/>
      </patternFill>
    </fill>
    <fill>
      <patternFill patternType="solid">
        <fgColor rgb="FFFFFF99"/>
        <bgColor indexed="64"/>
      </patternFill>
    </fill>
    <fill>
      <patternFill patternType="solid">
        <fgColor rgb="FFFFFF99"/>
        <bgColor indexed="64"/>
      </patternFill>
    </fill>
    <fill>
      <patternFill patternType="solid">
        <fgColor rgb="FFDDD9C3"/>
        <bgColor indexed="64"/>
      </patternFill>
    </fill>
    <fill>
      <patternFill patternType="solid">
        <fgColor rgb="FFC2D69B"/>
        <bgColor indexed="64"/>
      </patternFill>
    </fill>
    <fill>
      <patternFill patternType="solid">
        <fgColor rgb="FFFBD4B4"/>
        <bgColor indexed="64"/>
      </patternFill>
    </fill>
    <fill>
      <patternFill patternType="solid">
        <fgColor rgb="FFE5B8B7"/>
        <bgColor indexed="64"/>
      </patternFill>
    </fill>
    <fill>
      <patternFill patternType="solid">
        <fgColor rgb="FFB8CCE4"/>
        <bgColor indexed="64"/>
      </patternFill>
    </fill>
    <fill>
      <patternFill patternType="solid">
        <fgColor rgb="FFEAF1DD"/>
        <bgColor indexed="64"/>
      </patternFill>
    </fill>
    <fill>
      <patternFill patternType="solid">
        <fgColor rgb="FFFFFF99"/>
        <bgColor indexed="64"/>
      </patternFill>
    </fill>
    <fill>
      <patternFill patternType="solid">
        <fgColor rgb="FFCFDDED"/>
        <bgColor indexed="64"/>
      </patternFill>
    </fill>
    <fill>
      <patternFill patternType="solid">
        <fgColor rgb="FF92D050"/>
        <bgColor indexed="64"/>
      </patternFill>
    </fill>
    <fill>
      <patternFill patternType="solid">
        <fgColor rgb="FFC2D69B"/>
        <bgColor indexed="64"/>
      </patternFill>
    </fill>
    <fill>
      <patternFill patternType="solid">
        <fgColor rgb="FF92CDDC"/>
        <bgColor indexed="64"/>
      </patternFill>
    </fill>
    <fill>
      <patternFill patternType="solid">
        <fgColor rgb="FFFFC000"/>
        <bgColor indexed="64"/>
      </patternFill>
    </fill>
    <fill>
      <patternFill patternType="solid">
        <fgColor rgb="FF92D050"/>
        <bgColor indexed="64"/>
      </patternFill>
    </fill>
    <fill>
      <patternFill patternType="solid">
        <fgColor rgb="FFD99594"/>
        <bgColor indexed="64"/>
      </patternFill>
    </fill>
    <fill>
      <patternFill patternType="solid">
        <fgColor rgb="FFD99594"/>
        <bgColor indexed="64"/>
      </patternFill>
    </fill>
    <fill>
      <patternFill patternType="solid">
        <fgColor rgb="FFD6E3BC"/>
        <bgColor indexed="64"/>
      </patternFill>
    </fill>
    <fill>
      <patternFill patternType="solid">
        <fgColor rgb="FFFFFF66"/>
        <bgColor indexed="64"/>
      </patternFill>
    </fill>
    <fill>
      <patternFill patternType="solid">
        <fgColor rgb="FFC2D69B"/>
        <bgColor indexed="64"/>
      </patternFill>
    </fill>
    <fill>
      <patternFill patternType="solid">
        <fgColor rgb="FFCFDDED"/>
        <bgColor indexed="64"/>
      </patternFill>
    </fill>
    <fill>
      <patternFill patternType="solid">
        <fgColor rgb="FFFBD4B4"/>
        <bgColor indexed="64"/>
      </patternFill>
    </fill>
    <fill>
      <patternFill patternType="solid">
        <fgColor rgb="FFD6E3BC"/>
        <bgColor indexed="64"/>
      </patternFill>
    </fill>
    <fill>
      <patternFill patternType="solid">
        <fgColor rgb="FFDDD9C3"/>
        <bgColor indexed="64"/>
      </patternFill>
    </fill>
    <fill>
      <patternFill patternType="solid">
        <fgColor rgb="FFE5DFEC"/>
        <bgColor indexed="64"/>
      </patternFill>
    </fill>
    <fill>
      <patternFill patternType="solid">
        <fgColor rgb="FFDBE5F1"/>
        <bgColor indexed="64"/>
      </patternFill>
    </fill>
    <fill>
      <patternFill patternType="solid">
        <fgColor rgb="FFFABF8F"/>
        <bgColor indexed="64"/>
      </patternFill>
    </fill>
    <fill>
      <patternFill patternType="solid">
        <fgColor rgb="FFC2D69B"/>
        <bgColor indexed="64"/>
      </patternFill>
    </fill>
    <fill>
      <patternFill patternType="solid">
        <fgColor rgb="FFFFFF99"/>
        <bgColor indexed="64"/>
      </patternFill>
    </fill>
    <fill>
      <patternFill patternType="solid">
        <fgColor rgb="FFFBD4B4"/>
        <bgColor indexed="64"/>
      </patternFill>
    </fill>
    <fill>
      <patternFill patternType="solid">
        <fgColor rgb="FF92CDDC"/>
        <bgColor indexed="64"/>
      </patternFill>
    </fill>
    <fill>
      <patternFill patternType="solid">
        <fgColor rgb="FFFABF8F"/>
        <bgColor indexed="64"/>
      </patternFill>
    </fill>
    <fill>
      <patternFill patternType="solid">
        <fgColor rgb="FFFBD4B4"/>
        <bgColor indexed="64"/>
      </patternFill>
    </fill>
    <fill>
      <patternFill patternType="solid">
        <fgColor rgb="FFDAEEF3"/>
        <bgColor indexed="64"/>
      </patternFill>
    </fill>
    <fill>
      <patternFill patternType="solid">
        <fgColor rgb="FFD6E3BC"/>
        <bgColor indexed="64"/>
      </patternFill>
    </fill>
    <fill>
      <patternFill patternType="solid">
        <fgColor rgb="FFE5B8B7"/>
        <bgColor indexed="64"/>
      </patternFill>
    </fill>
    <fill>
      <patternFill patternType="solid">
        <fgColor rgb="FFD6E3BC"/>
        <bgColor indexed="64"/>
      </patternFill>
    </fill>
    <fill>
      <patternFill patternType="solid">
        <fgColor rgb="FFB8CCE4"/>
        <bgColor indexed="64"/>
      </patternFill>
    </fill>
    <fill>
      <patternFill patternType="solid">
        <fgColor rgb="FFFF9C85"/>
        <bgColor indexed="64"/>
      </patternFill>
    </fill>
    <fill>
      <patternFill patternType="solid">
        <fgColor rgb="FFD9EAD3"/>
        <bgColor indexed="64"/>
      </patternFill>
    </fill>
    <fill>
      <patternFill patternType="solid">
        <fgColor rgb="FFAFDC7E"/>
        <bgColor indexed="64"/>
      </patternFill>
    </fill>
    <fill>
      <patternFill patternType="solid">
        <fgColor rgb="FFAFDC7E"/>
        <bgColor indexed="64"/>
      </patternFill>
    </fill>
    <fill>
      <patternFill patternType="solid">
        <fgColor rgb="FFAFDC7E"/>
        <bgColor indexed="64"/>
      </patternFill>
    </fill>
    <fill>
      <patternFill patternType="solid">
        <fgColor rgb="FFFFFF99"/>
        <bgColor indexed="64"/>
      </patternFill>
    </fill>
    <fill>
      <patternFill patternType="solid">
        <fgColor rgb="FFFFFF99"/>
        <bgColor indexed="64"/>
      </patternFill>
    </fill>
    <fill>
      <patternFill patternType="solid">
        <fgColor rgb="FFEAF1DD"/>
        <bgColor indexed="64"/>
      </patternFill>
    </fill>
    <fill>
      <patternFill patternType="solid">
        <fgColor rgb="FFAFDC7E"/>
        <bgColor indexed="64"/>
      </patternFill>
    </fill>
    <fill>
      <patternFill patternType="solid">
        <fgColor rgb="FFFFFFCC"/>
        <bgColor indexed="64"/>
      </patternFill>
    </fill>
    <fill>
      <patternFill patternType="solid">
        <fgColor rgb="FFCFE2F3"/>
        <bgColor indexed="64"/>
      </patternFill>
    </fill>
    <fill>
      <patternFill patternType="solid">
        <fgColor rgb="FFAFDC7E"/>
        <bgColor indexed="64"/>
      </patternFill>
    </fill>
    <fill>
      <patternFill patternType="solid">
        <fgColor rgb="FFFF9C85"/>
        <bgColor indexed="64"/>
      </patternFill>
    </fill>
    <fill>
      <patternFill patternType="solid">
        <fgColor rgb="FFFFFFCC"/>
        <bgColor indexed="64"/>
      </patternFill>
    </fill>
    <fill>
      <patternFill patternType="solid">
        <fgColor rgb="FFFBD4B4"/>
        <bgColor indexed="64"/>
      </patternFill>
    </fill>
    <fill>
      <patternFill patternType="solid">
        <fgColor rgb="FFAFDC7E"/>
        <bgColor indexed="64"/>
      </patternFill>
    </fill>
    <fill>
      <patternFill patternType="solid">
        <fgColor rgb="FFCFDDED"/>
        <bgColor indexed="64"/>
      </patternFill>
    </fill>
    <fill>
      <patternFill patternType="solid">
        <fgColor rgb="FFB6DDE8"/>
        <bgColor indexed="64"/>
      </patternFill>
    </fill>
    <fill>
      <patternFill patternType="solid">
        <fgColor rgb="FFD6E3BC"/>
        <bgColor indexed="64"/>
      </patternFill>
    </fill>
    <fill>
      <patternFill patternType="solid">
        <fgColor rgb="FFAFDC7E"/>
        <bgColor indexed="64"/>
      </patternFill>
    </fill>
    <fill>
      <patternFill patternType="solid">
        <fgColor rgb="FF92CDDC"/>
        <bgColor indexed="64"/>
      </patternFill>
    </fill>
    <fill>
      <patternFill patternType="solid">
        <fgColor rgb="FFFFFF99"/>
        <bgColor indexed="64"/>
      </patternFill>
    </fill>
    <fill>
      <patternFill patternType="solid">
        <fgColor rgb="FFB8CCE4"/>
        <bgColor indexed="64"/>
      </patternFill>
    </fill>
    <fill>
      <patternFill patternType="solid">
        <fgColor rgb="FFF2DBDB"/>
        <bgColor indexed="64"/>
      </patternFill>
    </fill>
    <fill>
      <patternFill patternType="solid">
        <fgColor rgb="FFD8D8D8"/>
        <bgColor indexed="64"/>
      </patternFill>
    </fill>
    <fill>
      <patternFill patternType="solid">
        <fgColor rgb="FFC2D69B"/>
        <bgColor indexed="64"/>
      </patternFill>
    </fill>
    <fill>
      <patternFill patternType="solid">
        <fgColor rgb="FFFABF8F"/>
        <bgColor indexed="64"/>
      </patternFill>
    </fill>
    <fill>
      <patternFill patternType="solid">
        <fgColor rgb="FFE5B8B7"/>
        <bgColor indexed="64"/>
      </patternFill>
    </fill>
    <fill>
      <patternFill patternType="solid">
        <fgColor rgb="FFB8CCE4"/>
        <bgColor indexed="64"/>
      </patternFill>
    </fill>
    <fill>
      <patternFill patternType="solid">
        <fgColor rgb="FFD6E3BC"/>
        <bgColor indexed="64"/>
      </patternFill>
    </fill>
    <fill>
      <patternFill patternType="solid">
        <fgColor rgb="FFF4CCCC"/>
        <bgColor indexed="64"/>
      </patternFill>
    </fill>
    <fill>
      <patternFill patternType="solid">
        <fgColor rgb="FFFFC5B7"/>
        <bgColor indexed="64"/>
      </patternFill>
    </fill>
    <fill>
      <patternFill patternType="solid">
        <fgColor rgb="FFDBE5F1"/>
        <bgColor indexed="64"/>
      </patternFill>
    </fill>
    <fill>
      <patternFill patternType="solid">
        <fgColor rgb="FFFFFF99"/>
        <bgColor indexed="64"/>
      </patternFill>
    </fill>
    <fill>
      <patternFill patternType="solid">
        <fgColor rgb="FFB8CCE4"/>
        <bgColor indexed="64"/>
      </patternFill>
    </fill>
    <fill>
      <patternFill patternType="solid">
        <fgColor rgb="FFCFDDED"/>
        <bgColor indexed="64"/>
      </patternFill>
    </fill>
    <fill>
      <patternFill patternType="solid">
        <fgColor rgb="FFB8CCE4"/>
        <bgColor indexed="64"/>
      </patternFill>
    </fill>
    <fill>
      <patternFill patternType="solid">
        <fgColor rgb="FFD99594"/>
        <bgColor indexed="64"/>
      </patternFill>
    </fill>
    <fill>
      <patternFill patternType="solid">
        <fgColor rgb="FFD6E3BC"/>
        <bgColor indexed="64"/>
      </patternFill>
    </fill>
    <fill>
      <patternFill patternType="solid">
        <fgColor rgb="FFB8CCE4"/>
        <bgColor indexed="64"/>
      </patternFill>
    </fill>
    <fill>
      <patternFill patternType="solid">
        <fgColor rgb="FFD6E3BC"/>
        <bgColor indexed="64"/>
      </patternFill>
    </fill>
    <fill>
      <patternFill patternType="solid">
        <fgColor rgb="FFFF7C5D"/>
        <bgColor indexed="64"/>
      </patternFill>
    </fill>
    <fill>
      <patternFill patternType="solid">
        <fgColor rgb="FFFABF8F"/>
        <bgColor indexed="64"/>
      </patternFill>
    </fill>
    <fill>
      <patternFill patternType="solid">
        <fgColor rgb="FFF4CCCC"/>
        <bgColor indexed="64"/>
      </patternFill>
    </fill>
    <fill>
      <patternFill patternType="solid">
        <fgColor rgb="FFFF7C5D"/>
        <bgColor indexed="64"/>
      </patternFill>
    </fill>
    <fill>
      <patternFill patternType="solid">
        <fgColor rgb="FFD6E3BC"/>
        <bgColor indexed="64"/>
      </patternFill>
    </fill>
    <fill>
      <patternFill patternType="solid">
        <fgColor rgb="FFFABF8F"/>
        <bgColor indexed="64"/>
      </patternFill>
    </fill>
    <fill>
      <patternFill patternType="solid">
        <fgColor rgb="FFE5B8B7"/>
        <bgColor indexed="64"/>
      </patternFill>
    </fill>
    <fill>
      <patternFill patternType="solid">
        <fgColor rgb="FFFBD4B4"/>
        <bgColor indexed="64"/>
      </patternFill>
    </fill>
    <fill>
      <patternFill patternType="solid">
        <fgColor rgb="FFFF7C5D"/>
        <bgColor indexed="64"/>
      </patternFill>
    </fill>
    <fill>
      <patternFill patternType="solid">
        <fgColor rgb="FFD99594"/>
        <bgColor indexed="64"/>
      </patternFill>
    </fill>
    <fill>
      <patternFill patternType="solid">
        <fgColor rgb="FFD8D8D8"/>
        <bgColor indexed="64"/>
      </patternFill>
    </fill>
    <fill>
      <patternFill patternType="solid">
        <fgColor rgb="FFDDD9C3"/>
        <bgColor indexed="64"/>
      </patternFill>
    </fill>
    <fill>
      <patternFill patternType="solid">
        <fgColor rgb="FFC2D69B"/>
        <bgColor indexed="64"/>
      </patternFill>
    </fill>
    <fill>
      <patternFill patternType="solid">
        <fgColor rgb="FFC2D69B"/>
        <bgColor indexed="64"/>
      </patternFill>
    </fill>
    <fill>
      <patternFill patternType="solid">
        <fgColor rgb="FFC2D69B"/>
        <bgColor indexed="64"/>
      </patternFill>
    </fill>
    <fill>
      <patternFill patternType="solid">
        <fgColor rgb="FF92D050"/>
        <bgColor indexed="64"/>
      </patternFill>
    </fill>
    <fill>
      <patternFill patternType="solid">
        <fgColor rgb="FF92CDDC"/>
        <bgColor indexed="64"/>
      </patternFill>
    </fill>
    <fill>
      <patternFill patternType="solid">
        <fgColor rgb="FFE5B8B7"/>
        <bgColor indexed="64"/>
      </patternFill>
    </fill>
    <fill>
      <patternFill patternType="solid">
        <fgColor rgb="FFDAEEF3"/>
        <bgColor indexed="64"/>
      </patternFill>
    </fill>
    <fill>
      <patternFill patternType="solid">
        <fgColor rgb="FFCFDDED"/>
        <bgColor indexed="64"/>
      </patternFill>
    </fill>
    <fill>
      <patternFill patternType="solid">
        <fgColor rgb="FFFABF8F"/>
        <bgColor indexed="64"/>
      </patternFill>
    </fill>
    <fill>
      <patternFill patternType="solid">
        <fgColor rgb="FFB6DDE8"/>
        <bgColor indexed="64"/>
      </patternFill>
    </fill>
    <fill>
      <patternFill patternType="solid">
        <fgColor rgb="FFFFFF66"/>
        <bgColor indexed="64"/>
      </patternFill>
    </fill>
    <fill>
      <patternFill patternType="solid">
        <fgColor rgb="FFD6E3BC"/>
        <bgColor indexed="64"/>
      </patternFill>
    </fill>
    <fill>
      <patternFill patternType="solid">
        <fgColor rgb="FF92D050"/>
        <bgColor indexed="64"/>
      </patternFill>
    </fill>
    <fill>
      <patternFill patternType="solid">
        <fgColor rgb="FFDDD9C3"/>
        <bgColor indexed="64"/>
      </patternFill>
    </fill>
    <fill>
      <patternFill patternType="solid">
        <fgColor rgb="FFFFFF99"/>
        <bgColor indexed="64"/>
      </patternFill>
    </fill>
    <fill>
      <patternFill patternType="solid">
        <fgColor rgb="FFFBD4B4"/>
        <bgColor indexed="64"/>
      </patternFill>
    </fill>
    <fill>
      <patternFill patternType="solid">
        <fgColor rgb="FFFFC5B7"/>
        <bgColor indexed="64"/>
      </patternFill>
    </fill>
    <fill>
      <patternFill patternType="solid">
        <fgColor rgb="FFC2D69B"/>
        <bgColor indexed="64"/>
      </patternFill>
    </fill>
    <fill>
      <patternFill patternType="solid">
        <fgColor rgb="FFAFDC7E"/>
        <bgColor indexed="64"/>
      </patternFill>
    </fill>
    <fill>
      <patternFill patternType="solid">
        <fgColor rgb="FF92CDDC"/>
        <bgColor indexed="64"/>
      </patternFill>
    </fill>
    <fill>
      <patternFill patternType="solid">
        <fgColor rgb="FFC2D69B"/>
        <bgColor indexed="64"/>
      </patternFill>
    </fill>
    <fill>
      <patternFill patternType="solid">
        <fgColor rgb="FFB8CCE4"/>
        <bgColor indexed="64"/>
      </patternFill>
    </fill>
    <fill>
      <patternFill patternType="solid">
        <fgColor rgb="FFDDD9C3"/>
        <bgColor indexed="64"/>
      </patternFill>
    </fill>
    <fill>
      <patternFill patternType="solid">
        <fgColor rgb="FF92D050"/>
        <bgColor indexed="64"/>
      </patternFill>
    </fill>
    <fill>
      <patternFill patternType="solid">
        <fgColor rgb="FFFBD4B4"/>
        <bgColor indexed="64"/>
      </patternFill>
    </fill>
    <fill>
      <patternFill patternType="solid">
        <fgColor rgb="FFF2DBDB"/>
        <bgColor indexed="64"/>
      </patternFill>
    </fill>
    <fill>
      <patternFill patternType="solid">
        <fgColor rgb="FFFFFF99"/>
        <bgColor indexed="64"/>
      </patternFill>
    </fill>
    <fill>
      <patternFill patternType="solid">
        <fgColor rgb="FFCFDDED"/>
        <bgColor indexed="64"/>
      </patternFill>
    </fill>
    <fill>
      <patternFill patternType="solid">
        <fgColor rgb="FFFFFF99"/>
        <bgColor indexed="64"/>
      </patternFill>
    </fill>
    <fill>
      <patternFill patternType="solid">
        <fgColor rgb="FFFFC000"/>
        <bgColor indexed="64"/>
      </patternFill>
    </fill>
    <fill>
      <patternFill patternType="solid">
        <fgColor rgb="FFFBD4B4"/>
        <bgColor indexed="64"/>
      </patternFill>
    </fill>
    <fill>
      <patternFill patternType="solid">
        <fgColor rgb="FFD6E3BC"/>
        <bgColor indexed="64"/>
      </patternFill>
    </fill>
    <fill>
      <patternFill patternType="solid">
        <fgColor rgb="FFFFFF99"/>
        <bgColor indexed="64"/>
      </patternFill>
    </fill>
    <fill>
      <patternFill patternType="solid">
        <fgColor rgb="FFC2D69B"/>
        <bgColor indexed="64"/>
      </patternFill>
    </fill>
    <fill>
      <patternFill patternType="solid">
        <fgColor rgb="FFD99594"/>
        <bgColor indexed="64"/>
      </patternFill>
    </fill>
    <fill>
      <patternFill patternType="solid">
        <fgColor rgb="FFB6DDE8"/>
        <bgColor indexed="64"/>
      </patternFill>
    </fill>
    <fill>
      <patternFill patternType="solid">
        <fgColor rgb="FFC2D69B"/>
        <bgColor indexed="64"/>
      </patternFill>
    </fill>
    <fill>
      <patternFill patternType="solid">
        <fgColor rgb="FFE5DFEC"/>
        <bgColor indexed="64"/>
      </patternFill>
    </fill>
    <fill>
      <patternFill patternType="solid">
        <fgColor rgb="FFC2D69B"/>
        <bgColor indexed="64"/>
      </patternFill>
    </fill>
    <fill>
      <patternFill patternType="solid">
        <fgColor rgb="FF92CDDC"/>
        <bgColor indexed="64"/>
      </patternFill>
    </fill>
    <fill>
      <patternFill patternType="solid">
        <fgColor rgb="FF92D050"/>
        <bgColor indexed="64"/>
      </patternFill>
    </fill>
    <fill>
      <patternFill patternType="solid">
        <fgColor rgb="FFFABF8F"/>
        <bgColor indexed="64"/>
      </patternFill>
    </fill>
    <fill>
      <patternFill patternType="solid">
        <fgColor rgb="FFC2D69B"/>
        <bgColor indexed="64"/>
      </patternFill>
    </fill>
    <fill>
      <patternFill patternType="solid">
        <fgColor rgb="FFFBD4B4"/>
        <bgColor indexed="64"/>
      </patternFill>
    </fill>
    <fill>
      <patternFill patternType="solid">
        <fgColor rgb="FFC2D69B"/>
        <bgColor indexed="64"/>
      </patternFill>
    </fill>
    <fill>
      <patternFill patternType="solid">
        <fgColor rgb="FFD8D8D8"/>
        <bgColor indexed="64"/>
      </patternFill>
    </fill>
    <fill>
      <patternFill patternType="solid">
        <fgColor rgb="FFC2D69B"/>
        <bgColor indexed="64"/>
      </patternFill>
    </fill>
    <fill>
      <patternFill patternType="solid">
        <fgColor rgb="FFC2D69B"/>
        <bgColor indexed="64"/>
      </patternFill>
    </fill>
    <fill>
      <patternFill patternType="solid">
        <fgColor rgb="FFC2D69B"/>
        <bgColor indexed="64"/>
      </patternFill>
    </fill>
    <fill>
      <patternFill patternType="solid">
        <fgColor rgb="FFDAEEF3"/>
        <bgColor indexed="64"/>
      </patternFill>
    </fill>
    <fill>
      <patternFill patternType="solid">
        <fgColor rgb="FFD6E3BC"/>
        <bgColor indexed="64"/>
      </patternFill>
    </fill>
    <fill>
      <patternFill patternType="solid">
        <fgColor rgb="FFC2D69B"/>
        <bgColor indexed="64"/>
      </patternFill>
    </fill>
    <fill>
      <patternFill patternType="solid">
        <fgColor rgb="FFB8CCE4"/>
        <bgColor indexed="64"/>
      </patternFill>
    </fill>
    <fill>
      <patternFill patternType="solid">
        <fgColor rgb="FFCFDDED"/>
        <bgColor indexed="64"/>
      </patternFill>
    </fill>
    <fill>
      <patternFill patternType="solid">
        <fgColor rgb="FFFFC000"/>
        <bgColor indexed="64"/>
      </patternFill>
    </fill>
    <fill>
      <patternFill patternType="solid">
        <fgColor rgb="FFFFFF66"/>
        <bgColor indexed="64"/>
      </patternFill>
    </fill>
    <fill>
      <patternFill patternType="solid">
        <fgColor rgb="FFCFDDED"/>
        <bgColor indexed="64"/>
      </patternFill>
    </fill>
    <fill>
      <patternFill patternType="solid">
        <fgColor rgb="FF92CDDC"/>
        <bgColor indexed="64"/>
      </patternFill>
    </fill>
    <fill>
      <patternFill patternType="solid">
        <fgColor rgb="FFFF9C85"/>
        <bgColor indexed="64"/>
      </patternFill>
    </fill>
    <fill>
      <patternFill patternType="solid">
        <fgColor rgb="FF92D050"/>
        <bgColor indexed="64"/>
      </patternFill>
    </fill>
    <fill>
      <patternFill patternType="solid">
        <fgColor rgb="FFFFC5B7"/>
        <bgColor indexed="64"/>
      </patternFill>
    </fill>
    <fill>
      <patternFill patternType="solid">
        <fgColor rgb="FFCFDDED"/>
        <bgColor indexed="64"/>
      </patternFill>
    </fill>
    <fill>
      <patternFill patternType="solid">
        <fgColor rgb="FFD6E3BC"/>
        <bgColor indexed="64"/>
      </patternFill>
    </fill>
    <fill>
      <patternFill patternType="solid">
        <fgColor rgb="FF92D050"/>
        <bgColor indexed="64"/>
      </patternFill>
    </fill>
    <fill>
      <patternFill patternType="solid">
        <fgColor rgb="FFC2D69B"/>
        <bgColor indexed="64"/>
      </patternFill>
    </fill>
    <fill>
      <patternFill patternType="solid">
        <fgColor rgb="FFC2D69B"/>
        <bgColor indexed="64"/>
      </patternFill>
    </fill>
    <fill>
      <patternFill patternType="solid">
        <fgColor rgb="FFD99594"/>
        <bgColor indexed="64"/>
      </patternFill>
    </fill>
    <fill>
      <patternFill patternType="solid">
        <fgColor rgb="FFB8CCE4"/>
        <bgColor indexed="64"/>
      </patternFill>
    </fill>
    <fill>
      <patternFill patternType="solid">
        <fgColor rgb="FFFFFF66"/>
        <bgColor indexed="64"/>
      </patternFill>
    </fill>
    <fill>
      <patternFill patternType="solid">
        <fgColor rgb="FFB8CCE4"/>
        <bgColor indexed="64"/>
      </patternFill>
    </fill>
    <fill>
      <patternFill patternType="solid">
        <fgColor rgb="FF92CDDC"/>
        <bgColor indexed="64"/>
      </patternFill>
    </fill>
    <fill>
      <patternFill patternType="solid">
        <fgColor rgb="FFB2A1C7"/>
        <bgColor indexed="64"/>
      </patternFill>
    </fill>
    <fill>
      <patternFill patternType="solid">
        <fgColor rgb="FFFFFFFF"/>
        <bgColor indexed="64"/>
      </patternFill>
    </fill>
    <fill>
      <patternFill patternType="solid">
        <fgColor rgb="FFCFDDED"/>
        <bgColor indexed="64"/>
      </patternFill>
    </fill>
    <fill>
      <patternFill patternType="solid">
        <fgColor rgb="FFE5DFEC"/>
        <bgColor indexed="64"/>
      </patternFill>
    </fill>
    <fill>
      <patternFill patternType="solid">
        <fgColor rgb="FFB8CCE4"/>
        <bgColor indexed="64"/>
      </patternFill>
    </fill>
    <fill>
      <patternFill patternType="solid">
        <fgColor rgb="FFFFFF99"/>
        <bgColor indexed="64"/>
      </patternFill>
    </fill>
    <fill>
      <patternFill patternType="solid">
        <fgColor rgb="FFC2D69B"/>
        <bgColor indexed="64"/>
      </patternFill>
    </fill>
    <fill>
      <patternFill patternType="solid">
        <fgColor rgb="FFFFFF66"/>
        <bgColor indexed="64"/>
      </patternFill>
    </fill>
    <fill>
      <patternFill patternType="solid">
        <fgColor rgb="FFFFFF99"/>
        <bgColor indexed="64"/>
      </patternFill>
    </fill>
    <fill>
      <patternFill patternType="solid">
        <fgColor rgb="FFDAEEF3"/>
        <bgColor indexed="64"/>
      </patternFill>
    </fill>
    <fill>
      <patternFill patternType="solid">
        <fgColor rgb="FFC2D69B"/>
        <bgColor indexed="64"/>
      </patternFill>
    </fill>
    <fill>
      <patternFill patternType="solid">
        <fgColor rgb="FFC2D69B"/>
        <bgColor indexed="64"/>
      </patternFill>
    </fill>
    <fill>
      <patternFill patternType="solid">
        <fgColor rgb="FFFF9C85"/>
        <bgColor indexed="64"/>
      </patternFill>
    </fill>
    <fill>
      <patternFill patternType="solid">
        <fgColor rgb="FFFFFF99"/>
        <bgColor indexed="64"/>
      </patternFill>
    </fill>
    <fill>
      <patternFill patternType="solid">
        <fgColor rgb="FFEAF1DD"/>
        <bgColor indexed="64"/>
      </patternFill>
    </fill>
    <fill>
      <patternFill patternType="solid">
        <fgColor rgb="FFFABF8F"/>
        <bgColor indexed="64"/>
      </patternFill>
    </fill>
    <fill>
      <patternFill patternType="solid">
        <fgColor rgb="FFFF9C85"/>
        <bgColor indexed="64"/>
      </patternFill>
    </fill>
    <fill>
      <patternFill patternType="solid">
        <fgColor rgb="FFFFFF99"/>
        <bgColor indexed="64"/>
      </patternFill>
    </fill>
    <fill>
      <patternFill patternType="solid">
        <fgColor rgb="FFFFC5B7"/>
        <bgColor indexed="64"/>
      </patternFill>
    </fill>
    <fill>
      <patternFill patternType="solid">
        <fgColor rgb="FFD99594"/>
        <bgColor indexed="64"/>
      </patternFill>
    </fill>
    <fill>
      <patternFill patternType="solid">
        <fgColor rgb="FFB6DDE8"/>
        <bgColor indexed="64"/>
      </patternFill>
    </fill>
    <fill>
      <patternFill patternType="solid">
        <fgColor rgb="FF92CDDC"/>
        <bgColor indexed="64"/>
      </patternFill>
    </fill>
    <fill>
      <patternFill patternType="solid">
        <fgColor rgb="FF92D050"/>
        <bgColor indexed="64"/>
      </patternFill>
    </fill>
    <fill>
      <patternFill patternType="solid">
        <fgColor rgb="FFCFDDED"/>
        <bgColor indexed="64"/>
      </patternFill>
    </fill>
    <fill>
      <patternFill patternType="solid">
        <fgColor rgb="FFB8CCE4"/>
        <bgColor indexed="64"/>
      </patternFill>
    </fill>
    <fill>
      <patternFill patternType="solid">
        <fgColor rgb="FFB8CCE4"/>
        <bgColor indexed="64"/>
      </patternFill>
    </fill>
    <fill>
      <patternFill patternType="solid">
        <fgColor rgb="FFD99594"/>
        <bgColor indexed="64"/>
      </patternFill>
    </fill>
    <fill>
      <patternFill patternType="solid">
        <fgColor rgb="FFD6E3BC"/>
        <bgColor indexed="64"/>
      </patternFill>
    </fill>
    <fill>
      <patternFill patternType="solid">
        <fgColor rgb="FFFBD4B4"/>
        <bgColor indexed="64"/>
      </patternFill>
    </fill>
    <fill>
      <patternFill patternType="solid">
        <fgColor rgb="FFDAEEF3"/>
        <bgColor indexed="64"/>
      </patternFill>
    </fill>
    <fill>
      <patternFill patternType="solid">
        <fgColor rgb="FFC2D69B"/>
        <bgColor indexed="64"/>
      </patternFill>
    </fill>
    <fill>
      <patternFill patternType="solid">
        <fgColor rgb="FFCFDDED"/>
        <bgColor indexed="64"/>
      </patternFill>
    </fill>
    <fill>
      <patternFill patternType="solid">
        <fgColor rgb="FFB8CCE4"/>
        <bgColor indexed="64"/>
      </patternFill>
    </fill>
    <fill>
      <patternFill patternType="solid">
        <fgColor rgb="FFFABF8F"/>
        <bgColor indexed="64"/>
      </patternFill>
    </fill>
    <fill>
      <patternFill patternType="solid">
        <fgColor rgb="FFD8D8D8"/>
        <bgColor indexed="64"/>
      </patternFill>
    </fill>
    <fill>
      <patternFill patternType="solid">
        <fgColor rgb="FFB6DDE8"/>
        <bgColor indexed="64"/>
      </patternFill>
    </fill>
    <fill>
      <patternFill patternType="solid">
        <fgColor rgb="FFE5DFEC"/>
        <bgColor indexed="64"/>
      </patternFill>
    </fill>
    <fill>
      <patternFill patternType="solid">
        <fgColor rgb="FFFF7C5D"/>
        <bgColor indexed="64"/>
      </patternFill>
    </fill>
    <fill>
      <patternFill patternType="solid">
        <fgColor rgb="FFFFC000"/>
        <bgColor indexed="64"/>
      </patternFill>
    </fill>
    <fill>
      <patternFill patternType="solid">
        <fgColor rgb="FFC2D69B"/>
        <bgColor indexed="64"/>
      </patternFill>
    </fill>
    <fill>
      <patternFill patternType="solid">
        <fgColor rgb="FF92CDDC"/>
        <bgColor indexed="64"/>
      </patternFill>
    </fill>
    <fill>
      <patternFill patternType="solid">
        <fgColor rgb="FFD6E3BC"/>
        <bgColor indexed="64"/>
      </patternFill>
    </fill>
    <fill>
      <patternFill patternType="solid">
        <fgColor rgb="FFFF7C5D"/>
        <bgColor indexed="64"/>
      </patternFill>
    </fill>
    <fill>
      <patternFill patternType="solid">
        <fgColor rgb="FFFFFF99"/>
        <bgColor indexed="64"/>
      </patternFill>
    </fill>
    <fill>
      <patternFill patternType="solid">
        <fgColor rgb="FF92D050"/>
        <bgColor indexed="64"/>
      </patternFill>
    </fill>
    <fill>
      <patternFill patternType="solid">
        <fgColor rgb="FFFABF8F"/>
        <bgColor indexed="64"/>
      </patternFill>
    </fill>
    <fill>
      <patternFill patternType="solid">
        <fgColor rgb="FFC2D69B"/>
        <bgColor indexed="64"/>
      </patternFill>
    </fill>
    <fill>
      <patternFill patternType="solid">
        <fgColor rgb="FF92CDDC"/>
        <bgColor indexed="64"/>
      </patternFill>
    </fill>
    <fill>
      <patternFill patternType="solid">
        <fgColor rgb="FFC2D69B"/>
        <bgColor indexed="64"/>
      </patternFill>
    </fill>
    <fill>
      <patternFill patternType="solid">
        <fgColor rgb="FFCFDDED"/>
        <bgColor indexed="64"/>
      </patternFill>
    </fill>
    <fill>
      <patternFill patternType="solid">
        <fgColor rgb="FFFF7C5D"/>
        <bgColor indexed="64"/>
      </patternFill>
    </fill>
    <fill>
      <patternFill patternType="solid">
        <fgColor rgb="FFAFDC7E"/>
        <bgColor indexed="64"/>
      </patternFill>
    </fill>
    <fill>
      <patternFill patternType="solid">
        <fgColor rgb="FFFBD4B4"/>
        <bgColor indexed="64"/>
      </patternFill>
    </fill>
    <fill>
      <patternFill patternType="solid">
        <fgColor rgb="FFAFDC7E"/>
        <bgColor indexed="64"/>
      </patternFill>
    </fill>
    <fill>
      <patternFill patternType="solid">
        <fgColor rgb="FF92CDDC"/>
        <bgColor indexed="64"/>
      </patternFill>
    </fill>
    <fill>
      <patternFill patternType="solid">
        <fgColor rgb="FFFBD4B4"/>
        <bgColor indexed="64"/>
      </patternFill>
    </fill>
    <fill>
      <patternFill patternType="solid">
        <fgColor rgb="FFC2D69B"/>
        <bgColor indexed="64"/>
      </patternFill>
    </fill>
    <fill>
      <patternFill patternType="solid">
        <fgColor rgb="FFB8CCE4"/>
        <bgColor indexed="64"/>
      </patternFill>
    </fill>
    <fill>
      <patternFill patternType="solid">
        <fgColor rgb="FFFFFF66"/>
        <bgColor indexed="64"/>
      </patternFill>
    </fill>
    <fill>
      <patternFill patternType="solid">
        <fgColor rgb="FFAFDC7E"/>
        <bgColor indexed="64"/>
      </patternFill>
    </fill>
    <fill>
      <patternFill patternType="solid">
        <fgColor rgb="FFFFFF00"/>
        <bgColor indexed="64"/>
      </patternFill>
    </fill>
    <fill>
      <patternFill patternType="solid">
        <fgColor rgb="FFFABF8F"/>
        <bgColor indexed="64"/>
      </patternFill>
    </fill>
    <fill>
      <patternFill patternType="solid">
        <fgColor rgb="FFFF7C5D"/>
        <bgColor indexed="64"/>
      </patternFill>
    </fill>
    <fill>
      <patternFill patternType="solid">
        <fgColor rgb="FFB8CCE4"/>
        <bgColor indexed="64"/>
      </patternFill>
    </fill>
    <fill>
      <patternFill patternType="solid">
        <fgColor rgb="FFDAEEF3"/>
        <bgColor indexed="64"/>
      </patternFill>
    </fill>
    <fill>
      <patternFill patternType="solid">
        <fgColor rgb="FFFBD4B4"/>
        <bgColor indexed="64"/>
      </patternFill>
    </fill>
    <fill>
      <patternFill patternType="solid">
        <fgColor rgb="FFFFFF99"/>
        <bgColor indexed="64"/>
      </patternFill>
    </fill>
    <fill>
      <patternFill patternType="solid">
        <fgColor rgb="FFFF7C5D"/>
        <bgColor indexed="64"/>
      </patternFill>
    </fill>
    <fill>
      <patternFill patternType="solid">
        <fgColor rgb="FFFF7C5D"/>
        <bgColor indexed="64"/>
      </patternFill>
    </fill>
    <fill>
      <patternFill patternType="solid">
        <fgColor rgb="FFFFFF99"/>
        <bgColor indexed="64"/>
      </patternFill>
    </fill>
    <fill>
      <patternFill patternType="solid">
        <fgColor rgb="FFC2D69B"/>
        <bgColor indexed="64"/>
      </patternFill>
    </fill>
    <fill>
      <patternFill patternType="solid">
        <fgColor rgb="FFFBD4B4"/>
        <bgColor indexed="64"/>
      </patternFill>
    </fill>
    <fill>
      <patternFill patternType="solid">
        <fgColor rgb="FF92CDDC"/>
        <bgColor indexed="64"/>
      </patternFill>
    </fill>
    <fill>
      <patternFill patternType="solid">
        <fgColor rgb="FF92CDDC"/>
        <bgColor indexed="64"/>
      </patternFill>
    </fill>
    <fill>
      <patternFill patternType="solid">
        <fgColor rgb="FFB8CCE4"/>
        <bgColor indexed="64"/>
      </patternFill>
    </fill>
    <fill>
      <patternFill patternType="solid">
        <fgColor rgb="FFD9EAD3"/>
        <bgColor indexed="64"/>
      </patternFill>
    </fill>
    <fill>
      <patternFill patternType="solid">
        <fgColor rgb="FFCFDDED"/>
        <bgColor indexed="64"/>
      </patternFill>
    </fill>
    <fill>
      <patternFill patternType="solid">
        <fgColor rgb="FFF2DBDB"/>
        <bgColor indexed="64"/>
      </patternFill>
    </fill>
    <fill>
      <patternFill patternType="solid">
        <fgColor rgb="FFB8CCE4"/>
        <bgColor indexed="64"/>
      </patternFill>
    </fill>
    <fill>
      <patternFill patternType="solid">
        <fgColor rgb="FF92D050"/>
        <bgColor indexed="64"/>
      </patternFill>
    </fill>
    <fill>
      <patternFill patternType="solid">
        <fgColor rgb="FFAFDC7E"/>
        <bgColor indexed="64"/>
      </patternFill>
    </fill>
    <fill>
      <patternFill patternType="solid">
        <fgColor rgb="FF92CDDC"/>
        <bgColor indexed="64"/>
      </patternFill>
    </fill>
    <fill>
      <patternFill patternType="solid">
        <fgColor rgb="FFCFDDED"/>
        <bgColor indexed="64"/>
      </patternFill>
    </fill>
    <fill>
      <patternFill patternType="solid">
        <fgColor rgb="FFB6DDE8"/>
        <bgColor indexed="64"/>
      </patternFill>
    </fill>
    <fill>
      <patternFill patternType="solid">
        <fgColor rgb="FFFF9C85"/>
        <bgColor indexed="64"/>
      </patternFill>
    </fill>
    <fill>
      <patternFill patternType="solid">
        <fgColor rgb="FFB8CCE4"/>
        <bgColor indexed="64"/>
      </patternFill>
    </fill>
    <fill>
      <patternFill patternType="solid">
        <fgColor rgb="FFFFFF99"/>
        <bgColor indexed="64"/>
      </patternFill>
    </fill>
    <fill>
      <patternFill patternType="solid">
        <fgColor rgb="FFFF7C5D"/>
        <bgColor indexed="64"/>
      </patternFill>
    </fill>
    <fill>
      <patternFill patternType="solid">
        <fgColor rgb="FFDAEEF3"/>
        <bgColor indexed="64"/>
      </patternFill>
    </fill>
    <fill>
      <patternFill patternType="solid">
        <fgColor rgb="FF92D050"/>
        <bgColor indexed="64"/>
      </patternFill>
    </fill>
    <fill>
      <patternFill patternType="solid">
        <fgColor rgb="FFFF9C85"/>
        <bgColor indexed="64"/>
      </patternFill>
    </fill>
    <fill>
      <patternFill patternType="solid">
        <fgColor rgb="FF92CDDC"/>
        <bgColor indexed="64"/>
      </patternFill>
    </fill>
    <fill>
      <patternFill patternType="solid">
        <fgColor rgb="FFFFFF66"/>
        <bgColor indexed="64"/>
      </patternFill>
    </fill>
    <fill>
      <patternFill patternType="solid">
        <fgColor rgb="FFE5B8B7"/>
        <bgColor indexed="64"/>
      </patternFill>
    </fill>
    <fill>
      <patternFill patternType="solid">
        <fgColor rgb="FFFABF8F"/>
        <bgColor indexed="64"/>
      </patternFill>
    </fill>
    <fill>
      <patternFill patternType="solid">
        <fgColor rgb="FFFFC000"/>
        <bgColor indexed="64"/>
      </patternFill>
    </fill>
    <fill>
      <patternFill patternType="solid">
        <fgColor rgb="FFFFFF99"/>
        <bgColor indexed="64"/>
      </patternFill>
    </fill>
    <fill>
      <patternFill patternType="solid">
        <fgColor rgb="FFD8D8D8"/>
        <bgColor indexed="64"/>
      </patternFill>
    </fill>
    <fill>
      <patternFill patternType="solid">
        <fgColor rgb="FFD99594"/>
        <bgColor indexed="64"/>
      </patternFill>
    </fill>
    <fill>
      <patternFill patternType="solid">
        <fgColor rgb="FFB8CCE4"/>
        <bgColor indexed="64"/>
      </patternFill>
    </fill>
    <fill>
      <patternFill patternType="solid">
        <fgColor rgb="FFD99594"/>
        <bgColor indexed="64"/>
      </patternFill>
    </fill>
    <fill>
      <patternFill patternType="solid">
        <fgColor rgb="FFFBD4B4"/>
        <bgColor indexed="64"/>
      </patternFill>
    </fill>
    <fill>
      <patternFill patternType="solid">
        <fgColor rgb="FFFF9C85"/>
        <bgColor indexed="64"/>
      </patternFill>
    </fill>
    <fill>
      <patternFill patternType="solid">
        <fgColor rgb="FF548DD4"/>
        <bgColor indexed="64"/>
      </patternFill>
    </fill>
    <fill>
      <patternFill patternType="solid">
        <fgColor rgb="FFD6E3BC"/>
        <bgColor indexed="64"/>
      </patternFill>
    </fill>
    <fill>
      <patternFill patternType="solid">
        <fgColor rgb="FF92CDDC"/>
        <bgColor indexed="64"/>
      </patternFill>
    </fill>
    <fill>
      <patternFill patternType="solid">
        <fgColor rgb="FF92D050"/>
        <bgColor indexed="64"/>
      </patternFill>
    </fill>
    <fill>
      <patternFill patternType="solid">
        <fgColor rgb="FFFFFF99"/>
        <bgColor indexed="64"/>
      </patternFill>
    </fill>
    <fill>
      <patternFill patternType="solid">
        <fgColor rgb="FFFFFF66"/>
        <bgColor indexed="64"/>
      </patternFill>
    </fill>
    <fill>
      <patternFill patternType="solid">
        <fgColor rgb="FFFABF8F"/>
        <bgColor indexed="64"/>
      </patternFill>
    </fill>
    <fill>
      <patternFill patternType="solid">
        <fgColor rgb="FF92CDDC"/>
        <bgColor indexed="64"/>
      </patternFill>
    </fill>
    <fill>
      <patternFill patternType="solid">
        <fgColor rgb="FFFFFF66"/>
        <bgColor indexed="64"/>
      </patternFill>
    </fill>
    <fill>
      <patternFill patternType="solid">
        <fgColor rgb="FFFFFF99"/>
        <bgColor indexed="64"/>
      </patternFill>
    </fill>
    <fill>
      <patternFill patternType="solid">
        <fgColor rgb="FFDAEEF3"/>
        <bgColor indexed="64"/>
      </patternFill>
    </fill>
    <fill>
      <patternFill patternType="solid">
        <fgColor rgb="FFEAF1DD"/>
        <bgColor indexed="64"/>
      </patternFill>
    </fill>
    <fill>
      <patternFill patternType="solid">
        <fgColor rgb="FFFFC5B7"/>
        <bgColor indexed="64"/>
      </patternFill>
    </fill>
    <fill>
      <patternFill patternType="solid">
        <fgColor rgb="FFFFFF66"/>
        <bgColor indexed="64"/>
      </patternFill>
    </fill>
    <fill>
      <patternFill patternType="solid">
        <fgColor rgb="FFD99594"/>
        <bgColor indexed="64"/>
      </patternFill>
    </fill>
    <fill>
      <patternFill patternType="solid">
        <fgColor rgb="FFFFFF66"/>
        <bgColor indexed="64"/>
      </patternFill>
    </fill>
    <fill>
      <patternFill patternType="solid">
        <fgColor rgb="FFDDD9C3"/>
        <bgColor indexed="64"/>
      </patternFill>
    </fill>
    <fill>
      <patternFill patternType="solid">
        <fgColor rgb="FFFFFF99"/>
        <bgColor indexed="64"/>
      </patternFill>
    </fill>
    <fill>
      <patternFill patternType="solid">
        <fgColor rgb="FFFFFF66"/>
        <bgColor indexed="64"/>
      </patternFill>
    </fill>
    <fill>
      <patternFill patternType="solid">
        <fgColor rgb="FFFFFFCC"/>
        <bgColor indexed="64"/>
      </patternFill>
    </fill>
    <fill>
      <patternFill patternType="solid">
        <fgColor rgb="FFFFD966"/>
        <bgColor indexed="64"/>
      </patternFill>
    </fill>
    <fill>
      <patternFill patternType="solid">
        <fgColor rgb="FFCFDDED"/>
        <bgColor indexed="64"/>
      </patternFill>
    </fill>
    <fill>
      <patternFill patternType="solid">
        <fgColor rgb="FF92D050"/>
        <bgColor indexed="64"/>
      </patternFill>
    </fill>
    <fill>
      <patternFill patternType="solid">
        <fgColor rgb="FFD6E3BC"/>
        <bgColor indexed="64"/>
      </patternFill>
    </fill>
    <fill>
      <patternFill patternType="solid">
        <fgColor rgb="FFFABF8F"/>
        <bgColor indexed="64"/>
      </patternFill>
    </fill>
    <fill>
      <patternFill patternType="solid">
        <fgColor rgb="FFD99594"/>
        <bgColor indexed="64"/>
      </patternFill>
    </fill>
    <fill>
      <patternFill patternType="solid">
        <fgColor rgb="FF92CDDC"/>
        <bgColor indexed="64"/>
      </patternFill>
    </fill>
    <fill>
      <patternFill patternType="solid">
        <fgColor rgb="FFFFFF66"/>
        <bgColor indexed="64"/>
      </patternFill>
    </fill>
    <fill>
      <patternFill patternType="solid">
        <fgColor rgb="FFE5DFEC"/>
        <bgColor indexed="64"/>
      </patternFill>
    </fill>
    <fill>
      <patternFill patternType="solid">
        <fgColor rgb="FFFABF8F"/>
        <bgColor indexed="64"/>
      </patternFill>
    </fill>
    <fill>
      <patternFill patternType="solid">
        <fgColor rgb="FFB6DDE8"/>
        <bgColor indexed="64"/>
      </patternFill>
    </fill>
    <fill>
      <patternFill patternType="solid">
        <fgColor rgb="FFFFFF66"/>
        <bgColor indexed="64"/>
      </patternFill>
    </fill>
    <fill>
      <patternFill patternType="solid">
        <fgColor rgb="FFFABF8F"/>
        <bgColor indexed="64"/>
      </patternFill>
    </fill>
    <fill>
      <patternFill patternType="solid">
        <fgColor rgb="FFFFFFFF"/>
        <bgColor indexed="64"/>
      </patternFill>
    </fill>
    <fill>
      <patternFill patternType="solid">
        <fgColor rgb="FFD99594"/>
        <bgColor indexed="64"/>
      </patternFill>
    </fill>
    <fill>
      <patternFill patternType="solid">
        <fgColor rgb="FFAFDC7E"/>
        <bgColor indexed="64"/>
      </patternFill>
    </fill>
    <fill>
      <patternFill patternType="solid">
        <fgColor rgb="FFFBD4B4"/>
        <bgColor indexed="64"/>
      </patternFill>
    </fill>
    <fill>
      <patternFill patternType="solid">
        <fgColor rgb="FFFBD4B4"/>
        <bgColor indexed="64"/>
      </patternFill>
    </fill>
    <fill>
      <patternFill patternType="solid">
        <fgColor rgb="FFAFDC7E"/>
        <bgColor indexed="64"/>
      </patternFill>
    </fill>
    <fill>
      <patternFill patternType="solid">
        <fgColor rgb="FFFFFF99"/>
        <bgColor indexed="64"/>
      </patternFill>
    </fill>
    <fill>
      <patternFill patternType="solid">
        <fgColor rgb="FFFFFF66"/>
        <bgColor indexed="64"/>
      </patternFill>
    </fill>
    <fill>
      <patternFill patternType="solid">
        <fgColor rgb="FFE5B8B7"/>
        <bgColor indexed="64"/>
      </patternFill>
    </fill>
    <fill>
      <patternFill patternType="solid">
        <fgColor rgb="FFFFF2CC"/>
        <bgColor indexed="64"/>
      </patternFill>
    </fill>
    <fill>
      <patternFill patternType="solid">
        <fgColor rgb="FFFF7C5D"/>
        <bgColor indexed="64"/>
      </patternFill>
    </fill>
    <fill>
      <patternFill patternType="solid">
        <fgColor rgb="FFFABF8F"/>
        <bgColor indexed="64"/>
      </patternFill>
    </fill>
    <fill>
      <patternFill patternType="solid">
        <fgColor rgb="FFCFDDED"/>
        <bgColor indexed="64"/>
      </patternFill>
    </fill>
    <fill>
      <patternFill patternType="solid">
        <fgColor rgb="FFB8CCE4"/>
        <bgColor indexed="64"/>
      </patternFill>
    </fill>
    <fill>
      <patternFill patternType="solid">
        <fgColor rgb="FFFFC5B7"/>
        <bgColor indexed="64"/>
      </patternFill>
    </fill>
    <fill>
      <patternFill patternType="solid">
        <fgColor rgb="FFFFFF66"/>
        <bgColor indexed="64"/>
      </patternFill>
    </fill>
    <fill>
      <patternFill patternType="solid">
        <fgColor rgb="FFD6E3BC"/>
        <bgColor indexed="64"/>
      </patternFill>
    </fill>
    <fill>
      <patternFill patternType="solid">
        <fgColor rgb="FFD99594"/>
        <bgColor indexed="64"/>
      </patternFill>
    </fill>
    <fill>
      <patternFill patternType="solid">
        <fgColor rgb="FFC2D69B"/>
        <bgColor indexed="64"/>
      </patternFill>
    </fill>
    <fill>
      <patternFill patternType="solid">
        <fgColor rgb="FFFF9C85"/>
        <bgColor indexed="64"/>
      </patternFill>
    </fill>
    <fill>
      <patternFill patternType="solid">
        <fgColor rgb="FFFBD4B4"/>
        <bgColor indexed="64"/>
      </patternFill>
    </fill>
    <fill>
      <patternFill patternType="solid">
        <fgColor rgb="FFFBD4B4"/>
        <bgColor indexed="64"/>
      </patternFill>
    </fill>
    <fill>
      <patternFill patternType="solid">
        <fgColor rgb="FFC2D69B"/>
        <bgColor indexed="64"/>
      </patternFill>
    </fill>
    <fill>
      <patternFill patternType="solid">
        <fgColor rgb="FFFFFF99"/>
        <bgColor indexed="64"/>
      </patternFill>
    </fill>
    <fill>
      <patternFill patternType="solid">
        <fgColor rgb="FFE5DFEC"/>
        <bgColor indexed="64"/>
      </patternFill>
    </fill>
    <fill>
      <patternFill patternType="solid">
        <fgColor rgb="FF92CDDC"/>
        <bgColor indexed="64"/>
      </patternFill>
    </fill>
    <fill>
      <patternFill patternType="solid">
        <fgColor rgb="FFFF7C5D"/>
        <bgColor indexed="64"/>
      </patternFill>
    </fill>
    <fill>
      <patternFill patternType="solid">
        <fgColor rgb="FFAFDC7E"/>
        <bgColor indexed="64"/>
      </patternFill>
    </fill>
    <fill>
      <patternFill patternType="solid">
        <fgColor rgb="FFDDD9C3"/>
        <bgColor indexed="64"/>
      </patternFill>
    </fill>
    <fill>
      <patternFill patternType="solid">
        <fgColor rgb="FFAFDC7E"/>
        <bgColor indexed="64"/>
      </patternFill>
    </fill>
    <fill>
      <patternFill patternType="solid">
        <fgColor rgb="FFD99594"/>
        <bgColor indexed="64"/>
      </patternFill>
    </fill>
    <fill>
      <patternFill patternType="solid">
        <fgColor rgb="FFFBD4B4"/>
        <bgColor indexed="64"/>
      </patternFill>
    </fill>
    <fill>
      <patternFill patternType="solid">
        <fgColor rgb="FFFF9C85"/>
        <bgColor indexed="64"/>
      </patternFill>
    </fill>
    <fill>
      <patternFill patternType="solid">
        <fgColor rgb="FFD6E3BC"/>
        <bgColor indexed="64"/>
      </patternFill>
    </fill>
    <fill>
      <patternFill patternType="solid">
        <fgColor rgb="FFFFFF66"/>
        <bgColor indexed="64"/>
      </patternFill>
    </fill>
    <fill>
      <patternFill patternType="solid">
        <fgColor rgb="FFFF9C85"/>
        <bgColor indexed="64"/>
      </patternFill>
    </fill>
    <fill>
      <patternFill patternType="solid">
        <fgColor rgb="FF92D050"/>
        <bgColor indexed="64"/>
      </patternFill>
    </fill>
    <fill>
      <patternFill patternType="solid">
        <fgColor rgb="FFD99594"/>
        <bgColor indexed="64"/>
      </patternFill>
    </fill>
    <fill>
      <patternFill patternType="solid">
        <fgColor rgb="FFFFC000"/>
        <bgColor indexed="64"/>
      </patternFill>
    </fill>
    <fill>
      <patternFill patternType="solid">
        <fgColor rgb="FFFFFF00"/>
        <bgColor indexed="64"/>
      </patternFill>
    </fill>
    <fill>
      <patternFill patternType="solid">
        <fgColor rgb="FFAFDC7E"/>
        <bgColor indexed="64"/>
      </patternFill>
    </fill>
    <fill>
      <patternFill patternType="solid">
        <fgColor rgb="FFFFFF66"/>
        <bgColor indexed="64"/>
      </patternFill>
    </fill>
    <fill>
      <patternFill patternType="solid">
        <fgColor rgb="FFD6E3BC"/>
        <bgColor indexed="64"/>
      </patternFill>
    </fill>
    <fill>
      <patternFill patternType="solid">
        <fgColor rgb="FFFBD4B4"/>
        <bgColor indexed="64"/>
      </patternFill>
    </fill>
    <fill>
      <patternFill patternType="solid">
        <fgColor rgb="FFFFC000"/>
        <bgColor indexed="64"/>
      </patternFill>
    </fill>
    <fill>
      <patternFill patternType="solid">
        <fgColor rgb="FFF2DBDB"/>
        <bgColor indexed="64"/>
      </patternFill>
    </fill>
    <fill>
      <patternFill patternType="solid">
        <fgColor rgb="FFFABF8F"/>
        <bgColor indexed="64"/>
      </patternFill>
    </fill>
    <fill>
      <patternFill patternType="solid">
        <fgColor rgb="FFFFC000"/>
        <bgColor indexed="64"/>
      </patternFill>
    </fill>
    <fill>
      <patternFill patternType="solid">
        <fgColor rgb="FFFBD4B4"/>
        <bgColor indexed="64"/>
      </patternFill>
    </fill>
    <fill>
      <patternFill patternType="solid">
        <fgColor rgb="FF92CDDC"/>
        <bgColor indexed="64"/>
      </patternFill>
    </fill>
    <fill>
      <patternFill patternType="solid">
        <fgColor rgb="FFDDD9C3"/>
        <bgColor indexed="64"/>
      </patternFill>
    </fill>
    <fill>
      <patternFill patternType="solid">
        <fgColor rgb="FFB8CCE4"/>
        <bgColor indexed="64"/>
      </patternFill>
    </fill>
    <fill>
      <patternFill patternType="solid">
        <fgColor rgb="FFFFC000"/>
        <bgColor indexed="64"/>
      </patternFill>
    </fill>
    <fill>
      <patternFill patternType="solid">
        <fgColor rgb="FFFF9C85"/>
        <bgColor indexed="64"/>
      </patternFill>
    </fill>
    <fill>
      <patternFill patternType="solid">
        <fgColor rgb="FFFFFFCC"/>
        <bgColor indexed="64"/>
      </patternFill>
    </fill>
    <fill>
      <patternFill patternType="solid">
        <fgColor rgb="FFFFFF99"/>
        <bgColor indexed="64"/>
      </patternFill>
    </fill>
    <fill>
      <patternFill patternType="solid">
        <fgColor rgb="FFE5B8B7"/>
        <bgColor indexed="64"/>
      </patternFill>
    </fill>
    <fill>
      <patternFill patternType="solid">
        <fgColor rgb="FFD6E3BC"/>
        <bgColor indexed="64"/>
      </patternFill>
    </fill>
    <fill>
      <patternFill patternType="solid">
        <fgColor rgb="FF92CDDC"/>
        <bgColor indexed="64"/>
      </patternFill>
    </fill>
    <fill>
      <patternFill patternType="solid">
        <fgColor rgb="FFCFDDED"/>
        <bgColor indexed="64"/>
      </patternFill>
    </fill>
    <fill>
      <patternFill patternType="solid">
        <fgColor rgb="FFB8CCE4"/>
        <bgColor indexed="64"/>
      </patternFill>
    </fill>
    <fill>
      <patternFill patternType="solid">
        <fgColor rgb="FFFF7C5D"/>
        <bgColor indexed="64"/>
      </patternFill>
    </fill>
    <fill>
      <patternFill patternType="solid">
        <fgColor rgb="FFAFDC7E"/>
        <bgColor indexed="64"/>
      </patternFill>
    </fill>
    <fill>
      <patternFill patternType="solid">
        <fgColor rgb="FFFFFF66"/>
        <bgColor indexed="64"/>
      </patternFill>
    </fill>
    <fill>
      <patternFill patternType="solid">
        <fgColor rgb="FFD99594"/>
        <bgColor indexed="64"/>
      </patternFill>
    </fill>
    <fill>
      <patternFill patternType="solid">
        <fgColor rgb="FFFFFF99"/>
        <bgColor indexed="64"/>
      </patternFill>
    </fill>
    <fill>
      <patternFill patternType="solid">
        <fgColor rgb="FFDDD9C3"/>
        <bgColor indexed="64"/>
      </patternFill>
    </fill>
    <fill>
      <patternFill patternType="solid">
        <fgColor rgb="FFFFFF99"/>
        <bgColor indexed="64"/>
      </patternFill>
    </fill>
    <fill>
      <patternFill patternType="solid">
        <fgColor rgb="FFFFFF99"/>
        <bgColor indexed="64"/>
      </patternFill>
    </fill>
    <fill>
      <patternFill patternType="solid">
        <fgColor rgb="FFFFFF99"/>
        <bgColor indexed="64"/>
      </patternFill>
    </fill>
    <fill>
      <patternFill patternType="solid">
        <fgColor rgb="FFFF9C85"/>
        <bgColor indexed="64"/>
      </patternFill>
    </fill>
    <fill>
      <patternFill patternType="solid">
        <fgColor rgb="FFC2D69B"/>
        <bgColor indexed="64"/>
      </patternFill>
    </fill>
    <fill>
      <patternFill patternType="solid">
        <fgColor rgb="FFFFFF99"/>
        <bgColor indexed="64"/>
      </patternFill>
    </fill>
    <fill>
      <patternFill patternType="solid">
        <fgColor rgb="FFFABF8F"/>
        <bgColor indexed="64"/>
      </patternFill>
    </fill>
    <fill>
      <patternFill patternType="solid">
        <fgColor rgb="FFB6DDE8"/>
        <bgColor indexed="64"/>
      </patternFill>
    </fill>
    <fill>
      <patternFill patternType="solid">
        <fgColor rgb="FFFFFF99"/>
        <bgColor indexed="64"/>
      </patternFill>
    </fill>
    <fill>
      <patternFill patternType="solid">
        <fgColor rgb="FFB6DDE8"/>
        <bgColor indexed="64"/>
      </patternFill>
    </fill>
    <fill>
      <patternFill patternType="solid">
        <fgColor rgb="FFAFDC7E"/>
        <bgColor indexed="64"/>
      </patternFill>
    </fill>
    <fill>
      <patternFill patternType="solid">
        <fgColor rgb="FFC2D69B"/>
        <bgColor indexed="64"/>
      </patternFill>
    </fill>
    <fill>
      <patternFill patternType="solid">
        <fgColor rgb="FF92CDDC"/>
        <bgColor indexed="64"/>
      </patternFill>
    </fill>
    <fill>
      <patternFill patternType="solid">
        <fgColor rgb="FFAFDC7E"/>
        <bgColor indexed="64"/>
      </patternFill>
    </fill>
    <fill>
      <patternFill patternType="solid">
        <fgColor rgb="FFFF7C5D"/>
        <bgColor indexed="64"/>
      </patternFill>
    </fill>
    <fill>
      <patternFill patternType="solid">
        <fgColor rgb="FFFABF8F"/>
        <bgColor indexed="64"/>
      </patternFill>
    </fill>
    <fill>
      <patternFill patternType="solid">
        <fgColor rgb="FFFBD4B4"/>
        <bgColor indexed="64"/>
      </patternFill>
    </fill>
    <fill>
      <patternFill patternType="solid">
        <fgColor rgb="FFB8CCE4"/>
        <bgColor indexed="64"/>
      </patternFill>
    </fill>
    <fill>
      <patternFill patternType="solid">
        <fgColor rgb="FFFFFF99"/>
        <bgColor indexed="64"/>
      </patternFill>
    </fill>
    <fill>
      <patternFill patternType="solid">
        <fgColor rgb="FFFFFF99"/>
        <bgColor indexed="64"/>
      </patternFill>
    </fill>
    <fill>
      <patternFill patternType="solid">
        <fgColor rgb="FFFBD4B4"/>
        <bgColor indexed="64"/>
      </patternFill>
    </fill>
    <fill>
      <patternFill patternType="solid">
        <fgColor rgb="FFC2D69B"/>
        <bgColor indexed="64"/>
      </patternFill>
    </fill>
    <fill>
      <patternFill patternType="solid">
        <fgColor rgb="FFDDD9C3"/>
        <bgColor indexed="64"/>
      </patternFill>
    </fill>
    <fill>
      <patternFill patternType="solid">
        <fgColor rgb="FFCFDDED"/>
        <bgColor indexed="64"/>
      </patternFill>
    </fill>
    <fill>
      <patternFill patternType="solid">
        <fgColor rgb="FFFFFFFF"/>
        <bgColor indexed="64"/>
      </patternFill>
    </fill>
    <fill>
      <patternFill patternType="solid">
        <fgColor rgb="FFFFFF66"/>
        <bgColor indexed="64"/>
      </patternFill>
    </fill>
    <fill>
      <patternFill patternType="solid">
        <fgColor rgb="FF92D050"/>
        <bgColor indexed="64"/>
      </patternFill>
    </fill>
    <fill>
      <patternFill patternType="solid">
        <fgColor rgb="FFFFFF66"/>
        <bgColor indexed="64"/>
      </patternFill>
    </fill>
    <fill>
      <patternFill patternType="solid">
        <fgColor rgb="FF92D050"/>
        <bgColor indexed="64"/>
      </patternFill>
    </fill>
    <fill>
      <patternFill patternType="solid">
        <fgColor rgb="FFFABF8F"/>
        <bgColor indexed="64"/>
      </patternFill>
    </fill>
    <fill>
      <patternFill patternType="solid">
        <fgColor rgb="FF92D050"/>
        <bgColor indexed="64"/>
      </patternFill>
    </fill>
    <fill>
      <patternFill patternType="solid">
        <fgColor rgb="FFD8D8D8"/>
        <bgColor indexed="64"/>
      </patternFill>
    </fill>
    <fill>
      <patternFill patternType="solid">
        <fgColor rgb="FFAFDC7E"/>
        <bgColor indexed="64"/>
      </patternFill>
    </fill>
    <fill>
      <patternFill patternType="solid">
        <fgColor rgb="FFFFFF66"/>
        <bgColor indexed="64"/>
      </patternFill>
    </fill>
    <fill>
      <patternFill patternType="solid">
        <fgColor rgb="FFFFFF99"/>
        <bgColor indexed="64"/>
      </patternFill>
    </fill>
    <fill>
      <patternFill patternType="solid">
        <fgColor rgb="FFFF9C85"/>
        <bgColor indexed="64"/>
      </patternFill>
    </fill>
    <fill>
      <patternFill patternType="solid">
        <fgColor rgb="FFFF7C5D"/>
        <bgColor indexed="64"/>
      </patternFill>
    </fill>
    <fill>
      <patternFill patternType="solid">
        <fgColor rgb="FFDBE5F1"/>
        <bgColor indexed="64"/>
      </patternFill>
    </fill>
    <fill>
      <patternFill patternType="solid">
        <fgColor rgb="FFD6E3BC"/>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66FF"/>
        <bgColor indexed="64"/>
      </patternFill>
    </fill>
    <fill>
      <patternFill patternType="solid">
        <fgColor theme="4" tint="0.59999389629810485"/>
        <bgColor indexed="64"/>
      </patternFill>
    </fill>
    <fill>
      <patternFill patternType="solid">
        <fgColor rgb="FFFF7C80"/>
        <bgColor indexed="64"/>
      </patternFill>
    </fill>
    <fill>
      <patternFill patternType="solid">
        <fgColor rgb="FFFF0000"/>
        <bgColor indexed="64"/>
      </patternFill>
    </fill>
    <fill>
      <patternFill patternType="solid">
        <fgColor rgb="FF66FF66"/>
        <bgColor indexed="64"/>
      </patternFill>
    </fill>
    <fill>
      <patternFill patternType="solid">
        <fgColor rgb="FF3399FF"/>
        <bgColor indexed="64"/>
      </patternFill>
    </fill>
    <fill>
      <patternFill patternType="solid">
        <fgColor rgb="FF9999FF"/>
        <bgColor indexed="64"/>
      </patternFill>
    </fill>
    <fill>
      <patternFill patternType="solid">
        <fgColor rgb="FFFF9966"/>
        <bgColor indexed="64"/>
      </patternFill>
    </fill>
    <fill>
      <patternFill patternType="solid">
        <fgColor rgb="FF66FFFF"/>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4"/>
        <bgColor indexed="64"/>
      </patternFill>
    </fill>
    <fill>
      <patternFill patternType="solid">
        <fgColor theme="2"/>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bgColor indexed="64"/>
      </patternFill>
    </fill>
  </fills>
  <borders count="274">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medium">
        <color indexed="64"/>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bottom/>
      <diagonal/>
    </border>
    <border>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top style="thin">
        <color indexed="64"/>
      </top>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medium">
        <color indexed="64"/>
      </right>
      <top/>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top/>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5">
    <xf numFmtId="0" fontId="0" fillId="0" borderId="0"/>
    <xf numFmtId="43" fontId="763" fillId="0" borderId="0" applyFont="0" applyFill="0" applyBorder="0" applyAlignment="0" applyProtection="0"/>
    <xf numFmtId="44" fontId="777" fillId="0" borderId="0" applyFont="0" applyFill="0" applyBorder="0" applyAlignment="0" applyProtection="0"/>
    <xf numFmtId="0" fontId="778" fillId="0" borderId="0" applyNumberFormat="0" applyFill="0" applyBorder="0" applyAlignment="0" applyProtection="0">
      <alignment vertical="top"/>
      <protection locked="0"/>
    </xf>
    <xf numFmtId="9" fontId="785" fillId="0" borderId="0" applyFont="0" applyFill="0" applyBorder="0" applyAlignment="0" applyProtection="0"/>
  </cellStyleXfs>
  <cellXfs count="2666">
    <xf numFmtId="0" fontId="0" fillId="0" borderId="0" xfId="0" applyAlignment="1">
      <alignment wrapText="1"/>
    </xf>
    <xf numFmtId="0" fontId="12" fillId="0" borderId="0" xfId="0" applyFont="1" applyAlignment="1">
      <alignment horizontal="center" vertical="center"/>
    </xf>
    <xf numFmtId="0" fontId="22" fillId="0" borderId="5" xfId="0" applyFont="1" applyBorder="1" applyAlignment="1">
      <alignment horizontal="right" vertical="center"/>
    </xf>
    <xf numFmtId="169" fontId="34" fillId="0" borderId="0" xfId="0" applyNumberFormat="1" applyFont="1" applyAlignment="1">
      <alignment horizontal="center" vertical="center"/>
    </xf>
    <xf numFmtId="0" fontId="42" fillId="26" borderId="12" xfId="0" applyFont="1" applyFill="1" applyBorder="1" applyAlignment="1">
      <alignment horizontal="center" vertical="center"/>
    </xf>
    <xf numFmtId="0" fontId="44" fillId="28" borderId="13" xfId="0" applyFont="1" applyFill="1" applyBorder="1" applyAlignment="1">
      <alignment horizontal="center" vertical="center"/>
    </xf>
    <xf numFmtId="0" fontId="57" fillId="0" borderId="0" xfId="0" applyFont="1" applyAlignment="1">
      <alignment horizontal="center" vertical="center" wrapText="1"/>
    </xf>
    <xf numFmtId="164" fontId="63" fillId="0" borderId="16" xfId="0" applyNumberFormat="1" applyFont="1" applyBorder="1" applyAlignment="1">
      <alignment horizontal="center" vertical="center"/>
    </xf>
    <xf numFmtId="0" fontId="66" fillId="0" borderId="0" xfId="0" applyFont="1" applyAlignment="1">
      <alignment vertical="center"/>
    </xf>
    <xf numFmtId="0" fontId="73" fillId="0" borderId="19" xfId="0" applyFont="1" applyBorder="1" applyAlignment="1">
      <alignment horizontal="center" vertical="center" wrapText="1"/>
    </xf>
    <xf numFmtId="0" fontId="76" fillId="46" borderId="0" xfId="0" applyFont="1" applyFill="1" applyAlignment="1">
      <alignment horizontal="center" vertical="center"/>
    </xf>
    <xf numFmtId="0" fontId="81" fillId="0" borderId="22" xfId="0" applyFont="1" applyBorder="1" applyAlignment="1">
      <alignment horizontal="center" vertical="center"/>
    </xf>
    <xf numFmtId="164" fontId="82" fillId="0" borderId="23" xfId="0" applyNumberFormat="1" applyFont="1" applyBorder="1" applyAlignment="1">
      <alignment horizontal="center" vertical="center"/>
    </xf>
    <xf numFmtId="164" fontId="84" fillId="49" borderId="25" xfId="0" applyNumberFormat="1" applyFont="1" applyFill="1" applyBorder="1" applyAlignment="1">
      <alignment horizontal="center" vertical="center"/>
    </xf>
    <xf numFmtId="0" fontId="94" fillId="56" borderId="28" xfId="0" applyFont="1" applyFill="1" applyBorder="1" applyAlignment="1">
      <alignment horizontal="center" vertical="center"/>
    </xf>
    <xf numFmtId="164" fontId="105" fillId="62" borderId="31" xfId="0" applyNumberFormat="1" applyFont="1" applyFill="1" applyBorder="1" applyAlignment="1">
      <alignment horizontal="center" vertical="center"/>
    </xf>
    <xf numFmtId="164" fontId="108" fillId="64" borderId="0" xfId="0" applyNumberFormat="1" applyFont="1" applyFill="1" applyAlignment="1">
      <alignment horizontal="center" vertical="center"/>
    </xf>
    <xf numFmtId="0" fontId="118" fillId="69" borderId="35" xfId="0" applyFont="1" applyFill="1" applyBorder="1" applyAlignment="1">
      <alignment horizontal="center" vertical="center" wrapText="1"/>
    </xf>
    <xf numFmtId="164" fontId="143" fillId="85" borderId="45" xfId="0" applyNumberFormat="1" applyFont="1" applyFill="1" applyBorder="1" applyAlignment="1">
      <alignment horizontal="center" vertical="center"/>
    </xf>
    <xf numFmtId="0" fontId="145" fillId="87" borderId="46" xfId="0" applyFont="1" applyFill="1" applyBorder="1" applyAlignment="1">
      <alignment horizontal="center" vertical="center"/>
    </xf>
    <xf numFmtId="0" fontId="156" fillId="0" borderId="0" xfId="0" applyNumberFormat="1" applyFont="1" applyAlignment="1">
      <alignment horizontal="right" vertical="center"/>
    </xf>
    <xf numFmtId="164" fontId="169" fillId="0" borderId="51" xfId="0" applyNumberFormat="1" applyFont="1" applyBorder="1" applyAlignment="1">
      <alignment horizontal="center" vertical="center"/>
    </xf>
    <xf numFmtId="164" fontId="172" fillId="106" borderId="52" xfId="0" applyNumberFormat="1" applyFont="1" applyFill="1" applyBorder="1" applyAlignment="1">
      <alignment horizontal="center" vertical="center"/>
    </xf>
    <xf numFmtId="164" fontId="173" fillId="107" borderId="53" xfId="0" applyNumberFormat="1" applyFont="1" applyFill="1" applyBorder="1" applyAlignment="1">
      <alignment horizontal="center" vertical="center"/>
    </xf>
    <xf numFmtId="164" fontId="175" fillId="109" borderId="54" xfId="0" applyNumberFormat="1" applyFont="1" applyFill="1" applyBorder="1" applyAlignment="1">
      <alignment horizontal="center" vertical="center"/>
    </xf>
    <xf numFmtId="0" fontId="177" fillId="0" borderId="55" xfId="0" applyFont="1" applyBorder="1" applyAlignment="1">
      <alignment horizontal="center" vertical="center"/>
    </xf>
    <xf numFmtId="0" fontId="191" fillId="0" borderId="59" xfId="0" applyFont="1" applyBorder="1" applyAlignment="1">
      <alignment horizontal="center" vertical="center"/>
    </xf>
    <xf numFmtId="164" fontId="192" fillId="118" borderId="60" xfId="0" applyNumberFormat="1" applyFont="1" applyFill="1" applyBorder="1" applyAlignment="1">
      <alignment horizontal="center" vertical="center"/>
    </xf>
    <xf numFmtId="164" fontId="203" fillId="127" borderId="64" xfId="0" applyNumberFormat="1" applyFont="1" applyFill="1" applyBorder="1" applyAlignment="1">
      <alignment horizontal="center" vertical="center"/>
    </xf>
    <xf numFmtId="0" fontId="207" fillId="129" borderId="66" xfId="0" applyFont="1" applyFill="1" applyBorder="1" applyAlignment="1">
      <alignment horizontal="center" vertical="center"/>
    </xf>
    <xf numFmtId="0" fontId="209" fillId="0" borderId="68" xfId="0" applyFont="1" applyBorder="1" applyAlignment="1">
      <alignment horizontal="center" vertical="center"/>
    </xf>
    <xf numFmtId="0" fontId="211" fillId="0" borderId="0" xfId="0" applyFont="1" applyAlignment="1">
      <alignment horizontal="center" vertical="center" wrapText="1"/>
    </xf>
    <xf numFmtId="0" fontId="218" fillId="0" borderId="72" xfId="0" applyFont="1" applyBorder="1" applyAlignment="1">
      <alignment horizontal="center" vertical="center"/>
    </xf>
    <xf numFmtId="164" fontId="222" fillId="135" borderId="73" xfId="0" applyNumberFormat="1" applyFont="1" applyFill="1" applyBorder="1" applyAlignment="1">
      <alignment horizontal="center" vertical="center"/>
    </xf>
    <xf numFmtId="3" fontId="229" fillId="0" borderId="0" xfId="0" applyNumberFormat="1" applyFont="1" applyAlignment="1">
      <alignment horizontal="right" vertical="center"/>
    </xf>
    <xf numFmtId="0" fontId="236" fillId="0" borderId="76" xfId="0" applyFont="1" applyBorder="1" applyAlignment="1">
      <alignment vertical="center"/>
    </xf>
    <xf numFmtId="164" fontId="243" fillId="144" borderId="0" xfId="0" applyNumberFormat="1" applyFont="1" applyFill="1" applyAlignment="1">
      <alignment horizontal="center" vertical="center"/>
    </xf>
    <xf numFmtId="0" fontId="246" fillId="147" borderId="79" xfId="0" applyFont="1" applyFill="1" applyBorder="1" applyAlignment="1">
      <alignment horizontal="center" vertical="center"/>
    </xf>
    <xf numFmtId="164" fontId="248" fillId="0" borderId="81" xfId="0" applyNumberFormat="1" applyFont="1" applyBorder="1" applyAlignment="1">
      <alignment horizontal="center" vertical="center"/>
    </xf>
    <xf numFmtId="164" fontId="253" fillId="151" borderId="83" xfId="0" applyNumberFormat="1" applyFont="1" applyFill="1" applyBorder="1" applyAlignment="1">
      <alignment horizontal="center" vertical="center"/>
    </xf>
    <xf numFmtId="0" fontId="256" fillId="153" borderId="84" xfId="0" applyFont="1" applyFill="1" applyBorder="1" applyAlignment="1">
      <alignment horizontal="center" vertical="center"/>
    </xf>
    <xf numFmtId="0" fontId="289" fillId="171" borderId="91" xfId="0" applyFont="1" applyFill="1" applyBorder="1" applyAlignment="1">
      <alignment horizontal="center" vertical="center"/>
    </xf>
    <xf numFmtId="164" fontId="293" fillId="175" borderId="93" xfId="0" applyNumberFormat="1" applyFont="1" applyFill="1" applyBorder="1" applyAlignment="1">
      <alignment horizontal="center" vertical="center"/>
    </xf>
    <xf numFmtId="0" fontId="296" fillId="177" borderId="95" xfId="0" applyFont="1" applyFill="1" applyBorder="1" applyAlignment="1">
      <alignment horizontal="center" vertical="center"/>
    </xf>
    <xf numFmtId="0" fontId="300" fillId="0" borderId="98" xfId="0" applyFont="1" applyBorder="1" applyAlignment="1">
      <alignment horizontal="center" vertical="center"/>
    </xf>
    <xf numFmtId="164" fontId="309" fillId="184" borderId="103" xfId="0" applyNumberFormat="1" applyFont="1" applyFill="1" applyBorder="1" applyAlignment="1">
      <alignment horizontal="center" vertical="center"/>
    </xf>
    <xf numFmtId="164" fontId="325" fillId="192" borderId="107" xfId="0" applyNumberFormat="1" applyFont="1" applyFill="1" applyBorder="1" applyAlignment="1">
      <alignment horizontal="center" vertical="center"/>
    </xf>
    <xf numFmtId="164" fontId="328" fillId="193" borderId="110" xfId="0" applyNumberFormat="1" applyFont="1" applyFill="1" applyBorder="1" applyAlignment="1">
      <alignment horizontal="center" vertical="center"/>
    </xf>
    <xf numFmtId="164" fontId="344" fillId="199" borderId="114" xfId="0" applyNumberFormat="1" applyFont="1" applyFill="1" applyBorder="1" applyAlignment="1">
      <alignment horizontal="center" vertical="center"/>
    </xf>
    <xf numFmtId="0" fontId="346" fillId="200" borderId="0" xfId="0" applyNumberFormat="1" applyFont="1" applyFill="1" applyAlignment="1">
      <alignment horizontal="center" vertical="center"/>
    </xf>
    <xf numFmtId="0" fontId="352" fillId="204" borderId="116" xfId="0" applyFont="1" applyFill="1" applyBorder="1" applyAlignment="1">
      <alignment horizontal="center" vertical="center"/>
    </xf>
    <xf numFmtId="164" fontId="356" fillId="0" borderId="118" xfId="0" applyNumberFormat="1" applyFont="1" applyBorder="1" applyAlignment="1">
      <alignment horizontal="center" vertical="center"/>
    </xf>
    <xf numFmtId="0" fontId="358" fillId="210" borderId="0" xfId="0" applyFont="1" applyFill="1" applyAlignment="1">
      <alignment horizontal="center"/>
    </xf>
    <xf numFmtId="0" fontId="362" fillId="0" borderId="120" xfId="0" applyFont="1" applyBorder="1" applyAlignment="1">
      <alignment vertical="center"/>
    </xf>
    <xf numFmtId="164" fontId="364" fillId="0" borderId="122" xfId="0" applyNumberFormat="1" applyFont="1" applyBorder="1" applyAlignment="1">
      <alignment horizontal="center" vertical="center"/>
    </xf>
    <xf numFmtId="0" fontId="371" fillId="219" borderId="124" xfId="0" applyFont="1" applyFill="1" applyBorder="1" applyAlignment="1">
      <alignment horizontal="center" vertical="center"/>
    </xf>
    <xf numFmtId="0" fontId="372" fillId="220" borderId="125" xfId="0" applyFont="1" applyFill="1" applyBorder="1" applyAlignment="1">
      <alignment horizontal="center" vertical="center" wrapText="1"/>
    </xf>
    <xf numFmtId="164" fontId="381" fillId="0" borderId="128" xfId="0" applyNumberFormat="1" applyFont="1" applyBorder="1" applyAlignment="1">
      <alignment horizontal="center" vertical="center"/>
    </xf>
    <xf numFmtId="166" fontId="390" fillId="0" borderId="0" xfId="0" applyNumberFormat="1" applyFont="1" applyAlignment="1">
      <alignment horizontal="center" vertical="center"/>
    </xf>
    <xf numFmtId="164" fontId="398" fillId="233" borderId="130" xfId="0" applyNumberFormat="1" applyFont="1" applyFill="1" applyBorder="1" applyAlignment="1">
      <alignment horizontal="center" vertical="center"/>
    </xf>
    <xf numFmtId="0" fontId="403" fillId="0" borderId="0" xfId="0" applyFont="1" applyAlignment="1">
      <alignment horizontal="left" vertical="center"/>
    </xf>
    <xf numFmtId="0" fontId="407" fillId="0" borderId="132" xfId="0" applyFont="1" applyBorder="1" applyAlignment="1">
      <alignment horizontal="center" vertical="center"/>
    </xf>
    <xf numFmtId="0" fontId="409" fillId="0" borderId="0" xfId="0" applyFont="1" applyAlignment="1">
      <alignment horizontal="left" vertical="center"/>
    </xf>
    <xf numFmtId="3" fontId="420" fillId="246" borderId="136" xfId="0" applyNumberFormat="1" applyFont="1" applyFill="1" applyBorder="1" applyAlignment="1">
      <alignment horizontal="center" vertical="center"/>
    </xf>
    <xf numFmtId="164" fontId="422" fillId="0" borderId="0" xfId="0" applyNumberFormat="1" applyFont="1" applyAlignment="1">
      <alignment horizontal="center" vertical="center"/>
    </xf>
    <xf numFmtId="164" fontId="424" fillId="248" borderId="137" xfId="0" applyNumberFormat="1" applyFont="1" applyFill="1" applyBorder="1" applyAlignment="1">
      <alignment horizontal="center" vertical="center"/>
    </xf>
    <xf numFmtId="0" fontId="425" fillId="0" borderId="138" xfId="0" applyFont="1" applyBorder="1" applyAlignment="1">
      <alignment horizontal="center" vertical="center"/>
    </xf>
    <xf numFmtId="4" fontId="426" fillId="0" borderId="0" xfId="0" applyNumberFormat="1" applyFont="1" applyAlignment="1">
      <alignment horizontal="center" vertical="center"/>
    </xf>
    <xf numFmtId="0" fontId="432" fillId="252" borderId="140" xfId="0" applyFont="1" applyFill="1" applyBorder="1" applyAlignment="1">
      <alignment horizontal="center" vertical="center"/>
    </xf>
    <xf numFmtId="0" fontId="437" fillId="0" borderId="0" xfId="0" applyFont="1" applyAlignment="1">
      <alignment horizontal="right" vertical="center"/>
    </xf>
    <xf numFmtId="164" fontId="441" fillId="259" borderId="143" xfId="0" applyNumberFormat="1" applyFont="1" applyFill="1" applyBorder="1" applyAlignment="1">
      <alignment horizontal="center" vertical="center"/>
    </xf>
    <xf numFmtId="164" fontId="444" fillId="261" borderId="145" xfId="0" applyNumberFormat="1" applyFont="1" applyFill="1" applyBorder="1" applyAlignment="1">
      <alignment horizontal="center" vertical="center"/>
    </xf>
    <xf numFmtId="0" fontId="448" fillId="0" borderId="0" xfId="0" applyNumberFormat="1" applyFont="1" applyAlignment="1">
      <alignment vertical="center"/>
    </xf>
    <xf numFmtId="0" fontId="449" fillId="0" borderId="146" xfId="0" applyFont="1" applyBorder="1" applyAlignment="1">
      <alignment horizontal="center" vertical="center"/>
    </xf>
    <xf numFmtId="0" fontId="458" fillId="271" borderId="148" xfId="0" applyFont="1" applyFill="1" applyBorder="1" applyAlignment="1">
      <alignment horizontal="center" vertical="center" wrapText="1"/>
    </xf>
    <xf numFmtId="0" fontId="460" fillId="273" borderId="149" xfId="0" applyFont="1" applyFill="1" applyBorder="1" applyAlignment="1">
      <alignment horizontal="center" vertical="center"/>
    </xf>
    <xf numFmtId="164" fontId="474" fillId="0" borderId="153" xfId="0" applyNumberFormat="1" applyFont="1" applyBorder="1" applyAlignment="1">
      <alignment horizontal="center" vertical="center"/>
    </xf>
    <xf numFmtId="0" fontId="482" fillId="0" borderId="158" xfId="0" applyFont="1" applyBorder="1" applyAlignment="1">
      <alignment horizontal="center" vertical="center"/>
    </xf>
    <xf numFmtId="0" fontId="492" fillId="0" borderId="159" xfId="0" applyFont="1" applyBorder="1" applyAlignment="1">
      <alignment horizontal="center" vertical="center" wrapText="1"/>
    </xf>
    <xf numFmtId="0" fontId="517" fillId="306" borderId="165" xfId="0" applyFont="1" applyFill="1" applyBorder="1" applyAlignment="1">
      <alignment horizontal="center" vertical="center"/>
    </xf>
    <xf numFmtId="0" fontId="519" fillId="308" borderId="0" xfId="0" applyNumberFormat="1" applyFont="1" applyFill="1" applyAlignment="1">
      <alignment horizontal="center" vertical="center"/>
    </xf>
    <xf numFmtId="0" fontId="534" fillId="317" borderId="171" xfId="0" applyFont="1" applyFill="1" applyBorder="1" applyAlignment="1">
      <alignment horizontal="center" vertical="center"/>
    </xf>
    <xf numFmtId="164" fontId="547" fillId="0" borderId="174" xfId="0" applyNumberFormat="1" applyFont="1" applyBorder="1" applyAlignment="1">
      <alignment horizontal="center" vertical="center"/>
    </xf>
    <xf numFmtId="3" fontId="548" fillId="0" borderId="0" xfId="0" applyNumberFormat="1" applyFont="1" applyAlignment="1">
      <alignment horizontal="center" vertical="center"/>
    </xf>
    <xf numFmtId="164" fontId="575" fillId="345" borderId="182" xfId="0" applyNumberFormat="1" applyFont="1" applyFill="1" applyBorder="1" applyAlignment="1">
      <alignment horizontal="center" vertical="center"/>
    </xf>
    <xf numFmtId="164" fontId="585" fillId="0" borderId="186" xfId="0" applyNumberFormat="1" applyFont="1" applyBorder="1" applyAlignment="1">
      <alignment horizontal="center" vertical="center"/>
    </xf>
    <xf numFmtId="0" fontId="590" fillId="0" borderId="0" xfId="0" applyFont="1" applyAlignment="1">
      <alignment horizontal="center" vertical="center"/>
    </xf>
    <xf numFmtId="0" fontId="596" fillId="357" borderId="191" xfId="0" applyFont="1" applyFill="1" applyBorder="1" applyAlignment="1">
      <alignment horizontal="center" vertical="center"/>
    </xf>
    <xf numFmtId="164" fontId="599" fillId="360" borderId="194" xfId="0" applyNumberFormat="1" applyFont="1" applyFill="1" applyBorder="1" applyAlignment="1">
      <alignment horizontal="center" vertical="center"/>
    </xf>
    <xf numFmtId="164" fontId="624" fillId="0" borderId="199" xfId="0" applyNumberFormat="1" applyFont="1" applyBorder="1" applyAlignment="1">
      <alignment horizontal="center" vertical="center"/>
    </xf>
    <xf numFmtId="164" fontId="632" fillId="382" borderId="202" xfId="0" applyNumberFormat="1" applyFont="1" applyFill="1" applyBorder="1" applyAlignment="1">
      <alignment horizontal="center" vertical="center"/>
    </xf>
    <xf numFmtId="165" fontId="633" fillId="0" borderId="0" xfId="0" applyNumberFormat="1" applyFont="1" applyAlignment="1">
      <alignment horizontal="center" vertical="center"/>
    </xf>
    <xf numFmtId="0" fontId="640" fillId="0" borderId="0" xfId="0" applyFont="1"/>
    <xf numFmtId="174" fontId="648" fillId="391" borderId="205" xfId="0" applyNumberFormat="1" applyFont="1" applyFill="1" applyBorder="1" applyAlignment="1">
      <alignment horizontal="center" vertical="center"/>
    </xf>
    <xf numFmtId="0" fontId="649" fillId="393" borderId="0" xfId="0" applyFont="1" applyFill="1" applyAlignment="1">
      <alignment horizontal="center" vertical="center"/>
    </xf>
    <xf numFmtId="49" fontId="666" fillId="0" borderId="0" xfId="0" applyNumberFormat="1" applyFont="1" applyAlignment="1">
      <alignment horizontal="center" vertical="center"/>
    </xf>
    <xf numFmtId="0" fontId="673" fillId="0" borderId="0" xfId="0" applyFont="1" applyAlignment="1">
      <alignment horizontal="center"/>
    </xf>
    <xf numFmtId="3" fontId="693" fillId="0" borderId="220" xfId="0" applyNumberFormat="1" applyFont="1" applyBorder="1" applyAlignment="1">
      <alignment horizontal="center" vertical="center"/>
    </xf>
    <xf numFmtId="0" fontId="703" fillId="422" borderId="224" xfId="0" applyFont="1" applyFill="1" applyBorder="1" applyAlignment="1">
      <alignment horizontal="center" vertical="center"/>
    </xf>
    <xf numFmtId="0" fontId="704" fillId="423" borderId="225" xfId="0" applyFont="1" applyFill="1" applyBorder="1" applyAlignment="1">
      <alignment horizontal="center" vertical="center"/>
    </xf>
    <xf numFmtId="0" fontId="713" fillId="0" borderId="230" xfId="0" applyFont="1" applyBorder="1" applyAlignment="1">
      <alignment vertical="center"/>
    </xf>
    <xf numFmtId="3" fontId="715" fillId="0" borderId="231" xfId="0" applyNumberFormat="1" applyFont="1" applyBorder="1" applyAlignment="1">
      <alignment horizontal="center" vertical="center"/>
    </xf>
    <xf numFmtId="164" fontId="723" fillId="0" borderId="233" xfId="0" applyNumberFormat="1" applyFont="1" applyBorder="1" applyAlignment="1">
      <alignment horizontal="center" vertical="center"/>
    </xf>
    <xf numFmtId="164" fontId="745" fillId="445" borderId="242" xfId="0" applyNumberFormat="1" applyFont="1" applyFill="1" applyBorder="1" applyAlignment="1">
      <alignment horizontal="center" vertical="center"/>
    </xf>
    <xf numFmtId="167" fontId="755" fillId="453" borderId="250" xfId="0" applyNumberFormat="1" applyFont="1" applyFill="1" applyBorder="1" applyAlignment="1">
      <alignment horizontal="center" vertical="center"/>
    </xf>
    <xf numFmtId="164" fontId="756" fillId="0" borderId="251" xfId="0" applyNumberFormat="1" applyFont="1" applyBorder="1" applyAlignment="1">
      <alignment horizontal="center" vertical="center"/>
    </xf>
    <xf numFmtId="164" fontId="757" fillId="454" borderId="252" xfId="0" applyNumberFormat="1" applyFont="1" applyFill="1" applyBorder="1" applyAlignment="1">
      <alignment horizontal="center" vertical="center"/>
    </xf>
    <xf numFmtId="0" fontId="759" fillId="0" borderId="254" xfId="0" applyFont="1" applyBorder="1" applyAlignment="1">
      <alignment vertical="center"/>
    </xf>
    <xf numFmtId="0" fontId="761" fillId="218" borderId="123" xfId="0" applyFont="1" applyFill="1" applyBorder="1" applyAlignment="1">
      <alignment horizontal="center" vertical="center" wrapText="1"/>
    </xf>
    <xf numFmtId="0" fontId="761" fillId="437" borderId="189" xfId="0" applyFont="1" applyFill="1" applyBorder="1" applyAlignment="1">
      <alignment horizontal="center" vertical="center" wrapText="1"/>
    </xf>
    <xf numFmtId="0" fontId="761" fillId="125" borderId="189" xfId="0" applyFont="1" applyFill="1" applyBorder="1" applyAlignment="1">
      <alignment horizontal="center" vertical="center" wrapText="1"/>
    </xf>
    <xf numFmtId="0" fontId="761" fillId="350" borderId="189" xfId="0" applyFont="1" applyFill="1" applyBorder="1" applyAlignment="1">
      <alignment horizontal="center" vertical="center" wrapText="1"/>
    </xf>
    <xf numFmtId="0" fontId="761" fillId="437" borderId="224" xfId="0" applyFont="1" applyFill="1" applyBorder="1" applyAlignment="1">
      <alignment horizontal="center" vertical="center" wrapText="1"/>
    </xf>
    <xf numFmtId="43" fontId="640" fillId="0" borderId="0" xfId="1" applyNumberFormat="1" applyFont="1"/>
    <xf numFmtId="43" fontId="0" fillId="0" borderId="0" xfId="1" applyNumberFormat="1" applyFont="1" applyAlignment="1">
      <alignment wrapText="1"/>
    </xf>
    <xf numFmtId="43" fontId="587" fillId="352" borderId="188" xfId="1" applyNumberFormat="1" applyFont="1" applyFill="1" applyBorder="1" applyAlignment="1">
      <alignment horizontal="center" vertical="center" wrapText="1"/>
    </xf>
    <xf numFmtId="43" fontId="731" fillId="437" borderId="236" xfId="1" applyNumberFormat="1" applyFont="1" applyFill="1" applyBorder="1" applyAlignment="1">
      <alignment horizontal="center" vertical="center" wrapText="1"/>
    </xf>
    <xf numFmtId="43" fontId="3" fillId="437" borderId="253" xfId="1" applyNumberFormat="1" applyFont="1" applyFill="1" applyBorder="1" applyAlignment="1">
      <alignment horizontal="center" vertical="center" wrapText="1"/>
    </xf>
    <xf numFmtId="43" fontId="200" fillId="125" borderId="63" xfId="1" applyNumberFormat="1" applyFont="1" applyFill="1" applyBorder="1" applyAlignment="1">
      <alignment horizontal="center" vertical="center" wrapText="1"/>
    </xf>
    <xf numFmtId="43" fontId="584" fillId="350" borderId="185" xfId="1" applyNumberFormat="1" applyFont="1" applyFill="1" applyBorder="1" applyAlignment="1">
      <alignment horizontal="center" vertical="center" wrapText="1"/>
    </xf>
    <xf numFmtId="43" fontId="370" fillId="218" borderId="253" xfId="1" applyNumberFormat="1" applyFont="1" applyFill="1" applyBorder="1" applyAlignment="1">
      <alignment horizontal="center" vertical="center" wrapText="1"/>
    </xf>
    <xf numFmtId="43" fontId="3" fillId="320" borderId="253" xfId="1" applyNumberFormat="1" applyFont="1" applyFill="1" applyBorder="1" applyAlignment="1">
      <alignment vertical="center" wrapText="1"/>
    </xf>
    <xf numFmtId="43" fontId="481" fillId="288" borderId="157" xfId="1" applyNumberFormat="1" applyFont="1" applyFill="1" applyBorder="1" applyAlignment="1">
      <alignment horizontal="center" vertical="center" wrapText="1"/>
    </xf>
    <xf numFmtId="43" fontId="3" fillId="288" borderId="253" xfId="1" applyNumberFormat="1" applyFont="1" applyFill="1" applyBorder="1" applyAlignment="1">
      <alignment horizontal="center" vertical="center" wrapText="1"/>
    </xf>
    <xf numFmtId="43" fontId="157" fillId="99" borderId="49" xfId="1" applyNumberFormat="1" applyFont="1" applyFill="1" applyBorder="1" applyAlignment="1">
      <alignment horizontal="center" vertical="center" wrapText="1"/>
    </xf>
    <xf numFmtId="43" fontId="217" fillId="132" borderId="71" xfId="1" applyNumberFormat="1" applyFont="1" applyFill="1" applyBorder="1" applyAlignment="1">
      <alignment horizontal="center" vertical="center" wrapText="1"/>
    </xf>
    <xf numFmtId="43" fontId="597" fillId="358" borderId="188" xfId="1" applyNumberFormat="1" applyFont="1" applyFill="1" applyBorder="1" applyAlignment="1">
      <alignment horizontal="center" vertical="center" wrapText="1"/>
    </xf>
    <xf numFmtId="43" fontId="597" fillId="358" borderId="192" xfId="1" applyNumberFormat="1" applyFont="1" applyFill="1" applyBorder="1" applyAlignment="1">
      <alignment horizontal="center" vertical="center" wrapText="1"/>
    </xf>
    <xf numFmtId="43" fontId="690" fillId="416" borderId="219" xfId="1" applyNumberFormat="1" applyFont="1" applyFill="1" applyBorder="1" applyAlignment="1">
      <alignment horizontal="center" vertical="center" wrapText="1"/>
    </xf>
    <xf numFmtId="43" fontId="690" fillId="416" borderId="253" xfId="1" applyNumberFormat="1" applyFont="1" applyFill="1" applyBorder="1" applyAlignment="1">
      <alignment horizontal="center" vertical="center" wrapText="1"/>
    </xf>
    <xf numFmtId="43" fontId="157" fillId="99" borderId="253" xfId="1" applyNumberFormat="1" applyFont="1" applyFill="1" applyBorder="1" applyAlignment="1">
      <alignment horizontal="center" vertical="center" wrapText="1"/>
    </xf>
    <xf numFmtId="43" fontId="0" fillId="0" borderId="253" xfId="1" applyNumberFormat="1" applyFont="1" applyBorder="1" applyAlignment="1">
      <alignment wrapText="1"/>
    </xf>
    <xf numFmtId="43" fontId="3" fillId="125" borderId="253" xfId="1" applyNumberFormat="1" applyFont="1" applyFill="1" applyBorder="1" applyAlignment="1">
      <alignment horizontal="center" vertical="center" wrapText="1"/>
    </xf>
    <xf numFmtId="43" fontId="3" fillId="99" borderId="253" xfId="1" applyNumberFormat="1" applyFont="1" applyFill="1" applyBorder="1" applyAlignment="1">
      <alignment horizontal="center" vertical="center" wrapText="1"/>
    </xf>
    <xf numFmtId="43" fontId="217" fillId="132" borderId="253" xfId="1" applyNumberFormat="1" applyFont="1" applyFill="1" applyBorder="1" applyAlignment="1">
      <alignment horizontal="center" vertical="center" wrapText="1"/>
    </xf>
    <xf numFmtId="43" fontId="481" fillId="288" borderId="253" xfId="1" applyNumberFormat="1" applyFont="1" applyFill="1" applyBorder="1" applyAlignment="1">
      <alignment horizontal="center" vertical="center" wrapText="1"/>
    </xf>
    <xf numFmtId="43" fontId="194" fillId="119" borderId="62" xfId="1" applyNumberFormat="1" applyFont="1" applyFill="1" applyBorder="1" applyAlignment="1">
      <alignment horizontal="center" wrapText="1"/>
    </xf>
    <xf numFmtId="43" fontId="194" fillId="119" borderId="253" xfId="1" applyNumberFormat="1" applyFont="1" applyFill="1" applyBorder="1" applyAlignment="1">
      <alignment horizontal="center" wrapText="1"/>
    </xf>
    <xf numFmtId="43" fontId="147" fillId="90" borderId="48" xfId="1" applyNumberFormat="1" applyFont="1" applyFill="1" applyBorder="1" applyAlignment="1">
      <alignment horizontal="center" wrapText="1"/>
    </xf>
    <xf numFmtId="43" fontId="4" fillId="4" borderId="1" xfId="1" applyNumberFormat="1" applyFont="1" applyFill="1" applyBorder="1" applyAlignment="1">
      <alignment horizontal="center" wrapText="1"/>
    </xf>
    <xf numFmtId="43" fontId="252" fillId="150" borderId="82" xfId="1" applyNumberFormat="1" applyFont="1" applyFill="1" applyBorder="1" applyAlignment="1">
      <alignment horizontal="center" vertical="center" wrapText="1"/>
    </xf>
    <xf numFmtId="43" fontId="533" fillId="316" borderId="170" xfId="1" applyNumberFormat="1" applyFont="1" applyFill="1" applyBorder="1" applyAlignment="1">
      <alignment horizontal="center" vertical="center" wrapText="1"/>
    </xf>
    <xf numFmtId="43" fontId="32" fillId="19" borderId="9" xfId="1" applyNumberFormat="1" applyFont="1" applyFill="1" applyBorder="1" applyAlignment="1">
      <alignment horizontal="center" vertical="center" wrapText="1"/>
    </xf>
    <xf numFmtId="43" fontId="310" fillId="0" borderId="104" xfId="1" applyNumberFormat="1" applyFont="1" applyBorder="1" applyAlignment="1">
      <alignment vertical="center" wrapText="1"/>
    </xf>
    <xf numFmtId="43" fontId="9" fillId="0" borderId="0" xfId="1" applyNumberFormat="1" applyFont="1" applyAlignment="1">
      <alignment vertical="center" wrapText="1"/>
    </xf>
    <xf numFmtId="43" fontId="295" fillId="0" borderId="94" xfId="1" applyNumberFormat="1" applyFont="1" applyBorder="1" applyAlignment="1">
      <alignment vertical="center" wrapText="1"/>
    </xf>
    <xf numFmtId="43" fontId="735" fillId="440" borderId="237" xfId="1" applyNumberFormat="1" applyFont="1" applyFill="1" applyBorder="1" applyAlignment="1">
      <alignment vertical="center" wrapText="1"/>
    </xf>
    <xf numFmtId="43" fontId="583" fillId="349" borderId="0" xfId="1" applyNumberFormat="1" applyFont="1" applyFill="1" applyAlignment="1">
      <alignment vertical="center" wrapText="1"/>
    </xf>
    <xf numFmtId="43" fontId="137" fillId="0" borderId="0" xfId="1" applyNumberFormat="1" applyFont="1" applyAlignment="1">
      <alignment vertical="center" wrapText="1"/>
    </xf>
    <xf numFmtId="43" fontId="87" fillId="0" borderId="0" xfId="1" applyNumberFormat="1" applyFont="1" applyAlignment="1">
      <alignment vertical="center" wrapText="1"/>
    </xf>
    <xf numFmtId="43" fontId="310" fillId="0" borderId="240" xfId="1" applyNumberFormat="1" applyFont="1" applyBorder="1" applyAlignment="1">
      <alignment vertical="center" wrapText="1"/>
    </xf>
    <xf numFmtId="0" fontId="329" fillId="0" borderId="111" xfId="0" applyFont="1" applyBorder="1" applyAlignment="1">
      <alignment horizontal="center" vertical="center"/>
    </xf>
    <xf numFmtId="0" fontId="673" fillId="0" borderId="0" xfId="0" applyFont="1" applyAlignment="1">
      <alignment horizontal="center" vertical="center"/>
    </xf>
    <xf numFmtId="0" fontId="640" fillId="0" borderId="0" xfId="0" applyFont="1" applyAlignment="1">
      <alignment horizontal="center" vertical="center"/>
    </xf>
    <xf numFmtId="0" fontId="239" fillId="0" borderId="77" xfId="0" applyFont="1" applyBorder="1" applyAlignment="1">
      <alignment horizontal="center" vertical="center"/>
    </xf>
    <xf numFmtId="0" fontId="0" fillId="0" borderId="0" xfId="0" applyAlignment="1">
      <alignment horizontal="center" vertical="center" wrapText="1"/>
    </xf>
    <xf numFmtId="0" fontId="640" fillId="0" borderId="0" xfId="0" applyFont="1" applyAlignment="1"/>
    <xf numFmtId="43" fontId="731" fillId="437" borderId="189" xfId="1" applyNumberFormat="1" applyFont="1" applyFill="1" applyBorder="1" applyAlignment="1">
      <alignment vertical="center" wrapText="1"/>
    </xf>
    <xf numFmtId="43" fontId="3" fillId="437" borderId="189" xfId="1" applyNumberFormat="1" applyFont="1" applyFill="1" applyBorder="1" applyAlignment="1">
      <alignment vertical="center" wrapText="1"/>
    </xf>
    <xf numFmtId="43" fontId="200" fillId="125" borderId="189" xfId="1" applyNumberFormat="1" applyFont="1" applyFill="1" applyBorder="1" applyAlignment="1">
      <alignment vertical="center" wrapText="1"/>
    </xf>
    <xf numFmtId="43" fontId="584" fillId="350" borderId="189" xfId="1" applyNumberFormat="1" applyFont="1" applyFill="1" applyBorder="1" applyAlignment="1">
      <alignment vertical="center" wrapText="1"/>
    </xf>
    <xf numFmtId="43" fontId="370" fillId="218" borderId="253" xfId="1" applyNumberFormat="1" applyFont="1" applyFill="1" applyBorder="1" applyAlignment="1">
      <alignment vertical="center" wrapText="1"/>
    </xf>
    <xf numFmtId="43" fontId="3" fillId="437" borderId="236" xfId="1" applyNumberFormat="1" applyFont="1" applyFill="1" applyBorder="1" applyAlignment="1">
      <alignment horizontal="center" vertical="center" wrapText="1"/>
    </xf>
    <xf numFmtId="43" fontId="3" fillId="437" borderId="189" xfId="1" applyNumberFormat="1" applyFont="1" applyFill="1" applyBorder="1" applyAlignment="1">
      <alignment horizontal="center" vertical="center" wrapText="1"/>
    </xf>
    <xf numFmtId="0" fontId="760" fillId="0" borderId="0" xfId="0" applyFont="1" applyAlignment="1">
      <alignment horizontal="center" vertical="center" wrapText="1"/>
    </xf>
    <xf numFmtId="43" fontId="3" fillId="142" borderId="189" xfId="1" applyNumberFormat="1" applyFont="1" applyFill="1" applyBorder="1" applyAlignment="1">
      <alignment vertical="center" wrapText="1"/>
    </xf>
    <xf numFmtId="43" fontId="3" fillId="123" borderId="189" xfId="1" applyNumberFormat="1" applyFont="1" applyFill="1" applyBorder="1" applyAlignment="1">
      <alignment vertical="center" wrapText="1"/>
    </xf>
    <xf numFmtId="43" fontId="3" fillId="176" borderId="189" xfId="1" applyNumberFormat="1" applyFont="1" applyFill="1" applyBorder="1" applyAlignment="1">
      <alignment vertical="center" wrapText="1"/>
    </xf>
    <xf numFmtId="43" fontId="3" fillId="320" borderId="189" xfId="1" applyNumberFormat="1" applyFont="1" applyFill="1" applyBorder="1" applyAlignment="1">
      <alignment vertical="center" wrapText="1"/>
    </xf>
    <xf numFmtId="0" fontId="491" fillId="0" borderId="0" xfId="0" applyFont="1" applyAlignment="1">
      <alignment horizontal="center"/>
    </xf>
    <xf numFmtId="0" fontId="590" fillId="0" borderId="0" xfId="0" applyFont="1" applyAlignment="1">
      <alignment horizontal="center" vertical="center"/>
    </xf>
    <xf numFmtId="0" fontId="12" fillId="0" borderId="0" xfId="0" applyFont="1" applyAlignment="1">
      <alignment horizontal="center" vertical="center"/>
    </xf>
    <xf numFmtId="0" fontId="12" fillId="0" borderId="0" xfId="0" applyFont="1" applyAlignment="1">
      <alignment horizontal="center" vertical="center"/>
    </xf>
    <xf numFmtId="0" fontId="0" fillId="0" borderId="0" xfId="0" applyAlignment="1" applyProtection="1">
      <alignment wrapText="1"/>
      <protection locked="0"/>
    </xf>
    <xf numFmtId="0" fontId="762" fillId="0" borderId="0" xfId="0" applyFont="1" applyAlignment="1" applyProtection="1">
      <alignment wrapText="1"/>
      <protection locked="0"/>
    </xf>
    <xf numFmtId="0" fontId="0" fillId="0" borderId="0" xfId="0" applyAlignment="1" applyProtection="1">
      <alignment horizontal="center" vertical="center" wrapText="1"/>
      <protection locked="0"/>
    </xf>
    <xf numFmtId="0" fontId="124" fillId="73" borderId="214" xfId="0" applyFont="1" applyFill="1" applyBorder="1" applyAlignment="1">
      <alignment horizontal="right"/>
    </xf>
    <xf numFmtId="0" fontId="131" fillId="78" borderId="214" xfId="0" applyFont="1" applyFill="1" applyBorder="1" applyAlignment="1">
      <alignment horizontal="right"/>
    </xf>
    <xf numFmtId="0" fontId="0" fillId="0" borderId="0" xfId="0" applyBorder="1" applyAlignment="1">
      <alignment wrapText="1"/>
    </xf>
    <xf numFmtId="0" fontId="365" fillId="214" borderId="0" xfId="0" applyFont="1" applyFill="1" applyBorder="1" applyAlignment="1">
      <alignment horizontal="center" vertical="center" textRotation="90"/>
    </xf>
    <xf numFmtId="0" fontId="129" fillId="76" borderId="214" xfId="0" applyFont="1" applyFill="1" applyBorder="1" applyAlignment="1">
      <alignment horizontal="right"/>
    </xf>
    <xf numFmtId="0" fontId="457" fillId="270" borderId="214" xfId="0" applyFont="1" applyFill="1" applyBorder="1" applyAlignment="1">
      <alignment horizontal="right"/>
    </xf>
    <xf numFmtId="0" fontId="3" fillId="3" borderId="214" xfId="0" applyFont="1" applyFill="1" applyBorder="1" applyAlignment="1">
      <alignment horizontal="right"/>
    </xf>
    <xf numFmtId="0" fontId="152" fillId="95" borderId="214" xfId="0" applyFont="1" applyFill="1" applyBorder="1" applyAlignment="1">
      <alignment horizontal="right"/>
    </xf>
    <xf numFmtId="2" fontId="52" fillId="35" borderId="250" xfId="0" applyNumberFormat="1" applyFont="1" applyFill="1" applyBorder="1" applyAlignment="1">
      <alignment horizontal="center" vertical="center"/>
    </xf>
    <xf numFmtId="2" fontId="117" fillId="68" borderId="250" xfId="0" applyNumberFormat="1" applyFont="1" applyFill="1" applyBorder="1" applyAlignment="1">
      <alignment horizontal="center" vertical="center"/>
    </xf>
    <xf numFmtId="2" fontId="276" fillId="163" borderId="250" xfId="0" applyNumberFormat="1" applyFont="1" applyFill="1" applyBorder="1" applyAlignment="1">
      <alignment horizontal="center" vertical="center"/>
    </xf>
    <xf numFmtId="2" fontId="197" fillId="121" borderId="250" xfId="0" applyNumberFormat="1" applyFont="1" applyFill="1" applyBorder="1" applyAlignment="1">
      <alignment horizontal="center" vertical="center"/>
    </xf>
    <xf numFmtId="2" fontId="21" fillId="13" borderId="250" xfId="0" applyNumberFormat="1" applyFont="1" applyFill="1" applyBorder="1" applyAlignment="1">
      <alignment horizontal="center" vertical="center"/>
    </xf>
    <xf numFmtId="2" fontId="560" fillId="335" borderId="250" xfId="0" applyNumberFormat="1" applyFont="1" applyFill="1" applyBorder="1" applyAlignment="1">
      <alignment horizontal="center" vertical="center"/>
    </xf>
    <xf numFmtId="0" fontId="668" fillId="0" borderId="0" xfId="0" applyFont="1" applyBorder="1"/>
    <xf numFmtId="0" fontId="631" fillId="0" borderId="0" xfId="0" applyFont="1" applyFill="1" applyBorder="1" applyAlignment="1">
      <alignment horizontal="right"/>
    </xf>
    <xf numFmtId="2" fontId="11" fillId="0" borderId="0" xfId="0" applyNumberFormat="1" applyFont="1" applyFill="1" applyBorder="1" applyAlignment="1">
      <alignment horizontal="center" vertical="center"/>
    </xf>
    <xf numFmtId="167" fontId="466" fillId="0" borderId="0" xfId="0" applyNumberFormat="1" applyFont="1" applyFill="1" applyBorder="1" applyAlignment="1">
      <alignment horizontal="center" vertical="center"/>
    </xf>
    <xf numFmtId="0" fontId="329" fillId="0" borderId="0" xfId="0" applyFont="1" applyBorder="1"/>
    <xf numFmtId="167" fontId="322" fillId="189" borderId="250" xfId="0" applyNumberFormat="1" applyFont="1" applyFill="1" applyBorder="1" applyAlignment="1">
      <alignment horizontal="center" vertical="center"/>
    </xf>
    <xf numFmtId="2" fontId="434" fillId="254" borderId="243" xfId="0" applyNumberFormat="1" applyFont="1" applyFill="1" applyBorder="1" applyAlignment="1">
      <alignment horizontal="center" vertical="center"/>
    </xf>
    <xf numFmtId="167" fontId="221" fillId="134" borderId="253" xfId="0" applyNumberFormat="1" applyFont="1" applyFill="1" applyBorder="1" applyAlignment="1">
      <alignment horizontal="center" vertical="center"/>
    </xf>
    <xf numFmtId="2" fontId="412" fillId="240" borderId="248" xfId="0" applyNumberFormat="1" applyFont="1" applyFill="1" applyBorder="1" applyAlignment="1">
      <alignment horizontal="center" vertical="center"/>
    </xf>
    <xf numFmtId="167" fontId="291" fillId="173" borderId="250" xfId="0" applyNumberFormat="1" applyFont="1" applyFill="1" applyBorder="1" applyAlignment="1">
      <alignment horizontal="center" vertical="center"/>
    </xf>
    <xf numFmtId="167" fontId="525" fillId="312" borderId="250" xfId="0" applyNumberFormat="1" applyFont="1" applyFill="1" applyBorder="1" applyAlignment="1">
      <alignment horizontal="center" vertical="center"/>
    </xf>
    <xf numFmtId="167" fontId="151" fillId="94" borderId="250" xfId="0" applyNumberFormat="1" applyFont="1" applyFill="1" applyBorder="1" applyAlignment="1">
      <alignment horizontal="center" vertical="center"/>
    </xf>
    <xf numFmtId="167" fontId="667" fillId="403" borderId="250" xfId="0" applyNumberFormat="1" applyFont="1" applyFill="1" applyBorder="1" applyAlignment="1">
      <alignment horizontal="center" vertical="center"/>
    </xf>
    <xf numFmtId="2" fontId="52" fillId="35" borderId="241" xfId="0" applyNumberFormat="1" applyFont="1" applyFill="1" applyBorder="1" applyAlignment="1">
      <alignment horizontal="center" vertical="center"/>
    </xf>
    <xf numFmtId="0" fontId="319" fillId="188" borderId="256" xfId="0" applyFont="1" applyFill="1" applyBorder="1" applyAlignment="1">
      <alignment horizontal="right"/>
    </xf>
    <xf numFmtId="0" fontId="124" fillId="73" borderId="255" xfId="0" applyFont="1" applyFill="1" applyBorder="1" applyAlignment="1">
      <alignment horizontal="right"/>
    </xf>
    <xf numFmtId="0" fontId="18" fillId="10" borderId="256" xfId="0" applyFont="1" applyFill="1" applyBorder="1" applyAlignment="1">
      <alignment horizontal="right"/>
    </xf>
    <xf numFmtId="0" fontId="129" fillId="76" borderId="255" xfId="0" applyFont="1" applyFill="1" applyBorder="1" applyAlignment="1">
      <alignment horizontal="right"/>
    </xf>
    <xf numFmtId="0" fontId="292" fillId="174" borderId="256" xfId="0" applyFont="1" applyFill="1" applyBorder="1" applyAlignment="1">
      <alignment horizontal="right"/>
    </xf>
    <xf numFmtId="0" fontId="118" fillId="69" borderId="139" xfId="0" applyFont="1" applyFill="1" applyBorder="1" applyAlignment="1">
      <alignment horizontal="center" vertical="center" wrapText="1"/>
    </xf>
    <xf numFmtId="0" fontId="682" fillId="412" borderId="246" xfId="0" applyFont="1" applyFill="1" applyBorder="1" applyAlignment="1">
      <alignment horizontal="center" vertical="center" wrapText="1"/>
    </xf>
    <xf numFmtId="0" fontId="372" fillId="220" borderId="259" xfId="0" applyFont="1" applyFill="1" applyBorder="1" applyAlignment="1">
      <alignment horizontal="center" vertical="center" wrapText="1"/>
    </xf>
    <xf numFmtId="0" fontId="118" fillId="69" borderId="260" xfId="0" applyFont="1" applyFill="1" applyBorder="1" applyAlignment="1">
      <alignment horizontal="center" vertical="center" wrapText="1"/>
    </xf>
    <xf numFmtId="167" fontId="322" fillId="189" borderId="241" xfId="0" applyNumberFormat="1" applyFont="1" applyFill="1" applyBorder="1" applyAlignment="1">
      <alignment horizontal="center" vertical="center"/>
    </xf>
    <xf numFmtId="2" fontId="117" fillId="68" borderId="238" xfId="0" applyNumberFormat="1" applyFont="1" applyFill="1" applyBorder="1" applyAlignment="1">
      <alignment horizontal="center" vertical="center"/>
    </xf>
    <xf numFmtId="167" fontId="291" fillId="173" borderId="238" xfId="0" applyNumberFormat="1" applyFont="1" applyFill="1" applyBorder="1" applyAlignment="1">
      <alignment horizontal="center" vertical="center"/>
    </xf>
    <xf numFmtId="2" fontId="276" fillId="163" borderId="241" xfId="0" applyNumberFormat="1" applyFont="1" applyFill="1" applyBorder="1" applyAlignment="1">
      <alignment horizontal="center" vertical="center"/>
    </xf>
    <xf numFmtId="167" fontId="525" fillId="312" borderId="241" xfId="0" applyNumberFormat="1" applyFont="1" applyFill="1" applyBorder="1" applyAlignment="1">
      <alignment horizontal="center" vertical="center"/>
    </xf>
    <xf numFmtId="2" fontId="197" fillId="121" borderId="238" xfId="0" applyNumberFormat="1" applyFont="1" applyFill="1" applyBorder="1" applyAlignment="1">
      <alignment horizontal="center" vertical="center"/>
    </xf>
    <xf numFmtId="167" fontId="755" fillId="453" borderId="238" xfId="0" applyNumberFormat="1" applyFont="1" applyFill="1" applyBorder="1" applyAlignment="1">
      <alignment horizontal="center" vertical="center"/>
    </xf>
    <xf numFmtId="2" fontId="21" fillId="13" borderId="241" xfId="0" applyNumberFormat="1" applyFont="1" applyFill="1" applyBorder="1" applyAlignment="1">
      <alignment horizontal="center" vertical="center"/>
    </xf>
    <xf numFmtId="167" fontId="151" fillId="94" borderId="241" xfId="0" applyNumberFormat="1" applyFont="1" applyFill="1" applyBorder="1" applyAlignment="1">
      <alignment horizontal="center" vertical="center"/>
    </xf>
    <xf numFmtId="0" fontId="311" fillId="0" borderId="0" xfId="0" applyFont="1" applyBorder="1" applyAlignment="1">
      <alignment vertical="center"/>
    </xf>
    <xf numFmtId="0" fontId="759" fillId="0" borderId="0" xfId="0" applyFont="1" applyBorder="1" applyAlignment="1">
      <alignment vertical="center"/>
    </xf>
    <xf numFmtId="3" fontId="557" fillId="332" borderId="263" xfId="0" applyNumberFormat="1" applyFont="1" applyFill="1" applyBorder="1" applyAlignment="1">
      <alignment horizontal="center" vertical="center"/>
    </xf>
    <xf numFmtId="3" fontId="89" fillId="53" borderId="207" xfId="0" applyNumberFormat="1" applyFont="1" applyFill="1" applyBorder="1" applyAlignment="1">
      <alignment horizontal="center" vertical="center"/>
    </xf>
    <xf numFmtId="0" fontId="277" fillId="164" borderId="42" xfId="0" applyNumberFormat="1" applyFont="1" applyFill="1" applyBorder="1" applyAlignment="1">
      <alignment horizontal="center" vertical="center"/>
    </xf>
    <xf numFmtId="0" fontId="235" fillId="141" borderId="253" xfId="0" applyFont="1" applyFill="1" applyBorder="1" applyAlignment="1">
      <alignment horizontal="center" vertical="center"/>
    </xf>
    <xf numFmtId="0" fontId="3" fillId="0" borderId="0" xfId="0" applyFont="1" applyAlignment="1">
      <alignment horizontal="center" vertical="center"/>
    </xf>
    <xf numFmtId="0" fontId="218" fillId="0" borderId="0" xfId="0" applyFont="1" applyBorder="1" applyAlignment="1">
      <alignment horizontal="center" vertical="center"/>
    </xf>
    <xf numFmtId="0" fontId="218" fillId="455" borderId="253" xfId="0" applyFont="1" applyFill="1" applyBorder="1" applyAlignment="1">
      <alignment horizontal="center" vertical="center"/>
    </xf>
    <xf numFmtId="3" fontId="89" fillId="53" borderId="253" xfId="0" applyNumberFormat="1" applyFont="1" applyFill="1" applyBorder="1" applyAlignment="1">
      <alignment horizontal="center" vertical="center"/>
    </xf>
    <xf numFmtId="165" fontId="419" fillId="245" borderId="239" xfId="0" applyNumberFormat="1" applyFont="1" applyFill="1" applyBorder="1" applyAlignment="1" applyProtection="1">
      <alignment horizontal="center" vertical="center"/>
      <protection locked="0"/>
    </xf>
    <xf numFmtId="0" fontId="458" fillId="271" borderId="253" xfId="0" applyFont="1" applyFill="1" applyBorder="1" applyAlignment="1">
      <alignment horizontal="center" vertical="center" wrapText="1"/>
    </xf>
    <xf numFmtId="0" fontId="1" fillId="141" borderId="253" xfId="0" applyFont="1" applyFill="1" applyBorder="1" applyAlignment="1">
      <alignment horizontal="center" vertical="center"/>
    </xf>
    <xf numFmtId="0" fontId="211" fillId="0" borderId="0" xfId="0" applyFont="1" applyAlignment="1">
      <alignment horizontal="center" vertical="center" wrapText="1"/>
    </xf>
    <xf numFmtId="0" fontId="590" fillId="0" borderId="0" xfId="0" applyFont="1" applyAlignment="1">
      <alignment horizontal="center" vertical="center"/>
    </xf>
    <xf numFmtId="164" fontId="408" fillId="0" borderId="0" xfId="0" applyNumberFormat="1" applyFont="1" applyAlignment="1">
      <alignment horizontal="center" vertical="center"/>
    </xf>
    <xf numFmtId="0" fontId="12" fillId="0" borderId="0" xfId="0" applyFont="1" applyAlignment="1">
      <alignment horizontal="center" vertical="center"/>
    </xf>
    <xf numFmtId="164" fontId="399" fillId="234" borderId="131" xfId="0" applyNumberFormat="1" applyFont="1" applyFill="1" applyBorder="1" applyAlignment="1">
      <alignment horizontal="center" vertical="center"/>
    </xf>
    <xf numFmtId="164" fontId="354" fillId="206" borderId="117" xfId="0" applyNumberFormat="1" applyFont="1" applyFill="1" applyBorder="1" applyAlignment="1">
      <alignment horizontal="center" vertical="center"/>
    </xf>
    <xf numFmtId="0" fontId="652" fillId="395" borderId="206" xfId="0" applyFont="1" applyFill="1" applyBorder="1" applyAlignment="1">
      <alignment horizontal="center" vertical="center"/>
    </xf>
    <xf numFmtId="0" fontId="767" fillId="0" borderId="0" xfId="0" applyFont="1" applyAlignment="1">
      <alignment horizontal="center" vertical="center"/>
    </xf>
    <xf numFmtId="0" fontId="0" fillId="183" borderId="102" xfId="0" applyFill="1" applyBorder="1" applyAlignment="1">
      <alignment horizontal="center" vertical="center" wrapText="1"/>
    </xf>
    <xf numFmtId="0" fontId="104" fillId="0" borderId="30" xfId="0" applyFont="1" applyBorder="1" applyAlignment="1">
      <alignment horizontal="center" vertical="center"/>
    </xf>
    <xf numFmtId="164" fontId="394" fillId="0" borderId="0" xfId="0" applyNumberFormat="1" applyFont="1" applyAlignment="1">
      <alignment horizontal="center" vertical="center"/>
    </xf>
    <xf numFmtId="164" fontId="484" fillId="0" borderId="0" xfId="0" applyNumberFormat="1" applyFont="1" applyAlignment="1">
      <alignment horizontal="center" vertical="center"/>
    </xf>
    <xf numFmtId="164" fontId="196" fillId="0" borderId="0" xfId="0" applyNumberFormat="1" applyFont="1" applyAlignment="1">
      <alignment horizontal="center" vertical="center"/>
    </xf>
    <xf numFmtId="0" fontId="651" fillId="0" borderId="0" xfId="0" applyFont="1" applyAlignment="1">
      <alignment horizontal="center" vertical="center"/>
    </xf>
    <xf numFmtId="0" fontId="491" fillId="0" borderId="0" xfId="0" applyFont="1" applyAlignment="1">
      <alignment horizontal="center" vertical="center"/>
    </xf>
    <xf numFmtId="0" fontId="580" fillId="348" borderId="184" xfId="0" applyFont="1" applyFill="1" applyBorder="1" applyAlignment="1">
      <alignment horizontal="center" vertical="center"/>
    </xf>
    <xf numFmtId="0" fontId="463" fillId="274" borderId="150" xfId="0" applyFont="1" applyFill="1" applyBorder="1" applyAlignment="1">
      <alignment horizontal="center" vertical="center"/>
    </xf>
    <xf numFmtId="0" fontId="186" fillId="115" borderId="58" xfId="0" applyFont="1" applyFill="1" applyBorder="1" applyAlignment="1">
      <alignment horizontal="center" vertical="center"/>
    </xf>
    <xf numFmtId="0" fontId="708" fillId="0" borderId="0" xfId="0" applyFont="1" applyAlignment="1">
      <alignment horizontal="center" vertical="center"/>
    </xf>
    <xf numFmtId="0" fontId="507" fillId="0" borderId="0" xfId="0" applyFont="1" applyAlignment="1">
      <alignment horizontal="center" vertical="center"/>
    </xf>
    <xf numFmtId="164" fontId="5" fillId="0" borderId="0" xfId="0" applyNumberFormat="1" applyFont="1" applyAlignment="1">
      <alignment horizontal="center" vertical="center"/>
    </xf>
    <xf numFmtId="164" fontId="111" fillId="0" borderId="0" xfId="0" applyNumberFormat="1" applyFont="1" applyAlignment="1">
      <alignment horizontal="center" vertical="center"/>
    </xf>
    <xf numFmtId="0" fontId="700" fillId="420" borderId="223" xfId="0" applyFont="1" applyFill="1" applyBorder="1" applyAlignment="1">
      <alignment horizontal="center" vertical="center"/>
    </xf>
    <xf numFmtId="0" fontId="91" fillId="54" borderId="27" xfId="0" applyFont="1" applyFill="1" applyBorder="1" applyAlignment="1">
      <alignment horizontal="center" vertical="center"/>
    </xf>
    <xf numFmtId="0" fontId="247" fillId="0" borderId="80" xfId="0" applyFont="1" applyBorder="1" applyAlignment="1">
      <alignment horizontal="center" vertical="center"/>
    </xf>
    <xf numFmtId="0" fontId="710" fillId="0" borderId="0" xfId="0" applyFont="1" applyAlignment="1">
      <alignment horizontal="center" vertical="center"/>
    </xf>
    <xf numFmtId="0" fontId="224" fillId="136" borderId="0" xfId="0" applyFont="1" applyFill="1" applyAlignment="1">
      <alignment horizontal="center" vertical="center"/>
    </xf>
    <xf numFmtId="164" fontId="102" fillId="0" borderId="0" xfId="0" applyNumberFormat="1" applyFont="1" applyAlignment="1">
      <alignment horizontal="center" vertical="center"/>
    </xf>
    <xf numFmtId="0" fontId="406" fillId="0" borderId="0" xfId="0" applyFont="1" applyAlignment="1">
      <alignment horizontal="center" vertical="center"/>
    </xf>
    <xf numFmtId="0" fontId="298" fillId="0" borderId="97" xfId="0" applyFont="1" applyBorder="1" applyAlignment="1">
      <alignment horizontal="center" vertical="center"/>
    </xf>
    <xf numFmtId="0" fontId="571" fillId="342" borderId="179" xfId="0" applyFont="1" applyFill="1" applyBorder="1" applyAlignment="1">
      <alignment horizontal="center" vertical="center"/>
    </xf>
    <xf numFmtId="0" fontId="303" fillId="181" borderId="100" xfId="0" applyFont="1" applyFill="1" applyBorder="1" applyAlignment="1">
      <alignment horizontal="center" vertical="center"/>
    </xf>
    <xf numFmtId="0" fontId="138" fillId="0" borderId="42" xfId="0" applyFont="1" applyBorder="1" applyAlignment="1">
      <alignment horizontal="center" vertical="center"/>
    </xf>
    <xf numFmtId="0" fontId="107" fillId="63" borderId="32" xfId="0" applyFont="1" applyFill="1" applyBorder="1" applyAlignment="1">
      <alignment horizontal="center" vertical="center"/>
    </xf>
    <xf numFmtId="0" fontId="607" fillId="365" borderId="0" xfId="0" applyFont="1" applyFill="1" applyAlignment="1">
      <alignment horizontal="center" vertical="center"/>
    </xf>
    <xf numFmtId="0" fontId="297" fillId="178" borderId="96" xfId="0" applyFont="1" applyFill="1" applyBorder="1" applyAlignment="1">
      <alignment horizontal="center" vertical="center"/>
    </xf>
    <xf numFmtId="0" fontId="610" fillId="367" borderId="197" xfId="0" applyFont="1" applyFill="1" applyBorder="1" applyAlignment="1">
      <alignment horizontal="center" vertical="center"/>
    </xf>
    <xf numFmtId="0" fontId="158" fillId="0" borderId="50" xfId="0" applyFont="1" applyBorder="1" applyAlignment="1">
      <alignment horizontal="center" vertical="center"/>
    </xf>
    <xf numFmtId="0" fontId="302" fillId="180" borderId="99" xfId="0" applyFont="1" applyFill="1" applyBorder="1" applyAlignment="1">
      <alignment horizontal="center" vertical="center"/>
    </xf>
    <xf numFmtId="0" fontId="361" fillId="212" borderId="119" xfId="0" applyFont="1" applyFill="1" applyBorder="1" applyAlignment="1">
      <alignment horizontal="center" vertical="center"/>
    </xf>
    <xf numFmtId="0" fontId="58" fillId="38" borderId="15" xfId="0" applyFont="1" applyFill="1" applyBorder="1" applyAlignment="1">
      <alignment horizontal="center" vertical="center"/>
    </xf>
    <xf numFmtId="0" fontId="27" fillId="0" borderId="7" xfId="0" applyFont="1" applyBorder="1" applyAlignment="1">
      <alignment horizontal="center" vertical="center"/>
    </xf>
    <xf numFmtId="0" fontId="305" fillId="0" borderId="101" xfId="0" applyFont="1" applyBorder="1" applyAlignment="1">
      <alignment horizontal="center" vertical="center"/>
    </xf>
    <xf numFmtId="0" fontId="604" fillId="362" borderId="0" xfId="0" applyFont="1" applyFill="1" applyAlignment="1">
      <alignment horizontal="center" vertical="center"/>
    </xf>
    <xf numFmtId="0" fontId="625" fillId="379" borderId="200" xfId="0" applyFont="1" applyFill="1" applyBorder="1" applyAlignment="1">
      <alignment horizontal="center" vertical="center"/>
    </xf>
    <xf numFmtId="0" fontId="340" fillId="0" borderId="113" xfId="0" applyFont="1" applyBorder="1" applyAlignment="1">
      <alignment horizontal="center" vertical="center"/>
    </xf>
    <xf numFmtId="0" fontId="526" fillId="0" borderId="168" xfId="0" applyFont="1" applyBorder="1" applyAlignment="1">
      <alignment horizontal="center" vertical="center"/>
    </xf>
    <xf numFmtId="0" fontId="259" fillId="0" borderId="85" xfId="0" applyFont="1" applyBorder="1" applyAlignment="1">
      <alignment horizontal="center" vertical="center"/>
    </xf>
    <xf numFmtId="0" fontId="69" fillId="0" borderId="17" xfId="0" applyFont="1" applyBorder="1" applyAlignment="1">
      <alignment horizontal="center" vertical="center"/>
    </xf>
    <xf numFmtId="0" fontId="103" fillId="0" borderId="29" xfId="0" applyFont="1" applyBorder="1" applyAlignment="1">
      <alignment horizontal="center" vertical="center"/>
    </xf>
    <xf numFmtId="0" fontId="668" fillId="0" borderId="212" xfId="0" applyFont="1" applyBorder="1" applyAlignment="1">
      <alignment horizontal="center" vertical="center"/>
    </xf>
    <xf numFmtId="0" fontId="612" fillId="369" borderId="0" xfId="0" applyFont="1" applyFill="1" applyAlignment="1">
      <alignment horizontal="center" vertical="center"/>
    </xf>
    <xf numFmtId="0" fontId="437" fillId="0" borderId="0" xfId="0" applyFont="1" applyAlignment="1">
      <alignment horizontal="center" vertical="center"/>
    </xf>
    <xf numFmtId="0" fontId="193" fillId="0" borderId="61" xfId="0" applyFont="1" applyBorder="1" applyAlignment="1">
      <alignment horizontal="center" vertical="center"/>
    </xf>
    <xf numFmtId="0" fontId="658" fillId="0" borderId="210" xfId="0" applyFont="1" applyBorder="1" applyAlignment="1">
      <alignment horizontal="center" vertical="center"/>
    </xf>
    <xf numFmtId="0" fontId="349" fillId="0" borderId="115" xfId="0" applyFont="1" applyBorder="1" applyAlignment="1">
      <alignment horizontal="center" vertical="center"/>
    </xf>
    <xf numFmtId="164" fontId="270" fillId="0" borderId="0" xfId="0" applyNumberFormat="1" applyFont="1" applyAlignment="1">
      <alignment horizontal="center" vertical="center"/>
    </xf>
    <xf numFmtId="175" fontId="461" fillId="0" borderId="0" xfId="0" applyNumberFormat="1" applyFont="1" applyAlignment="1">
      <alignment horizontal="center" vertical="center"/>
    </xf>
    <xf numFmtId="0" fontId="377" fillId="223" borderId="126" xfId="0" applyFont="1" applyFill="1" applyBorder="1" applyAlignment="1">
      <alignment horizontal="center" vertical="center"/>
    </xf>
    <xf numFmtId="0" fontId="184" fillId="114" borderId="57" xfId="0" applyFont="1" applyFill="1" applyBorder="1" applyAlignment="1">
      <alignment horizontal="center" vertical="center"/>
    </xf>
    <xf numFmtId="0" fontId="442" fillId="0" borderId="144" xfId="0" applyFont="1" applyBorder="1" applyAlignment="1">
      <alignment horizontal="center" vertical="center"/>
    </xf>
    <xf numFmtId="0" fontId="712" fillId="428" borderId="229" xfId="0" applyFont="1" applyFill="1" applyBorder="1" applyAlignment="1">
      <alignment horizontal="center" vertical="center"/>
    </xf>
    <xf numFmtId="0" fontId="656" fillId="398" borderId="209" xfId="0" applyFont="1" applyFill="1" applyBorder="1" applyAlignment="1">
      <alignment horizontal="center" vertical="center"/>
    </xf>
    <xf numFmtId="0" fontId="120" fillId="0" borderId="37" xfId="0" applyFont="1" applyBorder="1" applyAlignment="1">
      <alignment horizontal="center" vertical="center"/>
    </xf>
    <xf numFmtId="0" fontId="498" fillId="294" borderId="160" xfId="0" applyFont="1" applyFill="1" applyBorder="1" applyAlignment="1">
      <alignment horizontal="center" vertical="center"/>
    </xf>
    <xf numFmtId="0" fontId="265" fillId="159" borderId="88" xfId="0" applyFont="1" applyFill="1" applyBorder="1" applyAlignment="1">
      <alignment horizontal="center" vertical="center"/>
    </xf>
    <xf numFmtId="0" fontId="36" fillId="22" borderId="11" xfId="0" applyFont="1" applyFill="1" applyBorder="1" applyAlignment="1">
      <alignment horizontal="center" vertical="center"/>
    </xf>
    <xf numFmtId="0" fontId="271" fillId="161" borderId="89" xfId="0" applyFont="1" applyFill="1" applyBorder="1" applyAlignment="1">
      <alignment horizontal="center" vertical="center"/>
    </xf>
    <xf numFmtId="0" fontId="512" fillId="0" borderId="164" xfId="0" applyFont="1" applyBorder="1" applyAlignment="1">
      <alignment horizontal="center" vertical="center"/>
    </xf>
    <xf numFmtId="0" fontId="264" fillId="0" borderId="87" xfId="0" applyFont="1" applyBorder="1" applyAlignment="1">
      <alignment horizontal="center" vertical="center"/>
    </xf>
    <xf numFmtId="0" fontId="134" fillId="0" borderId="40" xfId="0" applyFont="1" applyBorder="1" applyAlignment="1">
      <alignment horizontal="center" vertical="center"/>
    </xf>
    <xf numFmtId="0" fontId="205" fillId="0" borderId="65" xfId="0" applyFont="1" applyBorder="1" applyAlignment="1">
      <alignment horizontal="center" vertical="center"/>
    </xf>
    <xf numFmtId="0" fontId="23" fillId="14" borderId="6" xfId="0" applyFont="1" applyFill="1" applyBorder="1" applyAlignment="1">
      <alignment horizontal="center" vertical="center"/>
    </xf>
    <xf numFmtId="0" fontId="699" fillId="0" borderId="222" xfId="0" applyFont="1" applyBorder="1" applyAlignment="1">
      <alignment horizontal="center" vertical="center"/>
    </xf>
    <xf numFmtId="0" fontId="70" fillId="42" borderId="18" xfId="0" applyFont="1" applyFill="1" applyBorder="1" applyAlignment="1">
      <alignment horizontal="center" vertical="center"/>
    </xf>
    <xf numFmtId="0" fontId="564" fillId="339" borderId="177" xfId="0" applyFont="1" applyFill="1" applyBorder="1" applyAlignment="1">
      <alignment horizontal="center" vertical="center"/>
    </xf>
    <xf numFmtId="164" fontId="24" fillId="0" borderId="0" xfId="0" applyNumberFormat="1" applyFont="1" applyAlignment="1">
      <alignment horizontal="center" vertical="center"/>
    </xf>
    <xf numFmtId="43" fontId="3" fillId="283" borderId="154" xfId="1" applyNumberFormat="1" applyFont="1" applyFill="1" applyBorder="1" applyAlignment="1">
      <alignment horizontal="center" vertical="center" wrapText="1"/>
    </xf>
    <xf numFmtId="43" fontId="3" fillId="88" borderId="47" xfId="1" applyNumberFormat="1" applyFont="1" applyFill="1" applyBorder="1" applyAlignment="1">
      <alignment horizontal="center" vertical="center" wrapText="1"/>
    </xf>
    <xf numFmtId="43" fontId="3" fillId="213" borderId="121" xfId="1" applyNumberFormat="1" applyFont="1" applyFill="1" applyBorder="1" applyAlignment="1">
      <alignment horizontal="center" vertical="center" wrapText="1"/>
    </xf>
    <xf numFmtId="43" fontId="3" fillId="66" borderId="34" xfId="1" applyNumberFormat="1" applyFont="1" applyFill="1" applyBorder="1" applyAlignment="1">
      <alignment horizontal="center" vertical="center" wrapText="1"/>
    </xf>
    <xf numFmtId="0" fontId="329" fillId="0" borderId="0" xfId="0" applyFont="1" applyBorder="1" applyAlignment="1"/>
    <xf numFmtId="0" fontId="329" fillId="0" borderId="0" xfId="0" applyFont="1" applyBorder="1" applyAlignment="1">
      <alignment horizontal="center" vertical="center"/>
    </xf>
    <xf numFmtId="0" fontId="6" fillId="207" borderId="253" xfId="0" applyFont="1" applyFill="1" applyBorder="1" applyAlignment="1">
      <alignment horizontal="center" vertical="center"/>
    </xf>
    <xf numFmtId="2" fontId="383" fillId="227" borderId="253" xfId="0" applyNumberFormat="1" applyFont="1" applyFill="1" applyBorder="1" applyAlignment="1">
      <alignment horizontal="center" vertical="center"/>
    </xf>
    <xf numFmtId="172" fontId="550" fillId="327" borderId="253" xfId="0" applyNumberFormat="1" applyFont="1" applyFill="1" applyBorder="1" applyAlignment="1">
      <alignment horizontal="center" vertical="center"/>
    </xf>
    <xf numFmtId="0" fontId="479" fillId="286" borderId="253" xfId="0" applyFont="1" applyFill="1" applyBorder="1" applyAlignment="1">
      <alignment horizontal="center" vertical="center"/>
    </xf>
    <xf numFmtId="2" fontId="249" fillId="148" borderId="253" xfId="0" applyNumberFormat="1" applyFont="1" applyFill="1" applyBorder="1" applyAlignment="1">
      <alignment horizontal="center" vertical="center"/>
    </xf>
    <xf numFmtId="172" fontId="324" fillId="191" borderId="253" xfId="0" applyNumberFormat="1" applyFont="1" applyFill="1" applyBorder="1" applyAlignment="1">
      <alignment horizontal="center" vertical="center"/>
    </xf>
    <xf numFmtId="0" fontId="232" fillId="139" borderId="253" xfId="0" applyFont="1" applyFill="1" applyBorder="1" applyAlignment="1">
      <alignment horizontal="center" vertical="center"/>
    </xf>
    <xf numFmtId="2" fontId="182" fillId="112" borderId="253" xfId="0" applyNumberFormat="1" applyFont="1" applyFill="1" applyBorder="1" applyAlignment="1">
      <alignment horizontal="center" vertical="center"/>
    </xf>
    <xf numFmtId="172" fontId="650" fillId="394" borderId="253" xfId="0" applyNumberFormat="1" applyFont="1" applyFill="1" applyBorder="1" applyAlignment="1">
      <alignment horizontal="center" vertical="center"/>
    </xf>
    <xf numFmtId="43" fontId="762" fillId="0" borderId="253" xfId="1" applyNumberFormat="1" applyFont="1" applyBorder="1" applyAlignment="1">
      <alignment wrapText="1"/>
    </xf>
    <xf numFmtId="43" fontId="481" fillId="457" borderId="157" xfId="1" applyNumberFormat="1" applyFont="1" applyFill="1" applyBorder="1" applyAlignment="1">
      <alignment horizontal="center" vertical="center" wrapText="1"/>
    </xf>
    <xf numFmtId="43" fontId="217" fillId="457" borderId="71" xfId="1" applyNumberFormat="1" applyFont="1" applyFill="1" applyBorder="1" applyAlignment="1">
      <alignment horizontal="center" vertical="center" wrapText="1"/>
    </xf>
    <xf numFmtId="43" fontId="217" fillId="458" borderId="253" xfId="1" applyNumberFormat="1" applyFont="1" applyFill="1" applyBorder="1" applyAlignment="1">
      <alignment horizontal="center" vertical="center" wrapText="1"/>
    </xf>
    <xf numFmtId="0" fontId="347" fillId="459" borderId="253" xfId="0" applyFont="1" applyFill="1" applyBorder="1" applyAlignment="1">
      <alignment horizontal="center" vertical="center"/>
    </xf>
    <xf numFmtId="2" fontId="654" fillId="461" borderId="253" xfId="0" applyNumberFormat="1" applyFont="1" applyFill="1" applyBorder="1" applyAlignment="1">
      <alignment horizontal="center" vertical="center"/>
    </xf>
    <xf numFmtId="172" fontId="429" fillId="461" borderId="253" xfId="0" applyNumberFormat="1" applyFont="1" applyFill="1" applyBorder="1" applyAlignment="1">
      <alignment horizontal="center" vertical="center"/>
    </xf>
    <xf numFmtId="2" fontId="545" fillId="460" borderId="253" xfId="0" applyNumberFormat="1" applyFont="1" applyFill="1" applyBorder="1" applyAlignment="1">
      <alignment horizontal="center" vertical="center"/>
    </xf>
    <xf numFmtId="172" fontId="577" fillId="460" borderId="253" xfId="0" applyNumberFormat="1" applyFont="1" applyFill="1" applyBorder="1" applyAlignment="1">
      <alignment horizontal="center" vertical="center"/>
    </xf>
    <xf numFmtId="0" fontId="211" fillId="0" borderId="0" xfId="0" applyFont="1" applyAlignment="1">
      <alignment horizontal="center" vertical="center" wrapText="1"/>
    </xf>
    <xf numFmtId="0" fontId="590" fillId="0" borderId="0" xfId="0" applyFont="1" applyAlignment="1">
      <alignment horizontal="center" vertical="center"/>
    </xf>
    <xf numFmtId="0" fontId="0" fillId="0" borderId="0" xfId="0" applyAlignment="1">
      <alignment wrapText="1"/>
    </xf>
    <xf numFmtId="0" fontId="0" fillId="462" borderId="0" xfId="0" applyFill="1" applyAlignment="1">
      <alignment wrapText="1"/>
    </xf>
    <xf numFmtId="0" fontId="748" fillId="463" borderId="220" xfId="0" applyFont="1" applyFill="1" applyBorder="1" applyAlignment="1">
      <alignment horizontal="center" vertical="center"/>
    </xf>
    <xf numFmtId="0" fontId="316" fillId="463" borderId="0" xfId="0" applyFont="1" applyFill="1" applyBorder="1" applyAlignment="1">
      <alignment horizontal="center" vertical="center"/>
    </xf>
    <xf numFmtId="0" fontId="682" fillId="463" borderId="218" xfId="0" applyFont="1" applyFill="1" applyBorder="1" applyAlignment="1">
      <alignment horizontal="center" vertical="center" wrapText="1"/>
    </xf>
    <xf numFmtId="0" fontId="372" fillId="463" borderId="220" xfId="0" applyFont="1" applyFill="1" applyBorder="1" applyAlignment="1">
      <alignment horizontal="center" vertical="center" wrapText="1"/>
    </xf>
    <xf numFmtId="0" fontId="118" fillId="463" borderId="65" xfId="0" applyFont="1" applyFill="1" applyBorder="1" applyAlignment="1">
      <alignment horizontal="center" vertical="center" wrapText="1"/>
    </xf>
    <xf numFmtId="0" fontId="329" fillId="463" borderId="0" xfId="0" applyFont="1" applyFill="1" applyBorder="1"/>
    <xf numFmtId="0" fontId="590" fillId="463" borderId="0" xfId="0" applyFont="1" applyFill="1" applyAlignment="1">
      <alignment horizontal="center" vertical="center"/>
    </xf>
    <xf numFmtId="0" fontId="211" fillId="463" borderId="0" xfId="0" applyFont="1" applyFill="1" applyAlignment="1">
      <alignment horizontal="center" vertical="center" wrapText="1"/>
    </xf>
    <xf numFmtId="0" fontId="640" fillId="463" borderId="0" xfId="0" applyFont="1" applyFill="1"/>
    <xf numFmtId="0" fontId="0" fillId="463" borderId="0" xfId="0" applyFill="1" applyAlignment="1">
      <alignment wrapText="1"/>
    </xf>
    <xf numFmtId="0" fontId="711" fillId="464" borderId="218" xfId="0" applyFont="1" applyFill="1" applyBorder="1" applyAlignment="1">
      <alignment horizontal="center" vertical="center"/>
    </xf>
    <xf numFmtId="0" fontId="124" fillId="464" borderId="65" xfId="0" applyFont="1" applyFill="1" applyBorder="1" applyAlignment="1">
      <alignment horizontal="right"/>
    </xf>
    <xf numFmtId="2" fontId="117" fillId="464" borderId="218" xfId="0" applyNumberFormat="1" applyFont="1" applyFill="1" applyBorder="1" applyAlignment="1">
      <alignment horizontal="center" vertical="center"/>
    </xf>
    <xf numFmtId="167" fontId="291" fillId="464" borderId="218" xfId="0" applyNumberFormat="1" applyFont="1" applyFill="1" applyBorder="1" applyAlignment="1">
      <alignment horizontal="center" vertical="center"/>
    </xf>
    <xf numFmtId="0" fontId="673" fillId="464" borderId="0" xfId="0" applyFont="1" applyFill="1" applyAlignment="1">
      <alignment horizontal="center"/>
    </xf>
    <xf numFmtId="166" fontId="390" fillId="464" borderId="0" xfId="0" applyNumberFormat="1" applyFont="1" applyFill="1" applyAlignment="1">
      <alignment horizontal="center" vertical="center"/>
    </xf>
    <xf numFmtId="0" fontId="0" fillId="464" borderId="0" xfId="0" applyFill="1" applyAlignment="1">
      <alignment wrapText="1"/>
    </xf>
    <xf numFmtId="0" fontId="206" fillId="450" borderId="218" xfId="0" applyFont="1" applyFill="1" applyBorder="1" applyAlignment="1">
      <alignment horizontal="center" vertical="center"/>
    </xf>
    <xf numFmtId="0" fontId="129" fillId="450" borderId="65" xfId="0" applyFont="1" applyFill="1" applyBorder="1" applyAlignment="1">
      <alignment horizontal="right"/>
    </xf>
    <xf numFmtId="2" fontId="197" fillId="450" borderId="218" xfId="0" applyNumberFormat="1" applyFont="1" applyFill="1" applyBorder="1" applyAlignment="1">
      <alignment horizontal="center" vertical="center"/>
    </xf>
    <xf numFmtId="167" fontId="755" fillId="450" borderId="218" xfId="0" applyNumberFormat="1" applyFont="1" applyFill="1" applyBorder="1" applyAlignment="1">
      <alignment horizontal="center" vertical="center"/>
    </xf>
    <xf numFmtId="0" fontId="640" fillId="450" borderId="0" xfId="0" applyFont="1" applyFill="1"/>
    <xf numFmtId="0" fontId="673" fillId="450" borderId="0" xfId="0" applyFont="1" applyFill="1" applyAlignment="1">
      <alignment horizontal="center"/>
    </xf>
    <xf numFmtId="166" fontId="390" fillId="450" borderId="0" xfId="0" applyNumberFormat="1" applyFont="1" applyFill="1" applyAlignment="1">
      <alignment horizontal="center" vertical="center"/>
    </xf>
    <xf numFmtId="0" fontId="0" fillId="450" borderId="0" xfId="0" applyFill="1" applyAlignment="1">
      <alignment wrapText="1"/>
    </xf>
    <xf numFmtId="0" fontId="673" fillId="462" borderId="0" xfId="0" applyFont="1" applyFill="1" applyAlignment="1">
      <alignment horizontal="center"/>
    </xf>
    <xf numFmtId="166" fontId="390" fillId="462" borderId="0" xfId="0" applyNumberFormat="1" applyFont="1" applyFill="1" applyAlignment="1">
      <alignment horizontal="center" vertical="center"/>
    </xf>
    <xf numFmtId="0" fontId="0" fillId="0" borderId="0" xfId="0" applyAlignment="1">
      <alignment horizontal="center" vertical="center" wrapText="1"/>
    </xf>
    <xf numFmtId="0" fontId="0" fillId="0" borderId="0" xfId="0" applyAlignment="1">
      <alignment wrapText="1"/>
    </xf>
    <xf numFmtId="0" fontId="640" fillId="0" borderId="0" xfId="0" applyFont="1" applyBorder="1"/>
    <xf numFmtId="2" fontId="117" fillId="464" borderId="220" xfId="0" applyNumberFormat="1" applyFont="1" applyFill="1" applyBorder="1" applyAlignment="1">
      <alignment horizontal="center" vertical="center"/>
    </xf>
    <xf numFmtId="2" fontId="197" fillId="450" borderId="220" xfId="0" applyNumberFormat="1" applyFont="1" applyFill="1" applyBorder="1" applyAlignment="1">
      <alignment horizontal="center" vertical="center"/>
    </xf>
    <xf numFmtId="0" fontId="768" fillId="465" borderId="0" xfId="0" applyFont="1" applyFill="1" applyBorder="1"/>
    <xf numFmtId="0" fontId="769" fillId="465" borderId="0" xfId="0" applyFont="1" applyFill="1" applyBorder="1" applyAlignment="1">
      <alignment horizontal="center" vertical="center" wrapText="1"/>
    </xf>
    <xf numFmtId="2" fontId="768" fillId="465" borderId="0" xfId="0" applyNumberFormat="1" applyFont="1" applyFill="1" applyBorder="1" applyAlignment="1">
      <alignment horizontal="center" vertical="center"/>
    </xf>
    <xf numFmtId="0" fontId="768" fillId="465" borderId="0" xfId="0" applyFont="1" applyFill="1"/>
    <xf numFmtId="0" fontId="668" fillId="464" borderId="0" xfId="0" applyFont="1" applyFill="1" applyBorder="1"/>
    <xf numFmtId="0" fontId="668" fillId="450" borderId="0" xfId="0" applyFont="1" applyFill="1" applyBorder="1"/>
    <xf numFmtId="0" fontId="668" fillId="462" borderId="0" xfId="0" applyFont="1" applyFill="1" applyBorder="1"/>
    <xf numFmtId="0" fontId="682" fillId="412" borderId="267" xfId="0" applyFont="1" applyFill="1" applyBorder="1" applyAlignment="1">
      <alignment horizontal="center" vertical="center" wrapText="1"/>
    </xf>
    <xf numFmtId="0" fontId="682" fillId="463" borderId="220" xfId="0" applyFont="1" applyFill="1" applyBorder="1" applyAlignment="1">
      <alignment horizontal="center" vertical="center" wrapText="1"/>
    </xf>
    <xf numFmtId="2" fontId="52" fillId="35" borderId="268" xfId="0" applyNumberFormat="1" applyFont="1" applyFill="1" applyBorder="1" applyAlignment="1">
      <alignment horizontal="center" vertical="center"/>
    </xf>
    <xf numFmtId="2" fontId="117" fillId="68" borderId="215" xfId="0" applyNumberFormat="1" applyFont="1" applyFill="1" applyBorder="1" applyAlignment="1">
      <alignment horizontal="center" vertical="center"/>
    </xf>
    <xf numFmtId="2" fontId="52" fillId="35" borderId="215" xfId="0" applyNumberFormat="1" applyFont="1" applyFill="1" applyBorder="1" applyAlignment="1">
      <alignment horizontal="center" vertical="center"/>
    </xf>
    <xf numFmtId="2" fontId="117" fillId="68" borderId="269" xfId="0" applyNumberFormat="1" applyFont="1" applyFill="1" applyBorder="1" applyAlignment="1">
      <alignment horizontal="center" vertical="center"/>
    </xf>
    <xf numFmtId="2" fontId="276" fillId="163" borderId="268" xfId="0" applyNumberFormat="1" applyFont="1" applyFill="1" applyBorder="1" applyAlignment="1">
      <alignment horizontal="center" vertical="center"/>
    </xf>
    <xf numFmtId="2" fontId="197" fillId="121" borderId="215" xfId="0" applyNumberFormat="1" applyFont="1" applyFill="1" applyBorder="1" applyAlignment="1">
      <alignment horizontal="center" vertical="center"/>
    </xf>
    <xf numFmtId="2" fontId="276" fillId="163" borderId="215" xfId="0" applyNumberFormat="1" applyFont="1" applyFill="1" applyBorder="1" applyAlignment="1">
      <alignment horizontal="center" vertical="center"/>
    </xf>
    <xf numFmtId="2" fontId="197" fillId="121" borderId="269" xfId="0" applyNumberFormat="1" applyFont="1" applyFill="1" applyBorder="1" applyAlignment="1">
      <alignment horizontal="center" vertical="center"/>
    </xf>
    <xf numFmtId="2" fontId="21" fillId="13" borderId="268" xfId="0" applyNumberFormat="1" applyFont="1" applyFill="1" applyBorder="1" applyAlignment="1">
      <alignment horizontal="center" vertical="center"/>
    </xf>
    <xf numFmtId="2" fontId="560" fillId="335" borderId="215" xfId="0" applyNumberFormat="1" applyFont="1" applyFill="1" applyBorder="1" applyAlignment="1">
      <alignment horizontal="center" vertical="center"/>
    </xf>
    <xf numFmtId="2" fontId="21" fillId="13" borderId="215" xfId="0" applyNumberFormat="1" applyFont="1" applyFill="1" applyBorder="1" applyAlignment="1">
      <alignment horizontal="center" vertical="center"/>
    </xf>
    <xf numFmtId="0" fontId="372" fillId="220" borderId="253" xfId="0" applyFont="1" applyFill="1" applyBorder="1" applyAlignment="1">
      <alignment horizontal="center" vertical="center" wrapText="1"/>
    </xf>
    <xf numFmtId="0" fontId="372" fillId="463" borderId="253" xfId="0" applyFont="1" applyFill="1" applyBorder="1" applyAlignment="1">
      <alignment horizontal="center" vertical="center" wrapText="1"/>
    </xf>
    <xf numFmtId="2" fontId="52" fillId="35" borderId="253" xfId="0" applyNumberFormat="1" applyFont="1" applyFill="1" applyBorder="1" applyAlignment="1">
      <alignment horizontal="center" vertical="center"/>
    </xf>
    <xf numFmtId="2" fontId="117" fillId="68" borderId="253" xfId="0" applyNumberFormat="1" applyFont="1" applyFill="1" applyBorder="1" applyAlignment="1">
      <alignment horizontal="center" vertical="center"/>
    </xf>
    <xf numFmtId="2" fontId="117" fillId="464" borderId="253" xfId="0" applyNumberFormat="1" applyFont="1" applyFill="1" applyBorder="1" applyAlignment="1">
      <alignment horizontal="center" vertical="center"/>
    </xf>
    <xf numFmtId="2" fontId="276" fillId="163" borderId="253" xfId="0" applyNumberFormat="1" applyFont="1" applyFill="1" applyBorder="1" applyAlignment="1">
      <alignment horizontal="center" vertical="center"/>
    </xf>
    <xf numFmtId="2" fontId="197" fillId="121" borderId="253" xfId="0" applyNumberFormat="1" applyFont="1" applyFill="1" applyBorder="1" applyAlignment="1">
      <alignment horizontal="center" vertical="center"/>
    </xf>
    <xf numFmtId="2" fontId="197" fillId="450" borderId="253" xfId="0" applyNumberFormat="1" applyFont="1" applyFill="1" applyBorder="1" applyAlignment="1">
      <alignment horizontal="center" vertical="center"/>
    </xf>
    <xf numFmtId="2" fontId="21" fillId="13" borderId="253" xfId="0" applyNumberFormat="1" applyFont="1" applyFill="1" applyBorder="1" applyAlignment="1">
      <alignment horizontal="center" vertical="center"/>
    </xf>
    <xf numFmtId="2" fontId="560" fillId="335" borderId="253" xfId="0" applyNumberFormat="1" applyFont="1" applyFill="1" applyBorder="1" applyAlignment="1">
      <alignment horizontal="center" vertical="center"/>
    </xf>
    <xf numFmtId="2" fontId="51" fillId="462" borderId="253" xfId="0" applyNumberFormat="1" applyFont="1" applyFill="1" applyBorder="1" applyAlignment="1">
      <alignment horizontal="center" vertical="center"/>
    </xf>
    <xf numFmtId="2" fontId="527" fillId="313" borderId="253" xfId="0" applyNumberFormat="1" applyFont="1" applyFill="1" applyBorder="1" applyAlignment="1">
      <alignment horizontal="center" vertical="center"/>
    </xf>
    <xf numFmtId="2" fontId="189" fillId="116" borderId="253" xfId="0" applyNumberFormat="1" applyFont="1" applyFill="1" applyBorder="1" applyAlignment="1">
      <alignment horizontal="center" vertical="center"/>
    </xf>
    <xf numFmtId="2" fontId="28" fillId="16" borderId="253" xfId="0" applyNumberFormat="1" applyFont="1" applyFill="1" applyBorder="1" applyAlignment="1">
      <alignment horizontal="center" vertical="center"/>
    </xf>
    <xf numFmtId="2" fontId="115" fillId="67" borderId="253" xfId="0" applyNumberFormat="1" applyFont="1" applyFill="1" applyBorder="1" applyAlignment="1">
      <alignment horizontal="center" vertical="center"/>
    </xf>
    <xf numFmtId="0" fontId="179" fillId="462" borderId="220" xfId="0" applyFont="1" applyFill="1" applyBorder="1" applyAlignment="1">
      <alignment horizontal="center" vertical="center"/>
    </xf>
    <xf numFmtId="0" fontId="155" fillId="98" borderId="158" xfId="0" applyFont="1" applyFill="1" applyBorder="1" applyAlignment="1">
      <alignment horizontal="right"/>
    </xf>
    <xf numFmtId="2" fontId="51" fillId="34" borderId="246" xfId="0" applyNumberFormat="1" applyFont="1" applyFill="1" applyBorder="1" applyAlignment="1">
      <alignment horizontal="center" vertical="center"/>
    </xf>
    <xf numFmtId="167" fontId="162" fillId="102" borderId="246" xfId="0" applyNumberFormat="1" applyFont="1" applyFill="1" applyBorder="1" applyAlignment="1">
      <alignment horizontal="center" vertical="center"/>
    </xf>
    <xf numFmtId="2" fontId="51" fillId="34" borderId="267" xfId="0" applyNumberFormat="1" applyFont="1" applyFill="1" applyBorder="1" applyAlignment="1">
      <alignment horizontal="center" vertical="center"/>
    </xf>
    <xf numFmtId="2" fontId="51" fillId="34" borderId="239" xfId="0" applyNumberFormat="1" applyFont="1" applyFill="1" applyBorder="1" applyAlignment="1">
      <alignment horizontal="center" vertical="center"/>
    </xf>
    <xf numFmtId="0" fontId="155" fillId="462" borderId="253" xfId="0" applyFont="1" applyFill="1" applyBorder="1" applyAlignment="1">
      <alignment horizontal="right"/>
    </xf>
    <xf numFmtId="167" fontId="162" fillId="462" borderId="253" xfId="0" applyNumberFormat="1" applyFont="1" applyFill="1" applyBorder="1" applyAlignment="1">
      <alignment horizontal="center" vertical="center"/>
    </xf>
    <xf numFmtId="0" fontId="3" fillId="413" borderId="253" xfId="0" applyFont="1" applyFill="1" applyBorder="1" applyAlignment="1">
      <alignment horizontal="right"/>
    </xf>
    <xf numFmtId="167" fontId="524" fillId="311" borderId="253" xfId="0" applyNumberFormat="1" applyFont="1" applyFill="1" applyBorder="1" applyAlignment="1">
      <alignment horizontal="center" vertical="center"/>
    </xf>
    <xf numFmtId="0" fontId="144" fillId="86" borderId="253" xfId="0" applyFont="1" applyFill="1" applyBorder="1" applyAlignment="1">
      <alignment horizontal="right"/>
    </xf>
    <xf numFmtId="167" fontId="671" fillId="405" borderId="253" xfId="0" applyNumberFormat="1" applyFont="1" applyFill="1" applyBorder="1" applyAlignment="1">
      <alignment horizontal="center" vertical="center"/>
    </xf>
    <xf numFmtId="0" fontId="202" fillId="126" borderId="253" xfId="0" applyFont="1" applyFill="1" applyBorder="1" applyAlignment="1">
      <alignment horizontal="right"/>
    </xf>
    <xf numFmtId="167" fontId="554" fillId="330" borderId="253" xfId="0" applyNumberFormat="1" applyFont="1" applyFill="1" applyBorder="1" applyAlignment="1">
      <alignment horizontal="center" vertical="center"/>
    </xf>
    <xf numFmtId="0" fontId="3" fillId="18" borderId="253" xfId="0" applyFont="1" applyFill="1" applyBorder="1" applyAlignment="1">
      <alignment horizontal="right"/>
    </xf>
    <xf numFmtId="167" fontId="355" fillId="208" borderId="253" xfId="0" applyNumberFormat="1" applyFont="1" applyFill="1" applyBorder="1" applyAlignment="1">
      <alignment horizontal="center" vertical="center"/>
    </xf>
    <xf numFmtId="0" fontId="762" fillId="0" borderId="0" xfId="0" applyFont="1" applyBorder="1" applyAlignment="1">
      <alignment wrapText="1"/>
    </xf>
    <xf numFmtId="0" fontId="0" fillId="463" borderId="0" xfId="0" applyFill="1" applyBorder="1" applyAlignment="1">
      <alignment wrapText="1"/>
    </xf>
    <xf numFmtId="0" fontId="0" fillId="464" borderId="0" xfId="0" applyFill="1" applyBorder="1" applyAlignment="1">
      <alignment wrapText="1"/>
    </xf>
    <xf numFmtId="0" fontId="0" fillId="450" borderId="0" xfId="0" applyFill="1" applyBorder="1" applyAlignment="1">
      <alignment wrapText="1"/>
    </xf>
    <xf numFmtId="0" fontId="0" fillId="462" borderId="0" xfId="0" applyFill="1" applyBorder="1" applyAlignment="1">
      <alignment wrapText="1"/>
    </xf>
    <xf numFmtId="0" fontId="1" fillId="220" borderId="253" xfId="0" applyFont="1" applyFill="1" applyBorder="1" applyAlignment="1">
      <alignment horizontal="center" vertical="center" wrapText="1"/>
    </xf>
    <xf numFmtId="0" fontId="118" fillId="463" borderId="218" xfId="0" applyFont="1" applyFill="1" applyBorder="1" applyAlignment="1">
      <alignment horizontal="center" vertical="center" wrapText="1"/>
    </xf>
    <xf numFmtId="0" fontId="748" fillId="447" borderId="253" xfId="0" applyFont="1" applyFill="1" applyBorder="1" applyAlignment="1">
      <alignment horizontal="center" vertical="center"/>
    </xf>
    <xf numFmtId="0" fontId="316" fillId="187" borderId="253" xfId="0" applyFont="1" applyFill="1" applyBorder="1" applyAlignment="1">
      <alignment horizontal="center" vertical="center"/>
    </xf>
    <xf numFmtId="0" fontId="118" fillId="69" borderId="253" xfId="0" applyFont="1" applyFill="1" applyBorder="1" applyAlignment="1">
      <alignment horizontal="center" vertical="center" wrapText="1"/>
    </xf>
    <xf numFmtId="0" fontId="682" fillId="412" borderId="253" xfId="0" applyFont="1" applyFill="1" applyBorder="1" applyAlignment="1">
      <alignment horizontal="center" vertical="center" wrapText="1"/>
    </xf>
    <xf numFmtId="0" fontId="1" fillId="216" borderId="239" xfId="0" applyFont="1" applyFill="1" applyBorder="1" applyAlignment="1">
      <alignment horizontal="center" vertical="center" wrapText="1"/>
    </xf>
    <xf numFmtId="0" fontId="590" fillId="0" borderId="0" xfId="0" applyFont="1" applyAlignment="1">
      <alignment horizontal="center" vertical="center" wrapText="1"/>
    </xf>
    <xf numFmtId="0" fontId="593" fillId="465" borderId="0" xfId="0" applyFont="1" applyFill="1" applyBorder="1" applyAlignment="1">
      <alignment horizontal="center" vertical="center" wrapText="1"/>
    </xf>
    <xf numFmtId="0" fontId="3" fillId="465" borderId="0" xfId="0" applyFont="1" applyFill="1" applyBorder="1" applyAlignment="1">
      <alignment horizontal="center" vertical="center" wrapText="1"/>
    </xf>
    <xf numFmtId="0" fontId="640" fillId="0" borderId="0" xfId="0" applyFont="1" applyAlignment="1">
      <alignment horizontal="center" vertical="center" wrapText="1"/>
    </xf>
    <xf numFmtId="0" fontId="673" fillId="0" borderId="0" xfId="0" applyFont="1" applyAlignment="1">
      <alignment horizontal="center" vertical="center" wrapText="1"/>
    </xf>
    <xf numFmtId="0" fontId="491" fillId="0" borderId="0" xfId="0" applyFont="1" applyAlignment="1">
      <alignment horizontal="center" vertical="center" wrapText="1"/>
    </xf>
    <xf numFmtId="0" fontId="193" fillId="0" borderId="0" xfId="0" applyFont="1" applyBorder="1" applyAlignment="1">
      <alignment horizontal="center" vertical="center" wrapText="1"/>
    </xf>
    <xf numFmtId="0" fontId="640" fillId="465" borderId="0" xfId="0" applyFont="1" applyFill="1" applyBorder="1" applyAlignment="1">
      <alignment horizontal="center" vertical="center" wrapText="1"/>
    </xf>
    <xf numFmtId="0" fontId="193" fillId="465" borderId="0" xfId="0" applyFont="1" applyFill="1" applyBorder="1" applyAlignment="1">
      <alignment horizontal="center" vertical="center" wrapText="1"/>
    </xf>
    <xf numFmtId="0" fontId="338" fillId="465" borderId="0" xfId="0" applyFont="1" applyFill="1" applyBorder="1" applyAlignment="1">
      <alignment horizontal="center" vertical="center" wrapText="1"/>
    </xf>
    <xf numFmtId="0" fontId="53" fillId="465" borderId="0" xfId="0" applyFont="1" applyFill="1" applyBorder="1" applyAlignment="1">
      <alignment horizontal="center" vertical="center" wrapText="1"/>
    </xf>
    <xf numFmtId="0" fontId="134" fillId="465" borderId="0" xfId="0" applyFont="1" applyFill="1" applyBorder="1" applyAlignment="1">
      <alignment horizontal="center" vertical="center" wrapText="1"/>
    </xf>
    <xf numFmtId="0" fontId="0" fillId="465" borderId="0" xfId="0" applyFill="1" applyBorder="1" applyAlignment="1">
      <alignment horizontal="center" vertical="center" wrapText="1"/>
    </xf>
    <xf numFmtId="0" fontId="0" fillId="0" borderId="0" xfId="0" applyBorder="1" applyAlignment="1">
      <alignment horizontal="center" vertical="center" wrapText="1"/>
    </xf>
    <xf numFmtId="0" fontId="359" fillId="0" borderId="0" xfId="0" applyFont="1" applyAlignment="1">
      <alignment horizontal="center" vertical="center" wrapText="1"/>
    </xf>
    <xf numFmtId="0" fontId="655" fillId="397" borderId="102" xfId="0" applyFont="1" applyFill="1" applyBorder="1" applyAlignment="1">
      <alignment horizontal="center" vertical="center" wrapText="1"/>
    </xf>
    <xf numFmtId="0" fontId="450" fillId="265" borderId="240" xfId="0" applyFont="1" applyFill="1" applyBorder="1" applyAlignment="1">
      <alignment horizontal="center" vertical="center" wrapText="1"/>
    </xf>
    <xf numFmtId="0" fontId="721" fillId="432" borderId="224" xfId="0" applyFont="1" applyFill="1" applyBorder="1" applyAlignment="1">
      <alignment horizontal="center" vertical="center" wrapText="1"/>
    </xf>
    <xf numFmtId="0" fontId="290" fillId="172" borderId="210" xfId="0" applyFont="1" applyFill="1" applyBorder="1" applyAlignment="1">
      <alignment horizontal="center" vertical="center" wrapText="1"/>
    </xf>
    <xf numFmtId="0" fontId="758" fillId="0" borderId="253" xfId="0" applyFont="1" applyBorder="1" applyAlignment="1">
      <alignment horizontal="center" vertical="center" wrapText="1"/>
    </xf>
    <xf numFmtId="0" fontId="1" fillId="271" borderId="253" xfId="0" applyFont="1" applyFill="1" applyBorder="1" applyAlignment="1">
      <alignment horizontal="center" vertical="center" wrapText="1"/>
    </xf>
    <xf numFmtId="0" fontId="640" fillId="0" borderId="253" xfId="0" applyFont="1" applyBorder="1"/>
    <xf numFmtId="0" fontId="2" fillId="465" borderId="0" xfId="0" applyFont="1" applyFill="1" applyBorder="1" applyAlignment="1">
      <alignment horizontal="center" vertical="center" wrapText="1"/>
    </xf>
    <xf numFmtId="165" fontId="43" fillId="27" borderId="253" xfId="0" applyNumberFormat="1" applyFont="1" applyFill="1" applyBorder="1" applyAlignment="1" applyProtection="1">
      <alignment horizontal="center" vertical="center"/>
      <protection locked="0"/>
    </xf>
    <xf numFmtId="165" fontId="227" fillId="138" borderId="253" xfId="0" applyNumberFormat="1" applyFont="1" applyFill="1" applyBorder="1" applyAlignment="1" applyProtection="1">
      <alignment horizontal="center" vertical="center"/>
      <protection locked="0"/>
    </xf>
    <xf numFmtId="165" fontId="546" fillId="325" borderId="253" xfId="0" applyNumberFormat="1" applyFont="1" applyFill="1" applyBorder="1" applyAlignment="1" applyProtection="1">
      <alignment horizontal="center" vertical="center"/>
      <protection locked="0"/>
    </xf>
    <xf numFmtId="165" fontId="336" fillId="197" borderId="253" xfId="0" applyNumberFormat="1" applyFont="1" applyFill="1" applyBorder="1" applyAlignment="1" applyProtection="1">
      <alignment horizontal="center" vertical="center"/>
      <protection locked="0"/>
    </xf>
    <xf numFmtId="165" fontId="546" fillId="325" borderId="188" xfId="0" applyNumberFormat="1" applyFont="1" applyFill="1" applyBorder="1" applyAlignment="1" applyProtection="1">
      <alignment horizontal="center" vertical="center"/>
      <protection locked="0"/>
    </xf>
    <xf numFmtId="165" fontId="749" fillId="448" borderId="253" xfId="0" applyNumberFormat="1" applyFont="1" applyFill="1" applyBorder="1" applyAlignment="1" applyProtection="1">
      <alignment horizontal="center" vertical="center"/>
      <protection locked="0"/>
    </xf>
    <xf numFmtId="165" fontId="45" fillId="29" borderId="253" xfId="0" applyNumberFormat="1" applyFont="1" applyFill="1" applyBorder="1" applyAlignment="1" applyProtection="1">
      <alignment horizontal="center" vertical="center"/>
      <protection locked="0"/>
    </xf>
    <xf numFmtId="165" fontId="500" fillId="295" borderId="253" xfId="0" applyNumberFormat="1" applyFont="1" applyFill="1" applyBorder="1" applyAlignment="1" applyProtection="1">
      <alignment horizontal="center" vertical="center"/>
      <protection locked="0"/>
    </xf>
    <xf numFmtId="165" fontId="419" fillId="245" borderId="253" xfId="0" applyNumberFormat="1" applyFont="1" applyFill="1" applyBorder="1" applyAlignment="1" applyProtection="1">
      <alignment horizontal="center" vertical="center"/>
      <protection locked="0"/>
    </xf>
    <xf numFmtId="0" fontId="771" fillId="0" borderId="0" xfId="0" applyFont="1" applyAlignment="1" applyProtection="1">
      <alignment horizontal="center" vertical="center" wrapText="1"/>
      <protection locked="0"/>
    </xf>
    <xf numFmtId="0" fontId="771" fillId="0" borderId="65" xfId="0" applyFont="1" applyBorder="1" applyAlignment="1" applyProtection="1">
      <alignment horizontal="center" vertical="center" wrapText="1"/>
      <protection locked="0"/>
    </xf>
    <xf numFmtId="0" fontId="771" fillId="0" borderId="0" xfId="0" applyFont="1" applyBorder="1" applyAlignment="1" applyProtection="1">
      <alignment horizontal="center" vertical="center" wrapText="1"/>
      <protection locked="0"/>
    </xf>
    <xf numFmtId="0" fontId="771" fillId="0" borderId="92" xfId="0" applyFont="1" applyBorder="1" applyAlignment="1" applyProtection="1">
      <alignment horizontal="center" vertical="center" wrapText="1"/>
      <protection locked="0"/>
    </xf>
    <xf numFmtId="0" fontId="0" fillId="0" borderId="0" xfId="0" applyAlignment="1" applyProtection="1">
      <alignment horizontal="center" vertical="center" wrapText="1"/>
    </xf>
    <xf numFmtId="0" fontId="762" fillId="0" borderId="0" xfId="0" applyFont="1" applyAlignment="1" applyProtection="1">
      <alignment horizontal="center" vertical="center" wrapText="1"/>
    </xf>
    <xf numFmtId="0" fontId="762" fillId="0" borderId="217" xfId="0" applyFont="1" applyBorder="1" applyAlignment="1" applyProtection="1">
      <alignment horizontal="center" vertical="center" wrapText="1"/>
    </xf>
    <xf numFmtId="0" fontId="0" fillId="0" borderId="252" xfId="0" applyBorder="1" applyAlignment="1" applyProtection="1">
      <alignment horizontal="center" vertical="center" wrapText="1"/>
    </xf>
    <xf numFmtId="0" fontId="0" fillId="0" borderId="205" xfId="0" applyBorder="1" applyAlignment="1" applyProtection="1">
      <alignment horizontal="left" vertical="center" wrapText="1" indent="3"/>
    </xf>
    <xf numFmtId="0" fontId="0" fillId="0" borderId="270" xfId="0" applyBorder="1" applyAlignment="1" applyProtection="1">
      <alignment horizontal="center" vertical="center" wrapText="1"/>
    </xf>
    <xf numFmtId="0" fontId="0" fillId="0" borderId="205" xfId="0" applyBorder="1" applyAlignment="1" applyProtection="1">
      <alignment horizontal="center" vertical="center" wrapText="1"/>
    </xf>
    <xf numFmtId="0" fontId="762" fillId="0" borderId="241" xfId="0" applyFont="1" applyBorder="1" applyAlignment="1" applyProtection="1">
      <alignment horizontal="center" vertical="center" wrapText="1"/>
    </xf>
    <xf numFmtId="0" fontId="762" fillId="0" borderId="238" xfId="0" applyFont="1" applyBorder="1" applyAlignment="1" applyProtection="1">
      <alignment horizontal="center" vertical="center" wrapText="1"/>
    </xf>
    <xf numFmtId="0" fontId="0" fillId="0" borderId="238" xfId="0" applyBorder="1" applyAlignment="1" applyProtection="1">
      <alignment horizontal="center" vertical="center" wrapText="1"/>
    </xf>
    <xf numFmtId="0" fontId="0" fillId="0" borderId="0" xfId="0" applyAlignment="1" applyProtection="1">
      <alignment vertical="center" wrapText="1"/>
    </xf>
    <xf numFmtId="0" fontId="762" fillId="0" borderId="234" xfId="0" applyFont="1" applyBorder="1" applyAlignment="1" applyProtection="1">
      <alignment vertical="center" wrapText="1"/>
    </xf>
    <xf numFmtId="0" fontId="762" fillId="0" borderId="234" xfId="0" applyFont="1" applyBorder="1" applyAlignment="1" applyProtection="1">
      <alignment horizontal="center" vertical="center" wrapText="1"/>
    </xf>
    <xf numFmtId="0" fontId="762" fillId="0" borderId="163" xfId="0" applyFont="1" applyBorder="1" applyAlignment="1" applyProtection="1">
      <alignment vertical="center" wrapText="1"/>
    </xf>
    <xf numFmtId="0" fontId="762" fillId="0" borderId="0" xfId="0" applyFont="1" applyAlignment="1" applyProtection="1">
      <alignment vertical="center" wrapText="1"/>
    </xf>
    <xf numFmtId="0" fontId="762" fillId="0" borderId="232" xfId="0" applyFont="1" applyBorder="1" applyAlignment="1" applyProtection="1">
      <alignment horizontal="center" vertical="center" wrapText="1"/>
    </xf>
    <xf numFmtId="0" fontId="0" fillId="0" borderId="234" xfId="0" applyBorder="1" applyAlignment="1" applyProtection="1">
      <alignment horizontal="center" vertical="center" wrapText="1"/>
    </xf>
    <xf numFmtId="0" fontId="0" fillId="0" borderId="186" xfId="0" applyBorder="1" applyAlignment="1" applyProtection="1">
      <alignment horizontal="center" vertical="center" wrapText="1"/>
    </xf>
    <xf numFmtId="0" fontId="771" fillId="0" borderId="29" xfId="0" applyFont="1" applyBorder="1" applyAlignment="1" applyProtection="1">
      <alignment horizontal="center" vertical="center" wrapText="1"/>
    </xf>
    <xf numFmtId="0" fontId="0" fillId="0" borderId="0" xfId="0" applyBorder="1" applyAlignment="1" applyProtection="1">
      <alignment horizontal="center" vertical="center" wrapText="1"/>
    </xf>
    <xf numFmtId="0" fontId="762" fillId="0" borderId="0" xfId="0" applyFont="1" applyBorder="1" applyAlignment="1" applyProtection="1">
      <alignment vertical="center" wrapText="1"/>
    </xf>
    <xf numFmtId="0" fontId="762" fillId="0" borderId="65" xfId="0" applyFont="1" applyBorder="1" applyAlignment="1" applyProtection="1">
      <alignment vertical="center" wrapText="1"/>
    </xf>
    <xf numFmtId="0" fontId="762" fillId="0" borderId="253" xfId="0" applyFont="1" applyBorder="1" applyAlignment="1" applyProtection="1">
      <alignment horizontal="center" vertical="center" wrapText="1"/>
    </xf>
    <xf numFmtId="0" fontId="771" fillId="0" borderId="65" xfId="0" applyFont="1" applyBorder="1" applyAlignment="1" applyProtection="1">
      <alignment horizontal="center" vertical="center" wrapText="1"/>
    </xf>
    <xf numFmtId="0" fontId="762" fillId="0" borderId="0" xfId="0" applyFont="1" applyBorder="1" applyAlignment="1" applyProtection="1">
      <alignment horizontal="center" vertical="center" wrapText="1"/>
    </xf>
    <xf numFmtId="0" fontId="771" fillId="0" borderId="0" xfId="0" applyFont="1" applyBorder="1" applyAlignment="1" applyProtection="1">
      <alignment horizontal="center" vertical="center" wrapText="1"/>
    </xf>
    <xf numFmtId="0" fontId="0" fillId="0" borderId="92" xfId="0" applyBorder="1" applyAlignment="1" applyProtection="1">
      <alignment horizontal="center" vertical="center" wrapText="1"/>
    </xf>
    <xf numFmtId="0" fontId="771" fillId="0" borderId="92" xfId="0" applyFont="1" applyBorder="1" applyAlignment="1" applyProtection="1">
      <alignment horizontal="center" vertical="center" wrapText="1"/>
    </xf>
    <xf numFmtId="0" fontId="771" fillId="0" borderId="257" xfId="0" applyFont="1" applyBorder="1" applyAlignment="1" applyProtection="1">
      <alignment horizontal="center" vertical="center" wrapText="1"/>
    </xf>
    <xf numFmtId="0" fontId="0" fillId="0" borderId="253" xfId="0" applyBorder="1" applyAlignment="1" applyProtection="1">
      <alignment horizontal="center" vertical="center" wrapText="1"/>
    </xf>
    <xf numFmtId="0" fontId="0" fillId="0" borderId="0" xfId="0" applyBorder="1" applyAlignment="1" applyProtection="1">
      <alignment vertical="center" wrapText="1"/>
    </xf>
    <xf numFmtId="0" fontId="771" fillId="0" borderId="0" xfId="0" applyFont="1" applyBorder="1" applyAlignment="1" applyProtection="1">
      <alignment vertical="center" wrapText="1"/>
    </xf>
    <xf numFmtId="0" fontId="762" fillId="0" borderId="186" xfId="0" applyFont="1" applyBorder="1" applyAlignment="1" applyProtection="1">
      <alignment vertical="center" wrapText="1"/>
    </xf>
    <xf numFmtId="0" fontId="0" fillId="0" borderId="29" xfId="0" applyBorder="1" applyAlignment="1" applyProtection="1">
      <alignment horizontal="center" vertical="center" wrapText="1"/>
    </xf>
    <xf numFmtId="0" fontId="0" fillId="0" borderId="220" xfId="0" applyBorder="1" applyAlignment="1" applyProtection="1">
      <alignment horizontal="center" vertical="center" wrapText="1"/>
    </xf>
    <xf numFmtId="0" fontId="762" fillId="0" borderId="220" xfId="0" applyFont="1" applyBorder="1" applyAlignment="1" applyProtection="1">
      <alignment horizontal="center" vertical="center" wrapText="1"/>
    </xf>
    <xf numFmtId="0" fontId="771" fillId="0" borderId="186" xfId="0" applyFont="1" applyBorder="1" applyAlignment="1" applyProtection="1">
      <alignment horizontal="center" vertical="center" wrapText="1"/>
    </xf>
    <xf numFmtId="177" fontId="0" fillId="0" borderId="0" xfId="0" applyNumberFormat="1" applyBorder="1" applyAlignment="1" applyProtection="1">
      <alignment horizontal="center" vertical="center" wrapText="1"/>
    </xf>
    <xf numFmtId="0" fontId="0" fillId="0" borderId="65" xfId="0" applyBorder="1" applyAlignment="1" applyProtection="1">
      <alignment vertical="center" wrapText="1"/>
    </xf>
    <xf numFmtId="10" fontId="0" fillId="0" borderId="0" xfId="0" applyNumberFormat="1" applyBorder="1" applyAlignment="1" applyProtection="1">
      <alignment horizontal="center" vertical="center" wrapText="1"/>
    </xf>
    <xf numFmtId="0" fontId="762" fillId="0" borderId="261" xfId="0" applyFont="1" applyBorder="1" applyAlignment="1" applyProtection="1">
      <alignment horizontal="center" vertical="center" wrapText="1"/>
    </xf>
    <xf numFmtId="0" fontId="0" fillId="0" borderId="261" xfId="0" applyBorder="1" applyAlignment="1" applyProtection="1">
      <alignment horizontal="center" vertical="center" wrapText="1"/>
    </xf>
    <xf numFmtId="0" fontId="762" fillId="0" borderId="92" xfId="0" applyFont="1" applyBorder="1" applyAlignment="1" applyProtection="1">
      <alignment horizontal="center" vertical="center" wrapText="1"/>
    </xf>
    <xf numFmtId="177" fontId="0" fillId="0" borderId="92" xfId="0" applyNumberFormat="1" applyBorder="1" applyAlignment="1" applyProtection="1">
      <alignment horizontal="center" vertical="center" wrapText="1"/>
    </xf>
    <xf numFmtId="0" fontId="772" fillId="0" borderId="0" xfId="0" applyFont="1" applyAlignment="1" applyProtection="1">
      <alignment horizontal="center" vertical="center" wrapText="1"/>
    </xf>
    <xf numFmtId="0" fontId="12" fillId="0" borderId="0" xfId="0" applyFont="1" applyAlignment="1" applyProtection="1">
      <alignment horizontal="center" vertical="center"/>
      <protection locked="0"/>
    </xf>
    <xf numFmtId="3" fontId="557" fillId="332" borderId="253" xfId="0" applyNumberFormat="1" applyFont="1" applyFill="1" applyBorder="1" applyAlignment="1" applyProtection="1">
      <alignment horizontal="center" vertical="center"/>
      <protection locked="0"/>
    </xf>
    <xf numFmtId="0" fontId="771" fillId="0" borderId="0" xfId="0" applyFont="1" applyAlignment="1" applyProtection="1">
      <alignment horizontal="center" vertical="center" wrapText="1"/>
    </xf>
    <xf numFmtId="43" fontId="3" fillId="456" borderId="185" xfId="1" applyNumberFormat="1" applyFont="1" applyFill="1" applyBorder="1" applyAlignment="1">
      <alignment horizontal="center" vertical="center" wrapText="1"/>
    </xf>
    <xf numFmtId="43" fontId="3" fillId="150" borderId="82" xfId="1" applyNumberFormat="1" applyFont="1" applyFill="1" applyBorder="1" applyAlignment="1">
      <alignment horizontal="center" vertical="center" wrapText="1"/>
    </xf>
    <xf numFmtId="43" fontId="3" fillId="468" borderId="253" xfId="1" applyNumberFormat="1" applyFont="1" applyFill="1" applyBorder="1" applyAlignment="1">
      <alignment horizontal="center" vertical="center" wrapText="1"/>
    </xf>
    <xf numFmtId="43" fontId="217" fillId="461" borderId="71" xfId="1" applyNumberFormat="1" applyFont="1" applyFill="1" applyBorder="1" applyAlignment="1">
      <alignment horizontal="center" vertical="center" wrapText="1"/>
    </xf>
    <xf numFmtId="0" fontId="0" fillId="0" borderId="0" xfId="0" applyBorder="1" applyAlignment="1" applyProtection="1">
      <alignment horizontal="center" vertical="center" wrapText="1"/>
    </xf>
    <xf numFmtId="0" fontId="0" fillId="0" borderId="92" xfId="0" applyBorder="1" applyAlignment="1" applyProtection="1">
      <alignment horizontal="center" vertical="center" wrapText="1"/>
    </xf>
    <xf numFmtId="0" fontId="0" fillId="0" borderId="65" xfId="0" applyBorder="1" applyAlignment="1" applyProtection="1">
      <alignment horizontal="center" vertical="center" wrapText="1"/>
    </xf>
    <xf numFmtId="0" fontId="0" fillId="0" borderId="257" xfId="0" applyBorder="1" applyAlignment="1" applyProtection="1">
      <alignment horizontal="center" vertical="center" wrapText="1"/>
    </xf>
    <xf numFmtId="0" fontId="3" fillId="0" borderId="0" xfId="0" applyFont="1" applyAlignment="1">
      <alignment horizontal="center"/>
    </xf>
    <xf numFmtId="0" fontId="1" fillId="466" borderId="253" xfId="0" applyFont="1" applyFill="1" applyBorder="1" applyAlignment="1">
      <alignment horizontal="center" vertical="center" wrapText="1"/>
    </xf>
    <xf numFmtId="0" fontId="211" fillId="0" borderId="253" xfId="0" applyFont="1" applyBorder="1" applyAlignment="1">
      <alignment horizontal="center" vertical="center" wrapText="1"/>
    </xf>
    <xf numFmtId="0" fontId="211" fillId="0" borderId="243" xfId="0" applyFont="1" applyBorder="1" applyAlignment="1">
      <alignment horizontal="center" vertical="center" wrapText="1"/>
    </xf>
    <xf numFmtId="0" fontId="211" fillId="0" borderId="228" xfId="0" applyFont="1" applyBorder="1" applyAlignment="1">
      <alignment horizontal="center" vertical="center" wrapText="1"/>
    </xf>
    <xf numFmtId="0" fontId="211" fillId="0" borderId="234" xfId="0" applyFont="1" applyBorder="1" applyAlignment="1">
      <alignment horizontal="center" vertical="center" wrapText="1"/>
    </xf>
    <xf numFmtId="0" fontId="211" fillId="0" borderId="189" xfId="0" applyFont="1" applyBorder="1" applyAlignment="1">
      <alignment horizontal="center" vertical="center" wrapText="1"/>
    </xf>
    <xf numFmtId="0" fontId="211" fillId="0" borderId="221" xfId="0" applyFont="1" applyBorder="1" applyAlignment="1">
      <alignment horizontal="center" vertical="center" wrapText="1"/>
    </xf>
    <xf numFmtId="0" fontId="507" fillId="0" borderId="163" xfId="0" applyFont="1" applyBorder="1" applyAlignment="1">
      <alignment horizontal="center" vertical="center" wrapText="1"/>
    </xf>
    <xf numFmtId="43" fontId="0" fillId="0" borderId="0" xfId="1" applyFont="1" applyAlignment="1">
      <alignment horizontal="center" vertical="center" wrapText="1"/>
    </xf>
    <xf numFmtId="43" fontId="640" fillId="0" borderId="0" xfId="1" applyFont="1" applyAlignment="1">
      <alignment horizontal="center" vertical="center" wrapText="1"/>
    </xf>
    <xf numFmtId="43" fontId="3" fillId="0" borderId="0" xfId="1" applyFont="1" applyAlignment="1">
      <alignment horizontal="center" vertical="center" wrapText="1"/>
    </xf>
    <xf numFmtId="43" fontId="673" fillId="0" borderId="0" xfId="1" applyFont="1" applyAlignment="1">
      <alignment horizontal="center" vertical="center" wrapText="1"/>
    </xf>
    <xf numFmtId="43" fontId="640" fillId="465" borderId="0" xfId="1" applyFont="1" applyFill="1" applyBorder="1" applyAlignment="1">
      <alignment horizontal="center" vertical="center" wrapText="1"/>
    </xf>
    <xf numFmtId="43" fontId="590" fillId="0" borderId="0" xfId="1" applyFont="1" applyAlignment="1">
      <alignment horizontal="center" vertical="center" wrapText="1"/>
    </xf>
    <xf numFmtId="43" fontId="211" fillId="0" borderId="234" xfId="1" applyFont="1" applyBorder="1" applyAlignment="1">
      <alignment horizontal="center" vertical="center" wrapText="1"/>
    </xf>
    <xf numFmtId="43" fontId="211" fillId="0" borderId="163" xfId="1" applyFont="1" applyBorder="1" applyAlignment="1">
      <alignment horizontal="center" vertical="center" wrapText="1"/>
    </xf>
    <xf numFmtId="43" fontId="211" fillId="0" borderId="243" xfId="1" applyFont="1" applyBorder="1" applyAlignment="1">
      <alignment horizontal="center" vertical="center" wrapText="1"/>
    </xf>
    <xf numFmtId="43" fontId="211" fillId="0" borderId="253" xfId="1" applyFont="1" applyBorder="1" applyAlignment="1">
      <alignment horizontal="center" vertical="center" wrapText="1"/>
    </xf>
    <xf numFmtId="43" fontId="211" fillId="0" borderId="189" xfId="1" applyFont="1" applyBorder="1" applyAlignment="1">
      <alignment horizontal="center" vertical="center" wrapText="1"/>
    </xf>
    <xf numFmtId="0" fontId="0" fillId="0" borderId="0" xfId="0" applyBorder="1" applyAlignment="1" applyProtection="1">
      <alignment horizontal="center" vertical="center" wrapText="1"/>
    </xf>
    <xf numFmtId="0" fontId="0" fillId="0" borderId="92" xfId="0" applyBorder="1" applyAlignment="1" applyProtection="1">
      <alignment horizontal="center" vertical="center" wrapText="1"/>
    </xf>
    <xf numFmtId="0" fontId="0" fillId="0" borderId="65" xfId="0" applyBorder="1" applyAlignment="1" applyProtection="1">
      <alignment horizontal="center" vertical="center" wrapText="1"/>
    </xf>
    <xf numFmtId="0" fontId="0" fillId="0" borderId="257" xfId="0" applyBorder="1" applyAlignment="1" applyProtection="1">
      <alignment horizontal="center" vertical="center" wrapText="1"/>
    </xf>
    <xf numFmtId="0" fontId="12" fillId="0" borderId="253" xfId="0" applyFont="1" applyBorder="1" applyAlignment="1">
      <alignment horizontal="center" vertical="center"/>
    </xf>
    <xf numFmtId="0" fontId="762" fillId="469" borderId="253" xfId="0" applyFont="1" applyFill="1" applyBorder="1" applyAlignment="1" applyProtection="1">
      <alignment vertical="center" wrapText="1"/>
    </xf>
    <xf numFmtId="43" fontId="0" fillId="0" borderId="0" xfId="1" applyFont="1" applyBorder="1" applyAlignment="1" applyProtection="1">
      <alignment horizontal="center" vertical="center" wrapText="1"/>
    </xf>
    <xf numFmtId="43" fontId="0" fillId="0" borderId="0" xfId="0" applyNumberFormat="1" applyBorder="1" applyAlignment="1" applyProtection="1">
      <alignment horizontal="center" vertical="center" wrapText="1"/>
    </xf>
    <xf numFmtId="0" fontId="762" fillId="0" borderId="65" xfId="0" applyFont="1" applyBorder="1" applyAlignment="1" applyProtection="1">
      <alignment horizontal="center" vertical="center" wrapText="1"/>
    </xf>
    <xf numFmtId="0" fontId="50" fillId="33" borderId="214" xfId="0" applyFont="1" applyFill="1" applyBorder="1" applyAlignment="1">
      <alignment horizontal="center" vertical="center" wrapText="1"/>
    </xf>
    <xf numFmtId="0" fontId="1" fillId="344" borderId="250" xfId="0" applyFont="1" applyFill="1" applyBorder="1" applyAlignment="1">
      <alignment horizontal="center" vertical="center" wrapText="1"/>
    </xf>
    <xf numFmtId="0" fontId="574" fillId="344" borderId="250" xfId="0" applyFont="1" applyFill="1" applyBorder="1" applyAlignment="1">
      <alignment horizontal="center" vertical="center" wrapText="1"/>
    </xf>
    <xf numFmtId="0" fontId="428" fillId="249" borderId="243" xfId="0" applyFont="1" applyFill="1" applyBorder="1" applyAlignment="1">
      <alignment horizontal="center" vertical="center" wrapText="1"/>
    </xf>
    <xf numFmtId="0" fontId="3" fillId="0" borderId="0" xfId="0" applyFont="1" applyAlignment="1">
      <alignment horizontal="center" vertical="center" wrapText="1"/>
    </xf>
    <xf numFmtId="0" fontId="773" fillId="0" borderId="0" xfId="0" applyFont="1" applyBorder="1" applyAlignment="1" applyProtection="1">
      <alignment horizontal="center" vertical="center" wrapText="1"/>
    </xf>
    <xf numFmtId="0" fontId="590" fillId="0" borderId="253" xfId="0" applyFont="1" applyBorder="1" applyAlignment="1">
      <alignment horizontal="center" vertical="center"/>
    </xf>
    <xf numFmtId="4" fontId="426" fillId="0" borderId="253" xfId="0" applyNumberFormat="1" applyFont="1" applyBorder="1" applyAlignment="1">
      <alignment horizontal="center" vertical="center"/>
    </xf>
    <xf numFmtId="0" fontId="590" fillId="0" borderId="228" xfId="0" applyFont="1" applyBorder="1" applyAlignment="1">
      <alignment horizontal="center" vertical="center"/>
    </xf>
    <xf numFmtId="0" fontId="590" fillId="0" borderId="234" xfId="0" applyFont="1" applyBorder="1" applyAlignment="1">
      <alignment horizontal="center" vertical="center"/>
    </xf>
    <xf numFmtId="4" fontId="30" fillId="0" borderId="234" xfId="0" applyNumberFormat="1" applyFont="1" applyBorder="1" applyAlignment="1">
      <alignment horizontal="center" vertical="center"/>
    </xf>
    <xf numFmtId="0" fontId="12" fillId="0" borderId="243" xfId="0" applyFont="1" applyBorder="1" applyAlignment="1">
      <alignment horizontal="center" vertical="center"/>
    </xf>
    <xf numFmtId="4" fontId="426" fillId="0" borderId="243" xfId="0" applyNumberFormat="1" applyFont="1" applyBorder="1" applyAlignment="1">
      <alignment horizontal="center" vertical="center"/>
    </xf>
    <xf numFmtId="4" fontId="426" fillId="0" borderId="249" xfId="0" applyNumberFormat="1" applyFont="1" applyBorder="1" applyAlignment="1">
      <alignment horizontal="center" vertical="center"/>
    </xf>
    <xf numFmtId="4" fontId="426" fillId="0" borderId="196" xfId="0" applyNumberFormat="1" applyFont="1" applyBorder="1" applyAlignment="1">
      <alignment horizontal="center" vertical="center"/>
    </xf>
    <xf numFmtId="4" fontId="3" fillId="0" borderId="196" xfId="0" applyNumberFormat="1" applyFont="1" applyBorder="1" applyAlignment="1">
      <alignment horizontal="center" vertical="center"/>
    </xf>
    <xf numFmtId="0" fontId="673" fillId="0" borderId="253" xfId="0" applyFont="1" applyBorder="1" applyAlignment="1">
      <alignment horizontal="center"/>
    </xf>
    <xf numFmtId="0" fontId="673" fillId="0" borderId="253" xfId="0" applyFont="1" applyBorder="1" applyAlignment="1">
      <alignment horizontal="center" vertical="center"/>
    </xf>
    <xf numFmtId="0" fontId="590" fillId="0" borderId="243" xfId="0" applyFont="1" applyBorder="1" applyAlignment="1">
      <alignment horizontal="center" vertical="center"/>
    </xf>
    <xf numFmtId="0" fontId="590" fillId="0" borderId="248" xfId="0" applyFont="1" applyBorder="1" applyAlignment="1">
      <alignment horizontal="center" vertical="center"/>
    </xf>
    <xf numFmtId="0" fontId="673" fillId="0" borderId="243" xfId="0" applyFont="1" applyBorder="1" applyAlignment="1">
      <alignment horizontal="center"/>
    </xf>
    <xf numFmtId="0" fontId="673" fillId="0" borderId="248" xfId="0" applyFont="1" applyBorder="1" applyAlignment="1">
      <alignment horizontal="center"/>
    </xf>
    <xf numFmtId="0" fontId="673" fillId="0" borderId="243" xfId="0" applyFont="1" applyBorder="1" applyAlignment="1">
      <alignment horizontal="center" vertical="center"/>
    </xf>
    <xf numFmtId="0" fontId="673" fillId="0" borderId="248" xfId="0" applyFont="1" applyBorder="1" applyAlignment="1">
      <alignment horizontal="center" vertical="center"/>
    </xf>
    <xf numFmtId="0" fontId="673" fillId="0" borderId="196" xfId="0" applyFont="1" applyBorder="1" applyAlignment="1">
      <alignment horizontal="center"/>
    </xf>
    <xf numFmtId="0" fontId="673" fillId="0" borderId="216" xfId="0" applyFont="1" applyBorder="1" applyAlignment="1">
      <alignment horizontal="center"/>
    </xf>
    <xf numFmtId="0" fontId="590" fillId="0" borderId="189" xfId="0" applyFont="1" applyBorder="1" applyAlignment="1">
      <alignment horizontal="center" vertical="center"/>
    </xf>
    <xf numFmtId="0" fontId="673" fillId="0" borderId="189" xfId="0" applyFont="1" applyBorder="1" applyAlignment="1">
      <alignment horizontal="center"/>
    </xf>
    <xf numFmtId="0" fontId="673" fillId="0" borderId="189" xfId="0" applyFont="1" applyBorder="1" applyAlignment="1">
      <alignment horizontal="center" vertical="center"/>
    </xf>
    <xf numFmtId="0" fontId="673" fillId="0" borderId="271" xfId="0" applyFont="1" applyBorder="1" applyAlignment="1">
      <alignment horizontal="center"/>
    </xf>
    <xf numFmtId="0" fontId="358" fillId="210" borderId="253" xfId="0" applyFont="1" applyFill="1" applyBorder="1" applyAlignment="1">
      <alignment horizontal="center"/>
    </xf>
    <xf numFmtId="0" fontId="76" fillId="46" borderId="243" xfId="0" applyFont="1" applyFill="1" applyBorder="1" applyAlignment="1">
      <alignment horizontal="center" vertical="center"/>
    </xf>
    <xf numFmtId="0" fontId="640" fillId="0" borderId="243" xfId="0" applyFont="1" applyBorder="1" applyAlignment="1"/>
    <xf numFmtId="0" fontId="640" fillId="0" borderId="243" xfId="0" applyFont="1" applyBorder="1"/>
    <xf numFmtId="0" fontId="358" fillId="210" borderId="243" xfId="0" applyFont="1" applyFill="1" applyBorder="1" applyAlignment="1">
      <alignment horizontal="center"/>
    </xf>
    <xf numFmtId="0" fontId="640" fillId="0" borderId="243" xfId="0" applyFont="1" applyBorder="1" applyAlignment="1">
      <alignment horizontal="center" vertical="center"/>
    </xf>
    <xf numFmtId="0" fontId="358" fillId="210" borderId="249" xfId="0" applyFont="1" applyFill="1" applyBorder="1" applyAlignment="1">
      <alignment horizontal="center"/>
    </xf>
    <xf numFmtId="0" fontId="358" fillId="210" borderId="196" xfId="0" applyFont="1" applyFill="1" applyBorder="1" applyAlignment="1">
      <alignment horizontal="center"/>
    </xf>
    <xf numFmtId="0" fontId="514" fillId="0" borderId="189" xfId="0" applyFont="1" applyBorder="1" applyAlignment="1">
      <alignment horizontal="center" vertical="center"/>
    </xf>
    <xf numFmtId="0" fontId="239" fillId="0" borderId="189" xfId="0" applyFont="1" applyBorder="1" applyAlignment="1">
      <alignment horizontal="center"/>
    </xf>
    <xf numFmtId="0" fontId="349" fillId="0" borderId="189" xfId="0" applyFont="1" applyBorder="1" applyAlignment="1">
      <alignment horizontal="center"/>
    </xf>
    <xf numFmtId="0" fontId="239" fillId="0" borderId="189" xfId="0" applyFont="1" applyBorder="1" applyAlignment="1">
      <alignment horizontal="center" vertical="center"/>
    </xf>
    <xf numFmtId="0" fontId="762" fillId="0" borderId="139" xfId="0" applyFont="1" applyBorder="1" applyAlignment="1" applyProtection="1">
      <alignment horizontal="center" vertical="center" wrapText="1"/>
    </xf>
    <xf numFmtId="0" fontId="762" fillId="0" borderId="29" xfId="0" applyFont="1" applyBorder="1" applyAlignment="1" applyProtection="1">
      <alignment vertical="center" wrapText="1"/>
    </xf>
    <xf numFmtId="0" fontId="50" fillId="33" borderId="21" xfId="0" applyFont="1" applyFill="1" applyBorder="1" applyAlignment="1">
      <alignment horizontal="center" vertical="center" wrapText="1"/>
    </xf>
    <xf numFmtId="0" fontId="1" fillId="344" borderId="67" xfId="0" applyFont="1" applyFill="1" applyBorder="1" applyAlignment="1">
      <alignment horizontal="center" vertical="center" wrapText="1"/>
    </xf>
    <xf numFmtId="0" fontId="574" fillId="344" borderId="67" xfId="0" applyFont="1" applyFill="1" applyBorder="1" applyAlignment="1">
      <alignment horizontal="center" vertical="center" wrapText="1"/>
    </xf>
    <xf numFmtId="0" fontId="428" fillId="249" borderId="272" xfId="0" applyFont="1" applyFill="1" applyBorder="1" applyAlignment="1">
      <alignment horizontal="center" vertical="center" wrapText="1"/>
    </xf>
    <xf numFmtId="0" fontId="762" fillId="388" borderId="253" xfId="0" applyFont="1" applyFill="1" applyBorder="1" applyAlignment="1" applyProtection="1">
      <alignment horizontal="center" vertical="center" wrapText="1"/>
    </xf>
    <xf numFmtId="0" fontId="762" fillId="388" borderId="253" xfId="0" applyFont="1" applyFill="1" applyBorder="1" applyAlignment="1" applyProtection="1">
      <alignment vertical="center" wrapText="1"/>
    </xf>
    <xf numFmtId="0" fontId="774" fillId="0" borderId="186" xfId="0" applyFont="1" applyBorder="1" applyAlignment="1" applyProtection="1">
      <alignment horizontal="center" vertical="center" wrapText="1"/>
    </xf>
    <xf numFmtId="0" fontId="774" fillId="0" borderId="0" xfId="0" applyFont="1" applyBorder="1" applyAlignment="1" applyProtection="1">
      <alignment horizontal="center" vertical="center" wrapText="1"/>
    </xf>
    <xf numFmtId="0" fontId="774" fillId="0" borderId="0" xfId="0" applyFont="1" applyFill="1" applyBorder="1" applyAlignment="1" applyProtection="1">
      <alignment vertical="center" wrapText="1"/>
    </xf>
    <xf numFmtId="0" fontId="1" fillId="0" borderId="0" xfId="0" applyFont="1" applyFill="1" applyBorder="1" applyAlignment="1">
      <alignment horizontal="center" vertical="center"/>
    </xf>
    <xf numFmtId="0" fontId="774" fillId="0" borderId="92" xfId="0" applyFont="1" applyBorder="1" applyAlignment="1" applyProtection="1">
      <alignment horizontal="center" vertical="center" wrapText="1"/>
    </xf>
    <xf numFmtId="0" fontId="0" fillId="0" borderId="217" xfId="0" applyBorder="1" applyAlignment="1" applyProtection="1">
      <alignment horizontal="center" vertical="center" wrapText="1"/>
    </xf>
    <xf numFmtId="0" fontId="775" fillId="0" borderId="0" xfId="0" applyFont="1" applyBorder="1" applyAlignment="1" applyProtection="1">
      <alignment horizontal="center" vertical="center" wrapText="1"/>
    </xf>
    <xf numFmtId="0" fontId="640" fillId="0" borderId="189" xfId="0" applyFont="1" applyBorder="1"/>
    <xf numFmtId="0" fontId="762" fillId="470" borderId="253" xfId="0" applyFont="1" applyFill="1" applyBorder="1" applyAlignment="1" applyProtection="1">
      <alignment vertical="center" wrapText="1"/>
    </xf>
    <xf numFmtId="172" fontId="0" fillId="0" borderId="0" xfId="0" applyNumberFormat="1" applyBorder="1" applyAlignment="1" applyProtection="1">
      <alignment horizontal="center" vertical="center" wrapText="1"/>
    </xf>
    <xf numFmtId="0" fontId="762" fillId="0" borderId="139" xfId="0" applyFont="1" applyBorder="1" applyAlignment="1" applyProtection="1">
      <alignment wrapText="1"/>
      <protection locked="0"/>
    </xf>
    <xf numFmtId="0" fontId="762" fillId="470" borderId="253" xfId="0" applyFont="1" applyFill="1" applyBorder="1" applyAlignment="1" applyProtection="1">
      <alignment horizontal="center" vertical="center" wrapText="1"/>
    </xf>
    <xf numFmtId="0" fontId="762" fillId="470" borderId="0" xfId="0" applyFont="1" applyFill="1" applyBorder="1" applyAlignment="1" applyProtection="1">
      <alignment horizontal="center" vertical="center" wrapText="1"/>
    </xf>
    <xf numFmtId="0" fontId="762" fillId="388" borderId="0" xfId="0" applyFont="1" applyFill="1" applyBorder="1" applyAlignment="1" applyProtection="1">
      <alignment horizontal="center" vertical="center" wrapText="1"/>
    </xf>
    <xf numFmtId="0" fontId="0" fillId="0" borderId="0" xfId="1" applyNumberFormat="1" applyFont="1" applyBorder="1" applyAlignment="1" applyProtection="1">
      <alignment horizontal="center" vertical="center" wrapText="1"/>
    </xf>
    <xf numFmtId="0" fontId="590" fillId="0" borderId="0" xfId="0" applyFont="1" applyAlignment="1">
      <alignment horizontal="center" vertical="center"/>
    </xf>
    <xf numFmtId="0" fontId="590" fillId="0" borderId="259" xfId="0" applyFont="1" applyBorder="1" applyAlignment="1">
      <alignment horizontal="center" vertical="center"/>
    </xf>
    <xf numFmtId="0" fontId="590" fillId="0" borderId="239" xfId="0" applyFont="1" applyBorder="1" applyAlignment="1">
      <alignment horizontal="center" vertical="center"/>
    </xf>
    <xf numFmtId="0" fontId="590" fillId="0" borderId="102" xfId="0" applyFont="1" applyBorder="1" applyAlignment="1">
      <alignment horizontal="center" vertical="center"/>
    </xf>
    <xf numFmtId="2" fontId="0" fillId="0" borderId="0" xfId="1" applyNumberFormat="1" applyFont="1" applyBorder="1" applyAlignment="1" applyProtection="1">
      <alignment horizontal="center" vertical="center" wrapText="1"/>
    </xf>
    <xf numFmtId="0" fontId="12" fillId="0" borderId="0" xfId="0" applyFont="1" applyAlignment="1">
      <alignment horizontal="center" vertical="center"/>
    </xf>
    <xf numFmtId="0" fontId="242" fillId="143" borderId="267" xfId="0" applyFont="1" applyFill="1" applyBorder="1" applyAlignment="1">
      <alignment vertical="center" textRotation="90"/>
    </xf>
    <xf numFmtId="0" fontId="323" fillId="190" borderId="266" xfId="0" applyFont="1" applyFill="1" applyBorder="1" applyAlignment="1">
      <alignment vertical="center" textRotation="90"/>
    </xf>
    <xf numFmtId="0" fontId="677" fillId="407" borderId="267" xfId="0" applyFont="1" applyFill="1" applyBorder="1" applyAlignment="1">
      <alignment vertical="center" textRotation="90"/>
    </xf>
    <xf numFmtId="0" fontId="443" fillId="260" borderId="266" xfId="0" applyFont="1" applyFill="1" applyBorder="1" applyAlignment="1">
      <alignment vertical="center" textRotation="90"/>
    </xf>
    <xf numFmtId="0" fontId="537" fillId="318" borderId="267" xfId="0" applyFont="1" applyFill="1" applyBorder="1" applyAlignment="1">
      <alignment vertical="center" textRotation="90"/>
    </xf>
    <xf numFmtId="0" fontId="543" fillId="323" borderId="266" xfId="0" applyFont="1" applyFill="1" applyBorder="1" applyAlignment="1">
      <alignment vertical="center" textRotation="90"/>
    </xf>
    <xf numFmtId="0" fontId="396" fillId="232" borderId="240" xfId="0" applyFont="1" applyFill="1" applyBorder="1" applyAlignment="1">
      <alignment vertical="center" textRotation="90"/>
    </xf>
    <xf numFmtId="0" fontId="80" fillId="47" borderId="210" xfId="0" applyFont="1" applyFill="1" applyBorder="1" applyAlignment="1">
      <alignment vertical="center" textRotation="90"/>
    </xf>
    <xf numFmtId="0" fontId="38" fillId="23" borderId="210" xfId="0" applyFont="1" applyFill="1" applyBorder="1" applyAlignment="1">
      <alignment vertical="center" textRotation="90"/>
    </xf>
    <xf numFmtId="0" fontId="417" fillId="243" borderId="102" xfId="0" applyFont="1" applyFill="1" applyBorder="1" applyAlignment="1">
      <alignment vertical="center" textRotation="90"/>
    </xf>
    <xf numFmtId="0" fontId="71" fillId="43" borderId="224" xfId="0" applyFont="1" applyFill="1" applyBorder="1" applyAlignment="1">
      <alignment vertical="center" textRotation="90"/>
    </xf>
    <xf numFmtId="0" fontId="452" fillId="267" borderId="102" xfId="0" applyFont="1" applyFill="1" applyBorder="1" applyAlignment="1">
      <alignment vertical="center" textRotation="90"/>
    </xf>
    <xf numFmtId="0" fontId="67" fillId="41" borderId="224" xfId="0" applyFont="1" applyFill="1" applyBorder="1" applyAlignment="1">
      <alignment vertical="center" textRotation="90"/>
    </xf>
    <xf numFmtId="0" fontId="47" fillId="31" borderId="102" xfId="0" applyFont="1" applyFill="1" applyBorder="1" applyAlignment="1">
      <alignment vertical="center" textRotation="90"/>
    </xf>
    <xf numFmtId="0" fontId="515" fillId="304" borderId="224" xfId="0" applyFont="1" applyFill="1" applyBorder="1" applyAlignment="1">
      <alignment vertical="center" textRotation="90"/>
    </xf>
    <xf numFmtId="0" fontId="323" fillId="190" borderId="0" xfId="0" applyFont="1" applyFill="1" applyBorder="1" applyAlignment="1">
      <alignment vertical="center" textRotation="90"/>
    </xf>
    <xf numFmtId="0" fontId="443" fillId="260" borderId="0" xfId="0" applyFont="1" applyFill="1" applyBorder="1" applyAlignment="1">
      <alignment vertical="center" textRotation="90"/>
    </xf>
    <xf numFmtId="0" fontId="543" fillId="323" borderId="0" xfId="0" applyFont="1" applyFill="1" applyBorder="1" applyAlignment="1">
      <alignment vertical="center" textRotation="90"/>
    </xf>
    <xf numFmtId="0" fontId="80" fillId="47" borderId="0" xfId="0" applyFont="1" applyFill="1" applyBorder="1" applyAlignment="1">
      <alignment vertical="center" textRotation="90"/>
    </xf>
    <xf numFmtId="0" fontId="526" fillId="0" borderId="0" xfId="0" applyFont="1" applyBorder="1" applyAlignment="1">
      <alignment horizontal="center" vertical="center"/>
    </xf>
    <xf numFmtId="0" fontId="193" fillId="0" borderId="210" xfId="0" applyFont="1" applyBorder="1" applyAlignment="1">
      <alignment horizontal="center" vertical="center"/>
    </xf>
    <xf numFmtId="0" fontId="38" fillId="23" borderId="0" xfId="0" applyFont="1" applyFill="1" applyBorder="1" applyAlignment="1">
      <alignment vertical="center" textRotation="90"/>
    </xf>
    <xf numFmtId="0" fontId="526" fillId="0" borderId="240" xfId="0" applyFont="1" applyBorder="1" applyAlignment="1">
      <alignment horizontal="center" vertical="center"/>
    </xf>
    <xf numFmtId="0" fontId="677" fillId="407" borderId="266" xfId="0" applyFont="1" applyFill="1" applyBorder="1" applyAlignment="1">
      <alignment vertical="center" textRotation="90"/>
    </xf>
    <xf numFmtId="0" fontId="242" fillId="143" borderId="266" xfId="0" applyFont="1" applyFill="1" applyBorder="1" applyAlignment="1">
      <alignment vertical="center" textRotation="90"/>
    </xf>
    <xf numFmtId="0" fontId="762" fillId="0" borderId="92" xfId="0" applyFont="1" applyBorder="1" applyAlignment="1" applyProtection="1">
      <alignment horizontal="center" vertical="center" wrapText="1"/>
    </xf>
    <xf numFmtId="0" fontId="762" fillId="0" borderId="270" xfId="0" applyFont="1" applyBorder="1" applyAlignment="1" applyProtection="1">
      <alignment horizontal="center" vertical="center" wrapText="1"/>
    </xf>
    <xf numFmtId="0" fontId="762" fillId="0" borderId="252" xfId="0" applyFont="1" applyBorder="1" applyAlignment="1" applyProtection="1">
      <alignment horizontal="center" vertical="center" wrapText="1"/>
    </xf>
    <xf numFmtId="0" fontId="762" fillId="0" borderId="205" xfId="0" applyFont="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92" xfId="0" applyBorder="1" applyAlignment="1" applyProtection="1">
      <alignment horizontal="center" vertical="center" wrapText="1"/>
    </xf>
    <xf numFmtId="0" fontId="762" fillId="0" borderId="139" xfId="0" applyFont="1" applyBorder="1" applyAlignment="1" applyProtection="1">
      <alignment horizontal="center" vertical="center" wrapText="1"/>
    </xf>
    <xf numFmtId="0" fontId="762" fillId="0" borderId="218" xfId="0" applyFont="1" applyBorder="1" applyAlignment="1" applyProtection="1">
      <alignment horizontal="center" vertical="center" wrapText="1"/>
    </xf>
    <xf numFmtId="0" fontId="762" fillId="0" borderId="203" xfId="0" applyFont="1" applyBorder="1" applyAlignment="1" applyProtection="1">
      <alignment horizontal="center" vertical="center" wrapText="1"/>
    </xf>
    <xf numFmtId="0" fontId="0" fillId="0" borderId="65" xfId="0" applyBorder="1" applyAlignment="1" applyProtection="1">
      <alignment horizontal="center" vertical="center" wrapText="1"/>
    </xf>
    <xf numFmtId="0" fontId="0" fillId="0" borderId="257" xfId="0" applyBorder="1" applyAlignment="1" applyProtection="1">
      <alignment horizontal="center" vertical="center" wrapText="1"/>
    </xf>
    <xf numFmtId="0" fontId="0" fillId="0" borderId="218" xfId="0" applyBorder="1" applyAlignment="1" applyProtection="1">
      <alignment horizontal="center" vertical="center" wrapText="1"/>
    </xf>
    <xf numFmtId="0" fontId="0" fillId="0" borderId="203" xfId="0" applyBorder="1" applyAlignment="1" applyProtection="1">
      <alignment horizontal="center" vertical="center" wrapText="1"/>
    </xf>
    <xf numFmtId="0" fontId="762" fillId="0" borderId="220" xfId="0" applyFont="1" applyBorder="1" applyAlignment="1" applyProtection="1">
      <alignment horizontal="center" vertical="center" wrapText="1"/>
    </xf>
    <xf numFmtId="0" fontId="12" fillId="0" borderId="0" xfId="0" applyFont="1" applyAlignment="1">
      <alignment horizontal="center" vertical="center"/>
    </xf>
    <xf numFmtId="0" fontId="12" fillId="471" borderId="0" xfId="0" applyFont="1" applyFill="1" applyAlignment="1">
      <alignment horizontal="center" vertical="center"/>
    </xf>
    <xf numFmtId="0" fontId="3" fillId="365" borderId="0" xfId="0" applyFont="1" applyFill="1" applyAlignment="1">
      <alignment horizontal="center" vertical="center"/>
    </xf>
    <xf numFmtId="0" fontId="12" fillId="473" borderId="0" xfId="0" applyFont="1" applyFill="1" applyAlignment="1">
      <alignment horizontal="center" vertical="center"/>
    </xf>
    <xf numFmtId="0" fontId="12" fillId="0" borderId="0" xfId="0" applyFont="1" applyFill="1" applyAlignment="1">
      <alignment horizontal="center" vertical="center"/>
    </xf>
    <xf numFmtId="0" fontId="12" fillId="475" borderId="0" xfId="0" applyFont="1" applyFill="1" applyAlignment="1">
      <alignment horizontal="center" vertical="center"/>
    </xf>
    <xf numFmtId="0" fontId="12" fillId="450" borderId="0" xfId="0" applyFont="1" applyFill="1" applyAlignment="1">
      <alignment horizontal="center" vertical="center"/>
    </xf>
    <xf numFmtId="0" fontId="12" fillId="476" borderId="0" xfId="0" applyFont="1" applyFill="1" applyAlignment="1">
      <alignment horizontal="center" vertical="center"/>
    </xf>
    <xf numFmtId="0" fontId="12" fillId="477" borderId="0" xfId="0" applyFont="1" applyFill="1" applyAlignment="1">
      <alignment horizontal="center" vertical="center"/>
    </xf>
    <xf numFmtId="0" fontId="12" fillId="478" borderId="0" xfId="0" applyFont="1" applyFill="1" applyAlignment="1">
      <alignment horizontal="center" vertical="center"/>
    </xf>
    <xf numFmtId="0" fontId="762" fillId="0" borderId="0" xfId="0" applyFont="1" applyAlignment="1">
      <alignment wrapText="1"/>
    </xf>
    <xf numFmtId="0" fontId="12" fillId="479" borderId="0" xfId="0" applyFont="1" applyFill="1" applyAlignment="1">
      <alignment horizontal="center" vertical="center"/>
    </xf>
    <xf numFmtId="0" fontId="211" fillId="477" borderId="0" xfId="0" applyFont="1" applyFill="1" applyAlignment="1">
      <alignment horizontal="center" vertical="center" wrapText="1"/>
    </xf>
    <xf numFmtId="0" fontId="211" fillId="478" borderId="0" xfId="0" applyFont="1" applyFill="1" applyAlignment="1">
      <alignment horizontal="center" vertical="center" wrapText="1"/>
    </xf>
    <xf numFmtId="0" fontId="762" fillId="388" borderId="0" xfId="0" applyFont="1" applyFill="1" applyAlignment="1" applyProtection="1">
      <alignment horizontal="center" vertical="center" wrapText="1"/>
    </xf>
    <xf numFmtId="0" fontId="762" fillId="401" borderId="0" xfId="0" applyFont="1" applyFill="1" applyAlignment="1" applyProtection="1">
      <alignment horizontal="center" vertical="center" wrapText="1"/>
    </xf>
    <xf numFmtId="0" fontId="762" fillId="474" borderId="0" xfId="0" applyFont="1" applyFill="1" applyAlignment="1" applyProtection="1">
      <alignment horizontal="center" vertical="center" wrapText="1"/>
    </xf>
    <xf numFmtId="0" fontId="774" fillId="0" borderId="0" xfId="0" applyFont="1" applyAlignment="1">
      <alignment vertical="center" wrapText="1"/>
    </xf>
    <xf numFmtId="0" fontId="0" fillId="0" borderId="0" xfId="0" applyFill="1" applyBorder="1" applyAlignment="1" applyProtection="1">
      <alignment horizontal="center" vertical="center" wrapText="1"/>
    </xf>
    <xf numFmtId="0" fontId="762" fillId="0" borderId="0" xfId="0" applyFont="1" applyFill="1" applyBorder="1" applyAlignment="1" applyProtection="1">
      <alignment horizontal="center" vertical="center" wrapText="1"/>
    </xf>
    <xf numFmtId="0" fontId="762" fillId="0" borderId="0" xfId="0" applyFont="1" applyFill="1" applyBorder="1" applyAlignment="1" applyProtection="1">
      <alignment vertical="center" wrapText="1"/>
    </xf>
    <xf numFmtId="0" fontId="762" fillId="388" borderId="234" xfId="0" applyFont="1" applyFill="1" applyBorder="1" applyAlignment="1" applyProtection="1">
      <alignment vertical="center" wrapText="1"/>
    </xf>
    <xf numFmtId="2" fontId="0" fillId="0" borderId="0" xfId="0" applyNumberFormat="1" applyBorder="1" applyAlignment="1" applyProtection="1">
      <alignment horizontal="center" vertical="center" wrapText="1"/>
    </xf>
    <xf numFmtId="10" fontId="762" fillId="0" borderId="0" xfId="0" applyNumberFormat="1" applyFont="1" applyBorder="1" applyAlignment="1" applyProtection="1">
      <alignment horizontal="center" vertical="center" wrapText="1"/>
    </xf>
    <xf numFmtId="0" fontId="0" fillId="0" borderId="0" xfId="0" applyBorder="1" applyAlignment="1" applyProtection="1">
      <alignment horizontal="center" vertical="center" wrapText="1"/>
    </xf>
    <xf numFmtId="0" fontId="762" fillId="0" borderId="186" xfId="0" applyFont="1" applyBorder="1" applyAlignment="1" applyProtection="1">
      <alignment horizontal="center" vertical="center" wrapText="1"/>
    </xf>
    <xf numFmtId="1" fontId="762" fillId="0" borderId="0" xfId="0" applyNumberFormat="1" applyFont="1" applyAlignment="1" applyProtection="1">
      <alignment horizontal="center" vertical="center" wrapText="1"/>
    </xf>
    <xf numFmtId="0" fontId="3" fillId="136" borderId="0" xfId="0" applyFont="1" applyFill="1" applyAlignment="1">
      <alignment horizontal="center" vertical="center"/>
    </xf>
    <xf numFmtId="0" fontId="776" fillId="0" borderId="0" xfId="0" applyFont="1" applyAlignment="1">
      <alignment horizontal="center" vertical="center"/>
    </xf>
    <xf numFmtId="0" fontId="3" fillId="369" borderId="0" xfId="0" applyFont="1" applyFill="1" applyAlignment="1">
      <alignment horizontal="center" vertical="center"/>
    </xf>
    <xf numFmtId="0" fontId="612" fillId="457" borderId="0" xfId="0" applyFont="1" applyFill="1" applyAlignment="1">
      <alignment horizontal="center" vertical="center"/>
    </xf>
    <xf numFmtId="0" fontId="762" fillId="473" borderId="0" xfId="0" applyFont="1" applyFill="1" applyBorder="1" applyAlignment="1" applyProtection="1">
      <alignment horizontal="center" vertical="center" wrapText="1"/>
    </xf>
    <xf numFmtId="0" fontId="771" fillId="0" borderId="257" xfId="0" applyFont="1" applyBorder="1" applyAlignment="1" applyProtection="1">
      <alignment horizontal="center" vertical="center" wrapText="1"/>
      <protection locked="0"/>
    </xf>
    <xf numFmtId="179" fontId="0" fillId="0" borderId="0" xfId="1" applyNumberFormat="1" applyFont="1" applyBorder="1" applyAlignment="1" applyProtection="1">
      <alignment horizontal="center" vertical="center" wrapText="1"/>
    </xf>
    <xf numFmtId="2" fontId="762" fillId="0" borderId="0" xfId="0" applyNumberFormat="1" applyFont="1" applyBorder="1" applyAlignment="1" applyProtection="1">
      <alignment horizontal="center" vertical="center" wrapText="1"/>
    </xf>
    <xf numFmtId="43" fontId="0" fillId="0" borderId="65" xfId="1" applyFont="1" applyBorder="1" applyAlignment="1" applyProtection="1">
      <alignment horizontal="center" vertical="center" wrapText="1"/>
    </xf>
    <xf numFmtId="0" fontId="590" fillId="0" borderId="0" xfId="0" applyFont="1" applyAlignment="1">
      <alignment horizontal="center" vertical="center"/>
    </xf>
    <xf numFmtId="0" fontId="12" fillId="0" borderId="0" xfId="0" applyFont="1" applyAlignment="1">
      <alignment horizontal="center" vertical="center"/>
    </xf>
    <xf numFmtId="164" fontId="408" fillId="0" borderId="0" xfId="0" applyNumberFormat="1" applyFont="1" applyAlignment="1">
      <alignment horizontal="center" vertical="center"/>
    </xf>
    <xf numFmtId="0" fontId="0" fillId="0" borderId="0" xfId="0" applyFill="1" applyBorder="1" applyAlignment="1">
      <alignment wrapText="1"/>
    </xf>
    <xf numFmtId="0" fontId="0" fillId="0" borderId="0" xfId="0" applyFill="1" applyBorder="1" applyAlignment="1">
      <alignment horizontal="center" vertical="center" wrapText="1"/>
    </xf>
    <xf numFmtId="164" fontId="484" fillId="0" borderId="0" xfId="0" applyNumberFormat="1" applyFont="1" applyFill="1" applyBorder="1" applyAlignment="1">
      <alignment horizontal="center" vertical="center"/>
    </xf>
    <xf numFmtId="0" fontId="774" fillId="0" borderId="0" xfId="0" applyFont="1" applyFill="1" applyBorder="1" applyAlignment="1">
      <alignment vertical="center" wrapText="1"/>
    </xf>
    <xf numFmtId="164" fontId="408" fillId="0" borderId="0" xfId="0" applyNumberFormat="1" applyFont="1" applyFill="1" applyBorder="1" applyAlignment="1">
      <alignment horizontal="center" vertical="center"/>
    </xf>
    <xf numFmtId="164" fontId="243" fillId="0" borderId="0" xfId="0" applyNumberFormat="1" applyFont="1" applyFill="1" applyBorder="1" applyAlignment="1">
      <alignment horizontal="center" vertical="center"/>
    </xf>
    <xf numFmtId="164" fontId="108" fillId="0" borderId="0" xfId="0" applyNumberFormat="1" applyFont="1" applyFill="1" applyBorder="1" applyAlignment="1">
      <alignment horizontal="center" vertical="center"/>
    </xf>
    <xf numFmtId="0" fontId="224" fillId="0" borderId="0" xfId="0" applyFont="1" applyFill="1" applyBorder="1" applyAlignment="1">
      <alignment horizontal="center" vertical="center"/>
    </xf>
    <xf numFmtId="0" fontId="776" fillId="0" borderId="0" xfId="0" applyFont="1" applyFill="1" applyBorder="1" applyAlignment="1">
      <alignment horizontal="center" vertical="center"/>
    </xf>
    <xf numFmtId="0" fontId="607" fillId="0" borderId="0" xfId="0" applyFont="1" applyFill="1" applyBorder="1" applyAlignment="1">
      <alignment horizontal="center" vertical="center"/>
    </xf>
    <xf numFmtId="0" fontId="604" fillId="0" borderId="0" xfId="0" applyFont="1" applyFill="1" applyBorder="1" applyAlignment="1">
      <alignment horizontal="center" vertical="center"/>
    </xf>
    <xf numFmtId="0" fontId="612" fillId="0" borderId="0" xfId="0" applyFont="1" applyFill="1" applyBorder="1" applyAlignment="1">
      <alignment horizontal="center" vertical="center"/>
    </xf>
    <xf numFmtId="44" fontId="0" fillId="0" borderId="0" xfId="2" applyFont="1" applyFill="1" applyBorder="1" applyAlignment="1">
      <alignment horizontal="center" vertical="center" wrapText="1"/>
    </xf>
    <xf numFmtId="44" fontId="762" fillId="0" borderId="0" xfId="2" applyFont="1" applyFill="1" applyBorder="1" applyAlignment="1">
      <alignment vertical="center" wrapText="1"/>
    </xf>
    <xf numFmtId="0" fontId="762" fillId="0" borderId="0" xfId="0" applyFont="1" applyFill="1" applyBorder="1" applyAlignment="1">
      <alignment vertical="center" wrapText="1"/>
    </xf>
    <xf numFmtId="0" fontId="762" fillId="0" borderId="0" xfId="0" applyFont="1" applyFill="1" applyBorder="1" applyAlignment="1">
      <alignment wrapText="1"/>
    </xf>
    <xf numFmtId="0" fontId="259" fillId="0" borderId="0" xfId="0" applyFont="1" applyBorder="1" applyAlignment="1">
      <alignment horizontal="center" vertical="center"/>
    </xf>
    <xf numFmtId="0" fontId="0" fillId="0" borderId="0" xfId="0" applyFill="1" applyAlignment="1">
      <alignment wrapText="1"/>
    </xf>
    <xf numFmtId="43" fontId="694" fillId="417" borderId="240" xfId="1" applyNumberFormat="1" applyFont="1" applyFill="1" applyBorder="1" applyAlignment="1">
      <alignment vertical="center" wrapText="1"/>
    </xf>
    <xf numFmtId="43" fontId="132" fillId="79" borderId="240" xfId="1" applyNumberFormat="1" applyFont="1" applyFill="1" applyBorder="1" applyAlignment="1">
      <alignment vertical="center" wrapText="1"/>
    </xf>
    <xf numFmtId="43" fontId="694" fillId="417" borderId="193" xfId="1" applyNumberFormat="1" applyFont="1" applyFill="1" applyBorder="1" applyAlignment="1">
      <alignment vertical="center" wrapText="1"/>
    </xf>
    <xf numFmtId="43" fontId="694" fillId="417" borderId="210" xfId="1" applyNumberFormat="1" applyFont="1" applyFill="1" applyBorder="1" applyAlignment="1">
      <alignment vertical="center" wrapText="1"/>
    </xf>
    <xf numFmtId="43" fontId="132" fillId="79" borderId="210" xfId="1" applyNumberFormat="1" applyFont="1" applyFill="1" applyBorder="1" applyAlignment="1">
      <alignment vertical="center" wrapText="1"/>
    </xf>
    <xf numFmtId="43" fontId="694" fillId="417" borderId="169" xfId="1" applyNumberFormat="1" applyFont="1" applyFill="1" applyBorder="1" applyAlignment="1">
      <alignment vertical="center" wrapText="1"/>
    </xf>
    <xf numFmtId="0" fontId="780" fillId="0" borderId="0" xfId="0" applyFont="1" applyAlignment="1">
      <alignment wrapText="1"/>
    </xf>
    <xf numFmtId="0" fontId="781" fillId="0" borderId="0" xfId="0" applyFont="1" applyAlignment="1">
      <alignment wrapText="1"/>
    </xf>
    <xf numFmtId="0" fontId="0" fillId="0" borderId="253" xfId="0" applyBorder="1" applyAlignment="1">
      <alignment wrapText="1"/>
    </xf>
    <xf numFmtId="0" fontId="780" fillId="0" borderId="253" xfId="0" applyFont="1" applyBorder="1" applyAlignment="1">
      <alignment wrapText="1"/>
    </xf>
    <xf numFmtId="0" fontId="0" fillId="0" borderId="228" xfId="0" applyBorder="1" applyAlignment="1">
      <alignment wrapText="1"/>
    </xf>
    <xf numFmtId="0" fontId="0" fillId="0" borderId="234" xfId="0" applyBorder="1" applyAlignment="1">
      <alignment wrapText="1"/>
    </xf>
    <xf numFmtId="0" fontId="0" fillId="0" borderId="163" xfId="0" applyBorder="1" applyAlignment="1">
      <alignment wrapText="1"/>
    </xf>
    <xf numFmtId="0" fontId="0" fillId="0" borderId="243" xfId="0" applyBorder="1" applyAlignment="1">
      <alignment wrapText="1"/>
    </xf>
    <xf numFmtId="0" fontId="0" fillId="0" borderId="248" xfId="0" applyBorder="1" applyAlignment="1">
      <alignment wrapText="1"/>
    </xf>
    <xf numFmtId="0" fontId="780" fillId="0" borderId="243" xfId="0" applyFont="1" applyBorder="1" applyAlignment="1">
      <alignment wrapText="1"/>
    </xf>
    <xf numFmtId="0" fontId="780" fillId="0" borderId="248" xfId="0" applyFont="1" applyBorder="1" applyAlignment="1">
      <alignment wrapText="1"/>
    </xf>
    <xf numFmtId="0" fontId="780" fillId="0" borderId="249" xfId="0" applyFont="1" applyBorder="1" applyAlignment="1">
      <alignment wrapText="1"/>
    </xf>
    <xf numFmtId="0" fontId="780" fillId="0" borderId="196" xfId="0" applyFont="1" applyBorder="1" applyAlignment="1">
      <alignment wrapText="1"/>
    </xf>
    <xf numFmtId="0" fontId="780" fillId="0" borderId="216" xfId="0" applyFont="1" applyBorder="1" applyAlignment="1">
      <alignment wrapText="1"/>
    </xf>
    <xf numFmtId="0" fontId="762" fillId="0" borderId="220" xfId="0" applyFont="1" applyBorder="1" applyAlignment="1" applyProtection="1">
      <alignment horizontal="center" vertical="center" wrapText="1"/>
    </xf>
    <xf numFmtId="0" fontId="1" fillId="0" borderId="234" xfId="0" applyFont="1" applyBorder="1" applyAlignment="1">
      <alignment horizontal="center" vertical="center"/>
    </xf>
    <xf numFmtId="0" fontId="128" fillId="75" borderId="97" xfId="0" applyFont="1" applyFill="1" applyBorder="1" applyAlignment="1">
      <alignment horizontal="center" vertical="center" wrapText="1"/>
    </xf>
    <xf numFmtId="0" fontId="299" fillId="179" borderId="218" xfId="0" applyFont="1" applyFill="1" applyBorder="1" applyAlignment="1">
      <alignment horizontal="center" vertical="center" wrapText="1"/>
    </xf>
    <xf numFmtId="0" fontId="1" fillId="179" borderId="218" xfId="0" applyFont="1" applyFill="1" applyBorder="1" applyAlignment="1">
      <alignment horizontal="center" vertical="center" wrapText="1"/>
    </xf>
    <xf numFmtId="0" fontId="616" fillId="373" borderId="218" xfId="0" applyFont="1" applyFill="1" applyBorder="1" applyAlignment="1">
      <alignment horizontal="center" vertical="center" wrapText="1"/>
    </xf>
    <xf numFmtId="0" fontId="329" fillId="0" borderId="0" xfId="0" applyFont="1" applyBorder="1" applyAlignment="1">
      <alignment horizontal="center" vertical="center" wrapText="1"/>
    </xf>
    <xf numFmtId="0" fontId="762" fillId="0" borderId="92" xfId="0" applyFont="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92" xfId="0" applyBorder="1" applyAlignment="1" applyProtection="1">
      <alignment horizontal="center" vertical="center" wrapText="1"/>
    </xf>
    <xf numFmtId="0" fontId="0" fillId="0" borderId="218" xfId="0" applyBorder="1" applyAlignment="1" applyProtection="1">
      <alignment horizontal="center" vertical="center" wrapText="1"/>
    </xf>
    <xf numFmtId="0" fontId="762" fillId="0" borderId="139" xfId="0" applyFont="1" applyBorder="1" applyAlignment="1" applyProtection="1">
      <alignment horizontal="center" vertical="center" wrapText="1"/>
    </xf>
    <xf numFmtId="0" fontId="0" fillId="0" borderId="203" xfId="0" applyBorder="1" applyAlignment="1" applyProtection="1">
      <alignment horizontal="center" vertical="center" wrapText="1"/>
    </xf>
    <xf numFmtId="0" fontId="0" fillId="0" borderId="139" xfId="0" applyBorder="1" applyAlignment="1" applyProtection="1">
      <alignment horizontal="center" vertical="center" wrapText="1"/>
    </xf>
    <xf numFmtId="0" fontId="762" fillId="0" borderId="232" xfId="0" applyFont="1" applyBorder="1" applyAlignment="1" applyProtection="1">
      <alignment horizontal="center" vertical="center" wrapText="1"/>
    </xf>
    <xf numFmtId="0" fontId="762" fillId="0" borderId="220" xfId="0" applyFont="1" applyBorder="1" applyAlignment="1" applyProtection="1">
      <alignment horizontal="center" vertical="center" wrapText="1"/>
    </xf>
    <xf numFmtId="0" fontId="0" fillId="0" borderId="65" xfId="0" applyBorder="1" applyAlignment="1" applyProtection="1">
      <alignment horizontal="center" vertical="center" wrapText="1"/>
    </xf>
    <xf numFmtId="0" fontId="0" fillId="0" borderId="257" xfId="0" applyBorder="1" applyAlignment="1" applyProtection="1">
      <alignment horizontal="center" vertical="center" wrapText="1"/>
    </xf>
    <xf numFmtId="0" fontId="762" fillId="0" borderId="0" xfId="0" quotePrefix="1" applyFont="1" applyBorder="1" applyAlignment="1" applyProtection="1">
      <alignment horizontal="center" vertical="center" wrapText="1"/>
    </xf>
    <xf numFmtId="0" fontId="0" fillId="0" borderId="65" xfId="0" applyBorder="1" applyAlignment="1" applyProtection="1">
      <alignment horizontal="center" vertical="center" wrapText="1"/>
    </xf>
    <xf numFmtId="0" fontId="0" fillId="0" borderId="0" xfId="0" applyBorder="1" applyAlignment="1" applyProtection="1">
      <alignment horizontal="center" vertical="center" wrapText="1"/>
    </xf>
    <xf numFmtId="0" fontId="762" fillId="0" borderId="0" xfId="0" applyFont="1" applyAlignment="1" applyProtection="1">
      <alignment horizontal="center" vertical="center" wrapText="1"/>
    </xf>
    <xf numFmtId="0" fontId="3" fillId="467" borderId="0" xfId="0" applyFont="1" applyFill="1" applyBorder="1" applyAlignment="1">
      <alignment horizontal="center" vertical="center"/>
    </xf>
    <xf numFmtId="0" fontId="12" fillId="467" borderId="0" xfId="0" applyFont="1" applyFill="1" applyBorder="1" applyAlignment="1">
      <alignment horizontal="center" vertical="center"/>
    </xf>
    <xf numFmtId="0" fontId="437" fillId="467" borderId="0" xfId="0" applyFont="1" applyFill="1" applyBorder="1" applyAlignment="1">
      <alignment horizontal="center" vertical="center"/>
    </xf>
    <xf numFmtId="43" fontId="34" fillId="467" borderId="0" xfId="1" applyFont="1" applyFill="1" applyBorder="1" applyAlignment="1">
      <alignment horizontal="center" vertical="center"/>
    </xf>
    <xf numFmtId="0" fontId="3" fillId="467" borderId="186" xfId="0" applyFont="1" applyFill="1" applyBorder="1" applyAlignment="1">
      <alignment horizontal="center" vertical="center"/>
    </xf>
    <xf numFmtId="0" fontId="12" fillId="467" borderId="186" xfId="0" applyFont="1" applyFill="1" applyBorder="1" applyAlignment="1">
      <alignment horizontal="center" vertical="center"/>
    </xf>
    <xf numFmtId="43" fontId="12" fillId="467" borderId="186" xfId="1" applyFont="1" applyFill="1" applyBorder="1" applyAlignment="1">
      <alignment horizontal="center" vertical="center"/>
    </xf>
    <xf numFmtId="0" fontId="12" fillId="467" borderId="92" xfId="0" applyFont="1" applyFill="1" applyBorder="1" applyAlignment="1">
      <alignment horizontal="center" vertical="center"/>
    </xf>
    <xf numFmtId="43" fontId="34" fillId="467" borderId="92" xfId="1" applyFont="1" applyFill="1" applyBorder="1" applyAlignment="1">
      <alignment horizontal="center" vertical="center"/>
    </xf>
    <xf numFmtId="0" fontId="1" fillId="179" borderId="186" xfId="0" applyFont="1" applyFill="1" applyBorder="1" applyAlignment="1">
      <alignment horizontal="center" vertical="center" wrapText="1"/>
    </xf>
    <xf numFmtId="0" fontId="782" fillId="466" borderId="29" xfId="0" applyFont="1" applyFill="1" applyBorder="1" applyAlignment="1">
      <alignment horizontal="center" vertical="center" wrapText="1"/>
    </xf>
    <xf numFmtId="0" fontId="3" fillId="480" borderId="186" xfId="0" applyFont="1" applyFill="1" applyBorder="1" applyAlignment="1">
      <alignment horizontal="center" vertical="center"/>
    </xf>
    <xf numFmtId="0" fontId="406" fillId="480" borderId="0" xfId="0" applyFont="1" applyFill="1" applyBorder="1" applyAlignment="1">
      <alignment horizontal="center" vertical="center"/>
    </xf>
    <xf numFmtId="0" fontId="12" fillId="480" borderId="0" xfId="0" applyFont="1" applyFill="1" applyBorder="1" applyAlignment="1">
      <alignment horizontal="center" vertical="center"/>
    </xf>
    <xf numFmtId="43" fontId="34" fillId="480" borderId="0" xfId="1" applyFont="1" applyFill="1" applyBorder="1" applyAlignment="1">
      <alignment horizontal="center" vertical="center"/>
    </xf>
    <xf numFmtId="0" fontId="406" fillId="480" borderId="92" xfId="0" applyFont="1" applyFill="1" applyBorder="1" applyAlignment="1">
      <alignment horizontal="center" vertical="center"/>
    </xf>
    <xf numFmtId="0" fontId="12" fillId="480" borderId="92" xfId="0" applyFont="1" applyFill="1" applyBorder="1" applyAlignment="1">
      <alignment horizontal="center" vertical="center"/>
    </xf>
    <xf numFmtId="43" fontId="34" fillId="480" borderId="92" xfId="1" applyFont="1" applyFill="1" applyBorder="1" applyAlignment="1">
      <alignment horizontal="center" vertical="center"/>
    </xf>
    <xf numFmtId="0" fontId="3" fillId="481" borderId="186" xfId="0" applyFont="1" applyFill="1" applyBorder="1" applyAlignment="1">
      <alignment horizontal="center" vertical="center"/>
    </xf>
    <xf numFmtId="43" fontId="3" fillId="481" borderId="186" xfId="1" applyFont="1" applyFill="1" applyBorder="1" applyAlignment="1">
      <alignment horizontal="center" vertical="center"/>
    </xf>
    <xf numFmtId="0" fontId="406" fillId="481" borderId="0" xfId="0" applyFont="1" applyFill="1" applyBorder="1" applyAlignment="1">
      <alignment horizontal="center" vertical="center"/>
    </xf>
    <xf numFmtId="0" fontId="12" fillId="481" borderId="0" xfId="0" applyFont="1" applyFill="1" applyBorder="1" applyAlignment="1">
      <alignment horizontal="center" vertical="center"/>
    </xf>
    <xf numFmtId="43" fontId="34" fillId="481" borderId="0" xfId="1" applyFont="1" applyFill="1" applyBorder="1" applyAlignment="1">
      <alignment horizontal="center" vertical="center"/>
    </xf>
    <xf numFmtId="0" fontId="406" fillId="481" borderId="92" xfId="0" applyFont="1" applyFill="1" applyBorder="1" applyAlignment="1">
      <alignment horizontal="center" vertical="center"/>
    </xf>
    <xf numFmtId="0" fontId="12" fillId="481" borderId="92" xfId="0" applyFont="1" applyFill="1" applyBorder="1" applyAlignment="1">
      <alignment horizontal="center" vertical="center"/>
    </xf>
    <xf numFmtId="43" fontId="34" fillId="481" borderId="92" xfId="1" applyFont="1" applyFill="1" applyBorder="1" applyAlignment="1">
      <alignment horizontal="center" vertical="center"/>
    </xf>
    <xf numFmtId="0" fontId="406" fillId="457" borderId="186" xfId="0" applyFont="1" applyFill="1" applyBorder="1" applyAlignment="1">
      <alignment horizontal="center" vertical="center"/>
    </xf>
    <xf numFmtId="0" fontId="12" fillId="457" borderId="186" xfId="0" applyFont="1" applyFill="1" applyBorder="1" applyAlignment="1">
      <alignment horizontal="center" vertical="center"/>
    </xf>
    <xf numFmtId="43" fontId="12" fillId="457" borderId="186" xfId="1" applyFont="1" applyFill="1" applyBorder="1" applyAlignment="1">
      <alignment horizontal="center" vertical="center"/>
    </xf>
    <xf numFmtId="0" fontId="406" fillId="457" borderId="0" xfId="0" applyFont="1" applyFill="1" applyBorder="1" applyAlignment="1">
      <alignment horizontal="center" vertical="center"/>
    </xf>
    <xf numFmtId="0" fontId="12" fillId="457" borderId="0" xfId="0" applyFont="1" applyFill="1" applyBorder="1" applyAlignment="1">
      <alignment horizontal="center" vertical="center"/>
    </xf>
    <xf numFmtId="43" fontId="34" fillId="457" borderId="0" xfId="1" applyFont="1" applyFill="1" applyBorder="1" applyAlignment="1">
      <alignment horizontal="center" vertical="center"/>
    </xf>
    <xf numFmtId="0" fontId="406" fillId="457" borderId="92" xfId="0" applyFont="1" applyFill="1" applyBorder="1" applyAlignment="1">
      <alignment horizontal="center" vertical="center"/>
    </xf>
    <xf numFmtId="0" fontId="12" fillId="457" borderId="92" xfId="0" applyFont="1" applyFill="1" applyBorder="1" applyAlignment="1">
      <alignment horizontal="center" vertical="center"/>
    </xf>
    <xf numFmtId="43" fontId="34" fillId="457" borderId="92" xfId="1" applyFont="1" applyFill="1" applyBorder="1" applyAlignment="1">
      <alignment horizontal="center" vertical="center"/>
    </xf>
    <xf numFmtId="0" fontId="406" fillId="462" borderId="186" xfId="0" applyFont="1" applyFill="1" applyBorder="1" applyAlignment="1">
      <alignment horizontal="center" vertical="center"/>
    </xf>
    <xf numFmtId="0" fontId="12" fillId="462" borderId="186" xfId="0" applyFont="1" applyFill="1" applyBorder="1" applyAlignment="1">
      <alignment horizontal="center" vertical="center"/>
    </xf>
    <xf numFmtId="43" fontId="12" fillId="462" borderId="186" xfId="1" applyFont="1" applyFill="1" applyBorder="1" applyAlignment="1">
      <alignment horizontal="center" vertical="center"/>
    </xf>
    <xf numFmtId="0" fontId="406" fillId="462" borderId="0" xfId="0" applyFont="1" applyFill="1" applyBorder="1" applyAlignment="1">
      <alignment horizontal="center" vertical="center"/>
    </xf>
    <xf numFmtId="0" fontId="12" fillId="462" borderId="0" xfId="0" applyFont="1" applyFill="1" applyBorder="1" applyAlignment="1">
      <alignment horizontal="center" vertical="center"/>
    </xf>
    <xf numFmtId="43" fontId="34" fillId="462" borderId="0" xfId="1" applyFont="1" applyFill="1" applyBorder="1" applyAlignment="1">
      <alignment horizontal="center" vertical="center"/>
    </xf>
    <xf numFmtId="0" fontId="406" fillId="462" borderId="92" xfId="0" applyFont="1" applyFill="1" applyBorder="1" applyAlignment="1">
      <alignment horizontal="center" vertical="center"/>
    </xf>
    <xf numFmtId="0" fontId="12" fillId="462" borderId="92" xfId="0" applyFont="1" applyFill="1" applyBorder="1" applyAlignment="1">
      <alignment horizontal="center" vertical="center"/>
    </xf>
    <xf numFmtId="43" fontId="34" fillId="462" borderId="92" xfId="1" applyFont="1" applyFill="1" applyBorder="1" applyAlignment="1">
      <alignment horizontal="center" vertical="center"/>
    </xf>
    <xf numFmtId="0" fontId="406" fillId="472" borderId="186" xfId="0" applyFont="1" applyFill="1" applyBorder="1" applyAlignment="1">
      <alignment horizontal="center" vertical="center"/>
    </xf>
    <xf numFmtId="0" fontId="12" fillId="472" borderId="186" xfId="0" applyFont="1" applyFill="1" applyBorder="1" applyAlignment="1">
      <alignment horizontal="center" vertical="center"/>
    </xf>
    <xf numFmtId="43" fontId="12" fillId="472" borderId="186" xfId="1" applyFont="1" applyFill="1" applyBorder="1" applyAlignment="1">
      <alignment horizontal="center" vertical="center"/>
    </xf>
    <xf numFmtId="0" fontId="406" fillId="472" borderId="0" xfId="0" applyFont="1" applyFill="1" applyBorder="1" applyAlignment="1">
      <alignment horizontal="center" vertical="center"/>
    </xf>
    <xf numFmtId="0" fontId="12" fillId="472" borderId="0" xfId="0" applyFont="1" applyFill="1" applyBorder="1" applyAlignment="1">
      <alignment horizontal="center" vertical="center"/>
    </xf>
    <xf numFmtId="43" fontId="34" fillId="472" borderId="0" xfId="1" applyFont="1" applyFill="1" applyBorder="1" applyAlignment="1">
      <alignment horizontal="center" vertical="center"/>
    </xf>
    <xf numFmtId="0" fontId="406" fillId="472" borderId="92" xfId="0" applyFont="1" applyFill="1" applyBorder="1" applyAlignment="1">
      <alignment horizontal="center" vertical="center"/>
    </xf>
    <xf numFmtId="0" fontId="12" fillId="472" borderId="92" xfId="0" applyFont="1" applyFill="1" applyBorder="1" applyAlignment="1">
      <alignment horizontal="center" vertical="center"/>
    </xf>
    <xf numFmtId="43" fontId="34" fillId="472" borderId="92" xfId="1" applyFont="1" applyFill="1" applyBorder="1" applyAlignment="1">
      <alignment horizontal="center" vertical="center"/>
    </xf>
    <xf numFmtId="43" fontId="34" fillId="467" borderId="186" xfId="1" applyFont="1" applyFill="1" applyBorder="1" applyAlignment="1">
      <alignment horizontal="center" vertical="center"/>
    </xf>
    <xf numFmtId="0" fontId="12" fillId="480" borderId="186" xfId="0" applyFont="1" applyFill="1" applyBorder="1" applyAlignment="1">
      <alignment horizontal="center" vertical="center"/>
    </xf>
    <xf numFmtId="43" fontId="12" fillId="480" borderId="186" xfId="1" applyFont="1" applyFill="1" applyBorder="1" applyAlignment="1">
      <alignment horizontal="center" vertical="center"/>
    </xf>
    <xf numFmtId="0" fontId="12" fillId="481" borderId="186" xfId="0" applyFont="1" applyFill="1" applyBorder="1" applyAlignment="1">
      <alignment horizontal="center" vertical="center"/>
    </xf>
    <xf numFmtId="43" fontId="34" fillId="481" borderId="186" xfId="1" applyFont="1" applyFill="1" applyBorder="1" applyAlignment="1">
      <alignment horizontal="center" vertical="center"/>
    </xf>
    <xf numFmtId="0" fontId="3" fillId="457" borderId="186" xfId="0" applyFont="1" applyFill="1" applyBorder="1" applyAlignment="1">
      <alignment horizontal="center" vertical="center"/>
    </xf>
    <xf numFmtId="43" fontId="34" fillId="457" borderId="186" xfId="1" applyFont="1" applyFill="1" applyBorder="1" applyAlignment="1">
      <alignment horizontal="center" vertical="center"/>
    </xf>
    <xf numFmtId="0" fontId="3" fillId="462" borderId="186" xfId="0" applyFont="1" applyFill="1" applyBorder="1" applyAlignment="1">
      <alignment horizontal="center" vertical="center"/>
    </xf>
    <xf numFmtId="43" fontId="34" fillId="462" borderId="186" xfId="1" applyFont="1" applyFill="1" applyBorder="1" applyAlignment="1">
      <alignment horizontal="center" vertical="center"/>
    </xf>
    <xf numFmtId="0" fontId="3" fillId="472" borderId="186" xfId="0" applyFont="1" applyFill="1" applyBorder="1" applyAlignment="1">
      <alignment horizontal="center" vertical="center"/>
    </xf>
    <xf numFmtId="43" fontId="34" fillId="472" borderId="186" xfId="1" applyFont="1" applyFill="1" applyBorder="1" applyAlignment="1">
      <alignment horizontal="center" vertical="center"/>
    </xf>
    <xf numFmtId="0" fontId="3" fillId="480" borderId="0" xfId="0" applyFont="1" applyFill="1" applyBorder="1" applyAlignment="1">
      <alignment horizontal="center" vertical="center"/>
    </xf>
    <xf numFmtId="0" fontId="3" fillId="480" borderId="92" xfId="0" applyFont="1" applyFill="1" applyBorder="1" applyAlignment="1">
      <alignment horizontal="center" vertical="center"/>
    </xf>
    <xf numFmtId="0" fontId="3" fillId="482" borderId="186" xfId="0" applyFont="1" applyFill="1" applyBorder="1" applyAlignment="1">
      <alignment horizontal="center" vertical="center"/>
    </xf>
    <xf numFmtId="0" fontId="12" fillId="482" borderId="186" xfId="0" applyFont="1" applyFill="1" applyBorder="1" applyAlignment="1">
      <alignment horizontal="center" vertical="center"/>
    </xf>
    <xf numFmtId="43" fontId="34" fillId="482" borderId="186" xfId="1" applyFont="1" applyFill="1" applyBorder="1" applyAlignment="1">
      <alignment horizontal="center" vertical="center"/>
    </xf>
    <xf numFmtId="0" fontId="406" fillId="482" borderId="0" xfId="0" applyFont="1" applyFill="1" applyBorder="1" applyAlignment="1">
      <alignment horizontal="center" vertical="center"/>
    </xf>
    <xf numFmtId="0" fontId="12" fillId="482" borderId="0" xfId="0" applyFont="1" applyFill="1" applyBorder="1" applyAlignment="1">
      <alignment horizontal="center" vertical="center"/>
    </xf>
    <xf numFmtId="43" fontId="34" fillId="482" borderId="0" xfId="1" applyFont="1" applyFill="1" applyBorder="1" applyAlignment="1">
      <alignment horizontal="center" vertical="center"/>
    </xf>
    <xf numFmtId="0" fontId="406" fillId="482" borderId="92" xfId="0" applyFont="1" applyFill="1" applyBorder="1" applyAlignment="1">
      <alignment horizontal="center" vertical="center"/>
    </xf>
    <xf numFmtId="0" fontId="12" fillId="482" borderId="92" xfId="0" applyFont="1" applyFill="1" applyBorder="1" applyAlignment="1">
      <alignment horizontal="center" vertical="center"/>
    </xf>
    <xf numFmtId="43" fontId="34" fillId="482" borderId="92" xfId="1" applyFont="1" applyFill="1" applyBorder="1" applyAlignment="1">
      <alignment horizontal="center" vertical="center"/>
    </xf>
    <xf numFmtId="43" fontId="34" fillId="480" borderId="186" xfId="1" applyFont="1" applyFill="1" applyBorder="1" applyAlignment="1">
      <alignment horizontal="center" vertical="center"/>
    </xf>
    <xf numFmtId="0" fontId="1" fillId="0" borderId="92" xfId="0" applyFont="1" applyFill="1" applyBorder="1" applyAlignment="1">
      <alignment horizontal="center" vertical="center"/>
    </xf>
    <xf numFmtId="172" fontId="0" fillId="0" borderId="92" xfId="0" applyNumberFormat="1" applyBorder="1" applyAlignment="1" applyProtection="1">
      <alignment horizontal="center" vertical="center" wrapText="1"/>
    </xf>
    <xf numFmtId="2" fontId="0" fillId="0" borderId="92" xfId="1" applyNumberFormat="1" applyFont="1" applyBorder="1" applyAlignment="1" applyProtection="1">
      <alignment horizontal="center" vertical="center" wrapText="1"/>
    </xf>
    <xf numFmtId="0" fontId="0" fillId="0" borderId="92" xfId="1" applyNumberFormat="1" applyFont="1" applyBorder="1" applyAlignment="1" applyProtection="1">
      <alignment horizontal="center" vertical="center" wrapText="1"/>
    </xf>
    <xf numFmtId="0" fontId="771" fillId="0" borderId="186" xfId="0" applyFont="1" applyBorder="1" applyAlignment="1" applyProtection="1">
      <alignment horizontal="center" vertical="center" wrapText="1"/>
      <protection locked="0"/>
    </xf>
    <xf numFmtId="0" fontId="3" fillId="457" borderId="0" xfId="0" applyFont="1" applyFill="1" applyBorder="1" applyAlignment="1">
      <alignment horizontal="center" vertical="center"/>
    </xf>
    <xf numFmtId="0" fontId="1" fillId="483" borderId="253" xfId="0" applyFont="1" applyFill="1" applyBorder="1" applyAlignment="1">
      <alignment horizontal="center" vertical="center" wrapText="1"/>
    </xf>
    <xf numFmtId="0" fontId="590" fillId="0" borderId="258" xfId="0" applyFont="1" applyBorder="1" applyAlignment="1">
      <alignment horizontal="center" vertical="center"/>
    </xf>
    <xf numFmtId="0" fontId="12" fillId="0" borderId="189" xfId="0" applyFont="1" applyBorder="1" applyAlignment="1">
      <alignment horizontal="center" vertical="center"/>
    </xf>
    <xf numFmtId="4" fontId="426" fillId="0" borderId="189" xfId="0" applyNumberFormat="1" applyFont="1" applyBorder="1" applyAlignment="1">
      <alignment horizontal="center" vertical="center"/>
    </xf>
    <xf numFmtId="4" fontId="426" fillId="0" borderId="271" xfId="0" applyNumberFormat="1" applyFont="1" applyBorder="1" applyAlignment="1">
      <alignment horizontal="center" vertical="center"/>
    </xf>
    <xf numFmtId="0" fontId="762" fillId="0" borderId="220" xfId="0" applyFont="1" applyFill="1" applyBorder="1" applyAlignment="1" applyProtection="1">
      <alignment horizontal="center" vertical="center" wrapText="1"/>
    </xf>
    <xf numFmtId="0" fontId="0" fillId="0" borderId="218" xfId="0" applyBorder="1" applyAlignment="1" applyProtection="1">
      <alignment horizontal="center" vertical="center" wrapText="1"/>
    </xf>
    <xf numFmtId="0" fontId="762" fillId="0" borderId="0" xfId="0" quotePrefix="1" applyFont="1" applyBorder="1" applyAlignment="1" applyProtection="1">
      <alignment horizontal="center" vertical="center" wrapText="1"/>
    </xf>
    <xf numFmtId="0" fontId="762" fillId="0" borderId="186" xfId="0" applyFont="1" applyBorder="1" applyAlignment="1" applyProtection="1">
      <alignment horizontal="center" vertical="center" wrapText="1"/>
    </xf>
    <xf numFmtId="0" fontId="0" fillId="0" borderId="65"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92" xfId="0" applyBorder="1" applyAlignment="1" applyProtection="1">
      <alignment horizontal="center" vertical="center" wrapText="1"/>
    </xf>
    <xf numFmtId="0" fontId="762" fillId="0" borderId="92" xfId="0" applyFont="1" applyBorder="1" applyAlignment="1" applyProtection="1">
      <alignment horizontal="center" vertical="center" wrapText="1"/>
    </xf>
    <xf numFmtId="0" fontId="762" fillId="0" borderId="0" xfId="0" applyFont="1" applyAlignment="1" applyProtection="1">
      <alignment horizontal="center" vertical="center" wrapText="1"/>
    </xf>
    <xf numFmtId="0" fontId="762"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781" fillId="0" borderId="0" xfId="0" applyFont="1" applyBorder="1" applyAlignment="1" applyProtection="1">
      <alignment horizontal="center" vertical="center" wrapText="1"/>
    </xf>
    <xf numFmtId="0" fontId="0" fillId="0" borderId="0" xfId="0" applyBorder="1" applyAlignment="1" applyProtection="1">
      <alignment horizontal="center" vertical="center" wrapText="1"/>
    </xf>
    <xf numFmtId="0" fontId="590" fillId="0" borderId="0" xfId="0" applyFont="1" applyBorder="1" applyAlignment="1">
      <alignment horizontal="center" vertical="center"/>
    </xf>
    <xf numFmtId="0" fontId="1" fillId="0" borderId="0" xfId="0" applyFont="1" applyBorder="1" applyAlignment="1">
      <alignment horizontal="center" vertical="center"/>
    </xf>
    <xf numFmtId="43" fontId="5" fillId="0" borderId="0" xfId="1" applyFont="1" applyBorder="1" applyAlignment="1">
      <alignment horizontal="center" vertical="center"/>
    </xf>
    <xf numFmtId="43" fontId="5" fillId="0" borderId="65" xfId="1" applyFont="1" applyBorder="1" applyAlignment="1">
      <alignment horizontal="center" vertical="center"/>
    </xf>
    <xf numFmtId="43" fontId="12" fillId="467" borderId="29" xfId="1" applyFont="1" applyFill="1" applyBorder="1" applyAlignment="1">
      <alignment horizontal="center" vertical="center"/>
    </xf>
    <xf numFmtId="43" fontId="34" fillId="467" borderId="65" xfId="1" applyFont="1" applyFill="1" applyBorder="1" applyAlignment="1">
      <alignment horizontal="center" vertical="center"/>
    </xf>
    <xf numFmtId="43" fontId="34" fillId="467" borderId="257" xfId="1" applyFont="1" applyFill="1" applyBorder="1" applyAlignment="1">
      <alignment horizontal="center" vertical="center"/>
    </xf>
    <xf numFmtId="43" fontId="34" fillId="480" borderId="65" xfId="1" applyFont="1" applyFill="1" applyBorder="1" applyAlignment="1">
      <alignment horizontal="center" vertical="center"/>
    </xf>
    <xf numFmtId="43" fontId="34" fillId="480" borderId="257" xfId="1" applyFont="1" applyFill="1" applyBorder="1" applyAlignment="1">
      <alignment horizontal="center" vertical="center"/>
    </xf>
    <xf numFmtId="43" fontId="3" fillId="481" borderId="29" xfId="1" applyFont="1" applyFill="1" applyBorder="1" applyAlignment="1">
      <alignment horizontal="center" vertical="center"/>
    </xf>
    <xf numFmtId="43" fontId="34" fillId="481" borderId="65" xfId="1" applyFont="1" applyFill="1" applyBorder="1" applyAlignment="1">
      <alignment horizontal="center" vertical="center"/>
    </xf>
    <xf numFmtId="43" fontId="34" fillId="481" borderId="257" xfId="1" applyFont="1" applyFill="1" applyBorder="1" applyAlignment="1">
      <alignment horizontal="center" vertical="center"/>
    </xf>
    <xf numFmtId="43" fontId="12" fillId="457" borderId="29" xfId="1" applyFont="1" applyFill="1" applyBorder="1" applyAlignment="1">
      <alignment horizontal="center" vertical="center"/>
    </xf>
    <xf numFmtId="43" fontId="34" fillId="457" borderId="65" xfId="1" applyFont="1" applyFill="1" applyBorder="1" applyAlignment="1">
      <alignment horizontal="center" vertical="center"/>
    </xf>
    <xf numFmtId="43" fontId="34" fillId="457" borderId="257" xfId="1" applyFont="1" applyFill="1" applyBorder="1" applyAlignment="1">
      <alignment horizontal="center" vertical="center"/>
    </xf>
    <xf numFmtId="43" fontId="12" fillId="462" borderId="29" xfId="1" applyFont="1" applyFill="1" applyBorder="1" applyAlignment="1">
      <alignment horizontal="center" vertical="center"/>
    </xf>
    <xf numFmtId="43" fontId="34" fillId="462" borderId="65" xfId="1" applyFont="1" applyFill="1" applyBorder="1" applyAlignment="1">
      <alignment horizontal="center" vertical="center"/>
    </xf>
    <xf numFmtId="43" fontId="34" fillId="462" borderId="257" xfId="1" applyFont="1" applyFill="1" applyBorder="1" applyAlignment="1">
      <alignment horizontal="center" vertical="center"/>
    </xf>
    <xf numFmtId="43" fontId="12" fillId="472" borderId="29" xfId="1" applyFont="1" applyFill="1" applyBorder="1" applyAlignment="1">
      <alignment horizontal="center" vertical="center"/>
    </xf>
    <xf numFmtId="43" fontId="34" fillId="472" borderId="65" xfId="1" applyFont="1" applyFill="1" applyBorder="1" applyAlignment="1">
      <alignment horizontal="center" vertical="center"/>
    </xf>
    <xf numFmtId="43" fontId="34" fillId="472" borderId="257" xfId="1" applyFont="1" applyFill="1" applyBorder="1" applyAlignment="1">
      <alignment horizontal="center" vertical="center"/>
    </xf>
    <xf numFmtId="0" fontId="211" fillId="0" borderId="0" xfId="0" applyFont="1" applyBorder="1" applyAlignment="1">
      <alignment vertical="center" wrapText="1"/>
    </xf>
    <xf numFmtId="43" fontId="34" fillId="467" borderId="29" xfId="1" applyFont="1" applyFill="1" applyBorder="1" applyAlignment="1">
      <alignment horizontal="center" vertical="center"/>
    </xf>
    <xf numFmtId="43" fontId="12" fillId="480" borderId="29" xfId="1" applyFont="1" applyFill="1" applyBorder="1" applyAlignment="1">
      <alignment horizontal="center" vertical="center"/>
    </xf>
    <xf numFmtId="43" fontId="34" fillId="480" borderId="29" xfId="1" applyFont="1" applyFill="1" applyBorder="1" applyAlignment="1">
      <alignment horizontal="center" vertical="center"/>
    </xf>
    <xf numFmtId="43" fontId="34" fillId="481" borderId="29" xfId="1" applyFont="1" applyFill="1" applyBorder="1" applyAlignment="1">
      <alignment horizontal="center" vertical="center"/>
    </xf>
    <xf numFmtId="43" fontId="34" fillId="457" borderId="29" xfId="1" applyFont="1" applyFill="1" applyBorder="1" applyAlignment="1">
      <alignment horizontal="center" vertical="center"/>
    </xf>
    <xf numFmtId="43" fontId="34" fillId="462" borderId="29" xfId="1" applyFont="1" applyFill="1" applyBorder="1" applyAlignment="1">
      <alignment horizontal="center" vertical="center"/>
    </xf>
    <xf numFmtId="43" fontId="34" fillId="472" borderId="29" xfId="1" applyFont="1" applyFill="1" applyBorder="1" applyAlignment="1">
      <alignment horizontal="center" vertical="center"/>
    </xf>
    <xf numFmtId="43" fontId="34" fillId="482" borderId="29" xfId="1" applyFont="1" applyFill="1" applyBorder="1" applyAlignment="1">
      <alignment horizontal="center" vertical="center"/>
    </xf>
    <xf numFmtId="43" fontId="34" fillId="482" borderId="65" xfId="1" applyFont="1" applyFill="1" applyBorder="1" applyAlignment="1">
      <alignment horizontal="center" vertical="center"/>
    </xf>
    <xf numFmtId="43" fontId="34" fillId="482" borderId="257" xfId="1" applyFont="1" applyFill="1" applyBorder="1" applyAlignment="1">
      <alignment horizontal="center" vertical="center"/>
    </xf>
    <xf numFmtId="0" fontId="762" fillId="0" borderId="220" xfId="0" applyFont="1" applyFill="1" applyBorder="1" applyAlignment="1">
      <alignment horizontal="center" wrapText="1"/>
    </xf>
    <xf numFmtId="0" fontId="3" fillId="0" borderId="220" xfId="0" applyFont="1" applyFill="1" applyBorder="1" applyAlignment="1">
      <alignment horizontal="center" vertical="center"/>
    </xf>
    <xf numFmtId="164" fontId="3" fillId="0" borderId="261" xfId="0" applyNumberFormat="1" applyFont="1" applyFill="1" applyBorder="1" applyAlignment="1">
      <alignment horizontal="center" vertical="center"/>
    </xf>
    <xf numFmtId="43" fontId="34" fillId="0" borderId="0" xfId="1" applyFont="1" applyFill="1" applyBorder="1" applyAlignment="1">
      <alignment horizontal="center" vertical="center"/>
    </xf>
    <xf numFmtId="43" fontId="5" fillId="0" borderId="0" xfId="1" applyFont="1" applyFill="1" applyBorder="1" applyAlignment="1">
      <alignment horizontal="center" vertical="center"/>
    </xf>
    <xf numFmtId="0" fontId="0" fillId="0" borderId="261" xfId="0" applyFill="1" applyBorder="1" applyAlignment="1">
      <alignment horizontal="center" wrapText="1"/>
    </xf>
    <xf numFmtId="43" fontId="12" fillId="467" borderId="0" xfId="1" applyFont="1" applyFill="1" applyBorder="1" applyAlignment="1">
      <alignment horizontal="center" vertical="center"/>
    </xf>
    <xf numFmtId="0" fontId="762" fillId="0" borderId="0" xfId="0" applyFont="1" applyFill="1" applyBorder="1" applyAlignment="1">
      <alignment horizontal="center" wrapText="1"/>
    </xf>
    <xf numFmtId="43" fontId="12" fillId="0" borderId="0" xfId="1" applyFont="1" applyFill="1" applyBorder="1" applyAlignment="1">
      <alignment horizontal="center" vertical="center"/>
    </xf>
    <xf numFmtId="43" fontId="1" fillId="0" borderId="0" xfId="1" applyFont="1" applyFill="1" applyBorder="1" applyAlignment="1">
      <alignment horizontal="center" vertical="center"/>
    </xf>
    <xf numFmtId="0" fontId="34" fillId="0" borderId="0" xfId="1" applyNumberFormat="1" applyFont="1" applyFill="1" applyBorder="1" applyAlignment="1">
      <alignment horizontal="center" vertical="center"/>
    </xf>
    <xf numFmtId="0" fontId="0" fillId="0" borderId="0" xfId="0" applyNumberFormat="1" applyFill="1" applyAlignment="1">
      <alignment horizontal="center" wrapText="1"/>
    </xf>
    <xf numFmtId="0" fontId="3" fillId="0" borderId="0" xfId="0" applyNumberFormat="1" applyFont="1" applyFill="1" applyAlignment="1">
      <alignment horizontal="center" vertical="center"/>
    </xf>
    <xf numFmtId="0" fontId="5" fillId="0" borderId="0" xfId="1" applyNumberFormat="1" applyFont="1" applyFill="1" applyAlignment="1">
      <alignment horizontal="center" vertical="center"/>
    </xf>
    <xf numFmtId="0" fontId="5" fillId="0" borderId="0" xfId="1" applyNumberFormat="1" applyFont="1" applyFill="1" applyBorder="1" applyAlignment="1">
      <alignment horizontal="center" vertical="center"/>
    </xf>
    <xf numFmtId="0" fontId="3" fillId="462" borderId="0" xfId="0" applyFont="1" applyFill="1" applyBorder="1" applyAlignment="1">
      <alignment horizontal="center" vertical="center"/>
    </xf>
    <xf numFmtId="43" fontId="12" fillId="467" borderId="65" xfId="1" applyFont="1" applyFill="1" applyBorder="1" applyAlignment="1">
      <alignment horizontal="center" vertical="center"/>
    </xf>
    <xf numFmtId="43" fontId="12" fillId="467" borderId="92" xfId="1" applyFont="1" applyFill="1" applyBorder="1" applyAlignment="1">
      <alignment horizontal="center" vertical="center"/>
    </xf>
    <xf numFmtId="43" fontId="12" fillId="467" borderId="257" xfId="1" applyFont="1" applyFill="1" applyBorder="1" applyAlignment="1">
      <alignment horizontal="center" vertical="center"/>
    </xf>
    <xf numFmtId="43" fontId="12" fillId="0" borderId="186" xfId="1" applyFont="1" applyFill="1" applyBorder="1" applyAlignment="1">
      <alignment horizontal="center" vertical="center"/>
    </xf>
    <xf numFmtId="43" fontId="12" fillId="0" borderId="92" xfId="1" applyFont="1" applyFill="1" applyBorder="1" applyAlignment="1">
      <alignment horizontal="center" vertical="center"/>
    </xf>
    <xf numFmtId="0" fontId="1" fillId="344" borderId="205" xfId="0" applyFont="1" applyFill="1" applyBorder="1" applyAlignment="1">
      <alignment horizontal="center" vertical="center" wrapText="1"/>
    </xf>
    <xf numFmtId="0" fontId="574" fillId="344" borderId="186" xfId="0" applyFont="1" applyFill="1" applyBorder="1" applyAlignment="1">
      <alignment horizontal="center" vertical="center" wrapText="1"/>
    </xf>
    <xf numFmtId="0" fontId="774" fillId="483" borderId="217" xfId="0" applyFont="1" applyFill="1" applyBorder="1" applyAlignment="1">
      <alignment horizontal="center" vertical="center" wrapText="1"/>
    </xf>
    <xf numFmtId="0" fontId="3" fillId="467" borderId="92" xfId="0" applyFont="1" applyFill="1" applyBorder="1" applyAlignment="1">
      <alignment horizontal="center" vertical="center"/>
    </xf>
    <xf numFmtId="43" fontId="12" fillId="0" borderId="29" xfId="1" applyFont="1" applyFill="1" applyBorder="1" applyAlignment="1">
      <alignment horizontal="center" vertical="center"/>
    </xf>
    <xf numFmtId="43" fontId="12" fillId="0" borderId="65" xfId="1" applyFont="1" applyFill="1" applyBorder="1" applyAlignment="1">
      <alignment horizontal="center" vertical="center"/>
    </xf>
    <xf numFmtId="43" fontId="12" fillId="0" borderId="257" xfId="1" applyFont="1" applyFill="1" applyBorder="1" applyAlignment="1">
      <alignment horizontal="center" vertical="center"/>
    </xf>
    <xf numFmtId="0" fontId="574" fillId="344" borderId="217" xfId="0" applyFont="1" applyFill="1" applyBorder="1" applyAlignment="1">
      <alignment horizontal="center" vertical="center" wrapText="1"/>
    </xf>
    <xf numFmtId="0" fontId="1" fillId="33" borderId="217" xfId="0" applyFont="1" applyFill="1" applyBorder="1" applyAlignment="1">
      <alignment horizontal="center" vertical="center" wrapText="1"/>
    </xf>
    <xf numFmtId="0" fontId="574" fillId="344" borderId="241" xfId="0" applyFont="1" applyFill="1" applyBorder="1" applyAlignment="1">
      <alignment horizontal="center" vertical="center" wrapText="1"/>
    </xf>
    <xf numFmtId="0" fontId="428" fillId="249" borderId="228" xfId="0" applyFont="1" applyFill="1" applyBorder="1" applyAlignment="1">
      <alignment horizontal="center" vertical="center" wrapText="1"/>
    </xf>
    <xf numFmtId="0" fontId="762" fillId="388" borderId="234" xfId="0" applyFont="1" applyFill="1" applyBorder="1" applyAlignment="1" applyProtection="1">
      <alignment horizontal="center" vertical="center" wrapText="1"/>
    </xf>
    <xf numFmtId="0" fontId="762" fillId="470" borderId="234" xfId="0" applyFont="1" applyFill="1" applyBorder="1" applyAlignment="1" applyProtection="1">
      <alignment vertical="center" wrapText="1"/>
    </xf>
    <xf numFmtId="0" fontId="762" fillId="470" borderId="234" xfId="0" applyFont="1" applyFill="1" applyBorder="1" applyAlignment="1" applyProtection="1">
      <alignment horizontal="center" vertical="center" wrapText="1"/>
    </xf>
    <xf numFmtId="0" fontId="762" fillId="469" borderId="234" xfId="0" applyFont="1" applyFill="1" applyBorder="1" applyAlignment="1" applyProtection="1">
      <alignment vertical="center" wrapText="1"/>
    </xf>
    <xf numFmtId="0" fontId="774" fillId="0" borderId="217" xfId="0" applyFont="1" applyFill="1" applyBorder="1" applyAlignment="1">
      <alignment horizontal="center" vertical="center" wrapText="1"/>
    </xf>
    <xf numFmtId="0" fontId="0" fillId="0" borderId="0" xfId="0" applyBorder="1" applyAlignment="1" applyProtection="1">
      <alignment horizontal="center" vertical="center" wrapText="1"/>
    </xf>
    <xf numFmtId="0" fontId="762" fillId="0" borderId="186" xfId="0" applyFont="1" applyBorder="1" applyAlignment="1" applyProtection="1">
      <alignment horizontal="center" vertical="center" wrapText="1"/>
    </xf>
    <xf numFmtId="43" fontId="0" fillId="0" borderId="0" xfId="0" applyNumberFormat="1" applyFill="1" applyBorder="1" applyAlignment="1" applyProtection="1">
      <alignment horizontal="center" vertical="center" wrapText="1"/>
    </xf>
    <xf numFmtId="43" fontId="0" fillId="0" borderId="0" xfId="1" applyFont="1" applyFill="1" applyBorder="1" applyAlignment="1" applyProtection="1">
      <alignment horizontal="center" vertical="center" wrapText="1"/>
    </xf>
    <xf numFmtId="0" fontId="762" fillId="470" borderId="189" xfId="0" applyFont="1" applyFill="1" applyBorder="1" applyAlignment="1" applyProtection="1">
      <alignment vertical="center" wrapText="1"/>
    </xf>
    <xf numFmtId="0" fontId="0" fillId="0" borderId="0" xfId="0" applyBorder="1" applyAlignment="1" applyProtection="1">
      <alignment horizontal="center" vertical="center" wrapText="1"/>
    </xf>
    <xf numFmtId="172" fontId="3" fillId="394" borderId="253" xfId="0" applyNumberFormat="1" applyFont="1" applyFill="1" applyBorder="1" applyAlignment="1">
      <alignment horizontal="center" vertical="center"/>
    </xf>
    <xf numFmtId="0" fontId="0" fillId="0" borderId="203" xfId="0" applyBorder="1" applyAlignment="1" applyProtection="1">
      <alignment horizontal="center" vertical="center" wrapText="1"/>
    </xf>
    <xf numFmtId="0" fontId="762" fillId="0" borderId="232" xfId="0" applyFont="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92" xfId="0" applyBorder="1" applyAlignment="1" applyProtection="1">
      <alignment horizontal="center" vertical="center" wrapText="1"/>
    </xf>
    <xf numFmtId="0" fontId="0" fillId="0" borderId="65" xfId="0" applyBorder="1" applyAlignment="1" applyProtection="1">
      <alignment horizontal="center" vertical="center" wrapText="1"/>
    </xf>
    <xf numFmtId="0" fontId="0" fillId="0" borderId="257" xfId="0" applyBorder="1" applyAlignment="1" applyProtection="1">
      <alignment horizontal="center" vertical="center" wrapText="1"/>
    </xf>
    <xf numFmtId="0" fontId="762" fillId="0" borderId="92" xfId="0" applyFont="1" applyBorder="1" applyAlignment="1" applyProtection="1">
      <alignment horizontal="center" vertical="center" wrapText="1"/>
    </xf>
    <xf numFmtId="0" fontId="762" fillId="0" borderId="0" xfId="0" applyFont="1" applyAlignment="1" applyProtection="1">
      <alignment horizontal="center" vertical="center" wrapText="1"/>
    </xf>
    <xf numFmtId="0" fontId="762" fillId="0" borderId="186" xfId="0" applyFont="1" applyBorder="1" applyAlignment="1" applyProtection="1">
      <alignment horizontal="center" vertical="center" wrapText="1"/>
    </xf>
    <xf numFmtId="0" fontId="12" fillId="0" borderId="253" xfId="0" applyFont="1" applyBorder="1" applyAlignment="1">
      <alignment horizontal="center" vertical="center"/>
    </xf>
    <xf numFmtId="0" fontId="0" fillId="0" borderId="0" xfId="0" applyBorder="1" applyAlignment="1" applyProtection="1">
      <alignment horizontal="center" vertical="center" wrapText="1"/>
    </xf>
    <xf numFmtId="0" fontId="762" fillId="0" borderId="220" xfId="0" applyFont="1" applyBorder="1" applyAlignment="1" applyProtection="1">
      <alignment horizontal="center" vertical="center" wrapText="1"/>
    </xf>
    <xf numFmtId="43" fontId="690" fillId="450" borderId="253" xfId="1" applyNumberFormat="1" applyFont="1" applyFill="1" applyBorder="1" applyAlignment="1">
      <alignment horizontal="center" vertical="center" wrapText="1"/>
    </xf>
    <xf numFmtId="43" fontId="12" fillId="482" borderId="186" xfId="1" applyFont="1" applyFill="1" applyBorder="1" applyAlignment="1">
      <alignment horizontal="center" vertical="center"/>
    </xf>
    <xf numFmtId="43" fontId="12" fillId="482" borderId="29" xfId="1" applyFont="1" applyFill="1" applyBorder="1" applyAlignment="1">
      <alignment horizontal="center" vertical="center"/>
    </xf>
    <xf numFmtId="0" fontId="3" fillId="482" borderId="0" xfId="0" applyFont="1" applyFill="1" applyBorder="1" applyAlignment="1">
      <alignment horizontal="center" vertical="center"/>
    </xf>
    <xf numFmtId="43" fontId="12" fillId="482" borderId="0" xfId="1" applyFont="1" applyFill="1" applyBorder="1" applyAlignment="1">
      <alignment horizontal="center" vertical="center"/>
    </xf>
    <xf numFmtId="43" fontId="12" fillId="482" borderId="65" xfId="1" applyFont="1" applyFill="1" applyBorder="1" applyAlignment="1">
      <alignment horizontal="center" vertical="center"/>
    </xf>
    <xf numFmtId="0" fontId="3" fillId="482" borderId="92" xfId="0" applyFont="1" applyFill="1" applyBorder="1" applyAlignment="1">
      <alignment horizontal="center" vertical="center"/>
    </xf>
    <xf numFmtId="43" fontId="12" fillId="482" borderId="92" xfId="1" applyFont="1" applyFill="1" applyBorder="1" applyAlignment="1">
      <alignment horizontal="center" vertical="center"/>
    </xf>
    <xf numFmtId="43" fontId="12" fillId="482" borderId="257" xfId="1" applyFont="1" applyFill="1" applyBorder="1" applyAlignment="1">
      <alignment horizontal="center" vertical="center"/>
    </xf>
    <xf numFmtId="43" fontId="12" fillId="462" borderId="0" xfId="1" applyFont="1" applyFill="1" applyBorder="1" applyAlignment="1">
      <alignment horizontal="center" vertical="center"/>
    </xf>
    <xf numFmtId="43" fontId="12" fillId="462" borderId="65" xfId="1" applyFont="1" applyFill="1" applyBorder="1" applyAlignment="1">
      <alignment horizontal="center" vertical="center"/>
    </xf>
    <xf numFmtId="43" fontId="12" fillId="480" borderId="0" xfId="1" applyFont="1" applyFill="1" applyBorder="1" applyAlignment="1">
      <alignment horizontal="center" vertical="center"/>
    </xf>
    <xf numFmtId="43" fontId="12" fillId="480" borderId="65" xfId="1" applyFont="1" applyFill="1" applyBorder="1" applyAlignment="1">
      <alignment horizontal="center" vertical="center"/>
    </xf>
    <xf numFmtId="43" fontId="12" fillId="480" borderId="92" xfId="1" applyFont="1" applyFill="1" applyBorder="1" applyAlignment="1">
      <alignment horizontal="center" vertical="center"/>
    </xf>
    <xf numFmtId="43" fontId="12" fillId="480" borderId="257" xfId="1" applyFont="1" applyFill="1" applyBorder="1" applyAlignment="1">
      <alignment horizontal="center" vertical="center"/>
    </xf>
    <xf numFmtId="0" fontId="3" fillId="472" borderId="0" xfId="0" applyFont="1" applyFill="1" applyBorder="1" applyAlignment="1">
      <alignment horizontal="center" vertical="center"/>
    </xf>
    <xf numFmtId="43" fontId="12" fillId="472" borderId="0" xfId="1" applyFont="1" applyFill="1" applyBorder="1" applyAlignment="1">
      <alignment horizontal="center" vertical="center"/>
    </xf>
    <xf numFmtId="43" fontId="12" fillId="472" borderId="65" xfId="1" applyFont="1" applyFill="1" applyBorder="1" applyAlignment="1">
      <alignment horizontal="center" vertical="center"/>
    </xf>
    <xf numFmtId="0" fontId="3" fillId="472" borderId="92" xfId="0" applyFont="1" applyFill="1" applyBorder="1" applyAlignment="1">
      <alignment horizontal="center" vertical="center"/>
    </xf>
    <xf numFmtId="43" fontId="12" fillId="472" borderId="92" xfId="1" applyFont="1" applyFill="1" applyBorder="1" applyAlignment="1">
      <alignment horizontal="center" vertical="center"/>
    </xf>
    <xf numFmtId="43" fontId="12" fillId="472" borderId="257" xfId="1" applyFont="1" applyFill="1" applyBorder="1" applyAlignment="1">
      <alignment horizontal="center" vertical="center"/>
    </xf>
    <xf numFmtId="43" fontId="12" fillId="457" borderId="0" xfId="1" applyFont="1" applyFill="1" applyBorder="1" applyAlignment="1">
      <alignment horizontal="center" vertical="center"/>
    </xf>
    <xf numFmtId="43" fontId="12" fillId="457" borderId="65" xfId="1" applyFont="1" applyFill="1" applyBorder="1" applyAlignment="1">
      <alignment horizontal="center" vertical="center"/>
    </xf>
    <xf numFmtId="43" fontId="12" fillId="481" borderId="186" xfId="1" applyFont="1" applyFill="1" applyBorder="1" applyAlignment="1">
      <alignment horizontal="center" vertical="center"/>
    </xf>
    <xf numFmtId="43" fontId="12" fillId="481" borderId="29" xfId="1" applyFont="1" applyFill="1" applyBorder="1" applyAlignment="1">
      <alignment horizontal="center" vertical="center"/>
    </xf>
    <xf numFmtId="0" fontId="3" fillId="481" borderId="0" xfId="0" applyFont="1" applyFill="1" applyBorder="1" applyAlignment="1">
      <alignment horizontal="center" vertical="center"/>
    </xf>
    <xf numFmtId="43" fontId="12" fillId="481" borderId="0" xfId="1" applyFont="1" applyFill="1" applyBorder="1" applyAlignment="1">
      <alignment horizontal="center" vertical="center"/>
    </xf>
    <xf numFmtId="43" fontId="12" fillId="481" borderId="65" xfId="1" applyFont="1" applyFill="1" applyBorder="1" applyAlignment="1">
      <alignment horizontal="center" vertical="center"/>
    </xf>
    <xf numFmtId="0" fontId="3" fillId="481" borderId="92" xfId="0" applyFont="1" applyFill="1" applyBorder="1" applyAlignment="1">
      <alignment horizontal="center" vertical="center"/>
    </xf>
    <xf numFmtId="43" fontId="12" fillId="481" borderId="92" xfId="1" applyFont="1" applyFill="1" applyBorder="1" applyAlignment="1">
      <alignment horizontal="center" vertical="center"/>
    </xf>
    <xf numFmtId="43" fontId="12" fillId="481" borderId="257" xfId="1" applyFont="1" applyFill="1" applyBorder="1" applyAlignment="1">
      <alignment horizontal="center" vertical="center"/>
    </xf>
    <xf numFmtId="0" fontId="0" fillId="481" borderId="265" xfId="0" applyFill="1" applyBorder="1" applyAlignment="1">
      <alignment wrapText="1"/>
    </xf>
    <xf numFmtId="0" fontId="0" fillId="481" borderId="186" xfId="0" applyFill="1" applyBorder="1" applyAlignment="1">
      <alignment wrapText="1"/>
    </xf>
    <xf numFmtId="0" fontId="0" fillId="481" borderId="29" xfId="0" applyFill="1" applyBorder="1" applyAlignment="1">
      <alignment wrapText="1"/>
    </xf>
    <xf numFmtId="0" fontId="0" fillId="481" borderId="218" xfId="0" applyFill="1" applyBorder="1" applyAlignment="1">
      <alignment wrapText="1"/>
    </xf>
    <xf numFmtId="0" fontId="0" fillId="481" borderId="220" xfId="0" applyFill="1" applyBorder="1" applyAlignment="1">
      <alignment wrapText="1"/>
    </xf>
    <xf numFmtId="0" fontId="0" fillId="481" borderId="0" xfId="0" applyFill="1" applyBorder="1" applyAlignment="1">
      <alignment wrapText="1"/>
    </xf>
    <xf numFmtId="0" fontId="0" fillId="481" borderId="65" xfId="0" applyFill="1" applyBorder="1" applyAlignment="1">
      <alignment wrapText="1"/>
    </xf>
    <xf numFmtId="0" fontId="0" fillId="481" borderId="261" xfId="0" applyFill="1" applyBorder="1" applyAlignment="1">
      <alignment wrapText="1"/>
    </xf>
    <xf numFmtId="0" fontId="0" fillId="481" borderId="92" xfId="0" applyFill="1" applyBorder="1" applyAlignment="1">
      <alignment wrapText="1"/>
    </xf>
    <xf numFmtId="0" fontId="0" fillId="481" borderId="257" xfId="0" applyFill="1" applyBorder="1" applyAlignment="1">
      <alignment wrapText="1"/>
    </xf>
    <xf numFmtId="0" fontId="0" fillId="480" borderId="265" xfId="0" applyFill="1" applyBorder="1" applyAlignment="1">
      <alignment wrapText="1"/>
    </xf>
    <xf numFmtId="0" fontId="0" fillId="480" borderId="186" xfId="0" applyFill="1" applyBorder="1" applyAlignment="1">
      <alignment wrapText="1"/>
    </xf>
    <xf numFmtId="0" fontId="0" fillId="480" borderId="29" xfId="0" applyFill="1" applyBorder="1" applyAlignment="1">
      <alignment wrapText="1"/>
    </xf>
    <xf numFmtId="0" fontId="0" fillId="480" borderId="218" xfId="0" applyFill="1" applyBorder="1" applyAlignment="1">
      <alignment wrapText="1"/>
    </xf>
    <xf numFmtId="0" fontId="0" fillId="480" borderId="220" xfId="0" applyFill="1" applyBorder="1" applyAlignment="1">
      <alignment wrapText="1"/>
    </xf>
    <xf numFmtId="0" fontId="0" fillId="480" borderId="0" xfId="0" applyFill="1" applyBorder="1" applyAlignment="1">
      <alignment wrapText="1"/>
    </xf>
    <xf numFmtId="0" fontId="0" fillId="480" borderId="65" xfId="0" applyFill="1" applyBorder="1" applyAlignment="1">
      <alignment wrapText="1"/>
    </xf>
    <xf numFmtId="0" fontId="0" fillId="480" borderId="261" xfId="0" applyFill="1" applyBorder="1" applyAlignment="1">
      <alignment wrapText="1"/>
    </xf>
    <xf numFmtId="0" fontId="0" fillId="480" borderId="92" xfId="0" applyFill="1" applyBorder="1" applyAlignment="1">
      <alignment wrapText="1"/>
    </xf>
    <xf numFmtId="0" fontId="0" fillId="480" borderId="257" xfId="0" applyFill="1" applyBorder="1" applyAlignment="1">
      <alignment wrapText="1"/>
    </xf>
    <xf numFmtId="0" fontId="0" fillId="467" borderId="265" xfId="0" applyFill="1" applyBorder="1" applyAlignment="1">
      <alignment wrapText="1"/>
    </xf>
    <xf numFmtId="0" fontId="0" fillId="467" borderId="186" xfId="0" applyFill="1" applyBorder="1" applyAlignment="1">
      <alignment wrapText="1"/>
    </xf>
    <xf numFmtId="0" fontId="0" fillId="467" borderId="29" xfId="0" applyFill="1" applyBorder="1" applyAlignment="1">
      <alignment wrapText="1"/>
    </xf>
    <xf numFmtId="0" fontId="0" fillId="467" borderId="218" xfId="0" applyFill="1" applyBorder="1" applyAlignment="1">
      <alignment wrapText="1"/>
    </xf>
    <xf numFmtId="0" fontId="0" fillId="467" borderId="220" xfId="0" applyFill="1" applyBorder="1" applyAlignment="1">
      <alignment wrapText="1"/>
    </xf>
    <xf numFmtId="0" fontId="0" fillId="467" borderId="0" xfId="0" applyFill="1" applyBorder="1" applyAlignment="1">
      <alignment wrapText="1"/>
    </xf>
    <xf numFmtId="0" fontId="0" fillId="467" borderId="65" xfId="0" applyFill="1" applyBorder="1" applyAlignment="1">
      <alignment wrapText="1"/>
    </xf>
    <xf numFmtId="0" fontId="0" fillId="467" borderId="261" xfId="0" applyFill="1" applyBorder="1" applyAlignment="1">
      <alignment wrapText="1"/>
    </xf>
    <xf numFmtId="0" fontId="0" fillId="467" borderId="92" xfId="0" applyFill="1" applyBorder="1" applyAlignment="1">
      <alignment wrapText="1"/>
    </xf>
    <xf numFmtId="0" fontId="0" fillId="467" borderId="257" xfId="0" applyFill="1" applyBorder="1" applyAlignment="1">
      <alignment wrapText="1"/>
    </xf>
    <xf numFmtId="0" fontId="0" fillId="472" borderId="220" xfId="0" applyFill="1" applyBorder="1" applyAlignment="1">
      <alignment wrapText="1"/>
    </xf>
    <xf numFmtId="0" fontId="0" fillId="472" borderId="0" xfId="0" applyFill="1" applyBorder="1" applyAlignment="1">
      <alignment wrapText="1"/>
    </xf>
    <xf numFmtId="0" fontId="0" fillId="472" borderId="65" xfId="0" applyFill="1" applyBorder="1" applyAlignment="1">
      <alignment wrapText="1"/>
    </xf>
    <xf numFmtId="0" fontId="0" fillId="472" borderId="218" xfId="0" applyFill="1" applyBorder="1" applyAlignment="1">
      <alignment wrapText="1"/>
    </xf>
    <xf numFmtId="0" fontId="0" fillId="472" borderId="261" xfId="0" applyFill="1" applyBorder="1" applyAlignment="1">
      <alignment wrapText="1"/>
    </xf>
    <xf numFmtId="0" fontId="0" fillId="472" borderId="92" xfId="0" applyFill="1" applyBorder="1" applyAlignment="1">
      <alignment wrapText="1"/>
    </xf>
    <xf numFmtId="0" fontId="0" fillId="472" borderId="257" xfId="0" applyFill="1" applyBorder="1" applyAlignment="1">
      <alignment wrapText="1"/>
    </xf>
    <xf numFmtId="0" fontId="0" fillId="472" borderId="265" xfId="0" applyFill="1" applyBorder="1" applyAlignment="1">
      <alignment wrapText="1"/>
    </xf>
    <xf numFmtId="0" fontId="0" fillId="472" borderId="186" xfId="0" applyFill="1" applyBorder="1" applyAlignment="1">
      <alignment wrapText="1"/>
    </xf>
    <xf numFmtId="0" fontId="0" fillId="472" borderId="29" xfId="0" applyFill="1" applyBorder="1" applyAlignment="1">
      <alignment wrapText="1"/>
    </xf>
    <xf numFmtId="0" fontId="762" fillId="481" borderId="220" xfId="0" applyFont="1" applyFill="1" applyBorder="1" applyAlignment="1">
      <alignment wrapText="1"/>
    </xf>
    <xf numFmtId="0" fontId="773" fillId="457" borderId="265" xfId="0" applyFont="1" applyFill="1" applyBorder="1" applyAlignment="1">
      <alignment wrapText="1"/>
    </xf>
    <xf numFmtId="0" fontId="773" fillId="457" borderId="186" xfId="0" applyFont="1" applyFill="1" applyBorder="1" applyAlignment="1">
      <alignment wrapText="1"/>
    </xf>
    <xf numFmtId="0" fontId="773" fillId="457" borderId="29" xfId="0" applyFont="1" applyFill="1" applyBorder="1" applyAlignment="1">
      <alignment wrapText="1"/>
    </xf>
    <xf numFmtId="0" fontId="773" fillId="457" borderId="218" xfId="0" applyFont="1" applyFill="1" applyBorder="1" applyAlignment="1">
      <alignment wrapText="1"/>
    </xf>
    <xf numFmtId="0" fontId="773" fillId="457" borderId="220" xfId="0" applyFont="1" applyFill="1" applyBorder="1" applyAlignment="1">
      <alignment wrapText="1"/>
    </xf>
    <xf numFmtId="0" fontId="773" fillId="457" borderId="0" xfId="0" applyFont="1" applyFill="1" applyBorder="1" applyAlignment="1">
      <alignment wrapText="1"/>
    </xf>
    <xf numFmtId="0" fontId="773" fillId="457" borderId="65" xfId="0" applyFont="1" applyFill="1" applyBorder="1" applyAlignment="1">
      <alignment wrapText="1"/>
    </xf>
    <xf numFmtId="0" fontId="773" fillId="457" borderId="261" xfId="0" applyFont="1" applyFill="1" applyBorder="1" applyAlignment="1">
      <alignment wrapText="1"/>
    </xf>
    <xf numFmtId="0" fontId="773" fillId="457" borderId="92" xfId="0" applyFont="1" applyFill="1" applyBorder="1" applyAlignment="1">
      <alignment wrapText="1"/>
    </xf>
    <xf numFmtId="0" fontId="773" fillId="457" borderId="257" xfId="0" applyFont="1" applyFill="1" applyBorder="1" applyAlignment="1">
      <alignment wrapText="1"/>
    </xf>
    <xf numFmtId="0" fontId="0" fillId="482" borderId="265" xfId="0" applyFill="1" applyBorder="1" applyAlignment="1">
      <alignment wrapText="1"/>
    </xf>
    <xf numFmtId="0" fontId="0" fillId="482" borderId="186" xfId="0" applyFill="1" applyBorder="1" applyAlignment="1">
      <alignment wrapText="1"/>
    </xf>
    <xf numFmtId="0" fontId="0" fillId="482" borderId="29" xfId="0" applyFill="1" applyBorder="1" applyAlignment="1">
      <alignment wrapText="1"/>
    </xf>
    <xf numFmtId="0" fontId="0" fillId="482" borderId="218" xfId="0" applyFill="1" applyBorder="1" applyAlignment="1">
      <alignment wrapText="1"/>
    </xf>
    <xf numFmtId="0" fontId="0" fillId="482" borderId="220" xfId="0" applyFill="1" applyBorder="1" applyAlignment="1">
      <alignment wrapText="1"/>
    </xf>
    <xf numFmtId="0" fontId="0" fillId="482" borderId="0" xfId="0" applyFill="1" applyBorder="1" applyAlignment="1">
      <alignment wrapText="1"/>
    </xf>
    <xf numFmtId="0" fontId="0" fillId="482" borderId="65" xfId="0" applyFill="1" applyBorder="1" applyAlignment="1">
      <alignment wrapText="1"/>
    </xf>
    <xf numFmtId="0" fontId="0" fillId="482" borderId="261" xfId="0" applyFill="1" applyBorder="1" applyAlignment="1">
      <alignment wrapText="1"/>
    </xf>
    <xf numFmtId="0" fontId="0" fillId="482" borderId="92" xfId="0" applyFill="1" applyBorder="1" applyAlignment="1">
      <alignment wrapText="1"/>
    </xf>
    <xf numFmtId="0" fontId="0" fillId="482" borderId="257" xfId="0" applyFill="1" applyBorder="1" applyAlignment="1">
      <alignment wrapText="1"/>
    </xf>
    <xf numFmtId="0" fontId="0" fillId="462" borderId="265" xfId="0" applyFill="1" applyBorder="1" applyAlignment="1">
      <alignment wrapText="1"/>
    </xf>
    <xf numFmtId="0" fontId="0" fillId="462" borderId="186" xfId="0" applyFill="1" applyBorder="1" applyAlignment="1">
      <alignment wrapText="1"/>
    </xf>
    <xf numFmtId="0" fontId="0" fillId="462" borderId="29" xfId="0" applyFill="1" applyBorder="1" applyAlignment="1">
      <alignment wrapText="1"/>
    </xf>
    <xf numFmtId="0" fontId="0" fillId="462" borderId="218" xfId="0" applyFill="1" applyBorder="1" applyAlignment="1">
      <alignment wrapText="1"/>
    </xf>
    <xf numFmtId="0" fontId="0" fillId="462" borderId="220" xfId="0" applyFill="1" applyBorder="1" applyAlignment="1">
      <alignment wrapText="1"/>
    </xf>
    <xf numFmtId="0" fontId="0" fillId="462" borderId="65" xfId="0" applyFill="1" applyBorder="1" applyAlignment="1">
      <alignment wrapText="1"/>
    </xf>
    <xf numFmtId="0" fontId="0" fillId="462" borderId="261" xfId="0" applyFill="1" applyBorder="1" applyAlignment="1">
      <alignment wrapText="1"/>
    </xf>
    <xf numFmtId="0" fontId="0" fillId="462" borderId="92" xfId="0" applyFill="1" applyBorder="1" applyAlignment="1">
      <alignment wrapText="1"/>
    </xf>
    <xf numFmtId="0" fontId="0" fillId="462" borderId="257" xfId="0" applyFill="1" applyBorder="1" applyAlignment="1">
      <alignment wrapText="1"/>
    </xf>
    <xf numFmtId="0" fontId="0" fillId="472" borderId="203" xfId="0" applyFill="1" applyBorder="1" applyAlignment="1">
      <alignment wrapText="1"/>
    </xf>
    <xf numFmtId="0" fontId="762" fillId="455" borderId="0" xfId="0" applyFont="1" applyFill="1" applyBorder="1" applyAlignment="1" applyProtection="1">
      <alignment horizontal="center" vertical="center" wrapText="1"/>
    </xf>
    <xf numFmtId="0" fontId="762" fillId="455" borderId="0" xfId="0" applyFont="1" applyFill="1" applyAlignment="1" applyProtection="1">
      <alignment horizontal="center" vertical="center" wrapText="1"/>
    </xf>
    <xf numFmtId="0" fontId="762" fillId="485" borderId="270" xfId="0" applyFont="1" applyFill="1" applyBorder="1" applyAlignment="1" applyProtection="1">
      <alignment horizontal="center" vertical="center" wrapText="1"/>
    </xf>
    <xf numFmtId="0" fontId="762" fillId="485" borderId="217" xfId="0" applyFont="1" applyFill="1" applyBorder="1" applyAlignment="1" applyProtection="1">
      <alignment horizontal="center" vertical="center" wrapText="1"/>
    </xf>
    <xf numFmtId="0" fontId="762" fillId="0" borderId="169" xfId="0" applyFont="1" applyBorder="1" applyAlignment="1" applyProtection="1">
      <alignment horizontal="center" vertical="center" wrapText="1"/>
    </xf>
    <xf numFmtId="0" fontId="0" fillId="0" borderId="188" xfId="0" applyBorder="1" applyAlignment="1" applyProtection="1">
      <alignment horizontal="center" vertical="center" wrapText="1"/>
    </xf>
    <xf numFmtId="0" fontId="783" fillId="469" borderId="217" xfId="0" applyFont="1" applyFill="1" applyBorder="1" applyAlignment="1">
      <alignment horizontal="center" vertical="center" wrapText="1"/>
    </xf>
    <xf numFmtId="0" fontId="574" fillId="344" borderId="256" xfId="0" applyFont="1" applyFill="1" applyBorder="1" applyAlignment="1">
      <alignment horizontal="center" vertical="center" wrapText="1"/>
    </xf>
    <xf numFmtId="0" fontId="762" fillId="0" borderId="0" xfId="0" applyFont="1" applyBorder="1" applyAlignment="1" applyProtection="1">
      <alignment horizontal="center" vertical="center" wrapText="1"/>
    </xf>
    <xf numFmtId="0" fontId="774" fillId="0" borderId="234" xfId="0" applyFont="1" applyFill="1" applyBorder="1" applyAlignment="1">
      <alignment horizontal="center" vertical="center" wrapText="1"/>
    </xf>
    <xf numFmtId="0" fontId="50" fillId="33" borderId="234" xfId="0" applyFont="1" applyFill="1" applyBorder="1" applyAlignment="1">
      <alignment horizontal="center" vertical="center" wrapText="1"/>
    </xf>
    <xf numFmtId="0" fontId="1" fillId="344" borderId="234" xfId="0" applyFont="1" applyFill="1" applyBorder="1" applyAlignment="1">
      <alignment horizontal="center" vertical="center" wrapText="1"/>
    </xf>
    <xf numFmtId="0" fontId="1" fillId="33" borderId="203" xfId="0" applyFont="1" applyFill="1" applyBorder="1" applyAlignment="1">
      <alignment horizontal="center" vertical="center" wrapText="1"/>
    </xf>
    <xf numFmtId="0" fontId="574" fillId="344" borderId="203" xfId="0" applyFont="1" applyFill="1" applyBorder="1" applyAlignment="1">
      <alignment horizontal="center" vertical="center" wrapText="1"/>
    </xf>
    <xf numFmtId="0" fontId="1" fillId="344" borderId="257" xfId="0" applyFont="1" applyFill="1" applyBorder="1" applyAlignment="1">
      <alignment horizontal="center" vertical="center" wrapText="1"/>
    </xf>
    <xf numFmtId="0" fontId="783" fillId="469" borderId="203" xfId="0" applyFont="1" applyFill="1" applyBorder="1" applyAlignment="1">
      <alignment horizontal="center" vertical="center" wrapText="1"/>
    </xf>
    <xf numFmtId="0" fontId="774" fillId="483" borderId="203" xfId="0" applyFont="1" applyFill="1" applyBorder="1" applyAlignment="1">
      <alignment horizontal="center" vertical="center" wrapText="1"/>
    </xf>
    <xf numFmtId="0" fontId="774" fillId="0" borderId="203" xfId="0" applyFont="1" applyFill="1" applyBorder="1" applyAlignment="1">
      <alignment horizontal="center" vertical="center" wrapText="1"/>
    </xf>
    <xf numFmtId="0" fontId="762" fillId="388" borderId="188" xfId="0" applyFont="1" applyFill="1" applyBorder="1" applyAlignment="1" applyProtection="1">
      <alignment horizontal="center" vertical="center" wrapText="1"/>
    </xf>
    <xf numFmtId="0" fontId="762" fillId="470" borderId="188" xfId="0" applyFont="1" applyFill="1" applyBorder="1" applyAlignment="1" applyProtection="1">
      <alignment vertical="center" wrapText="1"/>
    </xf>
    <xf numFmtId="0" fontId="762" fillId="388" borderId="188" xfId="0" applyFont="1" applyFill="1" applyBorder="1" applyAlignment="1" applyProtection="1">
      <alignment vertical="center" wrapText="1"/>
    </xf>
    <xf numFmtId="0" fontId="762" fillId="470" borderId="188" xfId="0" applyFont="1" applyFill="1" applyBorder="1" applyAlignment="1" applyProtection="1">
      <alignment horizontal="center" vertical="center" wrapText="1"/>
    </xf>
    <xf numFmtId="0" fontId="762" fillId="469" borderId="188" xfId="0" applyFont="1" applyFill="1" applyBorder="1" applyAlignment="1" applyProtection="1">
      <alignment vertical="center" wrapText="1"/>
    </xf>
    <xf numFmtId="0" fontId="762" fillId="455" borderId="92" xfId="0" applyFont="1" applyFill="1" applyBorder="1" applyAlignment="1" applyProtection="1">
      <alignment horizontal="center" vertical="center" wrapText="1"/>
    </xf>
    <xf numFmtId="0" fontId="762" fillId="469" borderId="189" xfId="0" applyFont="1" applyFill="1" applyBorder="1" applyAlignment="1" applyProtection="1">
      <alignment vertical="center" wrapText="1"/>
    </xf>
    <xf numFmtId="0" fontId="762" fillId="469" borderId="0" xfId="0" applyFont="1" applyFill="1" applyBorder="1" applyAlignment="1" applyProtection="1">
      <alignment horizontal="center" vertical="center" wrapText="1"/>
    </xf>
    <xf numFmtId="0" fontId="762" fillId="469" borderId="92" xfId="0" applyFont="1" applyFill="1" applyBorder="1" applyAlignment="1" applyProtection="1">
      <alignment horizontal="center" vertical="center" wrapText="1"/>
    </xf>
    <xf numFmtId="0" fontId="3" fillId="207" borderId="253" xfId="0" applyFont="1" applyFill="1" applyBorder="1" applyAlignment="1">
      <alignment horizontal="center" vertical="center"/>
    </xf>
    <xf numFmtId="0" fontId="3" fillId="462" borderId="0" xfId="0" applyFont="1" applyFill="1" applyAlignment="1">
      <alignment horizontal="center" vertical="center"/>
    </xf>
    <xf numFmtId="0" fontId="0" fillId="0" borderId="0" xfId="0" applyNumberFormat="1" applyBorder="1" applyAlignment="1" applyProtection="1">
      <alignment horizontal="center" vertical="center" wrapText="1"/>
    </xf>
    <xf numFmtId="0" fontId="762" fillId="469" borderId="186" xfId="0" applyFont="1" applyFill="1" applyBorder="1" applyAlignment="1" applyProtection="1">
      <alignment horizontal="center" vertical="center" wrapText="1"/>
    </xf>
    <xf numFmtId="0" fontId="0" fillId="0" borderId="186" xfId="0" applyNumberFormat="1" applyBorder="1" applyAlignment="1" applyProtection="1">
      <alignment horizontal="center" vertical="center" wrapText="1"/>
    </xf>
    <xf numFmtId="0" fontId="762" fillId="388" borderId="169" xfId="0" applyFont="1" applyFill="1" applyBorder="1" applyAlignment="1" applyProtection="1">
      <alignment vertical="center" wrapText="1"/>
    </xf>
    <xf numFmtId="0" fontId="0" fillId="0" borderId="186" xfId="0" applyFill="1" applyBorder="1" applyAlignment="1" applyProtection="1">
      <alignment horizontal="center" vertical="center" wrapText="1"/>
    </xf>
    <xf numFmtId="0" fontId="771" fillId="0" borderId="186" xfId="0" applyFont="1" applyFill="1" applyBorder="1" applyAlignment="1" applyProtection="1">
      <alignment horizontal="center" vertical="center" wrapText="1"/>
      <protection locked="0"/>
    </xf>
    <xf numFmtId="0" fontId="762" fillId="0" borderId="186" xfId="0" applyFont="1" applyBorder="1" applyAlignment="1" applyProtection="1">
      <alignment horizontal="center" vertical="center" wrapText="1"/>
    </xf>
    <xf numFmtId="0" fontId="0" fillId="0" borderId="29" xfId="0" applyBorder="1" applyAlignment="1" applyProtection="1">
      <alignment horizontal="center" vertical="center" wrapText="1"/>
    </xf>
    <xf numFmtId="0" fontId="0" fillId="0" borderId="220" xfId="0" applyBorder="1" applyAlignment="1" applyProtection="1">
      <alignment horizontal="center" vertical="center" wrapText="1"/>
    </xf>
    <xf numFmtId="0" fontId="0" fillId="0" borderId="65" xfId="0" applyBorder="1" applyAlignment="1" applyProtection="1">
      <alignment horizontal="center" vertical="center" wrapText="1"/>
    </xf>
    <xf numFmtId="0" fontId="0" fillId="0" borderId="257" xfId="0" applyBorder="1" applyAlignment="1" applyProtection="1">
      <alignment horizontal="center" vertical="center" wrapText="1"/>
    </xf>
    <xf numFmtId="0" fontId="762" fillId="0" borderId="0" xfId="0" applyFont="1" applyBorder="1" applyAlignment="1" applyProtection="1">
      <alignment horizontal="center" vertical="center" wrapText="1"/>
    </xf>
    <xf numFmtId="0" fontId="762" fillId="0" borderId="220" xfId="0" applyFont="1" applyBorder="1" applyAlignment="1" applyProtection="1">
      <alignment horizontal="center" vertical="center" wrapText="1"/>
    </xf>
    <xf numFmtId="0" fontId="762" fillId="0" borderId="261" xfId="0" applyFont="1" applyBorder="1" applyAlignment="1" applyProtection="1">
      <alignment horizontal="center" vertical="center" wrapText="1"/>
    </xf>
    <xf numFmtId="0" fontId="762" fillId="0" borderId="92" xfId="0" applyFont="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92" xfId="0" applyBorder="1" applyAlignment="1" applyProtection="1">
      <alignment horizontal="center" vertical="center" wrapText="1"/>
    </xf>
    <xf numFmtId="0" fontId="312" fillId="185" borderId="0" xfId="0" applyFont="1" applyFill="1" applyBorder="1" applyAlignment="1">
      <alignment horizontal="center" vertical="center" wrapText="1"/>
    </xf>
    <xf numFmtId="0" fontId="528" fillId="314" borderId="0" xfId="0" applyFont="1" applyFill="1" applyBorder="1" applyAlignment="1">
      <alignment horizontal="center" vertical="center" wrapText="1"/>
    </xf>
    <xf numFmtId="0" fontId="211" fillId="0" borderId="0" xfId="0" applyFont="1" applyAlignment="1">
      <alignment horizontal="center" vertical="center" wrapText="1"/>
    </xf>
    <xf numFmtId="0" fontId="762" fillId="0" borderId="0" xfId="0" applyFont="1" applyAlignment="1">
      <alignment horizontal="center" vertical="center" wrapText="1"/>
    </xf>
    <xf numFmtId="177" fontId="773" fillId="0" borderId="0" xfId="0" applyNumberFormat="1" applyFont="1" applyFill="1" applyBorder="1" applyAlignment="1" applyProtection="1">
      <alignment horizontal="center" vertical="center" wrapText="1"/>
    </xf>
    <xf numFmtId="2" fontId="773" fillId="0" borderId="220" xfId="0" applyNumberFormat="1" applyFont="1" applyFill="1" applyBorder="1" applyAlignment="1" applyProtection="1">
      <alignment horizontal="center" vertical="center" wrapText="1"/>
    </xf>
    <xf numFmtId="2" fontId="762" fillId="0" borderId="220" xfId="0" applyNumberFormat="1" applyFont="1" applyFill="1" applyBorder="1" applyAlignment="1" applyProtection="1">
      <alignment horizontal="center" vertical="center" wrapText="1"/>
    </xf>
    <xf numFmtId="2" fontId="0" fillId="0" borderId="220" xfId="0" applyNumberFormat="1" applyFill="1" applyBorder="1" applyAlignment="1" applyProtection="1">
      <alignment horizontal="center" vertical="center" wrapText="1"/>
    </xf>
    <xf numFmtId="0" fontId="771" fillId="0" borderId="220" xfId="0" applyFont="1" applyBorder="1" applyAlignment="1" applyProtection="1">
      <alignment horizontal="center" vertical="center" wrapText="1"/>
    </xf>
    <xf numFmtId="0" fontId="762" fillId="0" borderId="0" xfId="0" applyFont="1" applyAlignment="1">
      <alignment horizontal="center" vertical="center" wrapText="1"/>
    </xf>
    <xf numFmtId="0" fontId="762" fillId="469" borderId="273" xfId="0" applyFont="1" applyFill="1" applyBorder="1" applyAlignment="1" applyProtection="1">
      <alignment vertical="center" wrapText="1"/>
    </xf>
    <xf numFmtId="0" fontId="762" fillId="0" borderId="0" xfId="1" applyNumberFormat="1" applyFont="1" applyBorder="1" applyAlignment="1" applyProtection="1">
      <alignment horizontal="center" vertical="center" wrapText="1"/>
    </xf>
    <xf numFmtId="43" fontId="3" fillId="125" borderId="63" xfId="1" applyNumberFormat="1" applyFont="1" applyFill="1" applyBorder="1" applyAlignment="1">
      <alignment horizontal="center" vertical="center" wrapText="1"/>
    </xf>
    <xf numFmtId="43" fontId="3" fillId="350" borderId="185" xfId="1" applyNumberFormat="1" applyFont="1" applyFill="1" applyBorder="1" applyAlignment="1">
      <alignment horizontal="center" vertical="center" wrapText="1"/>
    </xf>
    <xf numFmtId="0" fontId="3" fillId="78" borderId="253" xfId="0" applyFont="1" applyFill="1" applyBorder="1" applyAlignment="1">
      <alignment horizontal="center"/>
    </xf>
    <xf numFmtId="0" fontId="433" fillId="253" borderId="253" xfId="0" applyFont="1" applyFill="1" applyBorder="1" applyAlignment="1">
      <alignment horizontal="center"/>
    </xf>
    <xf numFmtId="0" fontId="569" fillId="341" borderId="253" xfId="0" applyFont="1" applyFill="1" applyBorder="1" applyAlignment="1">
      <alignment horizontal="center"/>
    </xf>
    <xf numFmtId="0" fontId="3" fillId="341" borderId="253" xfId="0" applyFont="1" applyFill="1" applyBorder="1" applyAlignment="1">
      <alignment horizontal="center"/>
    </xf>
    <xf numFmtId="43" fontId="3" fillId="30" borderId="253" xfId="1" applyFont="1" applyFill="1" applyBorder="1" applyAlignment="1">
      <alignment horizontal="center" vertical="center"/>
    </xf>
    <xf numFmtId="43" fontId="3" fillId="336" borderId="196" xfId="1" applyFont="1" applyFill="1" applyBorder="1" applyAlignment="1">
      <alignment horizontal="center" vertical="center"/>
    </xf>
    <xf numFmtId="2" fontId="153" fillId="96" borderId="253" xfId="0" applyNumberFormat="1" applyFont="1" applyFill="1" applyBorder="1" applyAlignment="1">
      <alignment horizontal="center" vertical="center"/>
    </xf>
    <xf numFmtId="0" fontId="3" fillId="253" borderId="253" xfId="0" applyFont="1" applyFill="1" applyBorder="1" applyAlignment="1">
      <alignment horizontal="center"/>
    </xf>
    <xf numFmtId="2" fontId="3" fillId="148" borderId="253" xfId="0" applyNumberFormat="1" applyFont="1" applyFill="1" applyBorder="1" applyAlignment="1">
      <alignment horizontal="center" vertical="center"/>
    </xf>
    <xf numFmtId="2" fontId="142" fillId="84" borderId="253" xfId="0" applyNumberFormat="1" applyFont="1" applyFill="1" applyBorder="1" applyAlignment="1">
      <alignment horizontal="center" vertical="center"/>
    </xf>
    <xf numFmtId="2" fontId="282" fillId="167" borderId="253" xfId="0" applyNumberFormat="1" applyFont="1" applyFill="1" applyBorder="1" applyAlignment="1">
      <alignment horizontal="center" vertical="center"/>
    </xf>
    <xf numFmtId="3" fontId="0" fillId="0" borderId="260" xfId="1" applyNumberFormat="1" applyFont="1" applyBorder="1" applyAlignment="1" applyProtection="1">
      <alignment horizontal="center" vertical="center" wrapText="1"/>
    </xf>
    <xf numFmtId="3" fontId="0" fillId="0" borderId="239" xfId="0" applyNumberFormat="1" applyBorder="1" applyAlignment="1" applyProtection="1">
      <alignment horizontal="center" vertical="center" wrapText="1"/>
    </xf>
    <xf numFmtId="0" fontId="590" fillId="0" borderId="0" xfId="1" applyNumberFormat="1" applyFont="1" applyAlignment="1">
      <alignment horizontal="center" vertical="center" wrapText="1"/>
    </xf>
    <xf numFmtId="43" fontId="178" fillId="488" borderId="97" xfId="1" applyFont="1" applyFill="1" applyBorder="1" applyAlignment="1">
      <alignment horizontal="center" vertical="center" wrapText="1"/>
    </xf>
    <xf numFmtId="43" fontId="737" fillId="488" borderId="218" xfId="1" applyFont="1" applyFill="1" applyBorder="1" applyAlignment="1">
      <alignment horizontal="center" vertical="center" wrapText="1"/>
    </xf>
    <xf numFmtId="43" fontId="214" fillId="488" borderId="218" xfId="1" applyFont="1" applyFill="1" applyBorder="1" applyAlignment="1">
      <alignment horizontal="center" vertical="center" wrapText="1"/>
    </xf>
    <xf numFmtId="43" fontId="740" fillId="488" borderId="218" xfId="1" applyFont="1" applyFill="1" applyBorder="1" applyAlignment="1">
      <alignment horizontal="center" vertical="center" wrapText="1"/>
    </xf>
    <xf numFmtId="43" fontId="106" fillId="488" borderId="218" xfId="1" applyFont="1" applyFill="1" applyBorder="1" applyAlignment="1">
      <alignment horizontal="center" vertical="center" wrapText="1"/>
    </xf>
    <xf numFmtId="43" fontId="176" fillId="488" borderId="218" xfId="1" applyFont="1" applyFill="1" applyBorder="1" applyAlignment="1">
      <alignment horizontal="center" vertical="center" wrapText="1"/>
    </xf>
    <xf numFmtId="43" fontId="510" fillId="488" borderId="163" xfId="1" applyFont="1" applyFill="1" applyBorder="1" applyAlignment="1">
      <alignment horizontal="center" vertical="center" wrapText="1"/>
    </xf>
    <xf numFmtId="43" fontId="37" fillId="488" borderId="241" xfId="1" applyFont="1" applyFill="1" applyBorder="1" applyAlignment="1">
      <alignment horizontal="center" vertical="center" wrapText="1"/>
    </xf>
    <xf numFmtId="43" fontId="423" fillId="488" borderId="241" xfId="1" applyFont="1" applyFill="1" applyBorder="1" applyAlignment="1">
      <alignment horizontal="center" vertical="center" wrapText="1"/>
    </xf>
    <xf numFmtId="43" fontId="64" fillId="488" borderId="241" xfId="1" applyFont="1" applyFill="1" applyBorder="1" applyAlignment="1">
      <alignment horizontal="center" vertical="center" wrapText="1"/>
    </xf>
    <xf numFmtId="43" fontId="568" fillId="488" borderId="241" xfId="1" applyFont="1" applyFill="1" applyBorder="1" applyAlignment="1">
      <alignment horizontal="center" vertical="center" wrapText="1"/>
    </xf>
    <xf numFmtId="43" fontId="210" fillId="488" borderId="241" xfId="1" applyFont="1" applyFill="1" applyBorder="1" applyAlignment="1">
      <alignment horizontal="center" vertical="center" wrapText="1"/>
    </xf>
    <xf numFmtId="43" fontId="691" fillId="488" borderId="248" xfId="1" applyFont="1" applyFill="1" applyBorder="1" applyAlignment="1">
      <alignment horizontal="center" vertical="center" wrapText="1"/>
    </xf>
    <xf numFmtId="43" fontId="565" fillId="488" borderId="250" xfId="1" applyFont="1" applyFill="1" applyBorder="1" applyAlignment="1">
      <alignment horizontal="center" vertical="center" wrapText="1"/>
    </xf>
    <xf numFmtId="43" fontId="454" fillId="488" borderId="250" xfId="1" applyFont="1" applyFill="1" applyBorder="1" applyAlignment="1">
      <alignment horizontal="center" vertical="center" wrapText="1"/>
    </xf>
    <xf numFmtId="43" fontId="320" fillId="488" borderId="250" xfId="1" applyFont="1" applyFill="1" applyBorder="1" applyAlignment="1">
      <alignment horizontal="center" vertical="center" wrapText="1"/>
    </xf>
    <xf numFmtId="43" fontId="410" fillId="488" borderId="250" xfId="1" applyFont="1" applyFill="1" applyBorder="1" applyAlignment="1">
      <alignment horizontal="center" vertical="center" wrapText="1"/>
    </xf>
    <xf numFmtId="43" fontId="127" fillId="488" borderId="250" xfId="1" applyFont="1" applyFill="1" applyBorder="1" applyAlignment="1">
      <alignment horizontal="center" vertical="center" wrapText="1"/>
    </xf>
    <xf numFmtId="43" fontId="601" fillId="487" borderId="211" xfId="1" applyFont="1" applyFill="1" applyBorder="1" applyAlignment="1">
      <alignment horizontal="center" vertical="center" wrapText="1"/>
    </xf>
    <xf numFmtId="43" fontId="427" fillId="487" borderId="139" xfId="1" applyFont="1" applyFill="1" applyBorder="1" applyAlignment="1">
      <alignment horizontal="center" vertical="center" wrapText="1"/>
    </xf>
    <xf numFmtId="43" fontId="251" fillId="487" borderId="139" xfId="1" applyFont="1" applyFill="1" applyBorder="1" applyAlignment="1">
      <alignment horizontal="center" vertical="center" wrapText="1"/>
    </xf>
    <xf numFmtId="43" fontId="249" fillId="487" borderId="241" xfId="1" applyFont="1" applyFill="1" applyBorder="1" applyAlignment="1">
      <alignment horizontal="center" vertical="center" wrapText="1"/>
    </xf>
    <xf numFmtId="43" fontId="65" fillId="487" borderId="241" xfId="1" applyFont="1" applyFill="1" applyBorder="1" applyAlignment="1">
      <alignment horizontal="center" vertical="center" wrapText="1"/>
    </xf>
    <xf numFmtId="43" fontId="142" fillId="487" borderId="241" xfId="1" applyFont="1" applyFill="1" applyBorder="1" applyAlignment="1">
      <alignment horizontal="center" vertical="center" wrapText="1"/>
    </xf>
    <xf numFmtId="43" fontId="688" fillId="487" borderId="248" xfId="1" applyFont="1" applyFill="1" applyBorder="1" applyAlignment="1">
      <alignment horizontal="center" vertical="center" wrapText="1"/>
    </xf>
    <xf numFmtId="43" fontId="267" fillId="487" borderId="250" xfId="1" applyFont="1" applyFill="1" applyBorder="1" applyAlignment="1">
      <alignment horizontal="center" vertical="center" wrapText="1"/>
    </xf>
    <xf numFmtId="43" fontId="487" fillId="487" borderId="250" xfId="1" applyFont="1" applyFill="1" applyBorder="1" applyAlignment="1">
      <alignment horizontal="center" vertical="center" wrapText="1"/>
    </xf>
    <xf numFmtId="43" fontId="182" fillId="487" borderId="250" xfId="1" applyFont="1" applyFill="1" applyBorder="1" applyAlignment="1">
      <alignment horizontal="center" vertical="center" wrapText="1"/>
    </xf>
    <xf numFmtId="43" fontId="135" fillId="487" borderId="250" xfId="1" applyFont="1" applyFill="1" applyBorder="1" applyAlignment="1">
      <alignment horizontal="center" vertical="center" wrapText="1"/>
    </xf>
    <xf numFmtId="43" fontId="282" fillId="487" borderId="250" xfId="1" applyFont="1" applyFill="1" applyBorder="1" applyAlignment="1">
      <alignment horizontal="center" vertical="center" wrapText="1"/>
    </xf>
    <xf numFmtId="43" fontId="90" fillId="487" borderId="163" xfId="1" applyFont="1" applyFill="1" applyBorder="1" applyAlignment="1">
      <alignment horizontal="center" vertical="center" wrapText="1"/>
    </xf>
    <xf numFmtId="43" fontId="56" fillId="487" borderId="241" xfId="1" applyFont="1" applyFill="1" applyBorder="1" applyAlignment="1">
      <alignment horizontal="center" vertical="center" wrapText="1"/>
    </xf>
    <xf numFmtId="43" fontId="187" fillId="487" borderId="241" xfId="1" applyFont="1" applyFill="1" applyBorder="1" applyAlignment="1">
      <alignment horizontal="center" vertical="center" wrapText="1"/>
    </xf>
    <xf numFmtId="43" fontId="178" fillId="487" borderId="216" xfId="1" applyFont="1" applyFill="1" applyBorder="1" applyAlignment="1">
      <alignment horizontal="center" vertical="center" wrapText="1"/>
    </xf>
    <xf numFmtId="43" fontId="737" fillId="487" borderId="238" xfId="1" applyFont="1" applyFill="1" applyBorder="1" applyAlignment="1">
      <alignment horizontal="center" vertical="center" wrapText="1"/>
    </xf>
    <xf numFmtId="43" fontId="214" fillId="487" borderId="238" xfId="1" applyFont="1" applyFill="1" applyBorder="1" applyAlignment="1">
      <alignment horizontal="center" vertical="center" wrapText="1"/>
    </xf>
    <xf numFmtId="43" fontId="740" fillId="487" borderId="238" xfId="1" applyFont="1" applyFill="1" applyBorder="1" applyAlignment="1">
      <alignment horizontal="center" vertical="center" wrapText="1"/>
    </xf>
    <xf numFmtId="43" fontId="106" fillId="487" borderId="238" xfId="1" applyFont="1" applyFill="1" applyBorder="1" applyAlignment="1">
      <alignment horizontal="center" vertical="center" wrapText="1"/>
    </xf>
    <xf numFmtId="43" fontId="176" fillId="487" borderId="238" xfId="1" applyFont="1" applyFill="1" applyBorder="1" applyAlignment="1">
      <alignment horizontal="center" vertical="center" wrapText="1"/>
    </xf>
    <xf numFmtId="43" fontId="473" fillId="486" borderId="211" xfId="1" applyFont="1" applyFill="1" applyBorder="1" applyAlignment="1">
      <alignment horizontal="center" vertical="center" wrapText="1"/>
    </xf>
    <xf numFmtId="43" fontId="397" fillId="486" borderId="139" xfId="1" applyFont="1" applyFill="1" applyBorder="1" applyAlignment="1">
      <alignment horizontal="center" vertical="center" wrapText="1"/>
    </xf>
    <xf numFmtId="43" fontId="60" fillId="486" borderId="139" xfId="1" applyFont="1" applyFill="1" applyBorder="1" applyAlignment="1">
      <alignment horizontal="center" vertical="center" wrapText="1"/>
    </xf>
    <xf numFmtId="43" fontId="383" fillId="486" borderId="241" xfId="1" applyFont="1" applyFill="1" applyBorder="1" applyAlignment="1">
      <alignment horizontal="center" vertical="center" wrapText="1"/>
    </xf>
    <xf numFmtId="43" fontId="116" fillId="486" borderId="241" xfId="1" applyFont="1" applyFill="1" applyBorder="1" applyAlignment="1">
      <alignment horizontal="center" vertical="center" wrapText="1"/>
    </xf>
    <xf numFmtId="43" fontId="153" fillId="486" borderId="241" xfId="1" applyFont="1" applyFill="1" applyBorder="1" applyAlignment="1">
      <alignment horizontal="center" vertical="center" wrapText="1"/>
    </xf>
    <xf numFmtId="43" fontId="345" fillId="486" borderId="248" xfId="1" applyFont="1" applyFill="1" applyBorder="1" applyAlignment="1">
      <alignment horizontal="center" vertical="center" wrapText="1"/>
    </xf>
    <xf numFmtId="43" fontId="204" fillId="486" borderId="250" xfId="1" applyFont="1" applyFill="1" applyBorder="1" applyAlignment="1">
      <alignment horizontal="center" vertical="center" wrapText="1"/>
    </xf>
    <xf numFmtId="43" fontId="97" fillId="486" borderId="250" xfId="1" applyFont="1" applyFill="1" applyBorder="1" applyAlignment="1">
      <alignment horizontal="center" vertical="center" wrapText="1"/>
    </xf>
    <xf numFmtId="43" fontId="249" fillId="486" borderId="250" xfId="1" applyFont="1" applyFill="1" applyBorder="1" applyAlignment="1">
      <alignment horizontal="center" vertical="center" wrapText="1"/>
    </xf>
    <xf numFmtId="43" fontId="65" fillId="486" borderId="250" xfId="1" applyFont="1" applyFill="1" applyBorder="1" applyAlignment="1">
      <alignment horizontal="center" vertical="center" wrapText="1"/>
    </xf>
    <xf numFmtId="43" fontId="142" fillId="486" borderId="250" xfId="1" applyFont="1" applyFill="1" applyBorder="1" applyAlignment="1">
      <alignment horizontal="center" vertical="center" wrapText="1"/>
    </xf>
    <xf numFmtId="43" fontId="88" fillId="486" borderId="163" xfId="1" applyFont="1" applyFill="1" applyBorder="1" applyAlignment="1">
      <alignment horizontal="center" vertical="center" wrapText="1"/>
    </xf>
    <xf numFmtId="43" fontId="384" fillId="486" borderId="241" xfId="1" applyFont="1" applyFill="1" applyBorder="1" applyAlignment="1">
      <alignment horizontal="center" vertical="center" wrapText="1"/>
    </xf>
    <xf numFmtId="43" fontId="744" fillId="486" borderId="241" xfId="1" applyFont="1" applyFill="1" applyBorder="1" applyAlignment="1">
      <alignment horizontal="center" vertical="center" wrapText="1"/>
    </xf>
    <xf numFmtId="43" fontId="601" fillId="486" borderId="216" xfId="1" applyFont="1" applyFill="1" applyBorder="1" applyAlignment="1">
      <alignment horizontal="center" vertical="center" wrapText="1"/>
    </xf>
    <xf numFmtId="43" fontId="427" fillId="486" borderId="238" xfId="1" applyFont="1" applyFill="1" applyBorder="1" applyAlignment="1">
      <alignment horizontal="center" vertical="center" wrapText="1"/>
    </xf>
    <xf numFmtId="43" fontId="251" fillId="486" borderId="238" xfId="1" applyFont="1" applyFill="1" applyBorder="1" applyAlignment="1">
      <alignment horizontal="center" vertical="center" wrapText="1"/>
    </xf>
    <xf numFmtId="43" fontId="249" fillId="486" borderId="238" xfId="1" applyFont="1" applyFill="1" applyBorder="1" applyAlignment="1">
      <alignment horizontal="center" vertical="center" wrapText="1"/>
    </xf>
    <xf numFmtId="43" fontId="65" fillId="486" borderId="238" xfId="1" applyFont="1" applyFill="1" applyBorder="1" applyAlignment="1">
      <alignment horizontal="center" vertical="center" wrapText="1"/>
    </xf>
    <xf numFmtId="43" fontId="142" fillId="486" borderId="238" xfId="1" applyFont="1" applyFill="1" applyBorder="1" applyAlignment="1">
      <alignment horizontal="center" vertical="center" wrapText="1"/>
    </xf>
    <xf numFmtId="43" fontId="128" fillId="463" borderId="211" xfId="1" applyFont="1" applyFill="1" applyBorder="1" applyAlignment="1">
      <alignment horizontal="center" vertical="center" wrapText="1"/>
    </xf>
    <xf numFmtId="43" fontId="8" fillId="463" borderId="248" xfId="1" applyFont="1" applyFill="1" applyBorder="1" applyAlignment="1">
      <alignment horizontal="center" vertical="center" wrapText="1"/>
    </xf>
    <xf numFmtId="43" fontId="166" fillId="463" borderId="250" xfId="1" applyFont="1" applyFill="1" applyBorder="1" applyAlignment="1">
      <alignment horizontal="center" vertical="center" wrapText="1"/>
    </xf>
    <xf numFmtId="43" fontId="341" fillId="463" borderId="250" xfId="1" applyFont="1" applyFill="1" applyBorder="1" applyAlignment="1">
      <alignment horizontal="center" vertical="center" wrapText="1"/>
    </xf>
    <xf numFmtId="43" fontId="383" fillId="463" borderId="250" xfId="1" applyFont="1" applyFill="1" applyBorder="1" applyAlignment="1">
      <alignment horizontal="center" vertical="center" wrapText="1"/>
    </xf>
    <xf numFmtId="43" fontId="116" fillId="463" borderId="250" xfId="1" applyFont="1" applyFill="1" applyBorder="1" applyAlignment="1">
      <alignment horizontal="center" vertical="center" wrapText="1"/>
    </xf>
    <xf numFmtId="43" fontId="153" fillId="463" borderId="250" xfId="1" applyFont="1" applyFill="1" applyBorder="1" applyAlignment="1">
      <alignment horizontal="center" vertical="center" wrapText="1"/>
    </xf>
    <xf numFmtId="43" fontId="363" fillId="463" borderId="163" xfId="1" applyFont="1" applyFill="1" applyBorder="1" applyAlignment="1">
      <alignment horizontal="center" vertical="center" wrapText="1"/>
    </xf>
    <xf numFmtId="43" fontId="369" fillId="463" borderId="241" xfId="1" applyFont="1" applyFill="1" applyBorder="1" applyAlignment="1">
      <alignment horizontal="center" vertical="center" wrapText="1"/>
    </xf>
    <xf numFmtId="43" fontId="125" fillId="463" borderId="241" xfId="1" applyFont="1" applyFill="1" applyBorder="1" applyAlignment="1">
      <alignment horizontal="center" vertical="center" wrapText="1"/>
    </xf>
    <xf numFmtId="43" fontId="226" fillId="463" borderId="241" xfId="1" applyFont="1" applyFill="1" applyBorder="1" applyAlignment="1">
      <alignment horizontal="center" vertical="center" wrapText="1"/>
    </xf>
    <xf numFmtId="43" fontId="388" fillId="463" borderId="241" xfId="1" applyFont="1" applyFill="1" applyBorder="1" applyAlignment="1">
      <alignment horizontal="center" vertical="center" wrapText="1"/>
    </xf>
    <xf numFmtId="43" fontId="570" fillId="463" borderId="241" xfId="1" applyFont="1" applyFill="1" applyBorder="1" applyAlignment="1">
      <alignment horizontal="center" vertical="center" wrapText="1"/>
    </xf>
    <xf numFmtId="43" fontId="473" fillId="463" borderId="216" xfId="1" applyFont="1" applyFill="1" applyBorder="1" applyAlignment="1">
      <alignment horizontal="center" vertical="center" wrapText="1"/>
    </xf>
    <xf numFmtId="43" fontId="397" fillId="463" borderId="238" xfId="1" applyFont="1" applyFill="1" applyBorder="1" applyAlignment="1">
      <alignment horizontal="center" vertical="center" wrapText="1"/>
    </xf>
    <xf numFmtId="43" fontId="60" fillId="463" borderId="238" xfId="1" applyFont="1" applyFill="1" applyBorder="1" applyAlignment="1">
      <alignment horizontal="center" vertical="center" wrapText="1"/>
    </xf>
    <xf numFmtId="43" fontId="383" fillId="463" borderId="238" xfId="1" applyFont="1" applyFill="1" applyBorder="1" applyAlignment="1">
      <alignment horizontal="center" vertical="center" wrapText="1"/>
    </xf>
    <xf numFmtId="43" fontId="116" fillId="463" borderId="238" xfId="1" applyFont="1" applyFill="1" applyBorder="1" applyAlignment="1">
      <alignment horizontal="center" vertical="center" wrapText="1"/>
    </xf>
    <xf numFmtId="43" fontId="153" fillId="463" borderId="238" xfId="1" applyFont="1" applyFill="1" applyBorder="1" applyAlignment="1">
      <alignment horizontal="center" vertical="center" wrapText="1"/>
    </xf>
    <xf numFmtId="0" fontId="367" fillId="463" borderId="253" xfId="0" applyFont="1" applyFill="1" applyBorder="1" applyAlignment="1">
      <alignment horizontal="center" vertical="center" wrapText="1"/>
    </xf>
    <xf numFmtId="0" fontId="407" fillId="463" borderId="253" xfId="0" applyFont="1" applyFill="1" applyBorder="1" applyAlignment="1">
      <alignment horizontal="center" vertical="center" wrapText="1"/>
    </xf>
    <xf numFmtId="173" fontId="165" fillId="463" borderId="253" xfId="0" applyNumberFormat="1" applyFont="1" applyFill="1" applyBorder="1" applyAlignment="1">
      <alignment horizontal="center" vertical="center" wrapText="1"/>
    </xf>
    <xf numFmtId="4" fontId="257" fillId="463" borderId="253" xfId="0" applyNumberFormat="1" applyFont="1" applyFill="1" applyBorder="1" applyAlignment="1">
      <alignment horizontal="center" vertical="center" wrapText="1"/>
    </xf>
    <xf numFmtId="4" fontId="3" fillId="463" borderId="253" xfId="0" applyNumberFormat="1" applyFont="1" applyFill="1" applyBorder="1" applyAlignment="1">
      <alignment horizontal="center" vertical="center" wrapText="1"/>
    </xf>
    <xf numFmtId="173" fontId="165" fillId="489" borderId="253" xfId="0" applyNumberFormat="1" applyFont="1" applyFill="1" applyBorder="1" applyAlignment="1">
      <alignment horizontal="center" vertical="center" wrapText="1"/>
    </xf>
    <xf numFmtId="4" fontId="257" fillId="489" borderId="253" xfId="0" applyNumberFormat="1" applyFont="1" applyFill="1" applyBorder="1" applyAlignment="1">
      <alignment horizontal="center" vertical="center" wrapText="1"/>
    </xf>
    <xf numFmtId="173" fontId="269" fillId="489" borderId="253" xfId="0" applyNumberFormat="1" applyFont="1" applyFill="1" applyBorder="1" applyAlignment="1">
      <alignment horizontal="center" vertical="center" wrapText="1"/>
    </xf>
    <xf numFmtId="4" fontId="3" fillId="489" borderId="253" xfId="0" applyNumberFormat="1" applyFont="1" applyFill="1" applyBorder="1" applyAlignment="1">
      <alignment horizontal="center" vertical="center" wrapText="1"/>
    </xf>
    <xf numFmtId="0" fontId="640" fillId="490" borderId="0" xfId="0" applyFont="1" applyFill="1" applyAlignment="1">
      <alignment horizontal="center" vertical="center" wrapText="1"/>
    </xf>
    <xf numFmtId="0" fontId="673" fillId="490" borderId="0" xfId="0" applyFont="1" applyFill="1" applyAlignment="1">
      <alignment horizontal="center" vertical="center" wrapText="1"/>
    </xf>
    <xf numFmtId="0" fontId="211" fillId="463" borderId="243" xfId="0" applyFont="1" applyFill="1" applyBorder="1" applyAlignment="1">
      <alignment horizontal="center" vertical="center" wrapText="1"/>
    </xf>
    <xf numFmtId="0" fontId="211" fillId="463" borderId="253" xfId="0" applyFont="1" applyFill="1" applyBorder="1" applyAlignment="1">
      <alignment horizontal="center" vertical="center" wrapText="1"/>
    </xf>
    <xf numFmtId="0" fontId="640" fillId="463" borderId="0" xfId="0" applyFont="1" applyFill="1" applyAlignment="1">
      <alignment horizontal="center" vertical="center" wrapText="1"/>
    </xf>
    <xf numFmtId="0" fontId="491" fillId="463" borderId="0" xfId="0" applyFont="1" applyFill="1" applyAlignment="1">
      <alignment horizontal="center" vertical="center" wrapText="1"/>
    </xf>
    <xf numFmtId="43" fontId="491" fillId="463" borderId="243" xfId="1" applyFont="1" applyFill="1" applyBorder="1" applyAlignment="1">
      <alignment horizontal="center" vertical="center" wrapText="1"/>
    </xf>
    <xf numFmtId="43" fontId="491" fillId="463" borderId="253" xfId="1" applyFont="1" applyFill="1" applyBorder="1" applyAlignment="1">
      <alignment horizontal="center" vertical="center" wrapText="1"/>
    </xf>
    <xf numFmtId="43" fontId="491" fillId="463" borderId="248" xfId="1" applyFont="1" applyFill="1" applyBorder="1" applyAlignment="1">
      <alignment horizontal="center" vertical="center" wrapText="1"/>
    </xf>
    <xf numFmtId="43" fontId="31" fillId="463" borderId="243" xfId="1" applyFont="1" applyFill="1" applyBorder="1" applyAlignment="1">
      <alignment horizontal="center" vertical="center" wrapText="1"/>
    </xf>
    <xf numFmtId="43" fontId="31" fillId="463" borderId="253" xfId="1" applyFont="1" applyFill="1" applyBorder="1" applyAlignment="1">
      <alignment horizontal="center" vertical="center" wrapText="1"/>
    </xf>
    <xf numFmtId="43" fontId="31" fillId="463" borderId="189" xfId="1" applyFont="1" applyFill="1" applyBorder="1" applyAlignment="1">
      <alignment horizontal="center" vertical="center" wrapText="1"/>
    </xf>
    <xf numFmtId="43" fontId="491" fillId="463" borderId="189" xfId="1" applyFont="1" applyFill="1" applyBorder="1" applyAlignment="1">
      <alignment horizontal="center" vertical="center" wrapText="1"/>
    </xf>
    <xf numFmtId="175" fontId="497" fillId="463" borderId="243" xfId="0" applyNumberFormat="1" applyFont="1" applyFill="1" applyBorder="1" applyAlignment="1">
      <alignment horizontal="center" vertical="center" wrapText="1"/>
    </xf>
    <xf numFmtId="175" fontId="497" fillId="463" borderId="253" xfId="0" applyNumberFormat="1" applyFont="1" applyFill="1" applyBorder="1" applyAlignment="1">
      <alignment horizontal="center" vertical="center" wrapText="1"/>
    </xf>
    <xf numFmtId="0" fontId="673" fillId="463" borderId="0" xfId="0" applyFont="1" applyFill="1" applyAlignment="1">
      <alignment horizontal="center" vertical="center" wrapText="1"/>
    </xf>
    <xf numFmtId="43" fontId="395" fillId="463" borderId="243" xfId="1" applyFont="1" applyFill="1" applyBorder="1" applyAlignment="1">
      <alignment horizontal="center" vertical="center" wrapText="1"/>
    </xf>
    <xf numFmtId="43" fontId="395" fillId="463" borderId="253" xfId="1" applyFont="1" applyFill="1" applyBorder="1" applyAlignment="1">
      <alignment horizontal="center" vertical="center" wrapText="1"/>
    </xf>
    <xf numFmtId="43" fontId="395" fillId="463" borderId="248" xfId="1" applyFont="1" applyFill="1" applyBorder="1" applyAlignment="1">
      <alignment horizontal="center" vertical="center" wrapText="1"/>
    </xf>
    <xf numFmtId="43" fontId="395" fillId="463" borderId="189" xfId="1" applyFont="1" applyFill="1" applyBorder="1" applyAlignment="1">
      <alignment horizontal="center" vertical="center" wrapText="1"/>
    </xf>
    <xf numFmtId="175" fontId="497" fillId="489" borderId="243" xfId="0" applyNumberFormat="1" applyFont="1" applyFill="1" applyBorder="1" applyAlignment="1">
      <alignment horizontal="center" vertical="center" wrapText="1"/>
    </xf>
    <xf numFmtId="175" fontId="497" fillId="489" borderId="253" xfId="0" applyNumberFormat="1" applyFont="1" applyFill="1" applyBorder="1" applyAlignment="1">
      <alignment horizontal="center" vertical="center" wrapText="1"/>
    </xf>
    <xf numFmtId="0" fontId="673" fillId="489" borderId="0" xfId="0" applyFont="1" applyFill="1" applyAlignment="1">
      <alignment horizontal="center" vertical="center" wrapText="1"/>
    </xf>
    <xf numFmtId="43" fontId="395" fillId="489" borderId="243" xfId="1" applyFont="1" applyFill="1" applyBorder="1" applyAlignment="1">
      <alignment horizontal="center" vertical="center" wrapText="1"/>
    </xf>
    <xf numFmtId="43" fontId="395" fillId="489" borderId="253" xfId="1" applyFont="1" applyFill="1" applyBorder="1" applyAlignment="1">
      <alignment horizontal="center" vertical="center" wrapText="1"/>
    </xf>
    <xf numFmtId="43" fontId="395" fillId="489" borderId="248" xfId="1" applyFont="1" applyFill="1" applyBorder="1" applyAlignment="1">
      <alignment horizontal="center" vertical="center" wrapText="1"/>
    </xf>
    <xf numFmtId="43" fontId="395" fillId="489" borderId="189" xfId="1" applyFont="1" applyFill="1" applyBorder="1" applyAlignment="1">
      <alignment horizontal="center" vertical="center" wrapText="1"/>
    </xf>
    <xf numFmtId="0" fontId="673" fillId="462" borderId="0" xfId="0" applyFont="1" applyFill="1" applyAlignment="1">
      <alignment horizontal="center" vertical="center" wrapText="1"/>
    </xf>
    <xf numFmtId="173" fontId="269" fillId="487" borderId="253" xfId="0" applyNumberFormat="1" applyFont="1" applyFill="1" applyBorder="1" applyAlignment="1">
      <alignment horizontal="center" vertical="center" wrapText="1"/>
    </xf>
    <xf numFmtId="4" fontId="257" fillId="487" borderId="253" xfId="0" applyNumberFormat="1" applyFont="1" applyFill="1" applyBorder="1" applyAlignment="1">
      <alignment horizontal="center" vertical="center" wrapText="1"/>
    </xf>
    <xf numFmtId="175" fontId="497" fillId="487" borderId="243" xfId="0" applyNumberFormat="1" applyFont="1" applyFill="1" applyBorder="1" applyAlignment="1">
      <alignment horizontal="center" vertical="center" wrapText="1"/>
    </xf>
    <xf numFmtId="175" fontId="497" fillId="487" borderId="253" xfId="0" applyNumberFormat="1" applyFont="1" applyFill="1" applyBorder="1" applyAlignment="1">
      <alignment horizontal="center" vertical="center" wrapText="1"/>
    </xf>
    <xf numFmtId="0" fontId="673" fillId="487" borderId="0" xfId="0" applyFont="1" applyFill="1" applyAlignment="1">
      <alignment horizontal="center" vertical="center" wrapText="1"/>
    </xf>
    <xf numFmtId="43" fontId="395" fillId="487" borderId="243" xfId="1" applyFont="1" applyFill="1" applyBorder="1" applyAlignment="1">
      <alignment horizontal="center" vertical="center" wrapText="1"/>
    </xf>
    <xf numFmtId="43" fontId="395" fillId="487" borderId="253" xfId="1" applyFont="1" applyFill="1" applyBorder="1" applyAlignment="1">
      <alignment horizontal="center" vertical="center" wrapText="1"/>
    </xf>
    <xf numFmtId="43" fontId="395" fillId="487" borderId="248" xfId="1" applyFont="1" applyFill="1" applyBorder="1" applyAlignment="1">
      <alignment horizontal="center" vertical="center" wrapText="1"/>
    </xf>
    <xf numFmtId="43" fontId="395" fillId="487" borderId="189" xfId="1" applyFont="1" applyFill="1" applyBorder="1" applyAlignment="1">
      <alignment horizontal="center" vertical="center" wrapText="1"/>
    </xf>
    <xf numFmtId="173" fontId="628" fillId="487" borderId="253" xfId="0" applyNumberFormat="1" applyFont="1" applyFill="1" applyBorder="1" applyAlignment="1">
      <alignment horizontal="center" vertical="center" wrapText="1"/>
    </xf>
    <xf numFmtId="4" fontId="3" fillId="487" borderId="253" xfId="0" applyNumberFormat="1" applyFont="1" applyFill="1" applyBorder="1" applyAlignment="1">
      <alignment horizontal="center" vertical="center" wrapText="1"/>
    </xf>
    <xf numFmtId="0" fontId="673" fillId="491" borderId="0" xfId="0" applyFont="1" applyFill="1" applyAlignment="1">
      <alignment horizontal="center" vertical="center" wrapText="1"/>
    </xf>
    <xf numFmtId="0" fontId="640" fillId="491" borderId="0" xfId="0" applyFont="1" applyFill="1" applyAlignment="1">
      <alignment horizontal="center" vertical="center" wrapText="1"/>
    </xf>
    <xf numFmtId="0" fontId="640" fillId="491" borderId="253" xfId="0" applyFont="1" applyFill="1" applyBorder="1" applyAlignment="1">
      <alignment horizontal="center" vertical="center" wrapText="1"/>
    </xf>
    <xf numFmtId="173" fontId="628" fillId="488" borderId="253" xfId="0" applyNumberFormat="1" applyFont="1" applyFill="1" applyBorder="1" applyAlignment="1">
      <alignment horizontal="center" vertical="center" wrapText="1"/>
    </xf>
    <xf numFmtId="4" fontId="257" fillId="488" borderId="253" xfId="0" applyNumberFormat="1" applyFont="1" applyFill="1" applyBorder="1" applyAlignment="1">
      <alignment horizontal="center" vertical="center" wrapText="1"/>
    </xf>
    <xf numFmtId="175" fontId="497" fillId="488" borderId="243" xfId="0" applyNumberFormat="1" applyFont="1" applyFill="1" applyBorder="1" applyAlignment="1">
      <alignment horizontal="center" vertical="center" wrapText="1"/>
    </xf>
    <xf numFmtId="175" fontId="497" fillId="488" borderId="253" xfId="0" applyNumberFormat="1" applyFont="1" applyFill="1" applyBorder="1" applyAlignment="1">
      <alignment horizontal="center" vertical="center" wrapText="1"/>
    </xf>
    <xf numFmtId="0" fontId="673" fillId="488" borderId="0" xfId="0" applyFont="1" applyFill="1" applyAlignment="1">
      <alignment horizontal="center" vertical="center" wrapText="1"/>
    </xf>
    <xf numFmtId="43" fontId="395" fillId="488" borderId="243" xfId="1" applyFont="1" applyFill="1" applyBorder="1" applyAlignment="1">
      <alignment horizontal="center" vertical="center" wrapText="1"/>
    </xf>
    <xf numFmtId="43" fontId="395" fillId="488" borderId="253" xfId="1" applyFont="1" applyFill="1" applyBorder="1" applyAlignment="1">
      <alignment horizontal="center" vertical="center" wrapText="1"/>
    </xf>
    <xf numFmtId="43" fontId="395" fillId="488" borderId="248" xfId="1" applyFont="1" applyFill="1" applyBorder="1" applyAlignment="1">
      <alignment horizontal="center" vertical="center" wrapText="1"/>
    </xf>
    <xf numFmtId="43" fontId="395" fillId="488" borderId="189" xfId="1" applyFont="1" applyFill="1" applyBorder="1" applyAlignment="1">
      <alignment horizontal="center" vertical="center" wrapText="1"/>
    </xf>
    <xf numFmtId="173" fontId="280" fillId="488" borderId="253" xfId="0" applyNumberFormat="1" applyFont="1" applyFill="1" applyBorder="1" applyAlignment="1">
      <alignment horizontal="center" vertical="center" wrapText="1"/>
    </xf>
    <xf numFmtId="170" fontId="3" fillId="488" borderId="253" xfId="0" applyNumberFormat="1" applyFont="1" applyFill="1" applyBorder="1" applyAlignment="1">
      <alignment horizontal="center" vertical="center" wrapText="1"/>
    </xf>
    <xf numFmtId="0" fontId="640" fillId="488" borderId="0" xfId="0" applyFont="1" applyFill="1" applyAlignment="1">
      <alignment horizontal="center" vertical="center" wrapText="1"/>
    </xf>
    <xf numFmtId="0" fontId="640" fillId="488" borderId="243" xfId="0" applyFont="1" applyFill="1" applyBorder="1" applyAlignment="1">
      <alignment horizontal="center" vertical="center" wrapText="1"/>
    </xf>
    <xf numFmtId="0" fontId="640" fillId="488" borderId="253" xfId="0" applyFont="1" applyFill="1" applyBorder="1" applyAlignment="1">
      <alignment horizontal="center" vertical="center" wrapText="1"/>
    </xf>
    <xf numFmtId="0" fontId="3" fillId="463" borderId="253" xfId="0" applyFont="1" applyFill="1" applyBorder="1" applyAlignment="1">
      <alignment horizontal="center" vertical="center" wrapText="1"/>
    </xf>
    <xf numFmtId="0" fontId="3" fillId="486" borderId="253" xfId="0" applyFont="1" applyFill="1" applyBorder="1" applyAlignment="1">
      <alignment horizontal="center" vertical="center" wrapText="1"/>
    </xf>
    <xf numFmtId="0" fontId="673" fillId="486" borderId="0" xfId="0" applyFont="1" applyFill="1" applyAlignment="1">
      <alignment horizontal="center" vertical="center" wrapText="1"/>
    </xf>
    <xf numFmtId="0" fontId="338" fillId="492" borderId="253" xfId="0" applyFont="1" applyFill="1" applyBorder="1" applyAlignment="1">
      <alignment horizontal="center" vertical="center" wrapText="1"/>
    </xf>
    <xf numFmtId="0" fontId="53" fillId="492" borderId="253" xfId="0" applyFont="1" applyFill="1" applyBorder="1" applyAlignment="1">
      <alignment horizontal="center" vertical="center" wrapText="1"/>
    </xf>
    <xf numFmtId="0" fontId="134" fillId="492" borderId="253" xfId="0" applyFont="1" applyFill="1" applyBorder="1" applyAlignment="1">
      <alignment horizontal="center" vertical="center" wrapText="1"/>
    </xf>
    <xf numFmtId="0" fontId="640" fillId="492" borderId="0" xfId="0" applyFont="1" applyFill="1" applyBorder="1" applyAlignment="1">
      <alignment horizontal="center" vertical="center" wrapText="1"/>
    </xf>
    <xf numFmtId="0" fontId="640" fillId="492" borderId="243" xfId="0" applyFont="1" applyFill="1" applyBorder="1" applyAlignment="1">
      <alignment horizontal="center" vertical="center" wrapText="1"/>
    </xf>
    <xf numFmtId="0" fontId="640" fillId="492" borderId="253" xfId="0" applyFont="1" applyFill="1" applyBorder="1" applyAlignment="1">
      <alignment horizontal="center" vertical="center" wrapText="1"/>
    </xf>
    <xf numFmtId="0" fontId="673" fillId="492" borderId="0" xfId="0" applyFont="1" applyFill="1" applyAlignment="1">
      <alignment horizontal="center" vertical="center" wrapText="1"/>
    </xf>
    <xf numFmtId="43" fontId="395" fillId="492" borderId="243" xfId="1" applyFont="1" applyFill="1" applyBorder="1" applyAlignment="1">
      <alignment horizontal="center" vertical="center" wrapText="1"/>
    </xf>
    <xf numFmtId="43" fontId="395" fillId="492" borderId="253" xfId="1" applyFont="1" applyFill="1" applyBorder="1" applyAlignment="1">
      <alignment horizontal="center" vertical="center" wrapText="1"/>
    </xf>
    <xf numFmtId="43" fontId="395" fillId="492" borderId="248" xfId="1" applyFont="1" applyFill="1" applyBorder="1" applyAlignment="1">
      <alignment horizontal="center" vertical="center" wrapText="1"/>
    </xf>
    <xf numFmtId="43" fontId="395" fillId="492" borderId="189" xfId="1" applyFont="1" applyFill="1" applyBorder="1" applyAlignment="1">
      <alignment horizontal="center" vertical="center" wrapText="1"/>
    </xf>
    <xf numFmtId="43" fontId="640" fillId="492" borderId="243" xfId="1" applyFont="1" applyFill="1" applyBorder="1" applyAlignment="1">
      <alignment horizontal="center" vertical="center" wrapText="1"/>
    </xf>
    <xf numFmtId="43" fontId="640" fillId="492" borderId="253" xfId="1" applyFont="1" applyFill="1" applyBorder="1" applyAlignment="1">
      <alignment horizontal="center" vertical="center" wrapText="1"/>
    </xf>
    <xf numFmtId="43" fontId="640" fillId="492" borderId="248" xfId="1" applyFont="1" applyFill="1" applyBorder="1" applyAlignment="1">
      <alignment horizontal="center" vertical="center" wrapText="1"/>
    </xf>
    <xf numFmtId="43" fontId="640" fillId="492" borderId="189" xfId="1" applyFont="1" applyFill="1" applyBorder="1" applyAlignment="1">
      <alignment horizontal="center" vertical="center" wrapText="1"/>
    </xf>
    <xf numFmtId="0" fontId="640" fillId="492" borderId="249" xfId="0" applyFont="1" applyFill="1" applyBorder="1" applyAlignment="1">
      <alignment horizontal="center" vertical="center" wrapText="1"/>
    </xf>
    <xf numFmtId="0" fontId="640" fillId="492" borderId="196" xfId="0" applyFont="1" applyFill="1" applyBorder="1" applyAlignment="1">
      <alignment horizontal="center" vertical="center" wrapText="1"/>
    </xf>
    <xf numFmtId="43" fontId="640" fillId="492" borderId="249" xfId="1" applyFont="1" applyFill="1" applyBorder="1" applyAlignment="1">
      <alignment horizontal="center" vertical="center" wrapText="1"/>
    </xf>
    <xf numFmtId="43" fontId="640" fillId="492" borderId="196" xfId="1" applyFont="1" applyFill="1" applyBorder="1" applyAlignment="1">
      <alignment horizontal="center" vertical="center" wrapText="1"/>
    </xf>
    <xf numFmtId="43" fontId="640" fillId="492" borderId="216" xfId="1" applyFont="1" applyFill="1" applyBorder="1" applyAlignment="1">
      <alignment horizontal="center" vertical="center" wrapText="1"/>
    </xf>
    <xf numFmtId="43" fontId="640" fillId="492" borderId="271" xfId="1" applyFont="1" applyFill="1" applyBorder="1" applyAlignment="1">
      <alignment horizontal="center" vertical="center" wrapText="1"/>
    </xf>
    <xf numFmtId="0" fontId="640" fillId="493" borderId="253" xfId="0" applyFont="1" applyFill="1" applyBorder="1" applyAlignment="1">
      <alignment horizontal="center" vertical="center" wrapText="1"/>
    </xf>
    <xf numFmtId="0" fontId="3" fillId="462" borderId="253" xfId="0" applyFont="1" applyFill="1" applyBorder="1" applyAlignment="1">
      <alignment horizontal="center" vertical="center" wrapText="1"/>
    </xf>
    <xf numFmtId="0" fontId="640" fillId="462" borderId="253" xfId="0" applyFont="1" applyFill="1" applyBorder="1" applyAlignment="1">
      <alignment horizontal="center" vertical="center" wrapText="1"/>
    </xf>
    <xf numFmtId="0" fontId="640" fillId="465" borderId="0" xfId="0" applyFont="1" applyFill="1" applyAlignment="1">
      <alignment horizontal="center" vertical="center" wrapText="1"/>
    </xf>
    <xf numFmtId="0" fontId="0" fillId="465" borderId="0" xfId="0" applyFill="1" applyAlignment="1">
      <alignment horizontal="center" vertical="center" wrapText="1"/>
    </xf>
    <xf numFmtId="0" fontId="595" fillId="465" borderId="0" xfId="0" applyFont="1" applyFill="1" applyAlignment="1">
      <alignment horizontal="center" vertical="center" wrapText="1"/>
    </xf>
    <xf numFmtId="0" fontId="334" fillId="465" borderId="0" xfId="0" applyFont="1" applyFill="1" applyAlignment="1">
      <alignment horizontal="center" vertical="center" wrapText="1"/>
    </xf>
    <xf numFmtId="0" fontId="590" fillId="465" borderId="0" xfId="0" applyFont="1" applyFill="1" applyAlignment="1">
      <alignment horizontal="center" vertical="center" wrapText="1"/>
    </xf>
    <xf numFmtId="4" fontId="426" fillId="465" borderId="0" xfId="0" applyNumberFormat="1" applyFont="1" applyFill="1" applyAlignment="1">
      <alignment horizontal="center" vertical="center" wrapText="1"/>
    </xf>
    <xf numFmtId="0" fontId="326" fillId="465" borderId="254" xfId="0" applyFont="1" applyFill="1" applyBorder="1" applyAlignment="1">
      <alignment horizontal="center" vertical="center" wrapText="1"/>
    </xf>
    <xf numFmtId="0" fontId="326" fillId="465" borderId="0" xfId="0" applyFont="1" applyFill="1" applyBorder="1" applyAlignment="1">
      <alignment horizontal="center" vertical="center" wrapText="1"/>
    </xf>
    <xf numFmtId="0" fontId="326" fillId="465" borderId="108" xfId="0" applyFont="1" applyFill="1" applyBorder="1" applyAlignment="1">
      <alignment horizontal="center" vertical="center" wrapText="1"/>
    </xf>
    <xf numFmtId="0" fontId="299" fillId="465" borderId="218" xfId="0" applyFont="1" applyFill="1" applyBorder="1" applyAlignment="1">
      <alignment horizontal="center" vertical="center" wrapText="1"/>
    </xf>
    <xf numFmtId="0" fontId="513" fillId="465" borderId="251" xfId="0" applyFont="1" applyFill="1" applyBorder="1" applyAlignment="1">
      <alignment horizontal="center" vertical="center" wrapText="1"/>
    </xf>
    <xf numFmtId="0" fontId="572" fillId="465" borderId="180" xfId="0" applyFont="1" applyFill="1" applyBorder="1" applyAlignment="1">
      <alignment horizontal="center" vertical="center" wrapText="1"/>
    </xf>
    <xf numFmtId="0" fontId="572" fillId="465" borderId="0" xfId="0" applyFont="1" applyFill="1" applyBorder="1" applyAlignment="1">
      <alignment horizontal="center" vertical="center" wrapText="1"/>
    </xf>
    <xf numFmtId="0" fontId="572" fillId="463" borderId="0" xfId="0" applyFont="1" applyFill="1" applyBorder="1" applyAlignment="1">
      <alignment horizontal="center" vertical="center" wrapText="1"/>
    </xf>
    <xf numFmtId="0" fontId="211" fillId="463" borderId="272" xfId="0" applyFont="1" applyFill="1" applyBorder="1" applyAlignment="1">
      <alignment horizontal="center" vertical="center" wrapText="1"/>
    </xf>
    <xf numFmtId="0" fontId="211" fillId="463" borderId="188" xfId="0" applyFont="1" applyFill="1" applyBorder="1" applyAlignment="1">
      <alignment horizontal="center" vertical="center" wrapText="1"/>
    </xf>
    <xf numFmtId="43" fontId="211" fillId="463" borderId="188" xfId="1" applyFont="1" applyFill="1" applyBorder="1" applyAlignment="1">
      <alignment horizontal="center" vertical="center" wrapText="1"/>
    </xf>
    <xf numFmtId="43" fontId="211" fillId="463" borderId="273" xfId="1" applyFont="1" applyFill="1" applyBorder="1" applyAlignment="1">
      <alignment horizontal="center" vertical="center" wrapText="1"/>
    </xf>
    <xf numFmtId="0" fontId="590" fillId="463" borderId="0" xfId="1" applyNumberFormat="1" applyFont="1" applyFill="1" applyAlignment="1">
      <alignment horizontal="center" vertical="center" wrapText="1"/>
    </xf>
    <xf numFmtId="43" fontId="211" fillId="463" borderId="243" xfId="1" applyFont="1" applyFill="1" applyBorder="1" applyAlignment="1">
      <alignment horizontal="center" vertical="center" wrapText="1"/>
    </xf>
    <xf numFmtId="43" fontId="211" fillId="463" borderId="253" xfId="1" applyFont="1" applyFill="1" applyBorder="1" applyAlignment="1">
      <alignment horizontal="center" vertical="center" wrapText="1"/>
    </xf>
    <xf numFmtId="43" fontId="211" fillId="463" borderId="189" xfId="1" applyFont="1" applyFill="1" applyBorder="1" applyAlignment="1">
      <alignment horizontal="center" vertical="center" wrapText="1"/>
    </xf>
    <xf numFmtId="0" fontId="211" fillId="463" borderId="189" xfId="0" applyFont="1" applyFill="1" applyBorder="1" applyAlignment="1">
      <alignment horizontal="center" vertical="center" wrapText="1"/>
    </xf>
    <xf numFmtId="0" fontId="211" fillId="463" borderId="221" xfId="0" applyFont="1" applyFill="1" applyBorder="1" applyAlignment="1">
      <alignment horizontal="center" vertical="center" wrapText="1"/>
    </xf>
    <xf numFmtId="0" fontId="329" fillId="463" borderId="0" xfId="0" applyFont="1" applyFill="1" applyBorder="1" applyAlignment="1">
      <alignment horizontal="center" vertical="center" wrapText="1"/>
    </xf>
    <xf numFmtId="43" fontId="497" fillId="463" borderId="253" xfId="1" applyFont="1" applyFill="1" applyBorder="1" applyAlignment="1">
      <alignment horizontal="center" vertical="center" wrapText="1"/>
    </xf>
    <xf numFmtId="43" fontId="497" fillId="463" borderId="248" xfId="1" applyFont="1" applyFill="1" applyBorder="1" applyAlignment="1">
      <alignment horizontal="center" vertical="center" wrapText="1"/>
    </xf>
    <xf numFmtId="0" fontId="673" fillId="463" borderId="0" xfId="1" applyNumberFormat="1" applyFont="1" applyFill="1" applyAlignment="1">
      <alignment horizontal="center" vertical="center" wrapText="1"/>
    </xf>
    <xf numFmtId="43" fontId="497" fillId="463" borderId="243" xfId="1" applyFont="1" applyFill="1" applyBorder="1" applyAlignment="1">
      <alignment horizontal="center" vertical="center" wrapText="1"/>
    </xf>
    <xf numFmtId="43" fontId="497" fillId="463" borderId="189" xfId="1" applyFont="1" applyFill="1" applyBorder="1" applyAlignment="1">
      <alignment horizontal="center" vertical="center" wrapText="1"/>
    </xf>
    <xf numFmtId="175" fontId="497" fillId="463" borderId="189" xfId="0" applyNumberFormat="1" applyFont="1" applyFill="1" applyBorder="1" applyAlignment="1">
      <alignment horizontal="center" vertical="center" wrapText="1"/>
    </xf>
    <xf numFmtId="175" fontId="497" fillId="463" borderId="221" xfId="0" applyNumberFormat="1" applyFont="1" applyFill="1" applyBorder="1" applyAlignment="1">
      <alignment horizontal="center" vertical="center" wrapText="1"/>
    </xf>
    <xf numFmtId="0" fontId="329" fillId="487" borderId="0" xfId="0" applyFont="1" applyFill="1" applyBorder="1" applyAlignment="1">
      <alignment horizontal="center" vertical="center" wrapText="1"/>
    </xf>
    <xf numFmtId="43" fontId="497" fillId="487" borderId="253" xfId="1" applyFont="1" applyFill="1" applyBorder="1" applyAlignment="1">
      <alignment horizontal="center" vertical="center" wrapText="1"/>
    </xf>
    <xf numFmtId="43" fontId="497" fillId="487" borderId="248" xfId="1" applyFont="1" applyFill="1" applyBorder="1" applyAlignment="1">
      <alignment horizontal="center" vertical="center" wrapText="1"/>
    </xf>
    <xf numFmtId="0" fontId="673" fillId="487" borderId="0" xfId="1" applyNumberFormat="1" applyFont="1" applyFill="1" applyAlignment="1">
      <alignment horizontal="center" vertical="center" wrapText="1"/>
    </xf>
    <xf numFmtId="43" fontId="497" fillId="487" borderId="243" xfId="1" applyFont="1" applyFill="1" applyBorder="1" applyAlignment="1">
      <alignment horizontal="center" vertical="center" wrapText="1"/>
    </xf>
    <xf numFmtId="43" fontId="497" fillId="487" borderId="189" xfId="1" applyFont="1" applyFill="1" applyBorder="1" applyAlignment="1">
      <alignment horizontal="center" vertical="center" wrapText="1"/>
    </xf>
    <xf numFmtId="175" fontId="497" fillId="487" borderId="189" xfId="0" applyNumberFormat="1" applyFont="1" applyFill="1" applyBorder="1" applyAlignment="1">
      <alignment horizontal="center" vertical="center" wrapText="1"/>
    </xf>
    <xf numFmtId="175" fontId="497" fillId="487" borderId="221" xfId="0" applyNumberFormat="1" applyFont="1" applyFill="1" applyBorder="1" applyAlignment="1">
      <alignment horizontal="center" vertical="center" wrapText="1"/>
    </xf>
    <xf numFmtId="0" fontId="329" fillId="488" borderId="0" xfId="0" applyFont="1" applyFill="1" applyBorder="1" applyAlignment="1">
      <alignment horizontal="center" vertical="center" wrapText="1"/>
    </xf>
    <xf numFmtId="43" fontId="497" fillId="488" borderId="253" xfId="1" applyFont="1" applyFill="1" applyBorder="1" applyAlignment="1">
      <alignment horizontal="center" vertical="center" wrapText="1"/>
    </xf>
    <xf numFmtId="43" fontId="497" fillId="488" borderId="248" xfId="1" applyFont="1" applyFill="1" applyBorder="1" applyAlignment="1">
      <alignment horizontal="center" vertical="center" wrapText="1"/>
    </xf>
    <xf numFmtId="0" fontId="673" fillId="488" borderId="0" xfId="1" applyNumberFormat="1" applyFont="1" applyFill="1" applyAlignment="1">
      <alignment horizontal="center" vertical="center" wrapText="1"/>
    </xf>
    <xf numFmtId="43" fontId="497" fillId="488" borderId="243" xfId="1" applyFont="1" applyFill="1" applyBorder="1" applyAlignment="1">
      <alignment horizontal="center" vertical="center" wrapText="1"/>
    </xf>
    <xf numFmtId="43" fontId="497" fillId="488" borderId="189" xfId="1" applyFont="1" applyFill="1" applyBorder="1" applyAlignment="1">
      <alignment horizontal="center" vertical="center" wrapText="1"/>
    </xf>
    <xf numFmtId="175" fontId="497" fillId="488" borderId="189" xfId="0" applyNumberFormat="1" applyFont="1" applyFill="1" applyBorder="1" applyAlignment="1">
      <alignment horizontal="center" vertical="center" wrapText="1"/>
    </xf>
    <xf numFmtId="175" fontId="497" fillId="488" borderId="221" xfId="0" applyNumberFormat="1" applyFont="1" applyFill="1" applyBorder="1" applyAlignment="1">
      <alignment horizontal="center" vertical="center" wrapText="1"/>
    </xf>
    <xf numFmtId="0" fontId="329" fillId="486" borderId="0" xfId="0" applyFont="1" applyFill="1" applyBorder="1" applyAlignment="1">
      <alignment horizontal="center" vertical="center" wrapText="1"/>
    </xf>
    <xf numFmtId="175" fontId="497" fillId="486" borderId="243" xfId="0" applyNumberFormat="1" applyFont="1" applyFill="1" applyBorder="1" applyAlignment="1">
      <alignment horizontal="center" vertical="center" wrapText="1"/>
    </xf>
    <xf numFmtId="175" fontId="497" fillId="486" borderId="253" xfId="0" applyNumberFormat="1" applyFont="1" applyFill="1" applyBorder="1" applyAlignment="1">
      <alignment horizontal="center" vertical="center" wrapText="1"/>
    </xf>
    <xf numFmtId="43" fontId="497" fillId="486" borderId="253" xfId="1" applyFont="1" applyFill="1" applyBorder="1" applyAlignment="1">
      <alignment horizontal="center" vertical="center" wrapText="1"/>
    </xf>
    <xf numFmtId="43" fontId="497" fillId="486" borderId="248" xfId="1" applyFont="1" applyFill="1" applyBorder="1" applyAlignment="1">
      <alignment horizontal="center" vertical="center" wrapText="1"/>
    </xf>
    <xf numFmtId="0" fontId="673" fillId="486" borderId="0" xfId="1" applyNumberFormat="1" applyFont="1" applyFill="1" applyAlignment="1">
      <alignment horizontal="center" vertical="center" wrapText="1"/>
    </xf>
    <xf numFmtId="43" fontId="497" fillId="486" borderId="243" xfId="1" applyFont="1" applyFill="1" applyBorder="1" applyAlignment="1">
      <alignment horizontal="center" vertical="center" wrapText="1"/>
    </xf>
    <xf numFmtId="43" fontId="497" fillId="486" borderId="189" xfId="1" applyFont="1" applyFill="1" applyBorder="1" applyAlignment="1">
      <alignment horizontal="center" vertical="center" wrapText="1"/>
    </xf>
    <xf numFmtId="175" fontId="497" fillId="486" borderId="189" xfId="0" applyNumberFormat="1" applyFont="1" applyFill="1" applyBorder="1" applyAlignment="1">
      <alignment horizontal="center" vertical="center" wrapText="1"/>
    </xf>
    <xf numFmtId="175" fontId="497" fillId="486" borderId="221" xfId="0" applyNumberFormat="1" applyFont="1" applyFill="1" applyBorder="1" applyAlignment="1">
      <alignment horizontal="center" vertical="center" wrapText="1"/>
    </xf>
    <xf numFmtId="43" fontId="520" fillId="488" borderId="260" xfId="1" applyFont="1" applyFill="1" applyBorder="1" applyAlignment="1">
      <alignment horizontal="center" vertical="center" wrapText="1"/>
    </xf>
    <xf numFmtId="43" fontId="318" fillId="488" borderId="246" xfId="1" applyFont="1" applyFill="1" applyBorder="1" applyAlignment="1">
      <alignment horizontal="center" vertical="center" wrapText="1"/>
    </xf>
    <xf numFmtId="43" fontId="333" fillId="488" borderId="246" xfId="1" applyFont="1" applyFill="1" applyBorder="1" applyAlignment="1">
      <alignment horizontal="center" vertical="center" wrapText="1"/>
    </xf>
    <xf numFmtId="43" fontId="695" fillId="488" borderId="246" xfId="1" applyFont="1" applyFill="1" applyBorder="1" applyAlignment="1">
      <alignment horizontal="center" vertical="center" wrapText="1"/>
    </xf>
    <xf numFmtId="43" fontId="421" fillId="488" borderId="246" xfId="1" applyFont="1" applyFill="1" applyBorder="1" applyAlignment="1">
      <alignment horizontal="center" vertical="center" wrapText="1"/>
    </xf>
    <xf numFmtId="43" fontId="754" fillId="488" borderId="246" xfId="1" applyFont="1" applyFill="1" applyBorder="1" applyAlignment="1">
      <alignment horizontal="center" vertical="center" wrapText="1"/>
    </xf>
    <xf numFmtId="0" fontId="0" fillId="493" borderId="0" xfId="0" applyFill="1" applyAlignment="1">
      <alignment horizontal="center" vertical="center" wrapText="1"/>
    </xf>
    <xf numFmtId="43" fontId="0" fillId="493" borderId="0" xfId="1" applyFont="1" applyFill="1" applyAlignment="1">
      <alignment horizontal="center" vertical="center" wrapText="1"/>
    </xf>
    <xf numFmtId="175" fontId="497" fillId="488" borderId="259" xfId="0" applyNumberFormat="1" applyFont="1" applyFill="1" applyBorder="1" applyAlignment="1">
      <alignment horizontal="center" vertical="center" wrapText="1"/>
    </xf>
    <xf numFmtId="175" fontId="497" fillId="488" borderId="239" xfId="0" applyNumberFormat="1" applyFont="1" applyFill="1" applyBorder="1" applyAlignment="1">
      <alignment horizontal="center" vertical="center" wrapText="1"/>
    </xf>
    <xf numFmtId="43" fontId="497" fillId="488" borderId="239" xfId="1" applyFont="1" applyFill="1" applyBorder="1" applyAlignment="1">
      <alignment horizontal="center" vertical="center" wrapText="1"/>
    </xf>
    <xf numFmtId="0" fontId="0" fillId="493" borderId="253" xfId="0" applyFill="1" applyBorder="1" applyAlignment="1">
      <alignment horizontal="center" vertical="center" wrapText="1"/>
    </xf>
    <xf numFmtId="43" fontId="0" fillId="493" borderId="253" xfId="1" applyFont="1" applyFill="1" applyBorder="1" applyAlignment="1">
      <alignment horizontal="center" vertical="center" wrapText="1"/>
    </xf>
    <xf numFmtId="43" fontId="497" fillId="488" borderId="259" xfId="1" applyFont="1" applyFill="1" applyBorder="1" applyAlignment="1">
      <alignment horizontal="center" vertical="center" wrapText="1"/>
    </xf>
    <xf numFmtId="43" fontId="497" fillId="488" borderId="102" xfId="1" applyFont="1" applyFill="1" applyBorder="1" applyAlignment="1">
      <alignment horizontal="center" vertical="center" wrapText="1"/>
    </xf>
    <xf numFmtId="175" fontId="497" fillId="488" borderId="102" xfId="0" applyNumberFormat="1" applyFont="1" applyFill="1" applyBorder="1" applyAlignment="1">
      <alignment horizontal="center" vertical="center" wrapText="1"/>
    </xf>
    <xf numFmtId="175" fontId="497" fillId="488" borderId="193" xfId="0" applyNumberFormat="1" applyFont="1" applyFill="1" applyBorder="1" applyAlignment="1">
      <alignment horizontal="center" vertical="center" wrapText="1"/>
    </xf>
    <xf numFmtId="0" fontId="57" fillId="463" borderId="0" xfId="0" applyFont="1" applyFill="1" applyAlignment="1">
      <alignment horizontal="center" vertical="center" wrapText="1"/>
    </xf>
    <xf numFmtId="0" fontId="765" fillId="241" borderId="240" xfId="0" applyFont="1" applyFill="1" applyBorder="1" applyAlignment="1" applyProtection="1">
      <alignment horizontal="center" vertical="center" wrapText="1"/>
    </xf>
    <xf numFmtId="0" fontId="413" fillId="241" borderId="134" xfId="0" applyFont="1" applyFill="1" applyBorder="1" applyAlignment="1">
      <alignment horizontal="center" vertical="center" wrapText="1"/>
    </xf>
    <xf numFmtId="0" fontId="765" fillId="241" borderId="210" xfId="0" applyFont="1" applyFill="1" applyBorder="1" applyAlignment="1" applyProtection="1">
      <alignment horizontal="center" vertical="center" wrapText="1"/>
      <protection locked="0"/>
    </xf>
    <xf numFmtId="0" fontId="141" fillId="83" borderId="44" xfId="0" applyFont="1" applyFill="1" applyBorder="1" applyAlignment="1">
      <alignment horizontal="center" vertical="center" wrapText="1"/>
    </xf>
    <xf numFmtId="0" fontId="329" fillId="0" borderId="111" xfId="0" applyFont="1" applyBorder="1" applyAlignment="1">
      <alignment horizontal="center" vertical="center" wrapText="1"/>
    </xf>
    <xf numFmtId="0" fontId="76" fillId="46" borderId="0" xfId="0" applyFont="1" applyFill="1" applyAlignment="1">
      <alignment horizontal="center" vertical="center" wrapText="1"/>
    </xf>
    <xf numFmtId="0" fontId="231" fillId="0" borderId="0" xfId="0" applyFont="1" applyAlignment="1">
      <alignment horizontal="center" vertical="center" wrapText="1"/>
    </xf>
    <xf numFmtId="0" fontId="676" fillId="0" borderId="0" xfId="0" applyFont="1" applyAlignment="1">
      <alignment horizontal="center" vertical="center" wrapText="1"/>
    </xf>
    <xf numFmtId="0" fontId="539" fillId="0" borderId="172" xfId="0" applyFont="1" applyBorder="1" applyAlignment="1">
      <alignment horizontal="center" vertical="center" wrapText="1"/>
    </xf>
    <xf numFmtId="2" fontId="117" fillId="463" borderId="253" xfId="0" applyNumberFormat="1" applyFont="1" applyFill="1" applyBorder="1" applyAlignment="1">
      <alignment horizontal="center" vertical="center" wrapText="1"/>
    </xf>
    <xf numFmtId="0" fontId="231" fillId="463" borderId="0" xfId="0" applyFont="1" applyFill="1" applyAlignment="1">
      <alignment horizontal="center" vertical="center" wrapText="1"/>
    </xf>
    <xf numFmtId="0" fontId="676" fillId="463" borderId="0" xfId="0" applyFont="1" applyFill="1" applyAlignment="1">
      <alignment horizontal="center" vertical="center" wrapText="1"/>
    </xf>
    <xf numFmtId="0" fontId="539" fillId="463" borderId="0" xfId="0" applyFont="1" applyFill="1" applyBorder="1" applyAlignment="1">
      <alignment horizontal="center" vertical="center" wrapText="1"/>
    </xf>
    <xf numFmtId="0" fontId="668" fillId="463" borderId="0" xfId="0" applyFont="1" applyFill="1" applyBorder="1" applyAlignment="1">
      <alignment horizontal="center" vertical="center" wrapText="1"/>
    </xf>
    <xf numFmtId="166" fontId="390" fillId="463" borderId="0" xfId="0" applyNumberFormat="1" applyFont="1" applyFill="1" applyAlignment="1">
      <alignment horizontal="center" vertical="center" wrapText="1"/>
    </xf>
    <xf numFmtId="2" fontId="279" fillId="463" borderId="0" xfId="0" applyNumberFormat="1" applyFont="1" applyFill="1" applyAlignment="1">
      <alignment horizontal="center" vertical="center" wrapText="1"/>
    </xf>
    <xf numFmtId="2" fontId="52" fillId="463" borderId="253" xfId="0" applyNumberFormat="1" applyFont="1" applyFill="1" applyBorder="1" applyAlignment="1">
      <alignment horizontal="center" vertical="center" wrapText="1"/>
    </xf>
    <xf numFmtId="0" fontId="358" fillId="463" borderId="0" xfId="0" applyFont="1" applyFill="1" applyAlignment="1">
      <alignment horizontal="center" vertical="center" wrapText="1"/>
    </xf>
    <xf numFmtId="2" fontId="287" fillId="463" borderId="253" xfId="0" applyNumberFormat="1" applyFont="1" applyFill="1" applyBorder="1" applyAlignment="1">
      <alignment horizontal="center" vertical="center" wrapText="1"/>
    </xf>
    <xf numFmtId="2" fontId="254" fillId="491" borderId="253" xfId="0" applyNumberFormat="1" applyFont="1" applyFill="1" applyBorder="1" applyAlignment="1">
      <alignment horizontal="center" vertical="center" wrapText="1"/>
    </xf>
    <xf numFmtId="0" fontId="668" fillId="491" borderId="0" xfId="0" applyFont="1" applyFill="1" applyBorder="1" applyAlignment="1">
      <alignment horizontal="center" vertical="center" wrapText="1"/>
    </xf>
    <xf numFmtId="166" fontId="390" fillId="491" borderId="0" xfId="0" applyNumberFormat="1" applyFont="1" applyFill="1" applyAlignment="1">
      <alignment horizontal="center" vertical="center" wrapText="1"/>
    </xf>
    <xf numFmtId="2" fontId="279" fillId="491" borderId="0" xfId="0" applyNumberFormat="1" applyFont="1" applyFill="1" applyAlignment="1">
      <alignment horizontal="center" vertical="center" wrapText="1"/>
    </xf>
    <xf numFmtId="0" fontId="358" fillId="491" borderId="0" xfId="0" applyFont="1" applyFill="1" applyAlignment="1">
      <alignment horizontal="center" vertical="center" wrapText="1"/>
    </xf>
    <xf numFmtId="2" fontId="59" fillId="491" borderId="253" xfId="0" applyNumberFormat="1" applyFont="1" applyFill="1" applyBorder="1" applyAlignment="1">
      <alignment horizontal="center" vertical="center" wrapText="1"/>
    </xf>
    <xf numFmtId="2" fontId="52" fillId="491" borderId="253" xfId="0" applyNumberFormat="1" applyFont="1" applyFill="1" applyBorder="1" applyAlignment="1">
      <alignment horizontal="center" vertical="center" wrapText="1"/>
    </xf>
    <xf numFmtId="166" fontId="17" fillId="491" borderId="0" xfId="0" applyNumberFormat="1" applyFont="1" applyFill="1" applyAlignment="1">
      <alignment horizontal="center" vertical="center" wrapText="1"/>
    </xf>
    <xf numFmtId="2" fontId="287" fillId="491" borderId="253" xfId="0" applyNumberFormat="1" applyFont="1" applyFill="1" applyBorder="1" applyAlignment="1">
      <alignment horizontal="center" vertical="center" wrapText="1"/>
    </xf>
    <xf numFmtId="2" fontId="72" fillId="490" borderId="253" xfId="0" applyNumberFormat="1" applyFont="1" applyFill="1" applyBorder="1" applyAlignment="1">
      <alignment horizontal="center" vertical="center" wrapText="1"/>
    </xf>
    <xf numFmtId="0" fontId="668" fillId="490" borderId="0" xfId="0" applyFont="1" applyFill="1" applyBorder="1" applyAlignment="1">
      <alignment horizontal="center" vertical="center" wrapText="1"/>
    </xf>
    <xf numFmtId="166" fontId="390" fillId="490" borderId="0" xfId="0" applyNumberFormat="1" applyFont="1" applyFill="1" applyAlignment="1">
      <alignment horizontal="center" vertical="center" wrapText="1"/>
    </xf>
    <xf numFmtId="2" fontId="279" fillId="490" borderId="0" xfId="0" applyNumberFormat="1" applyFont="1" applyFill="1" applyAlignment="1">
      <alignment horizontal="center" vertical="center" wrapText="1"/>
    </xf>
    <xf numFmtId="0" fontId="358" fillId="490" borderId="0" xfId="0" applyFont="1" applyFill="1" applyAlignment="1">
      <alignment horizontal="center" vertical="center" wrapText="1"/>
    </xf>
    <xf numFmtId="2" fontId="139" fillId="490" borderId="253" xfId="0" applyNumberFormat="1" applyFont="1" applyFill="1" applyBorder="1" applyAlignment="1">
      <alignment horizontal="center" vertical="center" wrapText="1"/>
    </xf>
    <xf numFmtId="2" fontId="639" fillId="490" borderId="253" xfId="0" applyNumberFormat="1" applyFont="1" applyFill="1" applyBorder="1" applyAlignment="1">
      <alignment horizontal="center" vertical="center" wrapText="1"/>
    </xf>
    <xf numFmtId="0" fontId="349" fillId="490" borderId="115" xfId="0" applyFont="1" applyFill="1" applyBorder="1" applyAlignment="1">
      <alignment horizontal="center" vertical="center" wrapText="1"/>
    </xf>
    <xf numFmtId="0" fontId="375" fillId="463" borderId="253" xfId="0" applyFont="1" applyFill="1" applyBorder="1" applyAlignment="1">
      <alignment horizontal="center" vertical="center" wrapText="1"/>
    </xf>
    <xf numFmtId="2" fontId="412" fillId="463" borderId="253" xfId="0" applyNumberFormat="1" applyFont="1" applyFill="1" applyBorder="1" applyAlignment="1">
      <alignment horizontal="center" vertical="center" wrapText="1"/>
    </xf>
    <xf numFmtId="0" fontId="522" fillId="463" borderId="253" xfId="0" applyNumberFormat="1" applyFont="1" applyFill="1" applyBorder="1" applyAlignment="1">
      <alignment horizontal="center" vertical="center" wrapText="1"/>
    </xf>
    <xf numFmtId="2" fontId="342" fillId="463" borderId="253" xfId="0" applyNumberFormat="1" applyFont="1" applyFill="1" applyBorder="1" applyAlignment="1">
      <alignment horizontal="center" vertical="center" wrapText="1"/>
    </xf>
    <xf numFmtId="0" fontId="315" fillId="463" borderId="253" xfId="0" applyNumberFormat="1" applyFont="1" applyFill="1" applyBorder="1" applyAlignment="1">
      <alignment horizontal="center" vertical="center" wrapText="1"/>
    </xf>
    <xf numFmtId="2" fontId="79" fillId="463" borderId="253" xfId="0" applyNumberFormat="1" applyFont="1" applyFill="1" applyBorder="1" applyAlignment="1">
      <alignment horizontal="center" vertical="center" wrapText="1"/>
    </xf>
    <xf numFmtId="0" fontId="212" fillId="463" borderId="253" xfId="0" applyNumberFormat="1" applyFont="1" applyFill="1" applyBorder="1" applyAlignment="1">
      <alignment horizontal="center" vertical="center" wrapText="1"/>
    </xf>
    <xf numFmtId="0" fontId="414" fillId="491" borderId="253" xfId="0" applyFont="1" applyFill="1" applyBorder="1" applyAlignment="1">
      <alignment horizontal="center" vertical="center" wrapText="1"/>
    </xf>
    <xf numFmtId="167" fontId="629" fillId="491" borderId="253" xfId="0" applyNumberFormat="1" applyFont="1" applyFill="1" applyBorder="1" applyAlignment="1">
      <alignment horizontal="center" vertical="center" wrapText="1"/>
    </xf>
    <xf numFmtId="167" fontId="274" fillId="491" borderId="253" xfId="0" applyNumberFormat="1" applyFont="1" applyFill="1" applyBorder="1" applyAlignment="1">
      <alignment horizontal="center" vertical="center" wrapText="1"/>
    </xf>
    <xf numFmtId="167" fontId="493" fillId="491" borderId="253" xfId="0" applyNumberFormat="1" applyFont="1" applyFill="1" applyBorder="1" applyAlignment="1">
      <alignment horizontal="center" vertical="center" wrapText="1"/>
    </xf>
    <xf numFmtId="167" fontId="25" fillId="491" borderId="253" xfId="0" applyNumberFormat="1" applyFont="1" applyFill="1" applyBorder="1" applyAlignment="1">
      <alignment horizontal="center" vertical="center" wrapText="1"/>
    </xf>
    <xf numFmtId="0" fontId="314" fillId="491" borderId="253" xfId="0" applyNumberFormat="1" applyFont="1" applyFill="1" applyBorder="1" applyAlignment="1">
      <alignment horizontal="center" vertical="center" wrapText="1"/>
    </xf>
    <xf numFmtId="0" fontId="48" fillId="491" borderId="253" xfId="0" applyFont="1" applyFill="1" applyBorder="1" applyAlignment="1">
      <alignment horizontal="center" vertical="center" wrapText="1"/>
    </xf>
    <xf numFmtId="167" fontId="725" fillId="491" borderId="253" xfId="0" applyNumberFormat="1" applyFont="1" applyFill="1" applyBorder="1" applyAlignment="1">
      <alignment horizontal="center" vertical="center" wrapText="1"/>
    </xf>
    <xf numFmtId="167" fontId="301" fillId="491" borderId="253" xfId="0" applyNumberFormat="1" applyFont="1" applyFill="1" applyBorder="1" applyAlignment="1">
      <alignment horizontal="center" vertical="center" wrapText="1"/>
    </xf>
    <xf numFmtId="167" fontId="732" fillId="491" borderId="253" xfId="0" applyNumberFormat="1" applyFont="1" applyFill="1" applyBorder="1" applyAlignment="1">
      <alignment horizontal="center" vertical="center" wrapText="1"/>
    </xf>
    <xf numFmtId="167" fontId="567" fillId="491" borderId="253" xfId="0" applyNumberFormat="1" applyFont="1" applyFill="1" applyBorder="1" applyAlignment="1">
      <alignment horizontal="center" vertical="center" wrapText="1"/>
    </xf>
    <xf numFmtId="167" fontId="532" fillId="491" borderId="253" xfId="0" applyNumberFormat="1" applyFont="1" applyFill="1" applyBorder="1" applyAlignment="1">
      <alignment horizontal="center" vertical="center" wrapText="1"/>
    </xf>
    <xf numFmtId="0" fontId="536" fillId="491" borderId="253" xfId="0" applyNumberFormat="1" applyFont="1" applyFill="1" applyBorder="1" applyAlignment="1">
      <alignment horizontal="center" vertical="center" wrapText="1"/>
    </xf>
    <xf numFmtId="0" fontId="697" fillId="491" borderId="253" xfId="0" applyFont="1" applyFill="1" applyBorder="1" applyAlignment="1">
      <alignment horizontal="center" vertical="center" wrapText="1"/>
    </xf>
    <xf numFmtId="167" fontId="304" fillId="491" borderId="253" xfId="0" applyNumberFormat="1" applyFont="1" applyFill="1" applyBorder="1" applyAlignment="1">
      <alignment horizontal="center" vertical="center" wrapText="1"/>
    </xf>
    <xf numFmtId="167" fontId="322" fillId="491" borderId="253" xfId="0" applyNumberFormat="1" applyFont="1" applyFill="1" applyBorder="1" applyAlignment="1">
      <alignment horizontal="center" vertical="center" wrapText="1"/>
    </xf>
    <xf numFmtId="167" fontId="511" fillId="491" borderId="253" xfId="0" applyNumberFormat="1" applyFont="1" applyFill="1" applyBorder="1" applyAlignment="1">
      <alignment horizontal="center" vertical="center" wrapText="1"/>
    </xf>
    <xf numFmtId="167" fontId="494" fillId="491" borderId="253" xfId="0" applyNumberFormat="1" applyFont="1" applyFill="1" applyBorder="1" applyAlignment="1">
      <alignment horizontal="center" vertical="center" wrapText="1"/>
    </xf>
    <xf numFmtId="0" fontId="315" fillId="491" borderId="253" xfId="0" applyNumberFormat="1" applyFont="1" applyFill="1" applyBorder="1" applyAlignment="1">
      <alignment horizontal="center" vertical="center" wrapText="1"/>
    </xf>
    <xf numFmtId="167" fontId="161" fillId="491" borderId="253" xfId="0" applyNumberFormat="1" applyFont="1" applyFill="1" applyBorder="1" applyAlignment="1">
      <alignment horizontal="center" vertical="center" wrapText="1"/>
    </xf>
    <xf numFmtId="167" fontId="77" fillId="491" borderId="253" xfId="0" applyNumberFormat="1" applyFont="1" applyFill="1" applyBorder="1" applyAlignment="1">
      <alignment horizontal="center" vertical="center" wrapText="1"/>
    </xf>
    <xf numFmtId="167" fontId="730" fillId="491" borderId="253" xfId="0" applyNumberFormat="1" applyFont="1" applyFill="1" applyBorder="1" applyAlignment="1">
      <alignment horizontal="center" vertical="center" wrapText="1"/>
    </xf>
    <xf numFmtId="0" fontId="332" fillId="491" borderId="253" xfId="0" applyFont="1" applyFill="1" applyBorder="1" applyAlignment="1">
      <alignment horizontal="center" vertical="center" wrapText="1"/>
    </xf>
    <xf numFmtId="167" fontId="683" fillId="491" borderId="253" xfId="0" applyNumberFormat="1" applyFont="1" applyFill="1" applyBorder="1" applyAlignment="1">
      <alignment horizontal="center" vertical="center" wrapText="1"/>
    </xf>
    <xf numFmtId="167" fontId="638" fillId="491" borderId="253" xfId="0" applyNumberFormat="1" applyFont="1" applyFill="1" applyBorder="1" applyAlignment="1">
      <alignment horizontal="center" vertical="center" wrapText="1"/>
    </xf>
    <xf numFmtId="0" fontId="212" fillId="491" borderId="253" xfId="0" applyNumberFormat="1" applyFont="1" applyFill="1" applyBorder="1" applyAlignment="1">
      <alignment horizontal="center" vertical="center" wrapText="1"/>
    </xf>
    <xf numFmtId="0" fontId="646" fillId="490" borderId="253" xfId="0" applyFont="1" applyFill="1" applyBorder="1" applyAlignment="1">
      <alignment horizontal="center" vertical="center" wrapText="1"/>
    </xf>
    <xf numFmtId="167" fontId="485" fillId="490" borderId="253" xfId="0" applyNumberFormat="1" applyFont="1" applyFill="1" applyBorder="1" applyAlignment="1">
      <alignment horizontal="center" vertical="center" wrapText="1"/>
    </xf>
    <xf numFmtId="167" fontId="389" fillId="490" borderId="253" xfId="0" applyNumberFormat="1" applyFont="1" applyFill="1" applyBorder="1" applyAlignment="1">
      <alignment horizontal="center" vertical="center" wrapText="1"/>
    </xf>
    <xf numFmtId="167" fontId="664" fillId="490" borderId="253" xfId="0" applyNumberFormat="1" applyFont="1" applyFill="1" applyBorder="1" applyAlignment="1">
      <alignment horizontal="center" vertical="center" wrapText="1"/>
    </xf>
    <xf numFmtId="0" fontId="286" fillId="490" borderId="253" xfId="0" applyNumberFormat="1" applyFont="1" applyFill="1" applyBorder="1" applyAlignment="1">
      <alignment horizontal="center" vertical="center" wrapText="1"/>
    </xf>
    <xf numFmtId="0" fontId="617" fillId="490" borderId="253" xfId="0" applyFont="1" applyFill="1" applyBorder="1" applyAlignment="1">
      <alignment horizontal="center" vertical="center" wrapText="1"/>
    </xf>
    <xf numFmtId="167" fontId="635" fillId="490" borderId="253" xfId="0" applyNumberFormat="1" applyFont="1" applyFill="1" applyBorder="1" applyAlignment="1">
      <alignment horizontal="center" vertical="center" wrapText="1"/>
    </xf>
    <xf numFmtId="167" fontId="499" fillId="490" borderId="253" xfId="0" applyNumberFormat="1" applyFont="1" applyFill="1" applyBorder="1" applyAlignment="1">
      <alignment horizontal="center" vertical="center" wrapText="1"/>
    </xf>
    <xf numFmtId="167" fontId="238" fillId="490" borderId="253" xfId="0" applyNumberFormat="1" applyFont="1" applyFill="1" applyBorder="1" applyAlignment="1">
      <alignment horizontal="center" vertical="center" wrapText="1"/>
    </xf>
    <xf numFmtId="0" fontId="626" fillId="490" borderId="253" xfId="0" applyNumberFormat="1" applyFont="1" applyFill="1" applyBorder="1" applyAlignment="1">
      <alignment horizontal="center" vertical="center" wrapText="1"/>
    </xf>
    <xf numFmtId="0" fontId="68" fillId="490" borderId="253" xfId="0" applyFont="1" applyFill="1" applyBorder="1" applyAlignment="1">
      <alignment horizontal="center" vertical="center" wrapText="1"/>
    </xf>
    <xf numFmtId="167" fontId="581" fillId="490" borderId="253" xfId="0" applyNumberFormat="1" applyFont="1" applyFill="1" applyBorder="1" applyAlignment="1">
      <alignment horizontal="center" vertical="center" wrapText="1"/>
    </xf>
    <xf numFmtId="167" fontId="739" fillId="490" borderId="253" xfId="0" applyNumberFormat="1" applyFont="1" applyFill="1" applyBorder="1" applyAlignment="1">
      <alignment horizontal="center" vertical="center" wrapText="1"/>
    </xf>
    <xf numFmtId="167" fontId="531" fillId="490" borderId="253" xfId="0" applyNumberFormat="1" applyFont="1" applyFill="1" applyBorder="1" applyAlignment="1">
      <alignment horizontal="center" vertical="center" wrapText="1"/>
    </xf>
    <xf numFmtId="0" fontId="556" fillId="490" borderId="253" xfId="0" applyNumberFormat="1" applyFont="1" applyFill="1" applyBorder="1" applyAlignment="1">
      <alignment horizontal="center" vertical="center" wrapText="1"/>
    </xf>
    <xf numFmtId="2" fontId="545" fillId="486" borderId="253" xfId="0" applyNumberFormat="1" applyFont="1" applyFill="1" applyBorder="1" applyAlignment="1">
      <alignment horizontal="center" vertical="center" wrapText="1"/>
    </xf>
    <xf numFmtId="0" fontId="668" fillId="486" borderId="0" xfId="0" applyFont="1" applyFill="1" applyBorder="1" applyAlignment="1">
      <alignment horizontal="center" vertical="center" wrapText="1"/>
    </xf>
    <xf numFmtId="0" fontId="640" fillId="486" borderId="0" xfId="0" applyFont="1" applyFill="1" applyAlignment="1">
      <alignment horizontal="center" vertical="center" wrapText="1"/>
    </xf>
    <xf numFmtId="166" fontId="390" fillId="486" borderId="0" xfId="0" applyNumberFormat="1" applyFont="1" applyFill="1" applyAlignment="1">
      <alignment horizontal="center" vertical="center" wrapText="1"/>
    </xf>
    <xf numFmtId="2" fontId="279" fillId="486" borderId="0" xfId="0" applyNumberFormat="1" applyFont="1" applyFill="1" applyAlignment="1">
      <alignment horizontal="center" vertical="center" wrapText="1"/>
    </xf>
    <xf numFmtId="0" fontId="239" fillId="486" borderId="77" xfId="0" applyFont="1" applyFill="1" applyBorder="1" applyAlignment="1">
      <alignment horizontal="center" vertical="center" wrapText="1"/>
    </xf>
    <xf numFmtId="0" fontId="185" fillId="486" borderId="253" xfId="0" applyFont="1" applyFill="1" applyBorder="1" applyAlignment="1">
      <alignment horizontal="center" vertical="center" wrapText="1"/>
    </xf>
    <xf numFmtId="0" fontId="239" fillId="486" borderId="0" xfId="0" applyFont="1" applyFill="1" applyBorder="1" applyAlignment="1">
      <alignment horizontal="center" vertical="center" wrapText="1"/>
    </xf>
    <xf numFmtId="0" fontId="219" fillId="486" borderId="253" xfId="0" applyFont="1" applyFill="1" applyBorder="1" applyAlignment="1">
      <alignment horizontal="center" vertical="center" wrapText="1"/>
    </xf>
    <xf numFmtId="2" fontId="509" fillId="486" borderId="253" xfId="0" applyNumberFormat="1" applyFont="1" applyFill="1" applyBorder="1" applyAlignment="1">
      <alignment horizontal="center" vertical="center" wrapText="1"/>
    </xf>
    <xf numFmtId="2" fontId="197" fillId="486" borderId="253" xfId="0" applyNumberFormat="1" applyFont="1" applyFill="1" applyBorder="1" applyAlignment="1">
      <alignment horizontal="center" vertical="center" wrapText="1"/>
    </xf>
    <xf numFmtId="0" fontId="237" fillId="486" borderId="253" xfId="0" applyNumberFormat="1" applyFont="1" applyFill="1" applyBorder="1" applyAlignment="1">
      <alignment horizontal="center" vertical="center" wrapText="1"/>
    </xf>
    <xf numFmtId="2" fontId="684" fillId="486" borderId="253" xfId="0" applyNumberFormat="1" applyFont="1" applyFill="1" applyBorder="1" applyAlignment="1">
      <alignment horizontal="center" vertical="center" wrapText="1"/>
    </xf>
    <xf numFmtId="2" fontId="276" fillId="486" borderId="253" xfId="0" applyNumberFormat="1" applyFont="1" applyFill="1" applyBorder="1" applyAlignment="1">
      <alignment horizontal="center" vertical="center" wrapText="1"/>
    </xf>
    <xf numFmtId="0" fontId="415" fillId="486" borderId="253" xfId="0" applyNumberFormat="1" applyFont="1" applyFill="1" applyBorder="1" applyAlignment="1">
      <alignment horizontal="center" vertical="center" wrapText="1"/>
    </xf>
    <xf numFmtId="0" fontId="358" fillId="486" borderId="0" xfId="0" applyFont="1" applyFill="1" applyAlignment="1">
      <alignment horizontal="center" vertical="center" wrapText="1"/>
    </xf>
    <xf numFmtId="0" fontId="659" fillId="486" borderId="253" xfId="0" applyFont="1" applyFill="1" applyBorder="1" applyAlignment="1">
      <alignment horizontal="center" vertical="center" wrapText="1"/>
    </xf>
    <xf numFmtId="2" fontId="386" fillId="486" borderId="253" xfId="0" applyNumberFormat="1" applyFont="1" applyFill="1" applyBorder="1" applyAlignment="1">
      <alignment horizontal="center" vertical="center" wrapText="1"/>
    </xf>
    <xf numFmtId="2" fontId="317" fillId="486" borderId="253" xfId="0" applyNumberFormat="1" applyFont="1" applyFill="1" applyBorder="1" applyAlignment="1">
      <alignment horizontal="center" vertical="center" wrapText="1"/>
    </xf>
    <xf numFmtId="0" fontId="230" fillId="486" borderId="253" xfId="0" applyNumberFormat="1" applyFont="1" applyFill="1" applyBorder="1" applyAlignment="1">
      <alignment horizontal="center" vertical="center" wrapText="1"/>
    </xf>
    <xf numFmtId="0" fontId="3" fillId="490" borderId="253" xfId="0" quotePrefix="1" applyFont="1" applyFill="1" applyBorder="1" applyAlignment="1">
      <alignment horizontal="center" vertical="center" wrapText="1"/>
    </xf>
    <xf numFmtId="0" fontId="168" fillId="450" borderId="253" xfId="0" applyFont="1" applyFill="1" applyBorder="1" applyAlignment="1">
      <alignment horizontal="center" vertical="center" textRotation="90" wrapText="1"/>
    </xf>
    <xf numFmtId="0" fontId="644" fillId="450" borderId="253" xfId="0" applyFont="1" applyFill="1" applyBorder="1" applyAlignment="1">
      <alignment horizontal="center" vertical="center" textRotation="90" wrapText="1"/>
    </xf>
    <xf numFmtId="2" fontId="545" fillId="450" borderId="253" xfId="0" applyNumberFormat="1" applyFont="1" applyFill="1" applyBorder="1" applyAlignment="1">
      <alignment horizontal="center" vertical="center" wrapText="1"/>
    </xf>
    <xf numFmtId="0" fontId="668" fillId="450" borderId="0" xfId="0" applyFont="1" applyFill="1" applyBorder="1" applyAlignment="1">
      <alignment horizontal="center" vertical="center" wrapText="1"/>
    </xf>
    <xf numFmtId="0" fontId="673" fillId="450" borderId="0" xfId="0" applyFont="1" applyFill="1" applyAlignment="1">
      <alignment horizontal="center" vertical="center" wrapText="1"/>
    </xf>
    <xf numFmtId="166" fontId="390" fillId="450" borderId="0" xfId="0" applyNumberFormat="1" applyFont="1" applyFill="1" applyAlignment="1">
      <alignment horizontal="center" vertical="center" wrapText="1"/>
    </xf>
    <xf numFmtId="2" fontId="279" fillId="450" borderId="0" xfId="0" applyNumberFormat="1" applyFont="1" applyFill="1" applyAlignment="1">
      <alignment horizontal="center" vertical="center" wrapText="1"/>
    </xf>
    <xf numFmtId="0" fontId="640" fillId="450" borderId="0" xfId="0" applyFont="1" applyFill="1" applyAlignment="1">
      <alignment horizontal="center" vertical="center" wrapText="1"/>
    </xf>
    <xf numFmtId="0" fontId="727" fillId="450" borderId="235" xfId="0" applyFont="1" applyFill="1" applyBorder="1" applyAlignment="1">
      <alignment horizontal="center" vertical="center" wrapText="1"/>
    </xf>
    <xf numFmtId="0" fontId="239" fillId="450" borderId="77" xfId="0" applyFont="1" applyFill="1" applyBorder="1" applyAlignment="1">
      <alignment horizontal="center" vertical="center" wrapText="1"/>
    </xf>
    <xf numFmtId="0" fontId="308" fillId="450" borderId="253" xfId="0" applyFont="1" applyFill="1" applyBorder="1" applyAlignment="1">
      <alignment horizontal="center" vertical="center" wrapText="1"/>
    </xf>
    <xf numFmtId="0" fontId="727" fillId="450" borderId="240" xfId="0" applyFont="1" applyFill="1" applyBorder="1" applyAlignment="1">
      <alignment horizontal="center" vertical="center" wrapText="1"/>
    </xf>
    <xf numFmtId="0" fontId="239" fillId="450" borderId="0" xfId="0" applyFont="1" applyFill="1" applyBorder="1" applyAlignment="1">
      <alignment horizontal="center" vertical="center" wrapText="1"/>
    </xf>
    <xf numFmtId="0" fontId="41" fillId="450" borderId="253" xfId="0" applyFont="1" applyFill="1" applyBorder="1" applyAlignment="1">
      <alignment horizontal="center" vertical="center" wrapText="1"/>
    </xf>
    <xf numFmtId="2" fontId="376" fillId="450" borderId="253" xfId="0" applyNumberFormat="1" applyFont="1" applyFill="1" applyBorder="1" applyAlignment="1">
      <alignment horizontal="center" vertical="center" wrapText="1"/>
    </xf>
    <xf numFmtId="2" fontId="490" fillId="450" borderId="253" xfId="0" applyNumberFormat="1" applyFont="1" applyFill="1" applyBorder="1" applyAlignment="1">
      <alignment horizontal="center" vertical="center" wrapText="1"/>
    </xf>
    <xf numFmtId="2" fontId="560" fillId="450" borderId="253" xfId="0" applyNumberFormat="1" applyFont="1" applyFill="1" applyBorder="1" applyAlignment="1">
      <alignment horizontal="center" vertical="center" wrapText="1"/>
    </xf>
    <xf numFmtId="0" fontId="602" fillId="450" borderId="253" xfId="0" applyNumberFormat="1" applyFont="1" applyFill="1" applyBorder="1" applyAlignment="1">
      <alignment horizontal="center" vertical="center" wrapText="1"/>
    </xf>
    <xf numFmtId="0" fontId="3" fillId="450" borderId="253" xfId="0" applyFont="1" applyFill="1" applyBorder="1" applyAlignment="1">
      <alignment horizontal="center" vertical="center" wrapText="1"/>
    </xf>
    <xf numFmtId="2" fontId="343" fillId="450" borderId="253" xfId="0" applyNumberFormat="1" applyFont="1" applyFill="1" applyBorder="1" applyAlignment="1">
      <alignment horizontal="center" vertical="center" wrapText="1"/>
    </xf>
    <xf numFmtId="2" fontId="21" fillId="450" borderId="253" xfId="0" applyNumberFormat="1" applyFont="1" applyFill="1" applyBorder="1" applyAlignment="1">
      <alignment horizontal="center" vertical="center" wrapText="1"/>
    </xf>
    <xf numFmtId="0" fontId="307" fillId="450" borderId="253" xfId="0" applyNumberFormat="1" applyFont="1" applyFill="1" applyBorder="1" applyAlignment="1">
      <alignment horizontal="center" vertical="center" wrapText="1"/>
    </xf>
    <xf numFmtId="0" fontId="358" fillId="450" borderId="0" xfId="0" applyFont="1" applyFill="1" applyAlignment="1">
      <alignment horizontal="center" vertical="center" wrapText="1"/>
    </xf>
    <xf numFmtId="0" fontId="579" fillId="450" borderId="253" xfId="0" applyFont="1" applyFill="1" applyBorder="1" applyAlignment="1">
      <alignment horizontal="center" vertical="center" wrapText="1"/>
    </xf>
    <xf numFmtId="2" fontId="7" fillId="450" borderId="253" xfId="0" applyNumberFormat="1" applyFont="1" applyFill="1" applyBorder="1" applyAlignment="1">
      <alignment horizontal="center" vertical="center" wrapText="1"/>
    </xf>
    <xf numFmtId="2" fontId="51" fillId="450" borderId="253" xfId="0" applyNumberFormat="1" applyFont="1" applyFill="1" applyBorder="1" applyAlignment="1">
      <alignment horizontal="center" vertical="center" wrapText="1"/>
    </xf>
    <xf numFmtId="0" fontId="439" fillId="450" borderId="253" xfId="0" applyNumberFormat="1" applyFont="1" applyFill="1" applyBorder="1" applyAlignment="1">
      <alignment horizontal="center" vertical="center" wrapText="1"/>
    </xf>
    <xf numFmtId="0" fontId="668" fillId="462" borderId="0" xfId="0" applyFont="1" applyFill="1" applyBorder="1" applyAlignment="1">
      <alignment horizontal="center" vertical="center" wrapText="1"/>
    </xf>
    <xf numFmtId="166" fontId="390" fillId="462" borderId="0" xfId="0" applyNumberFormat="1" applyFont="1" applyFill="1" applyAlignment="1">
      <alignment horizontal="center" vertical="center" wrapText="1"/>
    </xf>
    <xf numFmtId="2" fontId="279" fillId="462" borderId="0" xfId="0" applyNumberFormat="1" applyFont="1" applyFill="1" applyAlignment="1">
      <alignment horizontal="center" vertical="center" wrapText="1"/>
    </xf>
    <xf numFmtId="0" fontId="358" fillId="462" borderId="0" xfId="0" applyFont="1" applyFill="1" applyAlignment="1">
      <alignment horizontal="center" vertical="center" wrapText="1"/>
    </xf>
    <xf numFmtId="0" fontId="239" fillId="462" borderId="77" xfId="0" applyFont="1" applyFill="1" applyBorder="1" applyAlignment="1">
      <alignment horizontal="center" vertical="center" wrapText="1"/>
    </xf>
    <xf numFmtId="0" fontId="6" fillId="490" borderId="253" xfId="0" applyFont="1" applyFill="1" applyBorder="1" applyAlignment="1">
      <alignment horizontal="center" vertical="center" textRotation="90" wrapText="1"/>
    </xf>
    <xf numFmtId="0" fontId="378" fillId="490" borderId="253" xfId="0" applyFont="1" applyFill="1" applyBorder="1" applyAlignment="1">
      <alignment horizontal="center" vertical="center" wrapText="1"/>
    </xf>
    <xf numFmtId="0" fontId="239" fillId="490" borderId="0" xfId="0" applyFont="1" applyFill="1" applyBorder="1" applyAlignment="1">
      <alignment horizontal="center" vertical="center" wrapText="1"/>
    </xf>
    <xf numFmtId="0" fontId="164" fillId="490" borderId="253" xfId="0" applyFont="1" applyFill="1" applyBorder="1" applyAlignment="1">
      <alignment horizontal="center" vertical="center" wrapText="1"/>
    </xf>
    <xf numFmtId="167" fontId="180" fillId="490" borderId="253" xfId="0" applyNumberFormat="1" applyFont="1" applyFill="1" applyBorder="1" applyAlignment="1">
      <alignment horizontal="center" vertical="center" wrapText="1"/>
    </xf>
    <xf numFmtId="0" fontId="3" fillId="490" borderId="253" xfId="0" applyFont="1" applyFill="1" applyBorder="1" applyAlignment="1">
      <alignment horizontal="center" vertical="center" wrapText="1"/>
    </xf>
    <xf numFmtId="2" fontId="622" fillId="490" borderId="253" xfId="0" applyNumberFormat="1" applyFont="1" applyFill="1" applyBorder="1" applyAlignment="1">
      <alignment horizontal="center" vertical="center" wrapText="1"/>
    </xf>
    <xf numFmtId="2" fontId="603" fillId="490" borderId="253" xfId="0" applyNumberFormat="1" applyFont="1" applyFill="1" applyBorder="1" applyAlignment="1">
      <alignment horizontal="center" vertical="center" wrapText="1"/>
    </xf>
    <xf numFmtId="0" fontId="535" fillId="490" borderId="253" xfId="0" applyNumberFormat="1" applyFont="1" applyFill="1" applyBorder="1" applyAlignment="1">
      <alignment horizontal="center" vertical="center" wrapText="1"/>
    </xf>
    <xf numFmtId="0" fontId="640" fillId="462" borderId="0" xfId="0" applyFont="1" applyFill="1" applyAlignment="1">
      <alignment horizontal="center" vertical="center" wrapText="1"/>
    </xf>
    <xf numFmtId="0" fontId="3" fillId="462" borderId="0" xfId="0" applyFont="1" applyFill="1" applyAlignment="1">
      <alignment horizontal="center" vertical="center" wrapText="1"/>
    </xf>
    <xf numFmtId="0" fontId="240" fillId="491" borderId="253" xfId="0" applyFont="1" applyFill="1" applyBorder="1" applyAlignment="1">
      <alignment horizontal="center" vertical="center" wrapText="1"/>
    </xf>
    <xf numFmtId="2" fontId="706" fillId="491" borderId="253" xfId="0" applyNumberFormat="1" applyFont="1" applyFill="1" applyBorder="1" applyAlignment="1">
      <alignment horizontal="center" vertical="center" wrapText="1"/>
    </xf>
    <xf numFmtId="2" fontId="720" fillId="491" borderId="253" xfId="0" applyNumberFormat="1" applyFont="1" applyFill="1" applyBorder="1" applyAlignment="1">
      <alignment horizontal="center" vertical="center" wrapText="1"/>
    </xf>
    <xf numFmtId="0" fontId="714" fillId="491" borderId="253" xfId="0" applyNumberFormat="1" applyFont="1" applyFill="1" applyBorder="1" applyAlignment="1">
      <alignment horizontal="center" vertical="center" wrapText="1"/>
    </xf>
    <xf numFmtId="0" fontId="3" fillId="491" borderId="253" xfId="0" applyFont="1" applyFill="1" applyBorder="1" applyAlignment="1">
      <alignment horizontal="center" vertical="center" wrapText="1"/>
    </xf>
    <xf numFmtId="0" fontId="3" fillId="491" borderId="0" xfId="0" applyFont="1" applyFill="1" applyAlignment="1">
      <alignment horizontal="center" vertical="center" wrapText="1"/>
    </xf>
    <xf numFmtId="0" fontId="773" fillId="0" borderId="0" xfId="0" applyFont="1" applyAlignment="1" applyProtection="1">
      <alignment horizontal="center" vertical="center" wrapText="1"/>
    </xf>
    <xf numFmtId="0" fontId="762" fillId="0" borderId="0" xfId="0" applyFont="1" applyAlignment="1" applyProtection="1">
      <alignment horizontal="center" vertical="center" wrapText="1"/>
    </xf>
    <xf numFmtId="0" fontId="784" fillId="0" borderId="253" xfId="0" applyFont="1" applyBorder="1" applyAlignment="1">
      <alignment horizontal="center" vertical="center" wrapText="1"/>
    </xf>
    <xf numFmtId="0" fontId="784" fillId="494" borderId="253" xfId="0" applyFont="1" applyFill="1" applyBorder="1" applyAlignment="1">
      <alignment horizontal="center" vertical="center" wrapText="1"/>
    </xf>
    <xf numFmtId="0" fontId="0" fillId="494" borderId="0" xfId="0" applyFill="1" applyAlignment="1">
      <alignment horizontal="center" vertical="center" wrapText="1"/>
    </xf>
    <xf numFmtId="0" fontId="0" fillId="0" borderId="0" xfId="0" applyBorder="1" applyAlignment="1" applyProtection="1">
      <alignment horizontal="center" vertical="center" wrapText="1"/>
    </xf>
    <xf numFmtId="0" fontId="762" fillId="0" borderId="0" xfId="0" applyFont="1" applyBorder="1" applyAlignment="1" applyProtection="1">
      <alignment horizontal="center" vertical="center" wrapText="1"/>
    </xf>
    <xf numFmtId="0" fontId="12" fillId="0" borderId="253" xfId="0" applyFont="1" applyBorder="1" applyAlignment="1">
      <alignment horizontal="center" vertical="center"/>
    </xf>
    <xf numFmtId="0" fontId="762" fillId="0" borderId="0" xfId="0" applyFont="1" applyBorder="1" applyAlignment="1" applyProtection="1">
      <alignment horizontal="center" vertical="center" wrapText="1"/>
    </xf>
    <xf numFmtId="0" fontId="762" fillId="0" borderId="220" xfId="0" applyFont="1" applyBorder="1" applyAlignment="1" applyProtection="1">
      <alignment horizontal="center" vertical="center" wrapText="1"/>
    </xf>
    <xf numFmtId="0" fontId="211" fillId="0" borderId="234" xfId="0" applyFont="1" applyBorder="1" applyAlignment="1">
      <alignment horizontal="center" vertical="center" wrapText="1"/>
    </xf>
    <xf numFmtId="0" fontId="12" fillId="0" borderId="0" xfId="0" applyFont="1" applyFill="1" applyBorder="1" applyAlignment="1">
      <alignment horizontal="center" vertical="center"/>
    </xf>
    <xf numFmtId="43" fontId="5" fillId="0" borderId="0" xfId="1" applyFont="1" applyBorder="1" applyAlignment="1">
      <alignment horizontal="center" vertical="center"/>
    </xf>
    <xf numFmtId="43" fontId="5" fillId="0" borderId="65" xfId="1" applyFont="1" applyBorder="1" applyAlignment="1">
      <alignment horizontal="center" vertical="center"/>
    </xf>
    <xf numFmtId="0" fontId="3" fillId="0" borderId="0" xfId="0" applyFont="1"/>
    <xf numFmtId="0" fontId="673" fillId="0" borderId="0" xfId="0" applyFont="1" applyBorder="1" applyAlignment="1">
      <alignment horizontal="center"/>
    </xf>
    <xf numFmtId="0" fontId="673" fillId="0" borderId="0" xfId="0" applyFont="1" applyBorder="1" applyAlignment="1">
      <alignment horizontal="center" vertical="center"/>
    </xf>
    <xf numFmtId="0" fontId="3" fillId="0" borderId="0" xfId="0" applyFont="1" applyBorder="1" applyAlignment="1">
      <alignment horizontal="center"/>
    </xf>
    <xf numFmtId="0" fontId="1" fillId="0" borderId="253" xfId="0" applyFont="1" applyBorder="1" applyAlignment="1">
      <alignment horizontal="center" vertical="center" wrapText="1"/>
    </xf>
    <xf numFmtId="177" fontId="0" fillId="0" borderId="0" xfId="0" applyNumberFormat="1" applyBorder="1" applyAlignment="1" applyProtection="1">
      <alignment horizontal="center" vertical="center" wrapText="1"/>
    </xf>
    <xf numFmtId="0" fontId="0" fillId="0" borderId="253" xfId="0" applyBorder="1" applyAlignment="1" applyProtection="1">
      <alignment horizontal="center" vertical="center" wrapText="1"/>
    </xf>
    <xf numFmtId="0" fontId="762" fillId="455" borderId="228" xfId="0" applyFont="1" applyFill="1" applyBorder="1" applyAlignment="1" applyProtection="1">
      <alignment horizontal="center" vertical="center" wrapText="1"/>
    </xf>
    <xf numFmtId="0" fontId="762" fillId="455" borderId="234" xfId="0" applyFont="1" applyFill="1" applyBorder="1" applyAlignment="1" applyProtection="1">
      <alignment horizontal="center" vertical="center" wrapText="1"/>
    </xf>
    <xf numFmtId="0" fontId="492" fillId="455" borderId="234" xfId="0" applyFont="1" applyFill="1" applyBorder="1" applyAlignment="1">
      <alignment horizontal="center" vertical="center" wrapText="1"/>
    </xf>
    <xf numFmtId="0" fontId="762" fillId="0" borderId="243" xfId="0" applyFont="1" applyBorder="1" applyAlignment="1" applyProtection="1">
      <alignment horizontal="center" vertical="center" wrapText="1"/>
    </xf>
    <xf numFmtId="0" fontId="0" fillId="0" borderId="0" xfId="0" applyBorder="1" applyAlignment="1" applyProtection="1">
      <alignment horizontal="center" vertical="center" wrapText="1"/>
    </xf>
    <xf numFmtId="0" fontId="762" fillId="0" borderId="0" xfId="0" applyFont="1" applyBorder="1" applyAlignment="1" applyProtection="1">
      <alignment horizontal="center" vertical="center" wrapText="1"/>
    </xf>
    <xf numFmtId="177" fontId="0" fillId="0" borderId="0" xfId="0" applyNumberFormat="1" applyBorder="1" applyAlignment="1" applyProtection="1">
      <alignment horizontal="center" vertical="center" wrapText="1"/>
    </xf>
    <xf numFmtId="0" fontId="762" fillId="401" borderId="188" xfId="0" applyFont="1" applyFill="1" applyBorder="1" applyAlignment="1" applyProtection="1">
      <alignment horizontal="center" vertical="center" wrapText="1"/>
    </xf>
    <xf numFmtId="0" fontId="762" fillId="474" borderId="273" xfId="0" applyFont="1" applyFill="1" applyBorder="1" applyAlignment="1" applyProtection="1">
      <alignment vertical="center" wrapText="1"/>
    </xf>
    <xf numFmtId="10" fontId="0" fillId="0" borderId="0" xfId="4" applyNumberFormat="1" applyFont="1" applyBorder="1" applyAlignment="1" applyProtection="1">
      <alignment horizontal="center" vertical="center" wrapText="1"/>
    </xf>
    <xf numFmtId="0" fontId="762" fillId="459" borderId="253" xfId="0" applyFont="1" applyFill="1" applyBorder="1" applyAlignment="1" applyProtection="1">
      <alignment horizontal="center" vertical="center" wrapText="1"/>
    </xf>
    <xf numFmtId="0" fontId="0" fillId="459" borderId="253" xfId="0" applyFill="1" applyBorder="1" applyAlignment="1" applyProtection="1">
      <alignment horizontal="center" vertical="center" wrapText="1"/>
    </xf>
    <xf numFmtId="0" fontId="762" fillId="0" borderId="253" xfId="0" applyFont="1" applyBorder="1" applyAlignment="1" applyProtection="1">
      <alignment vertical="center" wrapText="1"/>
    </xf>
    <xf numFmtId="0" fontId="492" fillId="455" borderId="258" xfId="0" applyFont="1" applyFill="1" applyBorder="1" applyAlignment="1">
      <alignment horizontal="center" vertical="center" wrapText="1"/>
    </xf>
    <xf numFmtId="0" fontId="0" fillId="0" borderId="189" xfId="0" applyBorder="1" applyAlignment="1" applyProtection="1">
      <alignment horizontal="center" vertical="center" wrapText="1"/>
    </xf>
    <xf numFmtId="0" fontId="326" fillId="469" borderId="253" xfId="0" applyFont="1" applyFill="1" applyBorder="1" applyAlignment="1">
      <alignment horizontal="center" vertical="center" wrapText="1"/>
    </xf>
    <xf numFmtId="164" fontId="422" fillId="480" borderId="0" xfId="0" applyNumberFormat="1" applyFont="1" applyFill="1" applyBorder="1" applyAlignment="1">
      <alignment horizontal="center" vertical="center"/>
    </xf>
    <xf numFmtId="43" fontId="422" fillId="480" borderId="0" xfId="1" applyFont="1" applyFill="1" applyBorder="1" applyAlignment="1">
      <alignment horizontal="center" vertical="center"/>
    </xf>
    <xf numFmtId="43" fontId="422" fillId="480" borderId="65" xfId="1" applyFont="1" applyFill="1" applyBorder="1" applyAlignment="1">
      <alignment horizontal="center" vertical="center"/>
    </xf>
    <xf numFmtId="0" fontId="1" fillId="33" borderId="265" xfId="0" applyFont="1" applyFill="1" applyBorder="1" applyAlignment="1">
      <alignment horizontal="center" vertical="center" wrapText="1"/>
    </xf>
    <xf numFmtId="0" fontId="1" fillId="344" borderId="29" xfId="0" applyFont="1" applyFill="1" applyBorder="1" applyAlignment="1">
      <alignment horizontal="center" vertical="center" wrapText="1"/>
    </xf>
    <xf numFmtId="0" fontId="774" fillId="484" borderId="29" xfId="0" applyFont="1" applyFill="1" applyBorder="1" applyAlignment="1">
      <alignment horizontal="center" vertical="center" wrapText="1"/>
    </xf>
    <xf numFmtId="0" fontId="574" fillId="344" borderId="139" xfId="0" applyFont="1" applyFill="1" applyBorder="1" applyAlignment="1">
      <alignment horizontal="center" vertical="center" wrapText="1"/>
    </xf>
    <xf numFmtId="0" fontId="0" fillId="467" borderId="139" xfId="0" applyFill="1" applyBorder="1" applyAlignment="1">
      <alignment wrapText="1"/>
    </xf>
    <xf numFmtId="0" fontId="0" fillId="467" borderId="203" xfId="0" applyFill="1" applyBorder="1" applyAlignment="1">
      <alignment wrapText="1"/>
    </xf>
    <xf numFmtId="0" fontId="0" fillId="480" borderId="139" xfId="0" applyFill="1" applyBorder="1" applyAlignment="1">
      <alignment wrapText="1"/>
    </xf>
    <xf numFmtId="0" fontId="0" fillId="480" borderId="203" xfId="0" applyFill="1" applyBorder="1" applyAlignment="1">
      <alignment wrapText="1"/>
    </xf>
    <xf numFmtId="0" fontId="0" fillId="481" borderId="139" xfId="0" applyFill="1" applyBorder="1" applyAlignment="1">
      <alignment wrapText="1"/>
    </xf>
    <xf numFmtId="0" fontId="0" fillId="481" borderId="203" xfId="0" applyFill="1" applyBorder="1" applyAlignment="1">
      <alignment wrapText="1"/>
    </xf>
    <xf numFmtId="0" fontId="773" fillId="457" borderId="139" xfId="0" applyFont="1" applyFill="1" applyBorder="1" applyAlignment="1">
      <alignment wrapText="1"/>
    </xf>
    <xf numFmtId="0" fontId="773" fillId="457" borderId="203" xfId="0" applyFont="1" applyFill="1" applyBorder="1" applyAlignment="1">
      <alignment wrapText="1"/>
    </xf>
    <xf numFmtId="0" fontId="0" fillId="482" borderId="139" xfId="0" applyFill="1" applyBorder="1" applyAlignment="1">
      <alignment wrapText="1"/>
    </xf>
    <xf numFmtId="0" fontId="0" fillId="482" borderId="203" xfId="0" applyFill="1" applyBorder="1" applyAlignment="1">
      <alignment wrapText="1"/>
    </xf>
    <xf numFmtId="0" fontId="0" fillId="462" borderId="139" xfId="0" applyFill="1" applyBorder="1" applyAlignment="1">
      <alignment wrapText="1"/>
    </xf>
    <xf numFmtId="0" fontId="0" fillId="462" borderId="203" xfId="0" applyFill="1" applyBorder="1" applyAlignment="1">
      <alignment wrapText="1"/>
    </xf>
    <xf numFmtId="0" fontId="0" fillId="472" borderId="139" xfId="0" applyFill="1" applyBorder="1" applyAlignment="1">
      <alignment wrapText="1"/>
    </xf>
    <xf numFmtId="0" fontId="406" fillId="0" borderId="0" xfId="0" applyFont="1" applyFill="1" applyBorder="1" applyAlignment="1">
      <alignment horizontal="center" vertical="center" wrapText="1"/>
    </xf>
    <xf numFmtId="0" fontId="406" fillId="0" borderId="0" xfId="0" applyFont="1" applyFill="1" applyBorder="1" applyAlignment="1">
      <alignment horizontal="center" vertical="center"/>
    </xf>
    <xf numFmtId="175" fontId="497" fillId="489" borderId="189" xfId="0" applyNumberFormat="1" applyFont="1" applyFill="1" applyBorder="1" applyAlignment="1">
      <alignment horizontal="center" vertical="center" wrapText="1"/>
    </xf>
    <xf numFmtId="0" fontId="640" fillId="488" borderId="189" xfId="0" applyFont="1" applyFill="1" applyBorder="1" applyAlignment="1">
      <alignment horizontal="center" vertical="center" wrapText="1"/>
    </xf>
    <xf numFmtId="0" fontId="640" fillId="492" borderId="189" xfId="0" applyFont="1" applyFill="1" applyBorder="1" applyAlignment="1">
      <alignment horizontal="center" vertical="center" wrapText="1"/>
    </xf>
    <xf numFmtId="0" fontId="640" fillId="492" borderId="271" xfId="0" applyFont="1" applyFill="1" applyBorder="1" applyAlignment="1">
      <alignment horizontal="center" vertical="center" wrapText="1"/>
    </xf>
    <xf numFmtId="0" fontId="211" fillId="463" borderId="215" xfId="0" applyFont="1" applyFill="1" applyBorder="1" applyAlignment="1">
      <alignment horizontal="center" vertical="center" wrapText="1"/>
    </xf>
    <xf numFmtId="175" fontId="497" fillId="463" borderId="215" xfId="0" applyNumberFormat="1" applyFont="1" applyFill="1" applyBorder="1" applyAlignment="1">
      <alignment horizontal="center" vertical="center" wrapText="1"/>
    </xf>
    <xf numFmtId="175" fontId="497" fillId="489" borderId="215" xfId="0" applyNumberFormat="1" applyFont="1" applyFill="1" applyBorder="1" applyAlignment="1">
      <alignment horizontal="center" vertical="center" wrapText="1"/>
    </xf>
    <xf numFmtId="175" fontId="497" fillId="487" borderId="215" xfId="0" applyNumberFormat="1" applyFont="1" applyFill="1" applyBorder="1" applyAlignment="1">
      <alignment horizontal="center" vertical="center" wrapText="1"/>
    </xf>
    <xf numFmtId="175" fontId="497" fillId="488" borderId="215" xfId="0" applyNumberFormat="1" applyFont="1" applyFill="1" applyBorder="1" applyAlignment="1">
      <alignment horizontal="center" vertical="center" wrapText="1"/>
    </xf>
    <xf numFmtId="0" fontId="640" fillId="488" borderId="215" xfId="0" applyFont="1" applyFill="1" applyBorder="1" applyAlignment="1">
      <alignment horizontal="center" vertical="center" wrapText="1"/>
    </xf>
    <xf numFmtId="0" fontId="640" fillId="492" borderId="215" xfId="0" applyFont="1" applyFill="1" applyBorder="1" applyAlignment="1">
      <alignment horizontal="center" vertical="center" wrapText="1"/>
    </xf>
    <xf numFmtId="0" fontId="640" fillId="492" borderId="269" xfId="0" applyFont="1" applyFill="1" applyBorder="1" applyAlignment="1">
      <alignment horizontal="center" vertical="center" wrapText="1"/>
    </xf>
    <xf numFmtId="0" fontId="3" fillId="457"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746" fillId="0" borderId="0" xfId="0" applyFont="1" applyFill="1" applyBorder="1" applyAlignment="1">
      <alignment horizontal="center" vertical="center" wrapText="1"/>
    </xf>
    <xf numFmtId="0" fontId="3" fillId="457" borderId="0" xfId="0" applyFont="1" applyFill="1" applyAlignment="1">
      <alignment horizontal="center" vertical="center"/>
    </xf>
    <xf numFmtId="0" fontId="3" fillId="472" borderId="0" xfId="0" applyFont="1" applyFill="1" applyAlignment="1">
      <alignment horizontal="center" vertical="center"/>
    </xf>
    <xf numFmtId="0" fontId="3" fillId="467" borderId="0" xfId="0" applyFont="1" applyFill="1" applyAlignment="1">
      <alignment horizontal="center" vertical="center"/>
    </xf>
    <xf numFmtId="177" fontId="0" fillId="0" borderId="0" xfId="0" applyNumberFormat="1" applyBorder="1" applyAlignment="1" applyProtection="1">
      <alignment vertical="center" wrapText="1"/>
    </xf>
    <xf numFmtId="177" fontId="0" fillId="0" borderId="0" xfId="1" applyNumberFormat="1" applyFont="1" applyBorder="1" applyAlignment="1" applyProtection="1">
      <alignment horizontal="center" vertical="center" wrapText="1"/>
    </xf>
    <xf numFmtId="0" fontId="0" fillId="0" borderId="0" xfId="0" applyFill="1" applyAlignment="1">
      <alignment horizontal="center" vertical="center" wrapText="1"/>
    </xf>
    <xf numFmtId="0" fontId="762" fillId="0" borderId="0" xfId="0" applyFont="1" applyFill="1" applyAlignment="1">
      <alignment horizontal="center" vertical="center" wrapText="1"/>
    </xf>
    <xf numFmtId="0" fontId="0" fillId="0" borderId="220" xfId="0" applyBorder="1" applyAlignment="1" applyProtection="1">
      <alignment horizontal="center" vertical="center" wrapText="1"/>
    </xf>
    <xf numFmtId="0" fontId="0" fillId="0" borderId="0" xfId="0" applyBorder="1" applyAlignment="1" applyProtection="1">
      <alignment horizontal="center" vertical="center" wrapText="1"/>
    </xf>
    <xf numFmtId="0" fontId="762" fillId="0" borderId="252" xfId="0" applyFont="1" applyBorder="1" applyAlignment="1" applyProtection="1">
      <alignment horizontal="center" vertical="center" wrapText="1"/>
    </xf>
    <xf numFmtId="0" fontId="762" fillId="0" borderId="139" xfId="0" applyFont="1" applyBorder="1" applyAlignment="1" applyProtection="1">
      <alignment horizontal="center" vertical="center" wrapText="1"/>
    </xf>
    <xf numFmtId="0" fontId="762" fillId="0" borderId="218" xfId="0" applyFont="1" applyBorder="1" applyAlignment="1" applyProtection="1">
      <alignment horizontal="center" vertical="center" wrapText="1"/>
    </xf>
    <xf numFmtId="0" fontId="0" fillId="0" borderId="92" xfId="0" applyBorder="1" applyAlignment="1" applyProtection="1">
      <alignment horizontal="center" vertical="center" wrapText="1"/>
    </xf>
    <xf numFmtId="0" fontId="0" fillId="0" borderId="265" xfId="0" applyBorder="1" applyAlignment="1" applyProtection="1">
      <alignment horizontal="center" vertical="center" wrapText="1"/>
    </xf>
    <xf numFmtId="0" fontId="0" fillId="0" borderId="29" xfId="0" applyBorder="1" applyAlignment="1" applyProtection="1">
      <alignment horizontal="center" vertical="center" wrapText="1"/>
    </xf>
    <xf numFmtId="0" fontId="0" fillId="0" borderId="65" xfId="0" applyBorder="1" applyAlignment="1" applyProtection="1">
      <alignment horizontal="center" vertical="center" wrapText="1"/>
    </xf>
    <xf numFmtId="0" fontId="0" fillId="0" borderId="261" xfId="0" applyBorder="1" applyAlignment="1" applyProtection="1">
      <alignment horizontal="center" vertical="center" wrapText="1"/>
    </xf>
    <xf numFmtId="0" fontId="0" fillId="0" borderId="257" xfId="0" applyBorder="1" applyAlignment="1" applyProtection="1">
      <alignment horizontal="center" vertical="center" wrapText="1"/>
    </xf>
    <xf numFmtId="0" fontId="762" fillId="0" borderId="220" xfId="0" applyFont="1" applyBorder="1" applyAlignment="1" applyProtection="1">
      <alignment horizontal="center" vertical="center" wrapText="1"/>
    </xf>
    <xf numFmtId="0" fontId="0" fillId="0" borderId="139" xfId="0" applyBorder="1" applyAlignment="1" applyProtection="1">
      <alignment horizontal="center" vertical="center" wrapText="1"/>
    </xf>
    <xf numFmtId="0" fontId="0" fillId="0" borderId="218" xfId="0" applyBorder="1" applyAlignment="1" applyProtection="1">
      <alignment horizontal="center" vertical="center" wrapText="1"/>
    </xf>
    <xf numFmtId="0" fontId="0" fillId="0" borderId="203" xfId="0" applyBorder="1" applyAlignment="1" applyProtection="1">
      <alignment horizontal="center" vertical="center" wrapText="1"/>
    </xf>
    <xf numFmtId="0" fontId="0" fillId="0" borderId="0" xfId="0" applyAlignment="1" applyProtection="1">
      <alignment horizontal="center" vertical="center" wrapText="1"/>
    </xf>
    <xf numFmtId="43" fontId="3" fillId="0" borderId="0" xfId="1" applyNumberFormat="1" applyFont="1" applyAlignment="1">
      <alignment vertical="center" wrapText="1"/>
    </xf>
    <xf numFmtId="43" fontId="3" fillId="0" borderId="0" xfId="1" applyNumberFormat="1" applyFont="1"/>
    <xf numFmtId="43" fontId="9" fillId="456" borderId="253" xfId="1" applyNumberFormat="1" applyFont="1" applyFill="1" applyBorder="1" applyAlignment="1">
      <alignment vertical="center" wrapText="1"/>
    </xf>
    <xf numFmtId="0" fontId="9" fillId="0" borderId="0" xfId="1" applyNumberFormat="1" applyFont="1" applyAlignment="1">
      <alignment horizontal="center" vertical="center" wrapText="1"/>
    </xf>
    <xf numFmtId="0" fontId="771" fillId="0" borderId="0" xfId="0" applyFont="1" applyAlignment="1">
      <alignment horizontal="center" vertical="center" wrapText="1"/>
    </xf>
    <xf numFmtId="0" fontId="773" fillId="0" borderId="217" xfId="0" applyFont="1" applyBorder="1" applyAlignment="1">
      <alignment horizontal="center" vertical="center" wrapText="1"/>
    </xf>
    <xf numFmtId="0" fontId="640" fillId="0" borderId="0" xfId="0" applyFont="1" applyBorder="1" applyAlignment="1">
      <alignment horizontal="left"/>
    </xf>
    <xf numFmtId="0" fontId="640" fillId="0" borderId="0" xfId="0" applyFont="1" applyBorder="1" applyAlignment="1">
      <alignment horizontal="center"/>
    </xf>
    <xf numFmtId="43" fontId="640" fillId="0" borderId="0" xfId="1" applyFont="1"/>
    <xf numFmtId="43" fontId="188" fillId="459" borderId="253" xfId="1" applyFont="1" applyFill="1" applyBorder="1" applyAlignment="1">
      <alignment horizontal="center" vertical="center"/>
    </xf>
    <xf numFmtId="43" fontId="383" fillId="227" borderId="253" xfId="1" applyFont="1" applyFill="1" applyBorder="1" applyAlignment="1">
      <alignment horizontal="center" vertical="center"/>
    </xf>
    <xf numFmtId="43" fontId="98" fillId="58" borderId="253" xfId="1" applyFont="1" applyFill="1" applyBorder="1" applyAlignment="1">
      <alignment horizontal="center" vertical="center"/>
    </xf>
    <xf numFmtId="43" fontId="692" fillId="461" borderId="253" xfId="1" applyFont="1" applyFill="1" applyBorder="1" applyAlignment="1">
      <alignment horizontal="center" vertical="center"/>
    </xf>
    <xf numFmtId="43" fontId="249" fillId="148" borderId="253" xfId="1" applyFont="1" applyFill="1" applyBorder="1" applyAlignment="1">
      <alignment horizontal="center" vertical="center"/>
    </xf>
    <xf numFmtId="43" fontId="374" fillId="222" borderId="253" xfId="1" applyFont="1" applyFill="1" applyBorder="1" applyAlignment="1">
      <alignment horizontal="center" vertical="center"/>
    </xf>
    <xf numFmtId="43" fontId="95" fillId="460" borderId="253" xfId="1" applyFont="1" applyFill="1" applyBorder="1" applyAlignment="1">
      <alignment horizontal="center" vertical="center"/>
    </xf>
    <xf numFmtId="43" fontId="182" fillId="112" borderId="253" xfId="1" applyFont="1" applyFill="1" applyBorder="1" applyAlignment="1">
      <alignment horizontal="center" vertical="center"/>
    </xf>
    <xf numFmtId="43" fontId="486" fillId="290" borderId="253" xfId="1" applyFont="1" applyFill="1" applyBorder="1" applyAlignment="1">
      <alignment horizontal="center" vertical="center"/>
    </xf>
    <xf numFmtId="0" fontId="0" fillId="0" borderId="0" xfId="0" applyBorder="1" applyAlignment="1" applyProtection="1">
      <alignment wrapText="1"/>
      <protection locked="0"/>
    </xf>
    <xf numFmtId="43" fontId="640" fillId="0" borderId="0" xfId="1" applyFont="1" applyBorder="1"/>
    <xf numFmtId="0" fontId="640" fillId="0" borderId="0" xfId="1" applyNumberFormat="1" applyFont="1" applyBorder="1" applyAlignment="1">
      <alignment horizontal="left"/>
    </xf>
    <xf numFmtId="0" fontId="640" fillId="0" borderId="0" xfId="0" applyFont="1" applyBorder="1" applyAlignment="1"/>
    <xf numFmtId="0" fontId="3" fillId="0" borderId="0" xfId="0" applyFont="1" applyBorder="1" applyAlignment="1">
      <alignment horizontal="left"/>
    </xf>
    <xf numFmtId="0" fontId="3" fillId="0" borderId="0" xfId="0" applyFont="1" applyBorder="1" applyAlignment="1"/>
    <xf numFmtId="43" fontId="640" fillId="0" borderId="0" xfId="1" applyFont="1" applyBorder="1" applyAlignment="1">
      <alignment horizontal="center"/>
    </xf>
    <xf numFmtId="43" fontId="640" fillId="0" borderId="0" xfId="1" applyFont="1" applyBorder="1" applyAlignment="1"/>
    <xf numFmtId="43" fontId="762" fillId="0" borderId="0" xfId="1" applyFont="1" applyBorder="1" applyAlignment="1" applyProtection="1">
      <alignment horizontal="center" vertical="center" wrapText="1"/>
    </xf>
    <xf numFmtId="0" fontId="762" fillId="0" borderId="218" xfId="0" applyFont="1" applyBorder="1" applyAlignment="1" applyProtection="1">
      <alignment vertical="center" wrapText="1"/>
    </xf>
    <xf numFmtId="0" fontId="762" fillId="0" borderId="203" xfId="0" applyFont="1" applyBorder="1" applyAlignment="1" applyProtection="1">
      <alignment vertical="center" wrapText="1"/>
    </xf>
    <xf numFmtId="3" fontId="0" fillId="0" borderId="0" xfId="0" applyNumberFormat="1" applyAlignment="1">
      <alignment horizontal="center"/>
    </xf>
    <xf numFmtId="0" fontId="773" fillId="0" borderId="0" xfId="0" applyFont="1" applyAlignment="1">
      <alignment horizontal="center" vertical="center" wrapText="1"/>
    </xf>
    <xf numFmtId="0" fontId="786" fillId="0" borderId="0" xfId="0" applyFont="1" applyFill="1" applyBorder="1" applyAlignment="1">
      <alignment horizontal="center" vertical="center" wrapText="1"/>
    </xf>
    <xf numFmtId="0" fontId="773" fillId="494" borderId="0" xfId="0" applyFont="1" applyFill="1" applyAlignment="1">
      <alignment horizontal="center" vertical="center" wrapText="1"/>
    </xf>
    <xf numFmtId="0" fontId="773" fillId="0" borderId="186" xfId="0" applyFont="1" applyBorder="1" applyAlignment="1">
      <alignment horizontal="center" vertical="center" wrapText="1"/>
    </xf>
    <xf numFmtId="0" fontId="773" fillId="0" borderId="29" xfId="0" applyFont="1" applyBorder="1" applyAlignment="1">
      <alignment horizontal="center" vertical="center" wrapText="1"/>
    </xf>
    <xf numFmtId="0" fontId="773" fillId="0" borderId="0" xfId="0" applyFont="1" applyBorder="1" applyAlignment="1">
      <alignment horizontal="center" vertical="center" wrapText="1"/>
    </xf>
    <xf numFmtId="0" fontId="773" fillId="0" borderId="65" xfId="0" applyFont="1" applyBorder="1" applyAlignment="1">
      <alignment horizontal="center" vertical="center" wrapText="1"/>
    </xf>
    <xf numFmtId="0" fontId="773" fillId="0" borderId="92" xfId="0" applyFont="1" applyBorder="1" applyAlignment="1">
      <alignment horizontal="center" vertical="center" wrapText="1"/>
    </xf>
    <xf numFmtId="0" fontId="773" fillId="0" borderId="257" xfId="0" applyFont="1" applyBorder="1" applyAlignment="1">
      <alignment horizontal="center" vertical="center" wrapText="1"/>
    </xf>
    <xf numFmtId="11" fontId="640" fillId="0" borderId="0" xfId="1" applyNumberFormat="1" applyFont="1" applyBorder="1" applyAlignment="1"/>
    <xf numFmtId="0" fontId="640" fillId="0" borderId="253" xfId="0" applyFont="1" applyFill="1" applyBorder="1" applyAlignment="1">
      <alignment horizontal="left"/>
    </xf>
    <xf numFmtId="0" fontId="640" fillId="0" borderId="0" xfId="0" applyFont="1" applyFill="1" applyBorder="1" applyAlignment="1"/>
    <xf numFmtId="0" fontId="3" fillId="0" borderId="253" xfId="0" applyFont="1" applyFill="1" applyBorder="1" applyAlignment="1">
      <alignment horizontal="left"/>
    </xf>
    <xf numFmtId="43" fontId="428" fillId="0" borderId="215" xfId="1" applyFont="1" applyFill="1" applyBorder="1" applyAlignment="1">
      <alignment horizontal="center" vertical="center"/>
    </xf>
    <xf numFmtId="0" fontId="1" fillId="0" borderId="253" xfId="0" applyFont="1" applyFill="1" applyBorder="1" applyAlignment="1">
      <alignment horizontal="center" vertical="center" wrapText="1"/>
    </xf>
    <xf numFmtId="43" fontId="640" fillId="0" borderId="0" xfId="1" applyFont="1" applyFill="1" applyBorder="1" applyAlignment="1">
      <alignment horizontal="left"/>
    </xf>
    <xf numFmtId="43" fontId="640" fillId="0" borderId="0" xfId="1" applyFont="1" applyFill="1" applyBorder="1" applyAlignment="1"/>
    <xf numFmtId="0" fontId="640" fillId="0" borderId="234" xfId="0" applyFont="1" applyFill="1" applyBorder="1" applyAlignment="1">
      <alignment horizontal="left"/>
    </xf>
    <xf numFmtId="0" fontId="640" fillId="0" borderId="186" xfId="0" applyFont="1" applyFill="1" applyBorder="1" applyAlignment="1"/>
    <xf numFmtId="0" fontId="640" fillId="0" borderId="29" xfId="0" applyFont="1" applyFill="1" applyBorder="1" applyAlignment="1"/>
    <xf numFmtId="0" fontId="50" fillId="0" borderId="214" xfId="0" applyFont="1" applyFill="1" applyBorder="1" applyAlignment="1">
      <alignment horizontal="center" vertical="center"/>
    </xf>
    <xf numFmtId="0" fontId="574" fillId="0" borderId="250" xfId="0" applyFont="1" applyFill="1" applyBorder="1" applyAlignment="1">
      <alignment horizontal="center" vertical="center"/>
    </xf>
    <xf numFmtId="0" fontId="1" fillId="0" borderId="250" xfId="0" applyFont="1" applyFill="1" applyBorder="1" applyAlignment="1">
      <alignment horizontal="center" vertical="center"/>
    </xf>
    <xf numFmtId="0" fontId="1" fillId="0" borderId="248" xfId="0" applyFont="1" applyFill="1" applyBorder="1" applyAlignment="1">
      <alignment horizontal="center" vertical="center" wrapText="1"/>
    </xf>
    <xf numFmtId="0" fontId="640" fillId="0" borderId="0" xfId="0" applyFont="1" applyFill="1" applyBorder="1"/>
    <xf numFmtId="0" fontId="640" fillId="0" borderId="65" xfId="0" applyFont="1" applyFill="1" applyBorder="1" applyAlignment="1"/>
    <xf numFmtId="0" fontId="762" fillId="0" borderId="92" xfId="0" applyFont="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92" xfId="0" applyBorder="1" applyAlignment="1" applyProtection="1">
      <alignment horizontal="center" vertical="center" wrapText="1"/>
    </xf>
    <xf numFmtId="0" fontId="0" fillId="0" borderId="29" xfId="0" applyBorder="1" applyAlignment="1" applyProtection="1">
      <alignment horizontal="center" vertical="center" wrapText="1"/>
    </xf>
    <xf numFmtId="0" fontId="0" fillId="0" borderId="65" xfId="0" applyBorder="1" applyAlignment="1" applyProtection="1">
      <alignment horizontal="center" vertical="center" wrapText="1"/>
    </xf>
    <xf numFmtId="0" fontId="0" fillId="0" borderId="257" xfId="0" applyBorder="1" applyAlignment="1" applyProtection="1">
      <alignment horizontal="center" vertical="center" wrapText="1"/>
    </xf>
    <xf numFmtId="0" fontId="762" fillId="0" borderId="0" xfId="0" applyFont="1" applyBorder="1" applyAlignment="1" applyProtection="1">
      <alignment horizontal="center" vertical="center" wrapText="1"/>
    </xf>
    <xf numFmtId="0" fontId="762" fillId="0" borderId="186" xfId="0" applyFont="1" applyBorder="1" applyAlignment="1" applyProtection="1">
      <alignment horizontal="center" vertical="center" wrapText="1"/>
    </xf>
    <xf numFmtId="0" fontId="762" fillId="0" borderId="265" xfId="0" applyFont="1" applyBorder="1" applyAlignment="1" applyProtection="1">
      <alignment horizontal="center" vertical="center" wrapText="1"/>
    </xf>
    <xf numFmtId="0" fontId="762" fillId="0" borderId="261" xfId="0" applyFont="1" applyBorder="1" applyAlignment="1" applyProtection="1">
      <alignment horizontal="center" vertical="center" wrapText="1"/>
    </xf>
    <xf numFmtId="0" fontId="762" fillId="0" borderId="210" xfId="0" applyFont="1" applyBorder="1" applyAlignment="1" applyProtection="1">
      <alignment horizontal="center" vertical="center" wrapText="1"/>
    </xf>
    <xf numFmtId="0" fontId="762" fillId="0" borderId="266" xfId="0" applyFont="1" applyBorder="1" applyAlignment="1" applyProtection="1">
      <alignment horizontal="center" vertical="center" wrapText="1"/>
    </xf>
    <xf numFmtId="0" fontId="640" fillId="0" borderId="0" xfId="0" applyFont="1" applyBorder="1" applyAlignment="1">
      <alignment horizontal="left"/>
    </xf>
    <xf numFmtId="2" fontId="771" fillId="0" borderId="0" xfId="0" applyNumberFormat="1" applyFont="1" applyFill="1" applyBorder="1" applyAlignment="1">
      <alignment horizontal="center" vertical="center" wrapText="1"/>
    </xf>
    <xf numFmtId="2" fontId="771" fillId="0" borderId="92" xfId="0" applyNumberFormat="1" applyFont="1" applyFill="1" applyBorder="1" applyAlignment="1">
      <alignment horizontal="center" vertical="center" wrapText="1"/>
    </xf>
    <xf numFmtId="0" fontId="211" fillId="0" borderId="0" xfId="0" applyFont="1" applyAlignment="1">
      <alignment horizontal="center" vertical="center" wrapText="1"/>
    </xf>
    <xf numFmtId="0" fontId="12" fillId="0" borderId="0" xfId="0" applyFont="1" applyAlignment="1">
      <alignment horizontal="center" vertical="center"/>
    </xf>
    <xf numFmtId="164" fontId="5" fillId="0" borderId="0" xfId="0" applyNumberFormat="1" applyFont="1" applyAlignment="1">
      <alignment horizontal="center" vertical="center"/>
    </xf>
    <xf numFmtId="164" fontId="408" fillId="0" borderId="0" xfId="0" applyNumberFormat="1" applyFont="1" applyAlignment="1">
      <alignment horizontal="center" vertical="center"/>
    </xf>
    <xf numFmtId="0" fontId="762" fillId="0" borderId="0" xfId="0" applyFont="1" applyAlignment="1">
      <alignment horizontal="center" vertical="center" wrapText="1"/>
    </xf>
    <xf numFmtId="164" fontId="5" fillId="0" borderId="0" xfId="0" applyNumberFormat="1" applyFont="1" applyFill="1" applyBorder="1" applyAlignment="1">
      <alignment horizontal="center" vertical="center"/>
    </xf>
    <xf numFmtId="0" fontId="211" fillId="0" borderId="0" xfId="0" applyFont="1" applyFill="1" applyAlignment="1">
      <alignment horizontal="center" vertical="center" wrapText="1"/>
    </xf>
    <xf numFmtId="0" fontId="12" fillId="0" borderId="0" xfId="0" applyFont="1" applyFill="1" applyBorder="1" applyAlignment="1">
      <alignment horizontal="center" vertical="center"/>
    </xf>
    <xf numFmtId="0" fontId="211" fillId="0" borderId="0" xfId="0" applyFont="1" applyFill="1" applyBorder="1" applyAlignment="1">
      <alignment horizontal="center" vertical="center" wrapText="1"/>
    </xf>
    <xf numFmtId="0" fontId="0" fillId="0" borderId="0" xfId="0" applyAlignment="1">
      <alignment horizontal="center" wrapText="1"/>
    </xf>
    <xf numFmtId="0" fontId="762" fillId="0" borderId="0" xfId="0" applyFont="1" applyAlignment="1">
      <alignment horizontal="center" wrapText="1"/>
    </xf>
    <xf numFmtId="0" fontId="3" fillId="0" borderId="0" xfId="0" applyFont="1" applyFill="1" applyBorder="1" applyAlignment="1">
      <alignment horizontal="center" vertical="center"/>
    </xf>
    <xf numFmtId="2" fontId="774" fillId="0" borderId="0" xfId="0" applyNumberFormat="1" applyFont="1" applyAlignment="1">
      <alignment horizontal="center" vertical="center" wrapText="1"/>
    </xf>
    <xf numFmtId="0" fontId="0" fillId="0" borderId="0" xfId="0" applyAlignment="1">
      <alignment horizontal="center" vertical="center" wrapText="1"/>
    </xf>
    <xf numFmtId="0" fontId="771" fillId="0" borderId="0" xfId="0" applyFont="1" applyFill="1" applyBorder="1" applyAlignment="1">
      <alignment horizontal="center" vertical="center" wrapText="1"/>
    </xf>
    <xf numFmtId="0" fontId="773" fillId="0" borderId="0" xfId="0" applyFont="1" applyFill="1" applyBorder="1" applyAlignment="1">
      <alignment horizontal="center" vertical="center" wrapText="1"/>
    </xf>
    <xf numFmtId="0" fontId="773" fillId="0" borderId="186" xfId="0" applyFont="1" applyFill="1" applyBorder="1" applyAlignment="1">
      <alignment horizontal="center" vertical="center" wrapText="1"/>
    </xf>
    <xf numFmtId="0" fontId="773" fillId="0" borderId="186" xfId="0" applyFont="1" applyFill="1" applyBorder="1" applyAlignment="1">
      <alignment horizontal="left" vertical="center" wrapText="1"/>
    </xf>
    <xf numFmtId="0" fontId="773" fillId="0" borderId="29" xfId="0" applyFont="1" applyFill="1" applyBorder="1" applyAlignment="1">
      <alignment horizontal="center" vertical="center" wrapText="1"/>
    </xf>
    <xf numFmtId="0" fontId="773" fillId="0" borderId="65" xfId="0" applyFont="1" applyFill="1" applyBorder="1" applyAlignment="1">
      <alignment horizontal="center" vertical="center" wrapText="1"/>
    </xf>
    <xf numFmtId="0" fontId="0" fillId="0" borderId="220"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92" xfId="0" applyBorder="1" applyAlignment="1" applyProtection="1">
      <alignment horizontal="center" vertical="center" wrapText="1"/>
    </xf>
    <xf numFmtId="0" fontId="0" fillId="0" borderId="265" xfId="0" applyBorder="1" applyAlignment="1" applyProtection="1">
      <alignment horizontal="center" vertical="center" wrapText="1"/>
    </xf>
    <xf numFmtId="0" fontId="0" fillId="0" borderId="29" xfId="0" applyBorder="1" applyAlignment="1" applyProtection="1">
      <alignment horizontal="center" vertical="center" wrapText="1"/>
    </xf>
    <xf numFmtId="0" fontId="0" fillId="0" borderId="65" xfId="0" applyBorder="1" applyAlignment="1" applyProtection="1">
      <alignment horizontal="center" vertical="center" wrapText="1"/>
    </xf>
    <xf numFmtId="0" fontId="0" fillId="0" borderId="261" xfId="0" applyBorder="1" applyAlignment="1" applyProtection="1">
      <alignment horizontal="center" vertical="center" wrapText="1"/>
    </xf>
    <xf numFmtId="0" fontId="0" fillId="0" borderId="257" xfId="0" applyBorder="1" applyAlignment="1" applyProtection="1">
      <alignment horizontal="center" vertical="center" wrapText="1"/>
    </xf>
    <xf numFmtId="0" fontId="762" fillId="0" borderId="0" xfId="0" applyFont="1" applyBorder="1" applyAlignment="1" applyProtection="1">
      <alignment horizontal="center" vertical="center" wrapText="1"/>
    </xf>
    <xf numFmtId="0" fontId="762" fillId="0" borderId="220" xfId="0" applyFont="1" applyBorder="1" applyAlignment="1" applyProtection="1">
      <alignment horizontal="center" vertical="center" wrapText="1"/>
    </xf>
    <xf numFmtId="177" fontId="0" fillId="0" borderId="0" xfId="0" applyNumberFormat="1" applyFill="1" applyBorder="1" applyAlignment="1" applyProtection="1">
      <alignment horizontal="center" vertical="center" wrapText="1"/>
    </xf>
    <xf numFmtId="0" fontId="762" fillId="0" borderId="65" xfId="0" applyFont="1" applyBorder="1" applyAlignment="1" applyProtection="1">
      <alignment horizontal="center" vertical="center" wrapText="1"/>
    </xf>
    <xf numFmtId="0" fontId="771" fillId="0" borderId="0" xfId="0" applyFont="1" applyBorder="1" applyAlignment="1">
      <alignment horizontal="center" vertical="center" wrapText="1"/>
    </xf>
    <xf numFmtId="0" fontId="771" fillId="0" borderId="92" xfId="0" applyFont="1" applyBorder="1" applyAlignment="1">
      <alignment horizontal="center" vertical="center" wrapText="1"/>
    </xf>
    <xf numFmtId="0" fontId="771" fillId="0" borderId="0" xfId="0" applyFont="1" applyFill="1" applyAlignment="1">
      <alignment horizontal="center" vertical="center" wrapText="1"/>
    </xf>
    <xf numFmtId="43" fontId="771" fillId="0" borderId="0" xfId="1" applyNumberFormat="1" applyFont="1" applyAlignment="1">
      <alignment wrapText="1"/>
    </xf>
    <xf numFmtId="43" fontId="767" fillId="0" borderId="0" xfId="1" applyNumberFormat="1" applyFont="1"/>
    <xf numFmtId="43" fontId="310" fillId="0" borderId="0" xfId="1" applyNumberFormat="1" applyFont="1" applyBorder="1" applyAlignment="1">
      <alignment vertical="center" wrapText="1"/>
    </xf>
    <xf numFmtId="43" fontId="122" fillId="0" borderId="210" xfId="1" applyNumberFormat="1" applyFont="1" applyBorder="1" applyAlignment="1">
      <alignment vertical="center" wrapText="1"/>
    </xf>
    <xf numFmtId="43" fontId="32" fillId="19" borderId="253" xfId="1" applyNumberFormat="1" applyFont="1" applyFill="1" applyBorder="1" applyAlignment="1">
      <alignment horizontal="center" vertical="center" wrapText="1"/>
    </xf>
    <xf numFmtId="43" fontId="3" fillId="19" borderId="253" xfId="1" applyNumberFormat="1" applyFont="1" applyFill="1" applyBorder="1" applyAlignment="1">
      <alignment horizontal="center" vertical="center" wrapText="1"/>
    </xf>
    <xf numFmtId="0" fontId="767" fillId="0" borderId="0" xfId="0" applyFont="1" applyAlignment="1">
      <alignment horizontal="center" vertical="center" wrapText="1"/>
    </xf>
    <xf numFmtId="0" fontId="767" fillId="0" borderId="65" xfId="0" applyFont="1" applyBorder="1" applyAlignment="1">
      <alignment horizontal="center" vertical="center" wrapText="1"/>
    </xf>
    <xf numFmtId="0" fontId="767" fillId="0" borderId="0" xfId="0" applyFont="1" applyBorder="1" applyAlignment="1">
      <alignment horizontal="center" vertical="center" wrapText="1"/>
    </xf>
    <xf numFmtId="0" fontId="767" fillId="465" borderId="0" xfId="0" applyFont="1" applyFill="1" applyBorder="1" applyAlignment="1">
      <alignment horizontal="center" vertical="center" wrapText="1"/>
    </xf>
    <xf numFmtId="0" fontId="767" fillId="493" borderId="253" xfId="0" applyFont="1" applyFill="1" applyBorder="1" applyAlignment="1">
      <alignment horizontal="center" vertical="center" wrapText="1"/>
    </xf>
    <xf numFmtId="0" fontId="767" fillId="465" borderId="0" xfId="0" applyFont="1" applyFill="1" applyAlignment="1">
      <alignment horizontal="center" vertical="center" wrapText="1"/>
    </xf>
    <xf numFmtId="0" fontId="771" fillId="465" borderId="0" xfId="0" applyFont="1" applyFill="1" applyAlignment="1">
      <alignment horizontal="center" vertical="center" wrapText="1"/>
    </xf>
    <xf numFmtId="43" fontId="771" fillId="0" borderId="0" xfId="1" applyFont="1" applyAlignment="1">
      <alignment horizontal="center" vertical="center" wrapText="1"/>
    </xf>
    <xf numFmtId="43" fontId="767" fillId="0" borderId="0" xfId="1" applyFont="1" applyBorder="1" applyAlignment="1">
      <alignment horizontal="center" vertical="center" wrapText="1"/>
    </xf>
    <xf numFmtId="0" fontId="767" fillId="0" borderId="247" xfId="0" applyFont="1" applyBorder="1" applyAlignment="1">
      <alignment horizontal="center" vertical="center" wrapText="1"/>
    </xf>
    <xf numFmtId="0" fontId="767" fillId="0" borderId="101" xfId="0" applyFont="1" applyBorder="1" applyAlignment="1">
      <alignment horizontal="center" vertical="center" wrapText="1"/>
    </xf>
    <xf numFmtId="0" fontId="771" fillId="0" borderId="0" xfId="0" applyFont="1" applyAlignment="1">
      <alignment wrapText="1"/>
    </xf>
    <xf numFmtId="0" fontId="771" fillId="0" borderId="0" xfId="0" applyFont="1" applyBorder="1" applyAlignment="1">
      <alignment wrapText="1"/>
    </xf>
    <xf numFmtId="0" fontId="771" fillId="0" borderId="0" xfId="0" applyFont="1" applyAlignment="1" applyProtection="1">
      <alignment wrapText="1"/>
      <protection locked="0"/>
    </xf>
    <xf numFmtId="0" fontId="767" fillId="0" borderId="0" xfId="0" applyFont="1"/>
    <xf numFmtId="43" fontId="767" fillId="0" borderId="0" xfId="1" applyFont="1"/>
    <xf numFmtId="0" fontId="771" fillId="0" borderId="0" xfId="0" applyFont="1" applyAlignment="1" applyProtection="1">
      <alignment horizontal="right" vertical="center" wrapText="1"/>
      <protection locked="0"/>
    </xf>
    <xf numFmtId="0" fontId="771" fillId="0" borderId="186" xfId="0" applyFont="1" applyBorder="1" applyAlignment="1" applyProtection="1">
      <alignment wrapText="1"/>
      <protection locked="0"/>
    </xf>
    <xf numFmtId="0" fontId="771" fillId="0" borderId="0" xfId="0" applyFont="1" applyBorder="1" applyAlignment="1" applyProtection="1">
      <alignment wrapText="1"/>
      <protection locked="0"/>
    </xf>
    <xf numFmtId="0" fontId="771" fillId="0" borderId="186" xfId="0" applyFont="1" applyFill="1" applyBorder="1" applyAlignment="1" applyProtection="1">
      <alignment vertical="center" wrapText="1"/>
      <protection locked="0"/>
    </xf>
    <xf numFmtId="0" fontId="771" fillId="0" borderId="0" xfId="0" applyFont="1" applyFill="1" applyBorder="1" applyAlignment="1" applyProtection="1">
      <alignment vertical="center" wrapText="1"/>
      <protection locked="0"/>
    </xf>
    <xf numFmtId="0" fontId="771" fillId="0" borderId="0" xfId="0" applyFont="1" applyBorder="1" applyAlignment="1" applyProtection="1">
      <alignment vertical="center" wrapText="1"/>
      <protection locked="0"/>
    </xf>
    <xf numFmtId="0" fontId="329" fillId="401" borderId="253" xfId="0" applyFont="1" applyFill="1" applyBorder="1"/>
    <xf numFmtId="43" fontId="3" fillId="401" borderId="253" xfId="1" applyFont="1" applyFill="1" applyBorder="1" applyAlignment="1">
      <alignment horizontal="center" vertical="center"/>
    </xf>
    <xf numFmtId="43" fontId="46" fillId="401" borderId="253" xfId="1" applyFont="1" applyFill="1" applyBorder="1" applyAlignment="1">
      <alignment horizontal="center" vertical="center"/>
    </xf>
    <xf numFmtId="0" fontId="668" fillId="401" borderId="253" xfId="0" applyFont="1" applyFill="1" applyBorder="1"/>
    <xf numFmtId="43" fontId="669" fillId="401" borderId="253" xfId="1" applyFont="1" applyFill="1" applyBorder="1" applyAlignment="1">
      <alignment horizontal="center" vertical="center"/>
    </xf>
    <xf numFmtId="43" fontId="284" fillId="401" borderId="253" xfId="1" applyFont="1" applyFill="1" applyBorder="1" applyAlignment="1">
      <alignment horizontal="center" vertical="center"/>
    </xf>
    <xf numFmtId="43" fontId="594" fillId="401" borderId="253" xfId="1" applyFont="1" applyFill="1" applyBorder="1" applyAlignment="1">
      <alignment horizontal="center" vertical="center"/>
    </xf>
    <xf numFmtId="0" fontId="113" fillId="401" borderId="253" xfId="0" applyFont="1" applyFill="1" applyBorder="1" applyAlignment="1">
      <alignment horizontal="center" vertical="center"/>
    </xf>
    <xf numFmtId="2" fontId="223" fillId="401" borderId="253" xfId="0" applyNumberFormat="1" applyFont="1" applyFill="1" applyBorder="1" applyAlignment="1">
      <alignment horizontal="center" vertical="center"/>
    </xf>
    <xf numFmtId="0" fontId="113" fillId="401" borderId="253" xfId="0" applyFont="1" applyFill="1" applyBorder="1" applyAlignment="1">
      <alignment horizontal="right"/>
    </xf>
    <xf numFmtId="0" fontId="771" fillId="0" borderId="258" xfId="0" applyFont="1" applyBorder="1" applyAlignment="1" applyProtection="1">
      <alignment wrapText="1"/>
      <protection locked="0"/>
    </xf>
    <xf numFmtId="0" fontId="771" fillId="0" borderId="189" xfId="0" applyFont="1" applyBorder="1" applyAlignment="1" applyProtection="1">
      <alignment wrapText="1"/>
      <protection locked="0"/>
    </xf>
    <xf numFmtId="0" fontId="771" fillId="0" borderId="271" xfId="0" applyFont="1" applyBorder="1" applyAlignment="1" applyProtection="1">
      <alignment wrapText="1"/>
      <protection locked="0"/>
    </xf>
    <xf numFmtId="0" fontId="413" fillId="241" borderId="253" xfId="0" applyFont="1" applyFill="1" applyBorder="1" applyAlignment="1">
      <alignment vertical="center"/>
    </xf>
    <xf numFmtId="0" fontId="93" fillId="55" borderId="253" xfId="0" applyFont="1" applyFill="1" applyBorder="1" applyAlignment="1">
      <alignment vertical="center" wrapText="1"/>
    </xf>
    <xf numFmtId="43" fontId="329" fillId="0" borderId="253" xfId="1" applyFont="1" applyBorder="1"/>
    <xf numFmtId="0" fontId="141" fillId="83" borderId="253" xfId="0" applyFont="1" applyFill="1" applyBorder="1" applyAlignment="1">
      <alignment vertical="center"/>
    </xf>
    <xf numFmtId="0" fontId="123" fillId="72" borderId="253" xfId="0" applyFont="1" applyFill="1" applyBorder="1" applyAlignment="1">
      <alignment vertical="center" wrapText="1"/>
    </xf>
    <xf numFmtId="0" fontId="50" fillId="33" borderId="253" xfId="0" applyFont="1" applyFill="1" applyBorder="1" applyAlignment="1">
      <alignment horizontal="center" vertical="center"/>
    </xf>
    <xf numFmtId="0" fontId="574" fillId="344" borderId="253" xfId="0" applyFont="1" applyFill="1" applyBorder="1" applyAlignment="1">
      <alignment horizontal="center" vertical="center"/>
    </xf>
    <xf numFmtId="0" fontId="1" fillId="344" borderId="253" xfId="0" applyFont="1" applyFill="1" applyBorder="1" applyAlignment="1">
      <alignment horizontal="center" vertical="center"/>
    </xf>
    <xf numFmtId="43" fontId="428" fillId="249" borderId="253" xfId="1" applyFont="1" applyFill="1" applyBorder="1" applyAlignment="1">
      <alignment horizontal="center" vertical="center"/>
    </xf>
    <xf numFmtId="0" fontId="0" fillId="0" borderId="253" xfId="0" applyBorder="1" applyAlignment="1">
      <alignment horizontal="center" vertical="center" wrapText="1"/>
    </xf>
    <xf numFmtId="0" fontId="640" fillId="401" borderId="253" xfId="0" applyFont="1" applyFill="1" applyBorder="1"/>
    <xf numFmtId="0" fontId="453" fillId="401" borderId="253" xfId="0" applyFont="1" applyFill="1" applyBorder="1" applyAlignment="1">
      <alignment horizontal="center" vertical="center"/>
    </xf>
    <xf numFmtId="2" fontId="488" fillId="401" borderId="253" xfId="0" applyNumberFormat="1" applyFont="1" applyFill="1" applyBorder="1" applyAlignment="1">
      <alignment horizontal="center" vertical="center"/>
    </xf>
    <xf numFmtId="172" fontId="272" fillId="401" borderId="253" xfId="0" applyNumberFormat="1" applyFont="1" applyFill="1" applyBorder="1" applyAlignment="1">
      <alignment horizontal="center" vertical="center"/>
    </xf>
    <xf numFmtId="43" fontId="701" fillId="401" borderId="253" xfId="1" applyFont="1" applyFill="1" applyBorder="1" applyAlignment="1">
      <alignment horizontal="center" vertical="center"/>
    </xf>
    <xf numFmtId="43" fontId="453" fillId="401" borderId="253" xfId="1" applyFont="1" applyFill="1" applyBorder="1" applyAlignment="1">
      <alignment horizontal="center" vertical="center"/>
    </xf>
    <xf numFmtId="43" fontId="488" fillId="401" borderId="253" xfId="1" applyFont="1" applyFill="1" applyBorder="1" applyAlignment="1">
      <alignment horizontal="center" vertical="center"/>
    </xf>
    <xf numFmtId="43" fontId="272" fillId="401" borderId="253" xfId="1" applyFont="1" applyFill="1" applyBorder="1" applyAlignment="1">
      <alignment horizontal="center" vertical="center"/>
    </xf>
    <xf numFmtId="43" fontId="561" fillId="401" borderId="253" xfId="1" applyFont="1" applyFill="1" applyBorder="1" applyAlignment="1">
      <alignment horizontal="center" vertical="center"/>
    </xf>
    <xf numFmtId="43" fontId="6" fillId="401" borderId="253" xfId="1" applyFont="1" applyFill="1" applyBorder="1" applyAlignment="1">
      <alignment horizontal="center"/>
    </xf>
    <xf numFmtId="43" fontId="3" fillId="401" borderId="253" xfId="1" applyFont="1" applyFill="1" applyBorder="1" applyAlignment="1">
      <alignment horizontal="center"/>
    </xf>
    <xf numFmtId="43" fontId="113" fillId="401" borderId="253" xfId="1" applyFont="1" applyFill="1" applyBorder="1" applyAlignment="1">
      <alignment horizontal="center" vertical="center"/>
    </xf>
    <xf numFmtId="0" fontId="3" fillId="401" borderId="253" xfId="0" applyFont="1" applyFill="1" applyBorder="1"/>
    <xf numFmtId="0" fontId="3" fillId="401" borderId="253" xfId="0" applyFont="1" applyFill="1" applyBorder="1" applyAlignment="1">
      <alignment horizontal="center" vertical="center"/>
    </xf>
    <xf numFmtId="43" fontId="223" fillId="401" borderId="253" xfId="1" applyFont="1" applyFill="1" applyBorder="1" applyAlignment="1">
      <alignment horizontal="center" vertical="center"/>
    </xf>
    <xf numFmtId="164" fontId="771" fillId="0" borderId="0" xfId="0" applyNumberFormat="1" applyFont="1" applyAlignment="1">
      <alignment wrapText="1"/>
    </xf>
    <xf numFmtId="0" fontId="771" fillId="0" borderId="0" xfId="0" applyFont="1" applyFill="1" applyAlignment="1">
      <alignment wrapText="1"/>
    </xf>
    <xf numFmtId="0" fontId="771" fillId="0" borderId="0" xfId="0" applyNumberFormat="1" applyFont="1" applyFill="1" applyAlignment="1">
      <alignment wrapText="1"/>
    </xf>
    <xf numFmtId="0" fontId="771" fillId="0" borderId="0" xfId="0" applyFont="1" applyFill="1" applyBorder="1" applyAlignment="1">
      <alignment horizontal="center" wrapText="1"/>
    </xf>
    <xf numFmtId="0" fontId="771" fillId="0" borderId="0" xfId="0" applyNumberFormat="1" applyFont="1" applyFill="1" applyBorder="1" applyAlignment="1">
      <alignment horizontal="center" wrapText="1"/>
    </xf>
    <xf numFmtId="43" fontId="787" fillId="0" borderId="0" xfId="1" applyFont="1" applyFill="1" applyBorder="1" applyAlignment="1">
      <alignment horizontal="center" vertical="center"/>
    </xf>
    <xf numFmtId="0" fontId="787" fillId="0" borderId="0" xfId="1" applyNumberFormat="1" applyFont="1" applyFill="1" applyBorder="1" applyAlignment="1">
      <alignment horizontal="center" vertical="center"/>
    </xf>
    <xf numFmtId="43" fontId="767" fillId="0" borderId="0" xfId="1" applyFont="1" applyFill="1" applyBorder="1" applyAlignment="1">
      <alignment horizontal="center" vertical="center"/>
    </xf>
    <xf numFmtId="0" fontId="767" fillId="0" borderId="0" xfId="1" applyNumberFormat="1" applyFont="1" applyFill="1" applyBorder="1" applyAlignment="1">
      <alignment horizontal="center" vertical="center"/>
    </xf>
    <xf numFmtId="0" fontId="771" fillId="0" borderId="0" xfId="0" applyNumberFormat="1" applyFont="1" applyAlignment="1">
      <alignment horizontal="center" wrapText="1"/>
    </xf>
    <xf numFmtId="0" fontId="767" fillId="0" borderId="0" xfId="0" applyFont="1" applyFill="1" applyBorder="1" applyAlignment="1">
      <alignment horizontal="center" vertical="center"/>
    </xf>
    <xf numFmtId="0" fontId="767" fillId="0" borderId="0" xfId="0" applyNumberFormat="1" applyFont="1" applyFill="1" applyBorder="1" applyAlignment="1">
      <alignment horizontal="center" vertical="center"/>
    </xf>
    <xf numFmtId="0" fontId="762" fillId="476" borderId="0" xfId="0" applyFont="1" applyFill="1" applyBorder="1" applyAlignment="1" applyProtection="1">
      <alignment horizontal="center" vertical="center" wrapText="1"/>
    </xf>
    <xf numFmtId="0" fontId="772" fillId="0" borderId="220" xfId="0" applyFont="1" applyBorder="1" applyAlignment="1" applyProtection="1">
      <alignment horizontal="center" vertical="center" wrapText="1"/>
    </xf>
    <xf numFmtId="178" fontId="0" fillId="388" borderId="0" xfId="1" applyNumberFormat="1" applyFont="1" applyFill="1" applyBorder="1" applyAlignment="1" applyProtection="1">
      <alignment horizontal="center" vertical="center" wrapText="1"/>
    </xf>
    <xf numFmtId="178" fontId="0" fillId="401" borderId="0" xfId="1" applyNumberFormat="1" applyFont="1" applyFill="1" applyBorder="1" applyAlignment="1" applyProtection="1">
      <alignment horizontal="center" vertical="center" wrapText="1"/>
    </xf>
    <xf numFmtId="0" fontId="0" fillId="474" borderId="0" xfId="1" applyNumberFormat="1" applyFont="1" applyFill="1" applyBorder="1" applyAlignment="1" applyProtection="1">
      <alignment horizontal="center" vertical="center" wrapText="1"/>
    </xf>
    <xf numFmtId="0" fontId="773" fillId="0" borderId="0" xfId="0" applyFont="1" applyFill="1" applyAlignment="1">
      <alignment horizontal="center" vertical="center" wrapText="1"/>
    </xf>
    <xf numFmtId="0" fontId="773" fillId="0" borderId="92" xfId="0" applyFont="1" applyFill="1" applyBorder="1" applyAlignment="1">
      <alignment horizontal="center" vertical="center" wrapText="1"/>
    </xf>
    <xf numFmtId="0" fontId="786" fillId="0" borderId="253" xfId="0" applyFont="1" applyBorder="1" applyAlignment="1">
      <alignment horizontal="center" vertical="center" wrapText="1"/>
    </xf>
    <xf numFmtId="0" fontId="786" fillId="494" borderId="253" xfId="0" applyFont="1" applyFill="1" applyBorder="1" applyAlignment="1">
      <alignment horizontal="center" vertical="center" wrapText="1"/>
    </xf>
    <xf numFmtId="0" fontId="786" fillId="0" borderId="0" xfId="0" applyFont="1" applyBorder="1" applyAlignment="1">
      <alignment horizontal="center" vertical="center" wrapText="1"/>
    </xf>
    <xf numFmtId="0" fontId="788" fillId="0" borderId="0" xfId="0" applyFont="1" applyFill="1" applyBorder="1" applyAlignment="1">
      <alignment horizontal="center" vertical="top"/>
    </xf>
    <xf numFmtId="0" fontId="766" fillId="0" borderId="0" xfId="0" applyFont="1" applyFill="1" applyBorder="1" applyAlignment="1">
      <alignment horizontal="left" vertical="top"/>
    </xf>
    <xf numFmtId="0" fontId="773" fillId="0" borderId="0" xfId="1" applyNumberFormat="1" applyFont="1" applyAlignment="1">
      <alignment horizontal="center" vertical="center" wrapText="1"/>
    </xf>
    <xf numFmtId="43" fontId="766" fillId="0" borderId="0" xfId="1" applyFont="1" applyBorder="1" applyAlignment="1"/>
    <xf numFmtId="0" fontId="773" fillId="0" borderId="0" xfId="0" applyFont="1" applyFill="1" applyBorder="1" applyAlignment="1" applyProtection="1">
      <alignment horizontal="left" vertical="center" wrapText="1"/>
      <protection locked="0"/>
    </xf>
    <xf numFmtId="0" fontId="773" fillId="0" borderId="92" xfId="0" applyFont="1" applyFill="1" applyBorder="1" applyAlignment="1" applyProtection="1">
      <alignment horizontal="left" vertical="center" wrapText="1"/>
      <protection locked="0"/>
    </xf>
    <xf numFmtId="0" fontId="773" fillId="0" borderId="0" xfId="0" applyFont="1" applyBorder="1" applyAlignment="1" applyProtection="1">
      <alignment horizontal="right" vertical="center" wrapText="1"/>
      <protection locked="0"/>
    </xf>
    <xf numFmtId="0" fontId="773" fillId="0" borderId="92" xfId="0" applyFont="1" applyBorder="1" applyAlignment="1" applyProtection="1">
      <alignment horizontal="right" vertical="center" wrapText="1"/>
      <protection locked="0"/>
    </xf>
    <xf numFmtId="0" fontId="773" fillId="0" borderId="0" xfId="0" applyFont="1" applyBorder="1" applyAlignment="1" applyProtection="1">
      <alignment vertical="center" wrapText="1"/>
      <protection locked="0"/>
    </xf>
    <xf numFmtId="0" fontId="773" fillId="0" borderId="92" xfId="0" applyFont="1" applyBorder="1" applyAlignment="1" applyProtection="1">
      <alignment vertical="center" wrapText="1"/>
      <protection locked="0"/>
    </xf>
    <xf numFmtId="2" fontId="771" fillId="0" borderId="186" xfId="0" applyNumberFormat="1" applyFont="1" applyFill="1" applyBorder="1" applyAlignment="1">
      <alignment horizontal="center" vertical="center" wrapText="1"/>
    </xf>
    <xf numFmtId="0" fontId="771" fillId="0" borderId="186" xfId="0" applyFont="1" applyBorder="1" applyAlignment="1">
      <alignment horizontal="center" vertical="center" wrapText="1"/>
    </xf>
    <xf numFmtId="164" fontId="243" fillId="144" borderId="0" xfId="0" applyNumberFormat="1" applyFont="1" applyFill="1" applyAlignment="1" applyProtection="1">
      <alignment horizontal="center" vertical="center"/>
      <protection locked="0"/>
    </xf>
    <xf numFmtId="164" fontId="108" fillId="64" borderId="0" xfId="0" applyNumberFormat="1" applyFont="1" applyFill="1" applyAlignment="1" applyProtection="1">
      <alignment horizontal="center" vertical="center"/>
      <protection locked="0"/>
    </xf>
    <xf numFmtId="0" fontId="3" fillId="0" borderId="0" xfId="0" applyFont="1" applyFill="1" applyBorder="1" applyAlignment="1" applyProtection="1">
      <alignment vertical="center" wrapText="1"/>
      <protection locked="0"/>
    </xf>
    <xf numFmtId="43" fontId="767" fillId="0" borderId="0" xfId="1" applyNumberFormat="1" applyFont="1" applyAlignment="1">
      <alignment horizontal="center"/>
    </xf>
    <xf numFmtId="43" fontId="779" fillId="52" borderId="26" xfId="3" applyNumberFormat="1" applyFont="1" applyFill="1" applyBorder="1" applyAlignment="1" applyProtection="1">
      <alignment horizontal="center" vertical="center" wrapText="1"/>
    </xf>
    <xf numFmtId="43" fontId="436" fillId="256" borderId="141" xfId="1" applyNumberFormat="1" applyFont="1" applyFill="1" applyBorder="1" applyAlignment="1">
      <alignment horizontal="center" vertical="center" wrapText="1"/>
    </xf>
    <xf numFmtId="43" fontId="87" fillId="299" borderId="240" xfId="1" applyNumberFormat="1" applyFont="1" applyFill="1" applyBorder="1" applyAlignment="1">
      <alignment horizontal="center" vertical="center" wrapText="1"/>
    </xf>
    <xf numFmtId="43" fontId="87" fillId="299" borderId="210" xfId="1" applyNumberFormat="1" applyFont="1" applyFill="1" applyBorder="1" applyAlignment="1">
      <alignment horizontal="center" vertical="center" wrapText="1"/>
    </xf>
    <xf numFmtId="43" fontId="133" fillId="80" borderId="39" xfId="1" applyNumberFormat="1" applyFont="1" applyFill="1" applyBorder="1" applyAlignment="1">
      <alignment horizontal="center" vertical="center" wrapText="1"/>
    </xf>
    <xf numFmtId="43" fontId="627" fillId="380" borderId="201" xfId="1" applyNumberFormat="1" applyFont="1" applyFill="1" applyBorder="1" applyAlignment="1">
      <alignment horizontal="center" vertical="center" wrapText="1"/>
    </xf>
    <xf numFmtId="43" fontId="225" fillId="137" borderId="74" xfId="1" applyNumberFormat="1" applyFont="1" applyFill="1" applyBorder="1" applyAlignment="1">
      <alignment horizontal="center" vertical="center" wrapText="1"/>
    </xf>
    <xf numFmtId="43" fontId="87" fillId="333" borderId="176" xfId="1" applyNumberFormat="1" applyFont="1" applyFill="1" applyBorder="1" applyAlignment="1">
      <alignment vertical="center" wrapText="1"/>
    </xf>
    <xf numFmtId="43" fontId="705" fillId="424" borderId="226" xfId="1" applyNumberFormat="1" applyFont="1" applyFill="1" applyBorder="1" applyAlignment="1">
      <alignment vertical="center" wrapText="1"/>
    </xf>
    <xf numFmtId="43" fontId="558" fillId="333" borderId="176" xfId="1" applyNumberFormat="1" applyFont="1" applyFill="1" applyBorder="1" applyAlignment="1">
      <alignment vertical="center" wrapText="1"/>
    </xf>
    <xf numFmtId="43" fontId="767" fillId="0" borderId="0" xfId="1" applyNumberFormat="1" applyFont="1" applyAlignment="1">
      <alignment horizontal="center" vertical="center"/>
    </xf>
    <xf numFmtId="0" fontId="491" fillId="0" borderId="0" xfId="0" applyFont="1" applyAlignment="1">
      <alignment horizontal="center" vertical="center" wrapText="1"/>
    </xf>
    <xf numFmtId="0" fontId="114" fillId="0" borderId="0" xfId="0" applyFont="1" applyAlignment="1">
      <alignment horizontal="center" vertical="center" wrapText="1"/>
    </xf>
    <xf numFmtId="0" fontId="507" fillId="0" borderId="0" xfId="0" applyFont="1" applyAlignment="1">
      <alignment horizontal="center" vertical="center" wrapText="1"/>
    </xf>
    <xf numFmtId="0" fontId="20" fillId="12" borderId="253" xfId="0" applyFont="1" applyFill="1" applyBorder="1" applyAlignment="1">
      <alignment horizontal="center" vertical="center" textRotation="90" wrapText="1"/>
    </xf>
    <xf numFmtId="0" fontId="741" fillId="0" borderId="253" xfId="0" applyFont="1" applyBorder="1" applyAlignment="1">
      <alignment horizontal="center" vertical="center" wrapText="1"/>
    </xf>
    <xf numFmtId="0" fontId="614" fillId="371" borderId="245" xfId="0" applyFont="1" applyFill="1" applyBorder="1" applyAlignment="1">
      <alignment horizontal="center" vertical="center" wrapText="1"/>
    </xf>
    <xf numFmtId="0" fontId="530" fillId="0" borderId="245" xfId="0" applyFont="1" applyBorder="1" applyAlignment="1">
      <alignment horizontal="center" vertical="center" wrapText="1"/>
    </xf>
    <xf numFmtId="0" fontId="758" fillId="0" borderId="245" xfId="0" applyFont="1" applyBorder="1" applyAlignment="1">
      <alignment horizontal="center" vertical="center" wrapText="1"/>
    </xf>
    <xf numFmtId="0" fontId="471" fillId="0" borderId="245" xfId="0" applyFont="1" applyBorder="1" applyAlignment="1">
      <alignment horizontal="center" vertical="center" wrapText="1"/>
    </xf>
    <xf numFmtId="0" fontId="748" fillId="447" borderId="244" xfId="0" applyFont="1" applyFill="1" applyBorder="1" applyAlignment="1">
      <alignment horizontal="center" vertical="center" wrapText="1"/>
    </xf>
    <xf numFmtId="0" fontId="316" fillId="187" borderId="106" xfId="0" applyFont="1" applyFill="1" applyBorder="1" applyAlignment="1">
      <alignment horizontal="center" vertical="center" wrapText="1"/>
    </xf>
    <xf numFmtId="0" fontId="523" fillId="310" borderId="167" xfId="0" applyFont="1" applyFill="1" applyBorder="1" applyAlignment="1">
      <alignment horizontal="center" vertical="center" wrapText="1"/>
    </xf>
    <xf numFmtId="0" fontId="588" fillId="353" borderId="189" xfId="0" applyFont="1" applyFill="1" applyBorder="1" applyAlignment="1">
      <alignment horizontal="center" vertical="center" wrapText="1"/>
    </xf>
    <xf numFmtId="0" fontId="262" fillId="157" borderId="86" xfId="0" applyFont="1" applyFill="1" applyBorder="1" applyAlignment="1">
      <alignment horizontal="center" vertical="center" wrapText="1"/>
    </xf>
    <xf numFmtId="0" fontId="469" fillId="278" borderId="152" xfId="0" applyFont="1" applyFill="1" applyBorder="1" applyAlignment="1">
      <alignment horizontal="center" vertical="center" wrapText="1"/>
    </xf>
    <xf numFmtId="0" fontId="477" fillId="284" borderId="155" xfId="0" applyFont="1" applyFill="1" applyBorder="1" applyAlignment="1">
      <alignment horizontal="center" vertical="center" wrapText="1"/>
    </xf>
    <xf numFmtId="0" fontId="163" fillId="103" borderId="102" xfId="0" applyFont="1" applyFill="1" applyBorder="1" applyAlignment="1" applyProtection="1">
      <alignment horizontal="center" vertical="center" wrapText="1"/>
      <protection locked="0"/>
    </xf>
    <xf numFmtId="0" fontId="163" fillId="103" borderId="224" xfId="0" applyFont="1" applyFill="1" applyBorder="1" applyAlignment="1" applyProtection="1">
      <alignment horizontal="center" vertical="center" wrapText="1"/>
      <protection locked="0"/>
    </xf>
    <xf numFmtId="0" fontId="312" fillId="185" borderId="0" xfId="0" applyFont="1" applyFill="1" applyBorder="1" applyAlignment="1">
      <alignment horizontal="center" vertical="center" wrapText="1"/>
    </xf>
    <xf numFmtId="0" fontId="528" fillId="314" borderId="0" xfId="0" applyFont="1" applyFill="1" applyBorder="1" applyAlignment="1">
      <alignment horizontal="center" vertical="center" wrapText="1"/>
    </xf>
    <xf numFmtId="0" fontId="308" fillId="450" borderId="253" xfId="0" applyFont="1" applyFill="1" applyBorder="1" applyAlignment="1">
      <alignment horizontal="center" vertical="center" wrapText="1"/>
    </xf>
    <xf numFmtId="0" fontId="675" fillId="450" borderId="253" xfId="0" applyFont="1" applyFill="1" applyBorder="1" applyAlignment="1">
      <alignment horizontal="center" vertical="center" wrapText="1"/>
    </xf>
    <xf numFmtId="0" fontId="321" fillId="450" borderId="253" xfId="0" applyFont="1" applyFill="1" applyBorder="1" applyAlignment="1">
      <alignment horizontal="center" vertical="center" wrapText="1"/>
    </xf>
    <xf numFmtId="2" fontId="545" fillId="450" borderId="253" xfId="0" applyNumberFormat="1" applyFont="1" applyFill="1" applyBorder="1" applyAlignment="1">
      <alignment horizontal="center" vertical="center" wrapText="1"/>
    </xf>
    <xf numFmtId="0" fontId="582" fillId="450" borderId="253" xfId="0" applyNumberFormat="1" applyFont="1" applyFill="1" applyBorder="1" applyAlignment="1">
      <alignment horizontal="center" vertical="center" wrapText="1"/>
    </xf>
    <xf numFmtId="0" fontId="687" fillId="491" borderId="253" xfId="0" applyFont="1" applyFill="1" applyBorder="1" applyAlignment="1">
      <alignment horizontal="center" vertical="center" wrapText="1"/>
    </xf>
    <xf numFmtId="0" fontId="241" fillId="491" borderId="253" xfId="0" applyFont="1" applyFill="1" applyBorder="1" applyAlignment="1">
      <alignment horizontal="center" vertical="center" wrapText="1"/>
    </xf>
    <xf numFmtId="0" fontId="608" fillId="486" borderId="253" xfId="0" applyFont="1" applyFill="1" applyBorder="1" applyAlignment="1">
      <alignment horizontal="center" vertical="center" textRotation="90" wrapText="1"/>
    </xf>
    <xf numFmtId="0" fontId="665" fillId="486" borderId="253" xfId="0" applyFont="1" applyFill="1" applyBorder="1" applyAlignment="1">
      <alignment horizontal="center" vertical="center" wrapText="1"/>
    </xf>
    <xf numFmtId="0" fontId="185" fillId="486" borderId="253" xfId="0" applyFont="1" applyFill="1" applyBorder="1" applyAlignment="1">
      <alignment horizontal="center" vertical="center" wrapText="1"/>
    </xf>
    <xf numFmtId="0" fontId="675" fillId="486" borderId="253" xfId="0" applyFont="1" applyFill="1" applyBorder="1" applyAlignment="1">
      <alignment horizontal="center" vertical="center" wrapText="1"/>
    </xf>
    <xf numFmtId="0" fontId="321" fillId="486" borderId="253" xfId="0" applyFont="1" applyFill="1" applyBorder="1" applyAlignment="1">
      <alignment horizontal="center" vertical="center" wrapText="1"/>
    </xf>
    <xf numFmtId="2" fontId="545" fillId="486" borderId="253" xfId="0" applyNumberFormat="1" applyFont="1" applyFill="1" applyBorder="1" applyAlignment="1">
      <alignment horizontal="center" vertical="center" wrapText="1"/>
    </xf>
    <xf numFmtId="0" fontId="582" fillId="486" borderId="253" xfId="0" applyNumberFormat="1" applyFont="1" applyFill="1" applyBorder="1" applyAlignment="1">
      <alignment horizontal="center" vertical="center" wrapText="1"/>
    </xf>
    <xf numFmtId="0" fontId="3" fillId="0" borderId="240" xfId="0" applyFont="1" applyBorder="1" applyAlignment="1">
      <alignment horizontal="center" vertical="center" wrapText="1"/>
    </xf>
    <xf numFmtId="0" fontId="378" fillId="462" borderId="253" xfId="0" applyFont="1" applyFill="1" applyBorder="1" applyAlignment="1">
      <alignment horizontal="center" vertical="center" wrapText="1"/>
    </xf>
    <xf numFmtId="0" fontId="6" fillId="462" borderId="253" xfId="0" applyFont="1" applyFill="1" applyBorder="1" applyAlignment="1">
      <alignment horizontal="center" vertical="center" textRotation="90" wrapText="1"/>
    </xf>
    <xf numFmtId="0" fontId="640" fillId="0" borderId="240" xfId="0" applyFont="1" applyBorder="1" applyAlignment="1">
      <alignment horizontal="center" vertical="center" wrapText="1"/>
    </xf>
    <xf numFmtId="0" fontId="201" fillId="490" borderId="253" xfId="0" applyFont="1" applyFill="1" applyBorder="1" applyAlignment="1">
      <alignment horizontal="center" vertical="center" wrapText="1"/>
    </xf>
    <xf numFmtId="0" fontId="689" fillId="490" borderId="253" xfId="0" applyFont="1" applyFill="1" applyBorder="1" applyAlignment="1">
      <alignment horizontal="center" vertical="center" wrapText="1"/>
    </xf>
    <xf numFmtId="0" fontId="208" fillId="490" borderId="253" xfId="0" applyFont="1" applyFill="1" applyBorder="1" applyAlignment="1">
      <alignment horizontal="center" vertical="center" wrapText="1"/>
    </xf>
    <xf numFmtId="0" fontId="3" fillId="491" borderId="239" xfId="0" applyFont="1" applyFill="1" applyBorder="1" applyAlignment="1">
      <alignment horizontal="center" vertical="center" wrapText="1"/>
    </xf>
    <xf numFmtId="0" fontId="3" fillId="491" borderId="201" xfId="0" applyFont="1" applyFill="1" applyBorder="1" applyAlignment="1">
      <alignment horizontal="center" vertical="center" wrapText="1"/>
    </xf>
    <xf numFmtId="0" fontId="3" fillId="491" borderId="188" xfId="0" applyFont="1" applyFill="1" applyBorder="1" applyAlignment="1">
      <alignment horizontal="center" vertical="center" wrapText="1"/>
    </xf>
    <xf numFmtId="0" fontId="1" fillId="450" borderId="239" xfId="0" applyFont="1" applyFill="1" applyBorder="1" applyAlignment="1">
      <alignment horizontal="center" vertical="center" wrapText="1"/>
    </xf>
    <xf numFmtId="0" fontId="1" fillId="450" borderId="201" xfId="0" applyFont="1" applyFill="1" applyBorder="1" applyAlignment="1">
      <alignment horizontal="center" vertical="center" wrapText="1"/>
    </xf>
    <xf numFmtId="0" fontId="1" fillId="450" borderId="188" xfId="0" applyFont="1" applyFill="1" applyBorder="1" applyAlignment="1">
      <alignment horizontal="center" vertical="center" wrapText="1"/>
    </xf>
    <xf numFmtId="0" fontId="726" fillId="490" borderId="239" xfId="0" applyFont="1" applyFill="1" applyBorder="1" applyAlignment="1">
      <alignment horizontal="center" vertical="center" wrapText="1"/>
    </xf>
    <xf numFmtId="0" fontId="726" fillId="490" borderId="201" xfId="0" applyFont="1" applyFill="1" applyBorder="1" applyAlignment="1">
      <alignment horizontal="center" vertical="center" wrapText="1"/>
    </xf>
    <xf numFmtId="0" fontId="726" fillId="490" borderId="188" xfId="0" applyFont="1" applyFill="1" applyBorder="1" applyAlignment="1">
      <alignment horizontal="center" vertical="center" wrapText="1"/>
    </xf>
    <xf numFmtId="0" fontId="3" fillId="462" borderId="239" xfId="0" applyFont="1" applyFill="1" applyBorder="1" applyAlignment="1">
      <alignment horizontal="center" vertical="center" wrapText="1"/>
    </xf>
    <xf numFmtId="0" fontId="3" fillId="462" borderId="188" xfId="0" applyFont="1" applyFill="1" applyBorder="1" applyAlignment="1">
      <alignment horizontal="center" vertical="center" wrapText="1"/>
    </xf>
    <xf numFmtId="2" fontId="3" fillId="463" borderId="253" xfId="0" applyNumberFormat="1" applyFont="1" applyFill="1" applyBorder="1" applyAlignment="1">
      <alignment horizontal="center" vertical="center" wrapText="1"/>
    </xf>
    <xf numFmtId="0" fontId="294" fillId="490" borderId="253" xfId="0" applyFont="1" applyFill="1" applyBorder="1" applyAlignment="1">
      <alignment horizontal="center" vertical="center" wrapText="1"/>
    </xf>
    <xf numFmtId="0" fontId="3" fillId="486" borderId="239" xfId="0" applyFont="1" applyFill="1" applyBorder="1" applyAlignment="1">
      <alignment horizontal="center" vertical="center" wrapText="1"/>
    </xf>
    <xf numFmtId="0" fontId="3" fillId="486" borderId="201" xfId="0" applyFont="1" applyFill="1" applyBorder="1" applyAlignment="1">
      <alignment horizontal="center" vertical="center" wrapText="1"/>
    </xf>
    <xf numFmtId="0" fontId="3" fillId="486" borderId="188" xfId="0" applyFont="1" applyFill="1" applyBorder="1" applyAlignment="1">
      <alignment horizontal="center" vertical="center" wrapText="1"/>
    </xf>
    <xf numFmtId="0" fontId="467" fillId="490" borderId="253" xfId="0" applyFont="1" applyFill="1" applyBorder="1" applyAlignment="1">
      <alignment horizontal="center" vertical="center" wrapText="1"/>
    </xf>
    <xf numFmtId="0" fontId="268" fillId="488" borderId="221" xfId="0" applyFont="1" applyFill="1" applyBorder="1" applyAlignment="1">
      <alignment horizontal="center" vertical="center" wrapText="1"/>
    </xf>
    <xf numFmtId="0" fontId="657" fillId="488" borderId="221" xfId="0" applyFont="1" applyFill="1" applyBorder="1" applyAlignment="1">
      <alignment horizontal="center" vertical="center" wrapText="1"/>
    </xf>
    <xf numFmtId="0" fontId="617" fillId="487" borderId="221" xfId="0" applyFont="1" applyFill="1" applyBorder="1" applyAlignment="1">
      <alignment horizontal="center" vertical="center" wrapText="1"/>
    </xf>
    <xf numFmtId="0" fontId="462" fillId="487" borderId="221" xfId="0" applyFont="1" applyFill="1" applyBorder="1" applyAlignment="1">
      <alignment horizontal="center" vertical="center" wrapText="1"/>
    </xf>
    <xf numFmtId="0" fontId="3" fillId="487" borderId="253" xfId="0" applyFont="1" applyFill="1" applyBorder="1" applyAlignment="1">
      <alignment horizontal="center" vertical="center" wrapText="1"/>
    </xf>
    <xf numFmtId="0" fontId="402" fillId="487" borderId="253" xfId="0" applyFont="1" applyFill="1" applyBorder="1" applyAlignment="1">
      <alignment horizontal="center" vertical="center" wrapText="1"/>
    </xf>
    <xf numFmtId="0" fontId="3" fillId="488" borderId="253" xfId="0" applyFont="1" applyFill="1" applyBorder="1" applyAlignment="1">
      <alignment horizontal="center" vertical="center" wrapText="1"/>
    </xf>
    <xf numFmtId="0" fontId="746" fillId="488" borderId="253" xfId="0" applyFont="1" applyFill="1" applyBorder="1" applyAlignment="1">
      <alignment horizontal="center" vertical="center" wrapText="1"/>
    </xf>
    <xf numFmtId="0" fontId="3" fillId="489" borderId="253" xfId="0" applyFont="1" applyFill="1" applyBorder="1" applyAlignment="1">
      <alignment horizontal="center" vertical="center" wrapText="1"/>
    </xf>
    <xf numFmtId="0" fontId="273" fillId="489" borderId="253" xfId="0" applyFont="1" applyFill="1" applyBorder="1" applyAlignment="1">
      <alignment horizontal="center" vertical="center" wrapText="1"/>
    </xf>
    <xf numFmtId="0" fontId="640" fillId="467" borderId="239" xfId="0" applyFont="1" applyFill="1" applyBorder="1" applyAlignment="1" applyProtection="1">
      <alignment horizontal="center" vertical="center" wrapText="1"/>
      <protection locked="0"/>
    </xf>
    <xf numFmtId="0" fontId="640" fillId="467" borderId="188" xfId="0" applyFont="1" applyFill="1" applyBorder="1" applyAlignment="1" applyProtection="1">
      <alignment horizontal="center" vertical="center" wrapText="1"/>
      <protection locked="0"/>
    </xf>
    <xf numFmtId="0" fontId="78" fillId="489" borderId="20" xfId="0" applyFont="1" applyFill="1" applyBorder="1" applyAlignment="1">
      <alignment horizontal="center" vertical="center" wrapText="1"/>
    </xf>
    <xf numFmtId="0" fontId="213" fillId="489" borderId="69" xfId="0" applyFont="1" applyFill="1" applyBorder="1" applyAlignment="1">
      <alignment horizontal="center" vertical="center" wrapText="1"/>
    </xf>
    <xf numFmtId="0" fontId="553" fillId="463" borderId="253" xfId="0" applyFont="1" applyFill="1" applyBorder="1" applyAlignment="1">
      <alignment horizontal="center" vertical="center" wrapText="1"/>
    </xf>
    <xf numFmtId="0" fontId="392" fillId="463" borderId="253" xfId="0" applyFont="1" applyFill="1" applyBorder="1" applyAlignment="1">
      <alignment horizontal="center" vertical="center" wrapText="1"/>
    </xf>
    <xf numFmtId="0" fontId="3" fillId="463" borderId="253" xfId="0" applyFont="1" applyFill="1" applyBorder="1" applyAlignment="1">
      <alignment horizontal="center" vertical="center" wrapText="1"/>
    </xf>
    <xf numFmtId="0" fontId="327" fillId="463" borderId="253" xfId="0" applyFont="1" applyFill="1" applyBorder="1" applyAlignment="1">
      <alignment horizontal="center" vertical="center" wrapText="1"/>
    </xf>
    <xf numFmtId="0" fontId="462" fillId="487" borderId="253" xfId="0" applyFont="1" applyFill="1" applyBorder="1" applyAlignment="1">
      <alignment horizontal="center" vertical="center" wrapText="1"/>
    </xf>
    <xf numFmtId="0" fontId="234" fillId="487" borderId="75" xfId="0" applyFont="1" applyFill="1" applyBorder="1" applyAlignment="1">
      <alignment horizontal="center" vertical="center" wrapText="1"/>
    </xf>
    <xf numFmtId="0" fontId="719" fillId="487" borderId="232" xfId="0" applyFont="1" applyFill="1" applyBorder="1" applyAlignment="1">
      <alignment horizontal="center" vertical="center" wrapText="1"/>
    </xf>
    <xf numFmtId="0" fontId="3" fillId="463" borderId="189" xfId="0" applyFont="1" applyFill="1" applyBorder="1" applyAlignment="1">
      <alignment horizontal="center" vertical="center" wrapText="1"/>
    </xf>
    <xf numFmtId="0" fontId="3" fillId="463" borderId="221" xfId="0" applyFont="1" applyFill="1" applyBorder="1" applyAlignment="1">
      <alignment horizontal="center" vertical="center" wrapText="1"/>
    </xf>
    <xf numFmtId="0" fontId="3" fillId="489" borderId="189" xfId="0" applyFont="1" applyFill="1" applyBorder="1" applyAlignment="1">
      <alignment horizontal="center" vertical="center" wrapText="1"/>
    </xf>
    <xf numFmtId="0" fontId="3" fillId="489" borderId="221" xfId="0" applyFont="1" applyFill="1" applyBorder="1" applyAlignment="1">
      <alignment horizontal="center" vertical="center" wrapText="1"/>
    </xf>
    <xf numFmtId="0" fontId="3" fillId="487" borderId="189" xfId="0" applyFont="1" applyFill="1" applyBorder="1" applyAlignment="1">
      <alignment horizontal="center" vertical="center" wrapText="1"/>
    </xf>
    <xf numFmtId="0" fontId="3" fillId="487" borderId="221" xfId="0" applyFont="1" applyFill="1" applyBorder="1" applyAlignment="1">
      <alignment horizontal="center" vertical="center" wrapText="1"/>
    </xf>
    <xf numFmtId="0" fontId="78" fillId="489" borderId="253" xfId="0" applyFont="1" applyFill="1" applyBorder="1" applyAlignment="1">
      <alignment horizontal="center" vertical="center" wrapText="1"/>
    </xf>
    <xf numFmtId="0" fontId="213" fillId="489" borderId="253" xfId="0" applyFont="1" applyFill="1" applyBorder="1" applyAlignment="1">
      <alignment horizontal="center" vertical="center" wrapText="1"/>
    </xf>
    <xf numFmtId="0" fontId="719" fillId="487" borderId="253" xfId="0" applyFont="1" applyFill="1" applyBorder="1" applyAlignment="1">
      <alignment horizontal="center" vertical="center" wrapText="1"/>
    </xf>
    <xf numFmtId="0" fontId="35" fillId="247" borderId="265" xfId="0" applyFont="1" applyFill="1" applyBorder="1" applyAlignment="1">
      <alignment horizontal="center" vertical="center" wrapText="1"/>
    </xf>
    <xf numFmtId="0" fontId="770" fillId="0" borderId="186" xfId="0" applyFont="1" applyBorder="1" applyAlignment="1">
      <alignment horizontal="center" vertical="center" wrapText="1"/>
    </xf>
    <xf numFmtId="0" fontId="770" fillId="0" borderId="264" xfId="0" applyFont="1" applyBorder="1" applyAlignment="1">
      <alignment horizontal="center" vertical="center" wrapText="1"/>
    </xf>
    <xf numFmtId="0" fontId="770" fillId="0" borderId="220" xfId="0" applyFont="1" applyBorder="1" applyAlignment="1">
      <alignment horizontal="center" vertical="center" wrapText="1"/>
    </xf>
    <xf numFmtId="0" fontId="770" fillId="0" borderId="0" xfId="0" applyFont="1" applyAlignment="1">
      <alignment horizontal="center" vertical="center" wrapText="1"/>
    </xf>
    <xf numFmtId="0" fontId="770" fillId="0" borderId="247" xfId="0" applyFont="1" applyBorder="1" applyAlignment="1">
      <alignment horizontal="center" vertical="center" wrapText="1"/>
    </xf>
    <xf numFmtId="0" fontId="770" fillId="0" borderId="266" xfId="0" applyFont="1" applyBorder="1" applyAlignment="1">
      <alignment horizontal="center" vertical="center" wrapText="1"/>
    </xf>
    <xf numFmtId="0" fontId="770" fillId="0" borderId="210" xfId="0" applyFont="1" applyBorder="1" applyAlignment="1">
      <alignment horizontal="center" vertical="center" wrapText="1"/>
    </xf>
    <xf numFmtId="0" fontId="770" fillId="0" borderId="169" xfId="0" applyFont="1" applyBorder="1" applyAlignment="1">
      <alignment horizontal="center" vertical="center" wrapText="1"/>
    </xf>
    <xf numFmtId="0" fontId="110" fillId="463" borderId="33" xfId="0" applyFont="1" applyFill="1" applyBorder="1" applyAlignment="1">
      <alignment horizontal="center" vertical="center" wrapText="1"/>
    </xf>
    <xf numFmtId="0" fontId="327" fillId="463" borderId="109" xfId="0" applyFont="1" applyFill="1" applyBorder="1" applyAlignment="1">
      <alignment horizontal="center" vertical="center" wrapText="1"/>
    </xf>
    <xf numFmtId="0" fontId="2" fillId="392" borderId="253" xfId="0" applyFont="1" applyFill="1" applyBorder="1" applyAlignment="1">
      <alignment horizontal="center" vertical="center" wrapText="1"/>
    </xf>
    <xf numFmtId="0" fontId="540" fillId="467" borderId="253" xfId="0" applyFont="1" applyFill="1" applyBorder="1" applyAlignment="1">
      <alignment horizontal="center" vertical="center" wrapText="1"/>
    </xf>
    <xf numFmtId="0" fontId="2" fillId="463" borderId="239" xfId="0" applyFont="1" applyFill="1" applyBorder="1" applyAlignment="1">
      <alignment horizontal="center" vertical="center" wrapText="1"/>
    </xf>
    <xf numFmtId="0" fontId="2" fillId="463" borderId="201" xfId="0" applyFont="1" applyFill="1" applyBorder="1" applyAlignment="1">
      <alignment horizontal="center" vertical="center" wrapText="1"/>
    </xf>
    <xf numFmtId="0" fontId="228" fillId="463" borderId="253" xfId="0" applyFont="1" applyFill="1" applyBorder="1" applyAlignment="1">
      <alignment horizontal="center" vertical="center" wrapText="1"/>
    </xf>
    <xf numFmtId="0" fontId="114" fillId="0" borderId="228" xfId="0" applyFont="1" applyBorder="1" applyAlignment="1">
      <alignment horizontal="center" vertical="center" wrapText="1"/>
    </xf>
    <xf numFmtId="0" fontId="114" fillId="0" borderId="234" xfId="0" applyFont="1" applyBorder="1" applyAlignment="1">
      <alignment horizontal="center" vertical="center" wrapText="1"/>
    </xf>
    <xf numFmtId="0" fontId="491" fillId="0" borderId="228" xfId="0" applyFont="1" applyBorder="1" applyAlignment="1">
      <alignment horizontal="center" vertical="center" wrapText="1"/>
    </xf>
    <xf numFmtId="0" fontId="491" fillId="0" borderId="234" xfId="0" applyFont="1" applyBorder="1" applyAlignment="1">
      <alignment horizontal="center" vertical="center" wrapText="1"/>
    </xf>
    <xf numFmtId="0" fontId="491" fillId="0" borderId="163" xfId="0" applyFont="1" applyBorder="1" applyAlignment="1">
      <alignment horizontal="center" vertical="center" wrapText="1"/>
    </xf>
    <xf numFmtId="0" fontId="455" fillId="268" borderId="196" xfId="0" applyFont="1" applyFill="1" applyBorder="1" applyAlignment="1">
      <alignment horizontal="center" vertical="center" wrapText="1"/>
    </xf>
    <xf numFmtId="0" fontId="729" fillId="436" borderId="223" xfId="0" applyFont="1" applyFill="1" applyBorder="1" applyAlignment="1">
      <alignment horizontal="center" vertical="center" wrapText="1"/>
    </xf>
    <xf numFmtId="0" fontId="613" fillId="370" borderId="181" xfId="0" applyFont="1" applyFill="1" applyBorder="1" applyAlignment="1">
      <alignment horizontal="center" vertical="center" wrapText="1"/>
    </xf>
    <xf numFmtId="0" fontId="455" fillId="268" borderId="234" xfId="0" applyFont="1" applyFill="1" applyBorder="1" applyAlignment="1">
      <alignment horizontal="center" vertical="center" wrapText="1"/>
    </xf>
    <xf numFmtId="0" fontId="729" fillId="436" borderId="2" xfId="0" applyFont="1" applyFill="1" applyBorder="1" applyAlignment="1">
      <alignment horizontal="center" vertical="center" wrapText="1"/>
    </xf>
    <xf numFmtId="0" fontId="613" fillId="370" borderId="232" xfId="0" applyFont="1" applyFill="1" applyBorder="1" applyAlignment="1">
      <alignment horizontal="center" vertical="center" wrapText="1"/>
    </xf>
    <xf numFmtId="0" fontId="92" fillId="465" borderId="181" xfId="0" applyFont="1" applyFill="1" applyBorder="1" applyAlignment="1">
      <alignment horizontal="center" vertical="center" wrapText="1"/>
    </xf>
    <xf numFmtId="0" fontId="92" fillId="465" borderId="232" xfId="0" applyFont="1" applyFill="1" applyBorder="1" applyAlignment="1">
      <alignment horizontal="center" vertical="center" wrapText="1"/>
    </xf>
    <xf numFmtId="43" fontId="491" fillId="0" borderId="228" xfId="1" applyFont="1" applyBorder="1" applyAlignment="1">
      <alignment horizontal="center" vertical="center" wrapText="1"/>
    </xf>
    <xf numFmtId="43" fontId="491" fillId="0" borderId="234" xfId="1" applyFont="1" applyBorder="1" applyAlignment="1">
      <alignment horizontal="center" vertical="center" wrapText="1"/>
    </xf>
    <xf numFmtId="43" fontId="491" fillId="0" borderId="163" xfId="1" applyFont="1" applyBorder="1" applyAlignment="1">
      <alignment horizontal="center" vertical="center" wrapText="1"/>
    </xf>
    <xf numFmtId="0" fontId="53" fillId="467" borderId="253" xfId="0" applyFont="1" applyFill="1" applyBorder="1" applyAlignment="1">
      <alignment horizontal="center" vertical="center" wrapText="1"/>
    </xf>
    <xf numFmtId="0" fontId="211" fillId="0" borderId="228" xfId="0" applyFont="1" applyBorder="1" applyAlignment="1">
      <alignment horizontal="center" vertical="center" wrapText="1"/>
    </xf>
    <xf numFmtId="0" fontId="211" fillId="0" borderId="243" xfId="0" applyFont="1" applyBorder="1" applyAlignment="1">
      <alignment horizontal="center" vertical="center" wrapText="1"/>
    </xf>
    <xf numFmtId="43" fontId="1" fillId="0" borderId="228" xfId="1" applyFont="1" applyBorder="1" applyAlignment="1">
      <alignment horizontal="center" vertical="center" wrapText="1"/>
    </xf>
    <xf numFmtId="43" fontId="491" fillId="0" borderId="258" xfId="1" applyFont="1" applyBorder="1" applyAlignment="1">
      <alignment horizontal="center" vertical="center" wrapText="1"/>
    </xf>
    <xf numFmtId="43" fontId="31" fillId="0" borderId="228" xfId="1" applyFont="1" applyBorder="1" applyAlignment="1">
      <alignment horizontal="center" vertical="center" wrapText="1"/>
    </xf>
    <xf numFmtId="43" fontId="31" fillId="0" borderId="234" xfId="1" applyFont="1" applyBorder="1" applyAlignment="1">
      <alignment horizontal="center" vertical="center" wrapText="1"/>
    </xf>
    <xf numFmtId="43" fontId="31" fillId="0" borderId="163" xfId="1" applyFont="1" applyBorder="1" applyAlignment="1">
      <alignment horizontal="center" vertical="center" wrapText="1"/>
    </xf>
    <xf numFmtId="43" fontId="31" fillId="0" borderId="258" xfId="1" applyFont="1" applyBorder="1" applyAlignment="1">
      <alignment horizontal="center" vertical="center" wrapText="1"/>
    </xf>
    <xf numFmtId="0" fontId="211" fillId="0" borderId="234" xfId="0" applyFont="1" applyBorder="1" applyAlignment="1">
      <alignment horizontal="center" vertical="center" wrapText="1"/>
    </xf>
    <xf numFmtId="0" fontId="211" fillId="0" borderId="253" xfId="0" applyFont="1" applyBorder="1" applyAlignment="1">
      <alignment horizontal="center" vertical="center" wrapText="1"/>
    </xf>
    <xf numFmtId="0" fontId="211" fillId="0" borderId="258" xfId="0" applyFont="1" applyBorder="1" applyAlignment="1">
      <alignment horizontal="center" vertical="center" wrapText="1"/>
    </xf>
    <xf numFmtId="0" fontId="211" fillId="0" borderId="189" xfId="0" applyFont="1" applyBorder="1" applyAlignment="1">
      <alignment horizontal="center" vertical="center" wrapText="1"/>
    </xf>
    <xf numFmtId="0" fontId="711" fillId="463" borderId="139" xfId="0" applyFont="1" applyFill="1" applyBorder="1" applyAlignment="1">
      <alignment horizontal="center" vertical="center" textRotation="90" wrapText="1"/>
    </xf>
    <xf numFmtId="0" fontId="711" fillId="463" borderId="218" xfId="0" applyFont="1" applyFill="1" applyBorder="1" applyAlignment="1">
      <alignment horizontal="center" vertical="center" textRotation="90" wrapText="1"/>
    </xf>
    <xf numFmtId="0" fontId="711" fillId="463" borderId="203" xfId="0" applyFont="1" applyFill="1" applyBorder="1" applyAlignment="1">
      <alignment horizontal="center" vertical="center" textRotation="90" wrapText="1"/>
    </xf>
    <xf numFmtId="0" fontId="2" fillId="486" borderId="139" xfId="0" applyFont="1" applyFill="1" applyBorder="1" applyAlignment="1">
      <alignment horizontal="center" vertical="center" textRotation="90" wrapText="1"/>
    </xf>
    <xf numFmtId="0" fontId="2" fillId="486" borderId="218" xfId="0" applyFont="1" applyFill="1" applyBorder="1" applyAlignment="1">
      <alignment horizontal="center" vertical="center" textRotation="90" wrapText="1"/>
    </xf>
    <xf numFmtId="0" fontId="2" fillId="486" borderId="203" xfId="0" applyFont="1" applyFill="1" applyBorder="1" applyAlignment="1">
      <alignment horizontal="center" vertical="center" textRotation="90" wrapText="1"/>
    </xf>
    <xf numFmtId="0" fontId="171" fillId="489" borderId="253" xfId="0" applyFont="1" applyFill="1" applyBorder="1" applyAlignment="1">
      <alignment horizontal="center" vertical="center" wrapText="1"/>
    </xf>
    <xf numFmtId="0" fontId="78" fillId="489" borderId="221" xfId="0" applyFont="1" applyFill="1" applyBorder="1" applyAlignment="1">
      <alignment horizontal="center" vertical="center" wrapText="1"/>
    </xf>
    <xf numFmtId="0" fontId="234" fillId="487" borderId="221" xfId="0" applyFont="1" applyFill="1" applyBorder="1" applyAlignment="1">
      <alignment horizontal="center" vertical="center" wrapText="1"/>
    </xf>
    <xf numFmtId="0" fontId="183" fillId="463" borderId="2" xfId="0" applyFont="1" applyFill="1" applyBorder="1" applyAlignment="1">
      <alignment horizontal="center" vertical="center" wrapText="1"/>
    </xf>
    <xf numFmtId="0" fontId="183" fillId="463" borderId="232" xfId="0" applyFont="1" applyFill="1" applyBorder="1" applyAlignment="1">
      <alignment horizontal="center" vertical="center" wrapText="1"/>
    </xf>
    <xf numFmtId="0" fontId="332" fillId="486" borderId="252" xfId="0" applyFont="1" applyFill="1" applyBorder="1" applyAlignment="1">
      <alignment horizontal="center" vertical="center" wrapText="1"/>
    </xf>
    <xf numFmtId="0" fontId="332" fillId="486" borderId="156" xfId="0" applyFont="1" applyFill="1" applyBorder="1" applyAlignment="1">
      <alignment horizontal="center" vertical="center" wrapText="1"/>
    </xf>
    <xf numFmtId="0" fontId="332" fillId="463" borderId="181" xfId="0" applyFont="1" applyFill="1" applyBorder="1" applyAlignment="1">
      <alignment horizontal="center" vertical="center" wrapText="1"/>
    </xf>
    <xf numFmtId="0" fontId="228" fillId="463" borderId="181" xfId="0" applyFont="1" applyFill="1" applyBorder="1" applyAlignment="1">
      <alignment horizontal="center" vertical="center" wrapText="1"/>
    </xf>
    <xf numFmtId="0" fontId="337" fillId="486" borderId="181" xfId="0" applyFont="1" applyFill="1" applyBorder="1" applyAlignment="1">
      <alignment horizontal="center" vertical="center" wrapText="1"/>
    </xf>
    <xf numFmtId="0" fontId="171" fillId="486" borderId="181" xfId="0" applyFont="1" applyFill="1" applyBorder="1" applyAlignment="1">
      <alignment horizontal="center" vertical="center" wrapText="1"/>
    </xf>
    <xf numFmtId="0" fontId="234" fillId="487" borderId="232" xfId="0" applyFont="1" applyFill="1" applyBorder="1" applyAlignment="1">
      <alignment horizontal="center" vertical="center" wrapText="1"/>
    </xf>
    <xf numFmtId="0" fontId="593" fillId="488" borderId="253" xfId="0" applyFont="1" applyFill="1" applyBorder="1" applyAlignment="1">
      <alignment horizontal="center" vertical="center" wrapText="1"/>
    </xf>
    <xf numFmtId="0" fontId="2" fillId="492" borderId="239" xfId="0" applyFont="1" applyFill="1" applyBorder="1" applyAlignment="1">
      <alignment horizontal="center" vertical="center" wrapText="1"/>
    </xf>
    <xf numFmtId="0" fontId="2" fillId="492" borderId="201" xfId="0" applyFont="1" applyFill="1" applyBorder="1" applyAlignment="1">
      <alignment horizontal="center" vertical="center" wrapText="1"/>
    </xf>
    <xf numFmtId="0" fontId="2" fillId="492" borderId="188" xfId="0" applyFont="1" applyFill="1" applyBorder="1" applyAlignment="1">
      <alignment horizontal="center" vertical="center" wrapText="1"/>
    </xf>
    <xf numFmtId="0" fontId="183" fillId="113" borderId="56" xfId="0" applyFont="1" applyFill="1" applyBorder="1" applyAlignment="1">
      <alignment horizontal="center" vertical="center" wrapText="1"/>
    </xf>
    <xf numFmtId="0" fontId="748" fillId="447" borderId="239" xfId="0" applyFont="1" applyFill="1" applyBorder="1" applyAlignment="1">
      <alignment horizontal="center" vertical="center" wrapText="1"/>
    </xf>
    <xf numFmtId="0" fontId="183" fillId="113" borderId="240" xfId="0" applyFont="1" applyFill="1" applyBorder="1" applyAlignment="1">
      <alignment horizontal="center" vertical="center" wrapText="1"/>
    </xf>
    <xf numFmtId="0" fontId="316" fillId="187" borderId="193" xfId="0" applyFont="1" applyFill="1" applyBorder="1" applyAlignment="1">
      <alignment horizontal="center" vertical="center" wrapText="1"/>
    </xf>
    <xf numFmtId="0" fontId="697" fillId="463" borderId="215" xfId="0" applyFont="1" applyFill="1" applyBorder="1" applyAlignment="1">
      <alignment horizontal="center" vertical="center" wrapText="1"/>
    </xf>
    <xf numFmtId="0" fontId="697" fillId="463" borderId="221" xfId="0" applyFont="1" applyFill="1" applyBorder="1" applyAlignment="1">
      <alignment horizontal="center" vertical="center" wrapText="1"/>
    </xf>
    <xf numFmtId="0" fontId="2" fillId="489" borderId="239" xfId="0" applyFont="1" applyFill="1" applyBorder="1" applyAlignment="1">
      <alignment horizontal="center" vertical="center" wrapText="1"/>
    </xf>
    <xf numFmtId="0" fontId="2" fillId="489" borderId="201" xfId="0" applyFont="1" applyFill="1" applyBorder="1" applyAlignment="1">
      <alignment horizontal="center" vertical="center" wrapText="1"/>
    </xf>
    <xf numFmtId="0" fontId="2" fillId="489" borderId="188" xfId="0" applyFont="1" applyFill="1" applyBorder="1" applyAlignment="1">
      <alignment horizontal="center" vertical="center" wrapText="1"/>
    </xf>
    <xf numFmtId="0" fontId="641" fillId="487" borderId="239" xfId="0" applyFont="1" applyFill="1" applyBorder="1" applyAlignment="1">
      <alignment horizontal="center" vertical="center" wrapText="1"/>
    </xf>
    <xf numFmtId="0" fontId="641" fillId="487" borderId="201" xfId="0" applyFont="1" applyFill="1" applyBorder="1" applyAlignment="1">
      <alignment horizontal="center" vertical="center" wrapText="1"/>
    </xf>
    <xf numFmtId="0" fontId="641" fillId="487" borderId="188" xfId="0" applyFont="1" applyFill="1" applyBorder="1" applyAlignment="1">
      <alignment horizontal="center" vertical="center" wrapText="1"/>
    </xf>
    <xf numFmtId="0" fontId="672" fillId="486" borderId="221" xfId="0" applyFont="1" applyFill="1" applyBorder="1" applyAlignment="1">
      <alignment horizontal="center" vertical="center" wrapText="1"/>
    </xf>
    <xf numFmtId="0" fontId="273" fillId="486" borderId="221" xfId="0" applyFont="1" applyFill="1" applyBorder="1" applyAlignment="1">
      <alignment horizontal="center" vertical="center" wrapText="1"/>
    </xf>
    <xf numFmtId="0" fontId="1" fillId="0" borderId="268" xfId="0" applyFont="1" applyBorder="1" applyAlignment="1">
      <alignment horizontal="center" vertical="center" wrapText="1"/>
    </xf>
    <xf numFmtId="0" fontId="1" fillId="0" borderId="215" xfId="0" applyFont="1" applyBorder="1" applyAlignment="1">
      <alignment horizontal="center" vertical="center" wrapText="1"/>
    </xf>
    <xf numFmtId="0" fontId="1" fillId="0" borderId="253" xfId="0" applyFont="1" applyBorder="1" applyAlignment="1">
      <alignment horizontal="center" vertical="center" wrapText="1"/>
    </xf>
    <xf numFmtId="0" fontId="2" fillId="493" borderId="253" xfId="0" applyFont="1" applyFill="1" applyBorder="1" applyAlignment="1">
      <alignment horizontal="center" vertical="center" wrapText="1"/>
    </xf>
    <xf numFmtId="0" fontId="3" fillId="492" borderId="189" xfId="0" applyFont="1" applyFill="1" applyBorder="1" applyAlignment="1">
      <alignment horizontal="center" vertical="center" wrapText="1"/>
    </xf>
    <xf numFmtId="0" fontId="3" fillId="492" borderId="221" xfId="0" applyFont="1" applyFill="1" applyBorder="1" applyAlignment="1">
      <alignment horizontal="center" vertical="center" wrapText="1"/>
    </xf>
    <xf numFmtId="0" fontId="78" fillId="486" borderId="232" xfId="0" applyFont="1" applyFill="1" applyBorder="1" applyAlignment="1">
      <alignment horizontal="center" vertical="center" wrapText="1"/>
    </xf>
    <xf numFmtId="0" fontId="213" fillId="486" borderId="232" xfId="0" applyFont="1" applyFill="1" applyBorder="1" applyAlignment="1">
      <alignment horizontal="center" vertical="center" wrapText="1"/>
    </xf>
    <xf numFmtId="0" fontId="110" fillId="463" borderId="221" xfId="0" applyFont="1" applyFill="1" applyBorder="1" applyAlignment="1">
      <alignment horizontal="center" vertical="center" wrapText="1"/>
    </xf>
    <xf numFmtId="0" fontId="327" fillId="463" borderId="221" xfId="0" applyFont="1" applyFill="1" applyBorder="1" applyAlignment="1">
      <alignment horizontal="center" vertical="center" wrapText="1"/>
    </xf>
    <xf numFmtId="0" fontId="641" fillId="487" borderId="139" xfId="0" applyFont="1" applyFill="1" applyBorder="1" applyAlignment="1">
      <alignment horizontal="center" vertical="center" textRotation="90" wrapText="1"/>
    </xf>
    <xf numFmtId="0" fontId="641" fillId="487" borderId="218" xfId="0" applyFont="1" applyFill="1" applyBorder="1" applyAlignment="1">
      <alignment horizontal="center" vertical="center" textRotation="90" wrapText="1"/>
    </xf>
    <xf numFmtId="0" fontId="641" fillId="487" borderId="67" xfId="0" applyFont="1" applyFill="1" applyBorder="1" applyAlignment="1">
      <alignment horizontal="center" vertical="center" textRotation="90" wrapText="1"/>
    </xf>
    <xf numFmtId="0" fontId="593" fillId="488" borderId="246" xfId="0" applyFont="1" applyFill="1" applyBorder="1" applyAlignment="1">
      <alignment horizontal="center" vertical="center" wrapText="1"/>
    </xf>
    <xf numFmtId="0" fontId="593" fillId="488" borderId="218" xfId="0" applyFont="1" applyFill="1" applyBorder="1" applyAlignment="1">
      <alignment horizontal="center" vertical="center" wrapText="1"/>
    </xf>
    <xf numFmtId="0" fontId="337" fillId="487" borderId="252" xfId="0" applyFont="1" applyFill="1" applyBorder="1" applyAlignment="1">
      <alignment horizontal="center" vertical="center" wrapText="1"/>
    </xf>
    <xf numFmtId="0" fontId="337" fillId="487" borderId="156" xfId="0" applyFont="1" applyFill="1" applyBorder="1" applyAlignment="1">
      <alignment horizontal="center" vertical="center" wrapText="1"/>
    </xf>
    <xf numFmtId="0" fontId="617" fillId="488" borderId="245" xfId="0" applyFont="1" applyFill="1" applyBorder="1" applyAlignment="1">
      <alignment horizontal="center" vertical="center" wrapText="1"/>
    </xf>
    <xf numFmtId="0" fontId="617" fillId="488" borderId="221" xfId="0" applyFont="1" applyFill="1" applyBorder="1" applyAlignment="1">
      <alignment horizontal="center" vertical="center" wrapText="1"/>
    </xf>
    <xf numFmtId="0" fontId="268" fillId="488" borderId="193" xfId="0" applyFont="1" applyFill="1" applyBorder="1" applyAlignment="1">
      <alignment horizontal="center" vertical="center" wrapText="1"/>
    </xf>
    <xf numFmtId="0" fontId="657" fillId="488" borderId="193" xfId="0" applyFont="1" applyFill="1" applyBorder="1" applyAlignment="1">
      <alignment horizontal="center" vertical="center" wrapText="1"/>
    </xf>
    <xf numFmtId="0" fontId="711" fillId="427" borderId="139" xfId="0" applyFont="1" applyFill="1" applyBorder="1" applyAlignment="1">
      <alignment horizontal="center" vertical="center"/>
    </xf>
    <xf numFmtId="0" fontId="711" fillId="427" borderId="218" xfId="0" applyFont="1" applyFill="1" applyBorder="1" applyAlignment="1">
      <alignment horizontal="center" vertical="center"/>
    </xf>
    <xf numFmtId="0" fontId="711" fillId="427" borderId="203" xfId="0" applyFont="1" applyFill="1" applyBorder="1" applyAlignment="1">
      <alignment horizontal="center" vertical="center"/>
    </xf>
    <xf numFmtId="0" fontId="206" fillId="128" borderId="139" xfId="0" applyFont="1" applyFill="1" applyBorder="1" applyAlignment="1">
      <alignment horizontal="center" vertical="center"/>
    </xf>
    <xf numFmtId="0" fontId="206" fillId="128" borderId="218" xfId="0" applyFont="1" applyFill="1" applyBorder="1" applyAlignment="1">
      <alignment horizontal="center" vertical="center"/>
    </xf>
    <xf numFmtId="0" fontId="206" fillId="128" borderId="203" xfId="0" applyFont="1" applyFill="1" applyBorder="1" applyAlignment="1">
      <alignment horizontal="center" vertical="center"/>
    </xf>
    <xf numFmtId="0" fontId="179" fillId="110" borderId="139" xfId="0" applyFont="1" applyFill="1" applyBorder="1" applyAlignment="1">
      <alignment horizontal="center" vertical="center"/>
    </xf>
    <xf numFmtId="0" fontId="179" fillId="110" borderId="218" xfId="0" applyFont="1" applyFill="1" applyBorder="1" applyAlignment="1">
      <alignment horizontal="center" vertical="center"/>
    </xf>
    <xf numFmtId="0" fontId="179" fillId="110" borderId="203" xfId="0" applyFont="1" applyFill="1" applyBorder="1" applyAlignment="1">
      <alignment horizontal="center" vertical="center"/>
    </xf>
    <xf numFmtId="0" fontId="641" fillId="386" borderId="265" xfId="0" applyFont="1" applyFill="1" applyBorder="1" applyAlignment="1">
      <alignment horizontal="center" vertical="center"/>
    </xf>
    <xf numFmtId="0" fontId="641" fillId="386" borderId="220" xfId="0" applyFont="1" applyFill="1" applyBorder="1" applyAlignment="1">
      <alignment horizontal="center" vertical="center"/>
    </xf>
    <xf numFmtId="0" fontId="641" fillId="386" borderId="261" xfId="0" applyFont="1" applyFill="1" applyBorder="1" applyAlignment="1">
      <alignment horizontal="center" vertical="center"/>
    </xf>
    <xf numFmtId="0" fontId="765" fillId="21" borderId="186" xfId="0" applyFont="1" applyFill="1" applyBorder="1" applyAlignment="1" applyProtection="1">
      <alignment horizontal="center" vertical="center"/>
      <protection locked="0"/>
    </xf>
    <xf numFmtId="0" fontId="765" fillId="21" borderId="210" xfId="0" applyFont="1" applyFill="1" applyBorder="1" applyAlignment="1" applyProtection="1">
      <alignment horizontal="center" vertical="center"/>
      <protection locked="0"/>
    </xf>
    <xf numFmtId="0" fontId="14" fillId="447" borderId="228" xfId="0" applyFont="1" applyFill="1" applyBorder="1" applyAlignment="1">
      <alignment horizontal="center" vertical="center"/>
    </xf>
    <xf numFmtId="0" fontId="316" fillId="187" borderId="232" xfId="0" applyFont="1" applyFill="1" applyBorder="1" applyAlignment="1">
      <alignment horizontal="center" vertical="center"/>
    </xf>
    <xf numFmtId="0" fontId="748" fillId="447" borderId="243" xfId="0" applyFont="1" applyFill="1" applyBorder="1" applyAlignment="1">
      <alignment horizontal="center" vertical="center"/>
    </xf>
    <xf numFmtId="0" fontId="316" fillId="187" borderId="221" xfId="0" applyFont="1" applyFill="1" applyBorder="1" applyAlignment="1">
      <alignment horizontal="center" vertical="center"/>
    </xf>
    <xf numFmtId="0" fontId="748" fillId="447" borderId="259" xfId="0" applyFont="1" applyFill="1" applyBorder="1" applyAlignment="1">
      <alignment horizontal="center" vertical="center"/>
    </xf>
    <xf numFmtId="0" fontId="316" fillId="187" borderId="240" xfId="0" applyFont="1" applyFill="1" applyBorder="1" applyAlignment="1">
      <alignment horizontal="center" vertical="center"/>
    </xf>
    <xf numFmtId="0" fontId="588" fillId="353" borderId="258" xfId="0" applyFont="1" applyFill="1" applyBorder="1" applyAlignment="1">
      <alignment horizontal="center" vertical="center" wrapText="1"/>
    </xf>
    <xf numFmtId="0" fontId="281" fillId="166" borderId="254" xfId="0" applyFont="1" applyFill="1" applyBorder="1" applyAlignment="1">
      <alignment horizontal="center" vertical="center" wrapText="1"/>
    </xf>
    <xf numFmtId="0" fontId="469" fillId="278" borderId="232" xfId="0" applyFont="1" applyFill="1" applyBorder="1" applyAlignment="1">
      <alignment horizontal="right" vertical="center"/>
    </xf>
    <xf numFmtId="0" fontId="477" fillId="284" borderId="2" xfId="0" applyFont="1" applyFill="1" applyBorder="1" applyAlignment="1">
      <alignment horizontal="right" vertical="center"/>
    </xf>
    <xf numFmtId="0" fontId="477" fillId="284" borderId="245" xfId="0" applyFont="1" applyFill="1" applyBorder="1" applyAlignment="1">
      <alignment horizontal="right" vertical="center"/>
    </xf>
    <xf numFmtId="0" fontId="469" fillId="278" borderId="221" xfId="0" applyFont="1" applyFill="1" applyBorder="1" applyAlignment="1">
      <alignment horizontal="right" vertical="center"/>
    </xf>
    <xf numFmtId="0" fontId="35" fillId="353" borderId="208" xfId="0" applyFont="1" applyFill="1" applyBorder="1" applyAlignment="1" applyProtection="1">
      <alignment horizontal="center" vertical="center" wrapText="1"/>
      <protection locked="0"/>
    </xf>
    <xf numFmtId="0" fontId="35" fillId="353" borderId="224" xfId="0" applyFont="1" applyFill="1" applyBorder="1" applyAlignment="1" applyProtection="1">
      <alignment horizontal="center" vertical="center" wrapText="1"/>
      <protection locked="0"/>
    </xf>
    <xf numFmtId="0" fontId="491" fillId="0" borderId="0" xfId="0" applyFont="1" applyAlignment="1">
      <alignment horizontal="center"/>
    </xf>
    <xf numFmtId="0" fontId="114" fillId="0" borderId="0" xfId="0" applyFont="1" applyAlignment="1">
      <alignment horizontal="right"/>
    </xf>
    <xf numFmtId="0" fontId="507" fillId="0" borderId="0" xfId="0" applyFont="1" applyAlignment="1">
      <alignment horizontal="left"/>
    </xf>
    <xf numFmtId="0" fontId="312" fillId="185" borderId="232" xfId="0" applyFont="1" applyFill="1" applyBorder="1" applyAlignment="1">
      <alignment horizontal="center" vertical="center" wrapText="1"/>
    </xf>
    <xf numFmtId="0" fontId="312" fillId="185" borderId="256" xfId="0" applyFont="1" applyFill="1" applyBorder="1" applyAlignment="1">
      <alignment horizontal="center" vertical="center" wrapText="1"/>
    </xf>
    <xf numFmtId="0" fontId="262" fillId="157" borderId="245" xfId="0" applyFont="1" applyFill="1" applyBorder="1" applyAlignment="1">
      <alignment horizontal="center" vertical="center" wrapText="1"/>
    </xf>
    <xf numFmtId="0" fontId="312" fillId="185" borderId="214" xfId="0" applyFont="1" applyFill="1" applyBorder="1" applyAlignment="1">
      <alignment horizontal="center" vertical="center" wrapText="1"/>
    </xf>
    <xf numFmtId="168" fontId="366" fillId="215" borderId="239" xfId="0" applyNumberFormat="1" applyFont="1" applyFill="1" applyBorder="1" applyAlignment="1">
      <alignment horizontal="center" vertical="center"/>
    </xf>
    <xf numFmtId="168" fontId="366" fillId="215" borderId="188" xfId="0" applyNumberFormat="1" applyFont="1" applyFill="1" applyBorder="1" applyAlignment="1">
      <alignment horizontal="center" vertical="center"/>
    </xf>
    <xf numFmtId="168" fontId="661" fillId="400" borderId="239" xfId="0" applyNumberFormat="1" applyFont="1" applyFill="1" applyBorder="1" applyAlignment="1">
      <alignment horizontal="center" vertical="center"/>
    </xf>
    <xf numFmtId="168" fontId="661" fillId="400" borderId="188" xfId="0" applyNumberFormat="1" applyFont="1" applyFill="1" applyBorder="1" applyAlignment="1">
      <alignment horizontal="center" vertical="center"/>
    </xf>
    <xf numFmtId="171" fontId="61" fillId="39" borderId="239" xfId="0" applyNumberFormat="1" applyFont="1" applyFill="1" applyBorder="1" applyAlignment="1">
      <alignment horizontal="center" vertical="center"/>
    </xf>
    <xf numFmtId="171" fontId="61" fillId="39" borderId="188" xfId="0" applyNumberFormat="1" applyFont="1" applyFill="1" applyBorder="1" applyAlignment="1">
      <alignment horizontal="center" vertical="center"/>
    </xf>
    <xf numFmtId="171" fontId="489" fillId="291" borderId="239" xfId="0" applyNumberFormat="1" applyFont="1" applyFill="1" applyBorder="1" applyAlignment="1">
      <alignment horizontal="center" vertical="center"/>
    </xf>
    <xf numFmtId="171" fontId="489" fillId="291" borderId="188" xfId="0" applyNumberFormat="1" applyFont="1" applyFill="1" applyBorder="1" applyAlignment="1">
      <alignment horizontal="center" vertical="center"/>
    </xf>
    <xf numFmtId="0" fontId="751" fillId="450" borderId="239" xfId="0" applyFont="1" applyFill="1" applyBorder="1" applyAlignment="1">
      <alignment horizontal="center" vertical="center"/>
    </xf>
    <xf numFmtId="0" fontId="751" fillId="450" borderId="201" xfId="0" applyFont="1" applyFill="1" applyBorder="1" applyAlignment="1">
      <alignment horizontal="center" vertical="center"/>
    </xf>
    <xf numFmtId="0" fontId="751" fillId="450" borderId="188" xfId="0" applyFont="1" applyFill="1" applyBorder="1" applyAlignment="1">
      <alignment horizontal="center" vertical="center"/>
    </xf>
    <xf numFmtId="0" fontId="521" fillId="309" borderId="239" xfId="0" applyFont="1" applyFill="1" applyBorder="1" applyAlignment="1">
      <alignment horizontal="center" vertical="center" wrapText="1"/>
    </xf>
    <xf numFmtId="0" fontId="521" fillId="309" borderId="201" xfId="0" applyFont="1" applyFill="1" applyBorder="1" applyAlignment="1">
      <alignment horizontal="center" vertical="center" wrapText="1"/>
    </xf>
    <xf numFmtId="0" fontId="521" fillId="309" borderId="188" xfId="0" applyFont="1" applyFill="1" applyBorder="1" applyAlignment="1">
      <alignment horizontal="center" vertical="center" wrapText="1"/>
    </xf>
    <xf numFmtId="0" fontId="521" fillId="309" borderId="239" xfId="0" applyFont="1" applyFill="1" applyBorder="1" applyAlignment="1">
      <alignment horizontal="center" vertical="center"/>
    </xf>
    <xf numFmtId="0" fontId="521" fillId="309" borderId="201" xfId="0" applyFont="1" applyFill="1" applyBorder="1" applyAlignment="1">
      <alignment horizontal="center" vertical="center"/>
    </xf>
    <xf numFmtId="0" fontId="521" fillId="309" borderId="188" xfId="0" applyFont="1" applyFill="1" applyBorder="1" applyAlignment="1">
      <alignment horizontal="center" vertical="center"/>
    </xf>
    <xf numFmtId="165" fontId="681" fillId="411" borderId="239" xfId="0" applyNumberFormat="1" applyFont="1" applyFill="1" applyBorder="1" applyAlignment="1">
      <alignment horizontal="center" vertical="center"/>
    </xf>
    <xf numFmtId="165" fontId="681" fillId="411" borderId="201" xfId="0" applyNumberFormat="1" applyFont="1" applyFill="1" applyBorder="1" applyAlignment="1">
      <alignment horizontal="center" vertical="center"/>
    </xf>
    <xf numFmtId="165" fontId="681" fillId="411" borderId="188" xfId="0" applyNumberFormat="1" applyFont="1" applyFill="1" applyBorder="1" applyAlignment="1">
      <alignment horizontal="center" vertical="center"/>
    </xf>
    <xf numFmtId="165" fontId="154" fillId="97" borderId="239" xfId="0" applyNumberFormat="1" applyFont="1" applyFill="1" applyBorder="1" applyAlignment="1">
      <alignment horizontal="center" vertical="center"/>
    </xf>
    <xf numFmtId="165" fontId="154" fillId="97" borderId="201" xfId="0" applyNumberFormat="1" applyFont="1" applyFill="1" applyBorder="1" applyAlignment="1">
      <alignment horizontal="center" vertical="center"/>
    </xf>
    <xf numFmtId="165" fontId="154" fillId="97" borderId="188" xfId="0" applyNumberFormat="1" applyFont="1" applyFill="1" applyBorder="1" applyAlignment="1">
      <alignment horizontal="center" vertical="center"/>
    </xf>
    <xf numFmtId="165" fontId="159" fillId="100" borderId="239" xfId="0" applyNumberFormat="1" applyFont="1" applyFill="1" applyBorder="1" applyAlignment="1">
      <alignment horizontal="center" vertical="center"/>
    </xf>
    <xf numFmtId="165" fontId="159" fillId="100" borderId="201" xfId="0" applyNumberFormat="1" applyFont="1" applyFill="1" applyBorder="1" applyAlignment="1">
      <alignment horizontal="center" vertical="center"/>
    </xf>
    <xf numFmtId="165" fontId="159" fillId="100" borderId="188" xfId="0" applyNumberFormat="1" applyFont="1" applyFill="1" applyBorder="1" applyAlignment="1">
      <alignment horizontal="center" vertical="center"/>
    </xf>
    <xf numFmtId="165" fontId="623" fillId="378" borderId="239" xfId="0" applyNumberFormat="1" applyFont="1" applyFill="1" applyBorder="1" applyAlignment="1">
      <alignment horizontal="center" vertical="center"/>
    </xf>
    <xf numFmtId="165" fontId="623" fillId="378" borderId="201" xfId="0" applyNumberFormat="1" applyFont="1" applyFill="1" applyBorder="1" applyAlignment="1">
      <alignment horizontal="center" vertical="center"/>
    </xf>
    <xf numFmtId="165" fontId="623" fillId="378" borderId="188" xfId="0" applyNumberFormat="1" applyFont="1" applyFill="1" applyBorder="1" applyAlignment="1">
      <alignment horizontal="center" vertical="center"/>
    </xf>
    <xf numFmtId="0" fontId="339" fillId="198" borderId="239" xfId="0" applyFont="1" applyFill="1" applyBorder="1" applyAlignment="1">
      <alignment horizontal="center" vertical="center"/>
    </xf>
    <xf numFmtId="0" fontId="339" fillId="198" borderId="201" xfId="0" applyFont="1" applyFill="1" applyBorder="1" applyAlignment="1">
      <alignment horizontal="center" vertical="center"/>
    </xf>
    <xf numFmtId="0" fontId="339" fillId="198" borderId="188" xfId="0" applyFont="1" applyFill="1" applyBorder="1" applyAlignment="1">
      <alignment horizontal="center" vertical="center"/>
    </xf>
    <xf numFmtId="0" fontId="331" fillId="195" borderId="239" xfId="0" applyFont="1" applyFill="1" applyBorder="1" applyAlignment="1">
      <alignment horizontal="center" vertical="center"/>
    </xf>
    <xf numFmtId="0" fontId="331" fillId="195" borderId="201" xfId="0" applyFont="1" applyFill="1" applyBorder="1" applyAlignment="1">
      <alignment horizontal="center" vertical="center"/>
    </xf>
    <xf numFmtId="0" fontId="331" fillId="195" borderId="188" xfId="0" applyFont="1" applyFill="1" applyBorder="1" applyAlignment="1">
      <alignment horizontal="center" vertical="center"/>
    </xf>
    <xf numFmtId="0" fontId="199" fillId="124" borderId="239" xfId="0" applyFont="1" applyFill="1" applyBorder="1" applyAlignment="1">
      <alignment horizontal="center" vertical="center"/>
    </xf>
    <xf numFmtId="0" fontId="199" fillId="124" borderId="201" xfId="0" applyFont="1" applyFill="1" applyBorder="1" applyAlignment="1">
      <alignment horizontal="center" vertical="center"/>
    </xf>
    <xf numFmtId="0" fontId="199" fillId="124" borderId="188" xfId="0" applyFont="1" applyFill="1" applyBorder="1" applyAlignment="1">
      <alignment horizontal="center" vertical="center"/>
    </xf>
    <xf numFmtId="0" fontId="351" fillId="203" borderId="239" xfId="0" applyFont="1" applyFill="1" applyBorder="1" applyAlignment="1">
      <alignment horizontal="center" vertical="center"/>
    </xf>
    <xf numFmtId="0" fontId="351" fillId="203" borderId="201" xfId="0" applyFont="1" applyFill="1" applyBorder="1" applyAlignment="1">
      <alignment horizontal="center" vertical="center"/>
    </xf>
    <xf numFmtId="0" fontId="351" fillId="203" borderId="188" xfId="0" applyFont="1" applyFill="1" applyBorder="1" applyAlignment="1">
      <alignment horizontal="center" vertical="center"/>
    </xf>
    <xf numFmtId="168" fontId="149" fillId="92" borderId="239" xfId="0" applyNumberFormat="1" applyFont="1" applyFill="1" applyBorder="1" applyAlignment="1">
      <alignment horizontal="center" vertical="center"/>
    </xf>
    <xf numFmtId="168" fontId="149" fillId="92" borderId="188" xfId="0" applyNumberFormat="1" applyFont="1" applyFill="1" applyBorder="1" applyAlignment="1">
      <alignment horizontal="center" vertical="center"/>
    </xf>
    <xf numFmtId="171" fontId="109" fillId="65" borderId="239" xfId="0" applyNumberFormat="1" applyFont="1" applyFill="1" applyBorder="1" applyAlignment="1">
      <alignment horizontal="center" vertical="center"/>
    </xf>
    <xf numFmtId="171" fontId="109" fillId="65" borderId="188" xfId="0" applyNumberFormat="1" applyFont="1" applyFill="1" applyBorder="1" applyAlignment="1">
      <alignment horizontal="center" vertical="center"/>
    </xf>
    <xf numFmtId="168" fontId="26" fillId="15" borderId="239" xfId="0" applyNumberFormat="1" applyFont="1" applyFill="1" applyBorder="1" applyAlignment="1">
      <alignment horizontal="center" vertical="center"/>
    </xf>
    <xf numFmtId="168" fontId="26" fillId="15" borderId="188" xfId="0" applyNumberFormat="1" applyFont="1" applyFill="1" applyBorder="1" applyAlignment="1">
      <alignment horizontal="center" vertical="center"/>
    </xf>
    <xf numFmtId="168" fontId="101" fillId="61" borderId="239" xfId="0" applyNumberFormat="1" applyFont="1" applyFill="1" applyBorder="1" applyAlignment="1">
      <alignment horizontal="center" vertical="center"/>
    </xf>
    <xf numFmtId="168" fontId="101" fillId="61" borderId="188" xfId="0" applyNumberFormat="1" applyFont="1" applyFill="1" applyBorder="1" applyAlignment="1">
      <alignment horizontal="center" vertical="center"/>
    </xf>
    <xf numFmtId="171" fontId="743" fillId="444" borderId="239" xfId="0" applyNumberFormat="1" applyFont="1" applyFill="1" applyBorder="1" applyAlignment="1">
      <alignment horizontal="center" vertical="center"/>
    </xf>
    <xf numFmtId="171" fontId="743" fillId="444" borderId="188" xfId="0" applyNumberFormat="1" applyFont="1" applyFill="1" applyBorder="1" applyAlignment="1">
      <alignment horizontal="center" vertical="center"/>
    </xf>
    <xf numFmtId="168" fontId="752" fillId="451" borderId="239" xfId="0" applyNumberFormat="1" applyFont="1" applyFill="1" applyBorder="1" applyAlignment="1">
      <alignment horizontal="center" vertical="center"/>
    </xf>
    <xf numFmtId="168" fontId="752" fillId="451" borderId="188" xfId="0" applyNumberFormat="1" applyFont="1" applyFill="1" applyBorder="1" applyAlignment="1">
      <alignment horizontal="center" vertical="center"/>
    </xf>
    <xf numFmtId="171" fontId="619" fillId="375" borderId="239" xfId="0" applyNumberFormat="1" applyFont="1" applyFill="1" applyBorder="1" applyAlignment="1">
      <alignment horizontal="center" vertical="center"/>
    </xf>
    <xf numFmtId="171" fontId="619" fillId="375" borderId="188" xfId="0" applyNumberFormat="1" applyFont="1" applyFill="1" applyBorder="1" applyAlignment="1">
      <alignment horizontal="center" vertical="center"/>
    </xf>
    <xf numFmtId="168" fontId="446" fillId="263" borderId="239" xfId="0" applyNumberFormat="1" applyFont="1" applyFill="1" applyBorder="1" applyAlignment="1">
      <alignment horizontal="center" vertical="center"/>
    </xf>
    <xf numFmtId="168" fontId="446" fillId="263" borderId="188" xfId="0" applyNumberFormat="1" applyFont="1" applyFill="1" applyBorder="1" applyAlignment="1">
      <alignment horizontal="center" vertical="center"/>
    </xf>
    <xf numFmtId="165" fontId="160" fillId="101" borderId="239" xfId="0" applyNumberFormat="1" applyFont="1" applyFill="1" applyBorder="1" applyAlignment="1">
      <alignment horizontal="center" vertical="center"/>
    </xf>
    <xf numFmtId="165" fontId="160" fillId="101" borderId="201" xfId="0" applyNumberFormat="1" applyFont="1" applyFill="1" applyBorder="1" applyAlignment="1">
      <alignment horizontal="center" vertical="center"/>
    </xf>
    <xf numFmtId="165" fontId="160" fillId="101" borderId="188" xfId="0" applyNumberFormat="1" applyFont="1" applyFill="1" applyBorder="1" applyAlignment="1">
      <alignment horizontal="center" vertical="center"/>
    </xf>
    <xf numFmtId="165" fontId="698" fillId="419" borderId="239" xfId="0" applyNumberFormat="1" applyFont="1" applyFill="1" applyBorder="1" applyAlignment="1">
      <alignment horizontal="center" vertical="center"/>
    </xf>
    <xf numFmtId="165" fontId="698" fillId="419" borderId="201" xfId="0" applyNumberFormat="1" applyFont="1" applyFill="1" applyBorder="1" applyAlignment="1">
      <alignment horizontal="center" vertical="center"/>
    </xf>
    <xf numFmtId="165" fontId="698" fillId="419" borderId="188" xfId="0" applyNumberFormat="1" applyFont="1" applyFill="1" applyBorder="1" applyAlignment="1">
      <alignment horizontal="center" vertical="center"/>
    </xf>
    <xf numFmtId="168" fontId="283" fillId="168" borderId="239" xfId="0" applyNumberFormat="1" applyFont="1" applyFill="1" applyBorder="1" applyAlignment="1">
      <alignment horizontal="center" vertical="center"/>
    </xf>
    <xf numFmtId="168" fontId="283" fillId="168" borderId="188" xfId="0" applyNumberFormat="1" applyFont="1" applyFill="1" applyBorder="1" applyAlignment="1">
      <alignment horizontal="center" vertical="center"/>
    </xf>
    <xf numFmtId="0" fontId="470" fillId="279" borderId="239" xfId="0" applyFont="1" applyFill="1" applyBorder="1" applyAlignment="1">
      <alignment horizontal="center" vertical="center"/>
    </xf>
    <xf numFmtId="0" fontId="470" fillId="279" borderId="201" xfId="0" applyFont="1" applyFill="1" applyBorder="1" applyAlignment="1">
      <alignment horizontal="center" vertical="center"/>
    </xf>
    <xf numFmtId="0" fontId="470" fillId="279" borderId="188" xfId="0" applyFont="1" applyFill="1" applyBorder="1" applyAlignment="1">
      <alignment horizontal="center" vertical="center"/>
    </xf>
    <xf numFmtId="0" fontId="591" fillId="355" borderId="239" xfId="0" applyFont="1" applyFill="1" applyBorder="1" applyAlignment="1">
      <alignment horizontal="center" vertical="center"/>
    </xf>
    <xf numFmtId="0" fontId="591" fillId="355" borderId="201" xfId="0" applyFont="1" applyFill="1" applyBorder="1" applyAlignment="1">
      <alignment horizontal="center" vertical="center"/>
    </xf>
    <xf numFmtId="0" fontId="591" fillId="355" borderId="188" xfId="0" applyFont="1" applyFill="1" applyBorder="1" applyAlignment="1">
      <alignment horizontal="center" vertical="center"/>
    </xf>
    <xf numFmtId="168" fontId="121" fillId="71" borderId="239" xfId="0" applyNumberFormat="1" applyFont="1" applyFill="1" applyBorder="1" applyAlignment="1">
      <alignment horizontal="center" vertical="center"/>
    </xf>
    <xf numFmtId="168" fontId="121" fillId="71" borderId="188" xfId="0" applyNumberFormat="1" applyFont="1" applyFill="1" applyBorder="1" applyAlignment="1">
      <alignment horizontal="center" vertical="center"/>
    </xf>
    <xf numFmtId="171" fontId="404" fillId="237" borderId="239" xfId="0" applyNumberFormat="1" applyFont="1" applyFill="1" applyBorder="1" applyAlignment="1">
      <alignment horizontal="center" vertical="center"/>
    </xf>
    <xf numFmtId="171" fontId="404" fillId="237" borderId="188" xfId="0" applyNumberFormat="1" applyFont="1" applyFill="1" applyBorder="1" applyAlignment="1">
      <alignment horizontal="center" vertical="center"/>
    </xf>
    <xf numFmtId="171" fontId="278" fillId="165" borderId="239" xfId="0" applyNumberFormat="1" applyFont="1" applyFill="1" applyBorder="1" applyAlignment="1">
      <alignment horizontal="center" vertical="center"/>
    </xf>
    <xf numFmtId="171" fontId="278" fillId="165" borderId="188" xfId="0" applyNumberFormat="1" applyFont="1" applyFill="1" applyBorder="1" applyAlignment="1">
      <alignment horizontal="center" vertical="center"/>
    </xf>
    <xf numFmtId="168" fontId="503" fillId="298" borderId="239" xfId="0" applyNumberFormat="1" applyFont="1" applyFill="1" applyBorder="1" applyAlignment="1">
      <alignment horizontal="center" vertical="center"/>
    </xf>
    <xf numFmtId="168" fontId="503" fillId="298" borderId="188" xfId="0" applyNumberFormat="1" applyFont="1" applyFill="1" applyBorder="1" applyAlignment="1">
      <alignment horizontal="center" vertical="center"/>
    </xf>
    <xf numFmtId="171" fontId="476" fillId="282" borderId="239" xfId="0" applyNumberFormat="1" applyFont="1" applyFill="1" applyBorder="1" applyAlignment="1">
      <alignment horizontal="center" vertical="center"/>
    </xf>
    <xf numFmtId="171" fontId="476" fillId="282" borderId="188" xfId="0" applyNumberFormat="1" applyFont="1" applyFill="1" applyBorder="1" applyAlignment="1">
      <alignment horizontal="center" vertical="center"/>
    </xf>
    <xf numFmtId="168" fontId="75" fillId="45" borderId="239" xfId="0" applyNumberFormat="1" applyFont="1" applyFill="1" applyBorder="1" applyAlignment="1">
      <alignment horizontal="center" vertical="center"/>
    </xf>
    <xf numFmtId="168" fontId="75" fillId="45" borderId="188" xfId="0" applyNumberFormat="1" applyFont="1" applyFill="1" applyBorder="1" applyAlignment="1">
      <alignment horizontal="center" vertical="center"/>
    </xf>
    <xf numFmtId="171" fontId="573" fillId="343" borderId="239" xfId="0" applyNumberFormat="1" applyFont="1" applyFill="1" applyBorder="1" applyAlignment="1">
      <alignment horizontal="center" vertical="center"/>
    </xf>
    <xf numFmtId="171" fontId="573" fillId="343" borderId="188" xfId="0" applyNumberFormat="1" applyFont="1" applyFill="1" applyBorder="1" applyAlignment="1">
      <alignment horizontal="center" vertical="center"/>
    </xf>
    <xf numFmtId="168" fontId="150" fillId="93" borderId="239" xfId="0" applyNumberFormat="1" applyFont="1" applyFill="1" applyBorder="1" applyAlignment="1">
      <alignment horizontal="center" vertical="center"/>
    </xf>
    <xf numFmtId="168" fontId="150" fillId="93" borderId="188" xfId="0" applyNumberFormat="1" applyFont="1" applyFill="1" applyBorder="1" applyAlignment="1">
      <alignment horizontal="center" vertical="center"/>
    </xf>
    <xf numFmtId="171" fontId="438" fillId="257" borderId="239" xfId="0" applyNumberFormat="1" applyFont="1" applyFill="1" applyBorder="1" applyAlignment="1">
      <alignment horizontal="center" vertical="center"/>
    </xf>
    <xf numFmtId="171" fontId="438" fillId="257" borderId="188" xfId="0" applyNumberFormat="1" applyFont="1" applyFill="1" applyBorder="1" applyAlignment="1">
      <alignment horizontal="center" vertical="center"/>
    </xf>
    <xf numFmtId="168" fontId="348" fillId="201" borderId="239" xfId="0" applyNumberFormat="1" applyFont="1" applyFill="1" applyBorder="1" applyAlignment="1">
      <alignment horizontal="center" vertical="center"/>
    </xf>
    <xf numFmtId="168" fontId="348" fillId="201" borderId="188" xfId="0" applyNumberFormat="1" applyFont="1" applyFill="1" applyBorder="1" applyAlignment="1">
      <alignment horizontal="center" vertical="center"/>
    </xf>
    <xf numFmtId="171" fontId="96" fillId="57" borderId="239" xfId="0" applyNumberFormat="1" applyFont="1" applyFill="1" applyBorder="1" applyAlignment="1">
      <alignment horizontal="center" vertical="center"/>
    </xf>
    <xf numFmtId="171" fontId="96" fillId="57" borderId="188" xfId="0" applyNumberFormat="1" applyFont="1" applyFill="1" applyBorder="1" applyAlignment="1">
      <alignment horizontal="center" vertical="center"/>
    </xf>
    <xf numFmtId="0" fontId="508" fillId="303" borderId="239" xfId="0" applyFont="1" applyFill="1" applyBorder="1" applyAlignment="1">
      <alignment horizontal="center" vertical="center"/>
    </xf>
    <xf numFmtId="0" fontId="508" fillId="303" borderId="201" xfId="0" applyFont="1" applyFill="1" applyBorder="1" applyAlignment="1">
      <alignment horizontal="center" vertical="center"/>
    </xf>
    <xf numFmtId="0" fontId="508" fillId="303" borderId="188" xfId="0" applyFont="1" applyFill="1" applyBorder="1" applyAlignment="1">
      <alignment horizontal="center" vertical="center"/>
    </xf>
    <xf numFmtId="0" fontId="670" fillId="404" borderId="239" xfId="0" applyFont="1" applyFill="1" applyBorder="1" applyAlignment="1">
      <alignment horizontal="center" vertical="center"/>
    </xf>
    <xf numFmtId="0" fontId="670" fillId="404" borderId="201" xfId="0" applyFont="1" applyFill="1" applyBorder="1" applyAlignment="1">
      <alignment horizontal="center" vertical="center"/>
    </xf>
    <xf numFmtId="0" fontId="670" fillId="404" borderId="188" xfId="0" applyFont="1" applyFill="1" applyBorder="1" applyAlignment="1">
      <alignment horizontal="center" vertical="center"/>
    </xf>
    <xf numFmtId="0" fontId="696" fillId="418" borderId="239" xfId="0" applyFont="1" applyFill="1" applyBorder="1" applyAlignment="1">
      <alignment horizontal="center" vertical="center"/>
    </xf>
    <xf numFmtId="0" fontId="696" fillId="418" borderId="201" xfId="0" applyFont="1" applyFill="1" applyBorder="1" applyAlignment="1">
      <alignment horizontal="center" vertical="center"/>
    </xf>
    <xf numFmtId="0" fontId="696" fillId="418" borderId="188" xfId="0" applyFont="1" applyFill="1" applyBorder="1" applyAlignment="1">
      <alignment horizontal="center" vertical="center"/>
    </xf>
    <xf numFmtId="0" fontId="496" fillId="293" borderId="239" xfId="0" applyFont="1" applyFill="1" applyBorder="1" applyAlignment="1">
      <alignment horizontal="center" vertical="center"/>
    </xf>
    <xf numFmtId="0" fontId="496" fillId="293" borderId="201" xfId="0" applyFont="1" applyFill="1" applyBorder="1" applyAlignment="1">
      <alignment horizontal="center" vertical="center"/>
    </xf>
    <xf numFmtId="0" fontId="496" fillId="293" borderId="188" xfId="0" applyFont="1" applyFill="1" applyBorder="1" applyAlignment="1">
      <alignment horizontal="center" vertical="center"/>
    </xf>
    <xf numFmtId="0" fontId="167" fillId="104" borderId="239" xfId="0" applyFont="1" applyFill="1" applyBorder="1" applyAlignment="1">
      <alignment horizontal="center" vertical="center"/>
    </xf>
    <xf numFmtId="0" fontId="167" fillId="104" borderId="201" xfId="0" applyFont="1" applyFill="1" applyBorder="1" applyAlignment="1">
      <alignment horizontal="center" vertical="center"/>
    </xf>
    <xf numFmtId="0" fontId="167" fillId="104" borderId="188" xfId="0" applyFont="1" applyFill="1" applyBorder="1" applyAlignment="1">
      <alignment horizontal="center" vertical="center"/>
    </xf>
    <xf numFmtId="0" fontId="600" fillId="361" borderId="239" xfId="0" applyFont="1" applyFill="1" applyBorder="1" applyAlignment="1">
      <alignment horizontal="center" vertical="center"/>
    </xf>
    <xf numFmtId="0" fontId="600" fillId="361" borderId="201" xfId="0" applyFont="1" applyFill="1" applyBorder="1" applyAlignment="1">
      <alignment horizontal="center" vertical="center"/>
    </xf>
    <xf numFmtId="0" fontId="600" fillId="361" borderId="188" xfId="0" applyFont="1" applyFill="1" applyBorder="1" applyAlignment="1">
      <alignment horizontal="center" vertical="center"/>
    </xf>
    <xf numFmtId="0" fontId="285" fillId="169" borderId="239" xfId="0" applyFont="1" applyFill="1" applyBorder="1" applyAlignment="1">
      <alignment horizontal="center" vertical="center"/>
    </xf>
    <xf numFmtId="0" fontId="285" fillId="169" borderId="201" xfId="0" applyFont="1" applyFill="1" applyBorder="1" applyAlignment="1">
      <alignment horizontal="center" vertical="center"/>
    </xf>
    <xf numFmtId="0" fontId="285" fillId="169" borderId="188" xfId="0" applyFont="1" applyFill="1" applyBorder="1" applyAlignment="1">
      <alignment horizontal="center" vertical="center"/>
    </xf>
    <xf numFmtId="168" fontId="578" fillId="347" borderId="239" xfId="0" applyNumberFormat="1" applyFont="1" applyFill="1" applyBorder="1" applyAlignment="1">
      <alignment horizontal="center" vertical="center"/>
    </xf>
    <xf numFmtId="168" fontId="578" fillId="347" borderId="188" xfId="0" applyNumberFormat="1" applyFont="1" applyFill="1" applyBorder="1" applyAlignment="1">
      <alignment horizontal="center" vertical="center"/>
    </xf>
    <xf numFmtId="171" fontId="702" fillId="421" borderId="239" xfId="0" applyNumberFormat="1" applyFont="1" applyFill="1" applyBorder="1" applyAlignment="1">
      <alignment horizontal="center" vertical="center"/>
    </xf>
    <xf numFmtId="171" fontId="702" fillId="421" borderId="188" xfId="0" applyNumberFormat="1" applyFont="1" applyFill="1" applyBorder="1" applyAlignment="1">
      <alignment horizontal="center" vertical="center"/>
    </xf>
    <xf numFmtId="171" fontId="647" fillId="390" borderId="239" xfId="0" applyNumberFormat="1" applyFont="1" applyFill="1" applyBorder="1" applyAlignment="1">
      <alignment horizontal="center" vertical="center"/>
    </xf>
    <xf numFmtId="171" fontId="647" fillId="390" borderId="188" xfId="0" applyNumberFormat="1" applyFont="1" applyFill="1" applyBorder="1" applyAlignment="1">
      <alignment horizontal="center" vertical="center"/>
    </xf>
    <xf numFmtId="171" fontId="109" fillId="65" borderId="239" xfId="0" applyNumberFormat="1" applyFont="1" applyFill="1" applyBorder="1" applyAlignment="1">
      <alignment horizontal="center" vertical="center" wrapText="1"/>
    </xf>
    <xf numFmtId="171" fontId="109" fillId="65" borderId="188" xfId="0" applyNumberFormat="1" applyFont="1" applyFill="1" applyBorder="1" applyAlignment="1">
      <alignment horizontal="center" vertical="center" wrapText="1"/>
    </xf>
    <xf numFmtId="168" fontId="40" fillId="25" borderId="239" xfId="0" applyNumberFormat="1" applyFont="1" applyFill="1" applyBorder="1" applyAlignment="1">
      <alignment horizontal="center" vertical="center"/>
    </xf>
    <xf numFmtId="168" fontId="40" fillId="25" borderId="188" xfId="0" applyNumberFormat="1" applyFont="1" applyFill="1" applyBorder="1" applyAlignment="1">
      <alignment horizontal="center" vertical="center"/>
    </xf>
    <xf numFmtId="168" fontId="611" fillId="368" borderId="239" xfId="0" applyNumberFormat="1" applyFont="1" applyFill="1" applyBorder="1" applyAlignment="1">
      <alignment horizontal="center" vertical="center"/>
    </xf>
    <xf numFmtId="168" fontId="611" fillId="368" borderId="188" xfId="0" applyNumberFormat="1" applyFont="1" applyFill="1" applyBorder="1" applyAlignment="1">
      <alignment horizontal="center" vertical="center"/>
    </xf>
    <xf numFmtId="168" fontId="215" fillId="130" borderId="239" xfId="0" applyNumberFormat="1" applyFont="1" applyFill="1" applyBorder="1" applyAlignment="1">
      <alignment horizontal="center" vertical="center"/>
    </xf>
    <xf numFmtId="168" fontId="215" fillId="130" borderId="188" xfId="0" applyNumberFormat="1" applyFont="1" applyFill="1" applyBorder="1" applyAlignment="1">
      <alignment horizontal="center" vertical="center"/>
    </xf>
    <xf numFmtId="168" fontId="685" fillId="414" borderId="239" xfId="0" applyNumberFormat="1" applyFont="1" applyFill="1" applyBorder="1" applyAlignment="1">
      <alignment horizontal="center" vertical="center"/>
    </xf>
    <xf numFmtId="168" fontId="685" fillId="414" borderId="188" xfId="0" applyNumberFormat="1" applyFont="1" applyFill="1" applyBorder="1" applyAlignment="1">
      <alignment horizontal="center" vertical="center"/>
    </xf>
    <xf numFmtId="0" fontId="12" fillId="0" borderId="253" xfId="0" applyFont="1" applyBorder="1" applyAlignment="1">
      <alignment horizontal="center" vertical="center"/>
    </xf>
    <xf numFmtId="164" fontId="679" fillId="409" borderId="239" xfId="0" applyNumberFormat="1" applyFont="1" applyFill="1" applyBorder="1" applyAlignment="1">
      <alignment horizontal="center" vertical="center"/>
    </xf>
    <xf numFmtId="164" fontId="679" fillId="409" borderId="188" xfId="0" applyNumberFormat="1" applyFont="1" applyFill="1" applyBorder="1" applyAlignment="1">
      <alignment horizontal="center" vertical="center"/>
    </xf>
    <xf numFmtId="164" fontId="62" fillId="40" borderId="239" xfId="0" applyNumberFormat="1" applyFont="1" applyFill="1" applyBorder="1" applyAlignment="1">
      <alignment horizontal="center" vertical="center"/>
    </xf>
    <xf numFmtId="164" fontId="62" fillId="40" borderId="188" xfId="0" applyNumberFormat="1" applyFont="1" applyFill="1" applyBorder="1" applyAlignment="1">
      <alignment horizontal="center" vertical="center"/>
    </xf>
    <xf numFmtId="164" fontId="368" fillId="217" borderId="239" xfId="0" applyNumberFormat="1" applyFont="1" applyFill="1" applyBorder="1" applyAlignment="1">
      <alignment horizontal="center" vertical="center"/>
    </xf>
    <xf numFmtId="164" fontId="368" fillId="217" borderId="201" xfId="0" applyNumberFormat="1" applyFont="1" applyFill="1" applyBorder="1" applyAlignment="1">
      <alignment horizontal="center" vertical="center"/>
    </xf>
    <xf numFmtId="164" fontId="506" fillId="302" borderId="239" xfId="0" applyNumberFormat="1" applyFont="1" applyFill="1" applyBorder="1" applyAlignment="1">
      <alignment horizontal="center" vertical="center"/>
    </xf>
    <xf numFmtId="164" fontId="506" fillId="302" borderId="188" xfId="0" applyNumberFormat="1" applyFont="1" applyFill="1" applyBorder="1" applyAlignment="1">
      <alignment horizontal="center" vertical="center"/>
    </xf>
    <xf numFmtId="164" fontId="541" fillId="321" borderId="239" xfId="0" applyNumberFormat="1" applyFont="1" applyFill="1" applyBorder="1" applyAlignment="1">
      <alignment horizontal="center" vertical="center"/>
    </xf>
    <xf numFmtId="164" fontId="541" fillId="321" borderId="188" xfId="0" applyNumberFormat="1" applyFont="1" applyFill="1" applyBorder="1" applyAlignment="1">
      <alignment horizontal="center" vertical="center"/>
    </xf>
    <xf numFmtId="164" fontId="645" fillId="389" borderId="239" xfId="0" applyNumberFormat="1" applyFont="1" applyFill="1" applyBorder="1" applyAlignment="1">
      <alignment horizontal="center" vertical="center"/>
    </xf>
    <xf numFmtId="164" fontId="645" fillId="389" borderId="188" xfId="0" applyNumberFormat="1" applyFont="1" applyFill="1" applyBorder="1" applyAlignment="1">
      <alignment horizontal="center" vertical="center"/>
    </xf>
    <xf numFmtId="164" fontId="451" fillId="266" borderId="239" xfId="0" applyNumberFormat="1" applyFont="1" applyFill="1" applyBorder="1" applyAlignment="1">
      <alignment horizontal="center" vertical="center"/>
    </xf>
    <xf numFmtId="164" fontId="451" fillId="266" borderId="188" xfId="0" applyNumberFormat="1" applyFont="1" applyFill="1" applyBorder="1" applyAlignment="1">
      <alignment horizontal="center" vertical="center"/>
    </xf>
    <xf numFmtId="164" fontId="373" fillId="221" borderId="239" xfId="0" applyNumberFormat="1" applyFont="1" applyFill="1" applyBorder="1" applyAlignment="1">
      <alignment horizontal="center" vertical="center"/>
    </xf>
    <xf numFmtId="164" fontId="373" fillId="221" borderId="188" xfId="0" applyNumberFormat="1" applyFont="1" applyFill="1" applyBorder="1" applyAlignment="1">
      <alignment horizontal="center" vertical="center"/>
    </xf>
    <xf numFmtId="164" fontId="606" fillId="364" borderId="239" xfId="0" applyNumberFormat="1" applyFont="1" applyFill="1" applyBorder="1" applyAlignment="1">
      <alignment horizontal="center" vertical="center"/>
    </xf>
    <xf numFmtId="164" fontId="606" fillId="364" borderId="188" xfId="0" applyNumberFormat="1" applyFont="1" applyFill="1" applyBorder="1" applyAlignment="1">
      <alignment horizontal="center" vertical="center"/>
    </xf>
    <xf numFmtId="164" fontId="495" fillId="292" borderId="239" xfId="0" applyNumberFormat="1" applyFont="1" applyFill="1" applyBorder="1" applyAlignment="1">
      <alignment horizontal="center" vertical="center"/>
    </xf>
    <xf numFmtId="164" fontId="495" fillId="292" borderId="188" xfId="0" applyNumberFormat="1" applyFont="1" applyFill="1" applyBorder="1" applyAlignment="1">
      <alignment horizontal="center" vertical="center"/>
    </xf>
    <xf numFmtId="0" fontId="750" fillId="449" borderId="188" xfId="0" applyFont="1" applyFill="1" applyBorder="1" applyAlignment="1">
      <alignment horizontal="center" vertical="center"/>
    </xf>
    <xf numFmtId="0" fontId="750" fillId="449" borderId="253" xfId="0" applyFont="1" applyFill="1" applyBorder="1" applyAlignment="1">
      <alignment horizontal="center" vertical="center"/>
    </xf>
    <xf numFmtId="0" fontId="244" fillId="145" borderId="253" xfId="0" applyFont="1" applyFill="1" applyBorder="1" applyAlignment="1">
      <alignment horizontal="center" vertical="center"/>
    </xf>
    <xf numFmtId="0" fontId="206" fillId="128" borderId="253" xfId="0" applyFont="1" applyFill="1" applyBorder="1" applyAlignment="1">
      <alignment horizontal="center" vertical="center"/>
    </xf>
    <xf numFmtId="164" fontId="387" fillId="229" borderId="253" xfId="0" applyNumberFormat="1" applyFont="1" applyFill="1" applyBorder="1" applyAlignment="1">
      <alignment horizontal="center" vertical="center"/>
    </xf>
    <xf numFmtId="164" fontId="504" fillId="300" borderId="253" xfId="0" applyNumberFormat="1" applyFont="1" applyFill="1" applyBorder="1" applyAlignment="1">
      <alignment horizontal="center" vertical="center"/>
    </xf>
    <xf numFmtId="164" fontId="387" fillId="229" borderId="253" xfId="0" applyNumberFormat="1" applyFont="1" applyFill="1" applyBorder="1" applyAlignment="1">
      <alignment horizontal="center" vertical="center" wrapText="1"/>
    </xf>
    <xf numFmtId="164" fontId="430" fillId="250" borderId="253" xfId="0" applyNumberFormat="1" applyFont="1" applyFill="1" applyBorder="1" applyAlignment="1">
      <alignment horizontal="center" vertical="center"/>
    </xf>
    <xf numFmtId="164" fontId="10" fillId="5" borderId="201" xfId="0" applyNumberFormat="1" applyFont="1" applyFill="1" applyBorder="1" applyAlignment="1">
      <alignment horizontal="center" vertical="center"/>
    </xf>
    <xf numFmtId="164" fontId="10" fillId="5" borderId="188" xfId="0" applyNumberFormat="1" applyFont="1" applyFill="1" applyBorder="1" applyAlignment="1">
      <alignment horizontal="center" vertical="center"/>
    </xf>
    <xf numFmtId="0" fontId="418" fillId="244" borderId="253" xfId="0" applyFont="1" applyFill="1" applyBorder="1" applyAlignment="1">
      <alignment horizontal="center" vertical="center"/>
    </xf>
    <xf numFmtId="165" fontId="500" fillId="295" borderId="253" xfId="0" applyNumberFormat="1" applyFont="1" applyFill="1" applyBorder="1" applyAlignment="1" applyProtection="1">
      <alignment horizontal="center" vertical="center"/>
      <protection locked="0"/>
    </xf>
    <xf numFmtId="0" fontId="480" fillId="287" borderId="253" xfId="0" applyFont="1" applyFill="1" applyBorder="1" applyAlignment="1">
      <alignment horizontal="center" vertical="center"/>
    </xf>
    <xf numFmtId="165" fontId="419" fillId="245" borderId="253" xfId="0" applyNumberFormat="1" applyFont="1" applyFill="1" applyBorder="1" applyAlignment="1" applyProtection="1">
      <alignment horizontal="center" vertical="center"/>
      <protection locked="0"/>
    </xf>
    <xf numFmtId="0" fontId="722" fillId="433" borderId="253" xfId="0" applyFont="1" applyFill="1" applyBorder="1" applyAlignment="1">
      <alignment horizontal="center" vertical="center"/>
    </xf>
    <xf numFmtId="164" fontId="170" fillId="105" borderId="239" xfId="0" applyNumberFormat="1" applyFont="1" applyFill="1" applyBorder="1" applyAlignment="1">
      <alignment horizontal="center" vertical="center"/>
    </xf>
    <xf numFmtId="164" fontId="170" fillId="105" borderId="188" xfId="0" applyNumberFormat="1" applyFont="1" applyFill="1" applyBorder="1" applyAlignment="1">
      <alignment horizontal="center" vertical="center"/>
    </xf>
    <xf numFmtId="0" fontId="250" fillId="149" borderId="253" xfId="0" applyFont="1" applyFill="1" applyBorder="1" applyAlignment="1">
      <alignment horizontal="center" vertical="center"/>
    </xf>
    <xf numFmtId="0" fontId="148" fillId="91" borderId="253" xfId="0" applyFont="1" applyFill="1" applyBorder="1" applyAlignment="1">
      <alignment horizontal="center" vertical="center"/>
    </xf>
    <xf numFmtId="165" fontId="749" fillId="448" borderId="253" xfId="0" applyNumberFormat="1" applyFont="1" applyFill="1" applyBorder="1" applyAlignment="1" applyProtection="1">
      <alignment horizontal="center" vertical="center"/>
      <protection locked="0"/>
    </xf>
    <xf numFmtId="0" fontId="306" fillId="182" borderId="253" xfId="0" applyFont="1" applyFill="1" applyBorder="1" applyAlignment="1">
      <alignment horizontal="center" vertical="center"/>
    </xf>
    <xf numFmtId="165" fontId="45" fillId="29" borderId="253" xfId="0" applyNumberFormat="1" applyFont="1" applyFill="1" applyBorder="1" applyAlignment="1" applyProtection="1">
      <alignment horizontal="center" vertical="center"/>
      <protection locked="0"/>
    </xf>
    <xf numFmtId="0" fontId="353" fillId="205" borderId="253" xfId="0" applyFont="1" applyFill="1" applyBorder="1" applyAlignment="1">
      <alignment horizontal="center" vertical="center"/>
    </xf>
    <xf numFmtId="0" fontId="1" fillId="2" borderId="253" xfId="0" applyFont="1" applyFill="1" applyBorder="1" applyAlignment="1">
      <alignment horizontal="center" vertical="center"/>
    </xf>
    <xf numFmtId="0" fontId="288" fillId="170" borderId="253" xfId="0" applyFont="1" applyFill="1" applyBorder="1" applyAlignment="1">
      <alignment horizontal="center" vertical="center"/>
    </xf>
    <xf numFmtId="165" fontId="546" fillId="325" borderId="253" xfId="0" applyNumberFormat="1" applyFont="1" applyFill="1" applyBorder="1" applyAlignment="1" applyProtection="1">
      <alignment horizontal="center" vertical="center"/>
      <protection locked="0"/>
    </xf>
    <xf numFmtId="0" fontId="634" fillId="383" borderId="253" xfId="0" applyFont="1" applyFill="1" applyBorder="1" applyAlignment="1">
      <alignment horizontal="center" vertical="center"/>
    </xf>
    <xf numFmtId="165" fontId="336" fillId="197" borderId="253" xfId="0" applyNumberFormat="1" applyFont="1" applyFill="1" applyBorder="1" applyAlignment="1" applyProtection="1">
      <alignment horizontal="center" vertical="center"/>
      <protection locked="0"/>
    </xf>
    <xf numFmtId="0" fontId="516" fillId="305" borderId="253" xfId="0" applyFont="1" applyFill="1" applyBorder="1" applyAlignment="1">
      <alignment horizontal="center" vertical="center"/>
    </xf>
    <xf numFmtId="0" fontId="198" fillId="122" borderId="188" xfId="0" applyFont="1" applyFill="1" applyBorder="1" applyAlignment="1">
      <alignment horizontal="center" vertical="center"/>
    </xf>
    <xf numFmtId="0" fontId="198" fillId="122" borderId="253" xfId="0" applyFont="1" applyFill="1" applyBorder="1" applyAlignment="1">
      <alignment horizontal="center" vertical="center"/>
    </xf>
    <xf numFmtId="165" fontId="546" fillId="325" borderId="188" xfId="0" applyNumberFormat="1" applyFont="1" applyFill="1" applyBorder="1" applyAlignment="1" applyProtection="1">
      <alignment horizontal="center" vertical="center"/>
      <protection locked="0"/>
    </xf>
    <xf numFmtId="0" fontId="630" fillId="381" borderId="253" xfId="0" applyFont="1" applyFill="1" applyBorder="1" applyAlignment="1">
      <alignment horizontal="center" vertical="center"/>
    </xf>
    <xf numFmtId="165" fontId="43" fillId="27" borderId="253" xfId="0" applyNumberFormat="1" applyFont="1" applyFill="1" applyBorder="1" applyAlignment="1" applyProtection="1">
      <alignment horizontal="center" vertical="center"/>
      <protection locked="0"/>
    </xf>
    <xf numFmtId="0" fontId="472" fillId="280" borderId="253" xfId="0" applyFont="1" applyFill="1" applyBorder="1" applyAlignment="1">
      <alignment horizontal="center" vertical="center"/>
    </xf>
    <xf numFmtId="165" fontId="227" fillId="138" borderId="253" xfId="0" applyNumberFormat="1" applyFont="1" applyFill="1" applyBorder="1" applyAlignment="1" applyProtection="1">
      <alignment horizontal="center" vertical="center"/>
      <protection locked="0"/>
    </xf>
    <xf numFmtId="0" fontId="598" fillId="359" borderId="253" xfId="0" applyFont="1" applyFill="1" applyBorder="1" applyAlignment="1">
      <alignment horizontal="center" vertical="center"/>
    </xf>
    <xf numFmtId="0" fontId="464" fillId="275" borderId="253" xfId="0" applyFont="1" applyFill="1" applyBorder="1" applyAlignment="1">
      <alignment horizontal="center" vertical="center"/>
    </xf>
    <xf numFmtId="0" fontId="590" fillId="0" borderId="0" xfId="0" applyFont="1" applyAlignment="1">
      <alignment horizontal="center" vertical="center"/>
    </xf>
    <xf numFmtId="0" fontId="211" fillId="0" borderId="0" xfId="0" applyFont="1" applyAlignment="1">
      <alignment horizontal="center" vertical="center" wrapText="1"/>
    </xf>
    <xf numFmtId="0" fontId="380" fillId="225" borderId="253" xfId="0" applyFont="1" applyFill="1" applyBorder="1" applyAlignment="1">
      <alignment horizontal="center" vertical="center"/>
    </xf>
    <xf numFmtId="164" fontId="502" fillId="297" borderId="239" xfId="0" applyNumberFormat="1" applyFont="1" applyFill="1" applyBorder="1" applyAlignment="1">
      <alignment horizontal="center" vertical="center"/>
    </xf>
    <xf numFmtId="164" fontId="502" fillId="297" borderId="201" xfId="0" applyNumberFormat="1" applyFont="1" applyFill="1" applyBorder="1" applyAlignment="1">
      <alignment horizontal="center" vertical="center"/>
    </xf>
    <xf numFmtId="164" fontId="502" fillId="297" borderId="188" xfId="0" applyNumberFormat="1" applyFont="1" applyFill="1" applyBorder="1" applyAlignment="1">
      <alignment horizontal="center" vertical="center"/>
    </xf>
    <xf numFmtId="164" fontId="387" fillId="229" borderId="239" xfId="0" applyNumberFormat="1" applyFont="1" applyFill="1" applyBorder="1" applyAlignment="1">
      <alignment horizontal="center" vertical="center"/>
    </xf>
    <xf numFmtId="164" fontId="387" fillId="229" borderId="201" xfId="0" applyNumberFormat="1" applyFont="1" applyFill="1" applyBorder="1" applyAlignment="1">
      <alignment horizontal="center" vertical="center"/>
    </xf>
    <xf numFmtId="164" fontId="387" fillId="229" borderId="188" xfId="0" applyNumberFormat="1" applyFont="1" applyFill="1" applyBorder="1" applyAlignment="1">
      <alignment horizontal="center" vertical="center"/>
    </xf>
    <xf numFmtId="0" fontId="126" fillId="74" borderId="253" xfId="0" applyFont="1" applyFill="1" applyBorder="1" applyAlignment="1">
      <alignment horizontal="center" vertical="center"/>
    </xf>
    <xf numFmtId="0" fontId="686" fillId="415" borderId="253" xfId="0" applyFont="1" applyFill="1" applyBorder="1" applyAlignment="1">
      <alignment horizontal="center" vertical="center" wrapText="1"/>
    </xf>
    <xf numFmtId="0" fontId="1" fillId="415" borderId="102" xfId="0" applyFont="1" applyFill="1" applyBorder="1" applyAlignment="1">
      <alignment horizontal="center" vertical="center" wrapText="1"/>
    </xf>
    <xf numFmtId="0" fontId="686" fillId="415" borderId="224" xfId="0" applyFont="1" applyFill="1" applyBorder="1" applyAlignment="1">
      <alignment horizontal="center" vertical="center" wrapText="1"/>
    </xf>
    <xf numFmtId="0" fontId="1" fillId="415" borderId="193" xfId="0" applyFont="1" applyFill="1" applyBorder="1" applyAlignment="1" applyProtection="1">
      <alignment horizontal="center" vertical="center" wrapText="1"/>
      <protection locked="0"/>
    </xf>
    <xf numFmtId="0" fontId="1" fillId="415" borderId="169" xfId="0" applyFont="1" applyFill="1" applyBorder="1" applyAlignment="1" applyProtection="1">
      <alignment horizontal="center" vertical="center" wrapText="1"/>
      <protection locked="0"/>
    </xf>
    <xf numFmtId="0" fontId="766" fillId="0" borderId="102" xfId="0" applyFont="1" applyBorder="1" applyAlignment="1">
      <alignment horizontal="center" vertical="center"/>
    </xf>
    <xf numFmtId="0" fontId="766" fillId="0" borderId="193" xfId="0" applyFont="1" applyBorder="1" applyAlignment="1">
      <alignment horizontal="center" vertical="center"/>
    </xf>
    <xf numFmtId="0" fontId="766" fillId="0" borderId="224" xfId="0" applyFont="1" applyBorder="1" applyAlignment="1">
      <alignment horizontal="center" vertical="center"/>
    </xf>
    <xf numFmtId="0" fontId="766" fillId="0" borderId="169" xfId="0" applyFont="1" applyBorder="1" applyAlignment="1">
      <alignment horizontal="center" vertical="center"/>
    </xf>
    <xf numFmtId="0" fontId="15" fillId="8" borderId="207" xfId="0" applyFont="1" applyFill="1" applyBorder="1" applyAlignment="1">
      <alignment horizontal="right" vertical="center"/>
    </xf>
    <xf numFmtId="0" fontId="660" fillId="399" borderId="263" xfId="0" applyFont="1" applyFill="1" applyBorder="1" applyAlignment="1">
      <alignment horizontal="right" vertical="center"/>
    </xf>
    <xf numFmtId="0" fontId="393" fillId="231" borderId="261" xfId="0" applyNumberFormat="1" applyFont="1" applyFill="1" applyBorder="1" applyAlignment="1">
      <alignment horizontal="center" vertical="center"/>
    </xf>
    <xf numFmtId="0" fontId="551" fillId="328" borderId="92" xfId="0" applyNumberFormat="1" applyFont="1" applyFill="1" applyBorder="1" applyAlignment="1">
      <alignment horizontal="center" vertical="center"/>
    </xf>
    <xf numFmtId="0" fontId="350" fillId="202" borderId="257" xfId="0" applyNumberFormat="1" applyFont="1" applyFill="1" applyBorder="1" applyAlignment="1">
      <alignment horizontal="center" vertical="center"/>
    </xf>
    <xf numFmtId="0" fontId="263" fillId="158" borderId="207" xfId="0" applyNumberFormat="1" applyFont="1" applyFill="1" applyBorder="1" applyAlignment="1">
      <alignment horizontal="center" vertical="center"/>
    </xf>
    <xf numFmtId="0" fontId="195" fillId="120" borderId="92" xfId="0" applyNumberFormat="1" applyFont="1" applyFill="1" applyBorder="1" applyAlignment="1">
      <alignment horizontal="center" vertical="center"/>
    </xf>
    <xf numFmtId="0" fontId="605" fillId="363" borderId="262" xfId="0" applyNumberFormat="1" applyFont="1" applyFill="1" applyBorder="1" applyAlignment="1">
      <alignment horizontal="center" vertical="center"/>
    </xf>
    <xf numFmtId="0" fontId="29" fillId="17" borderId="8" xfId="0" applyFont="1" applyFill="1" applyBorder="1" applyAlignment="1">
      <alignment horizontal="center" vertical="center"/>
    </xf>
    <xf numFmtId="0" fontId="586" fillId="351" borderId="187" xfId="0" applyFont="1" applyFill="1" applyBorder="1" applyAlignment="1">
      <alignment horizontal="center" vertical="center"/>
    </xf>
    <xf numFmtId="0" fontId="49" fillId="32" borderId="14" xfId="0" applyFont="1" applyFill="1" applyBorder="1" applyAlignment="1">
      <alignment horizontal="center" vertical="center"/>
    </xf>
    <xf numFmtId="0" fontId="662" fillId="401" borderId="211" xfId="0" applyFont="1" applyFill="1" applyBorder="1" applyAlignment="1">
      <alignment horizontal="center" vertical="center"/>
    </xf>
    <xf numFmtId="0" fontId="431" fillId="251" borderId="139" xfId="0" applyFont="1" applyFill="1" applyBorder="1" applyAlignment="1">
      <alignment horizontal="center" vertical="center"/>
    </xf>
    <xf numFmtId="0" fontId="335" fillId="196" borderId="112" xfId="0" applyFont="1" applyFill="1" applyBorder="1" applyAlignment="1">
      <alignment horizontal="center" vertical="center"/>
    </xf>
    <xf numFmtId="0" fontId="16" fillId="9" borderId="3" xfId="0" applyNumberFormat="1" applyFont="1" applyFill="1" applyBorder="1" applyAlignment="1">
      <alignment horizontal="center" vertical="center"/>
    </xf>
    <xf numFmtId="0" fontId="33" fillId="20" borderId="10" xfId="0" applyNumberFormat="1" applyFont="1" applyFill="1" applyBorder="1" applyAlignment="1">
      <alignment horizontal="center" vertical="center"/>
    </xf>
    <xf numFmtId="0" fontId="643" fillId="388" borderId="204" xfId="0" applyNumberFormat="1" applyFont="1" applyFill="1" applyBorder="1" applyAlignment="1">
      <alignment horizontal="center" vertical="center"/>
    </xf>
    <xf numFmtId="0" fontId="19" fillId="11" borderId="4" xfId="0" applyFont="1" applyFill="1" applyBorder="1" applyAlignment="1">
      <alignment horizontal="center" vertical="center"/>
    </xf>
    <xf numFmtId="0" fontId="642" fillId="387" borderId="203" xfId="0" applyFont="1" applyFill="1" applyBorder="1" applyAlignment="1">
      <alignment horizontal="center" vertical="center"/>
    </xf>
    <xf numFmtId="0" fontId="653" fillId="396" borderId="207" xfId="0" applyFont="1" applyFill="1" applyBorder="1" applyAlignment="1">
      <alignment horizontal="center" vertical="center"/>
    </xf>
    <xf numFmtId="0" fontId="589" fillId="354" borderId="190" xfId="0" applyFont="1" applyFill="1" applyBorder="1" applyAlignment="1">
      <alignment horizontal="center" vertical="center"/>
    </xf>
    <xf numFmtId="0" fontId="13" fillId="6" borderId="2" xfId="0" applyFont="1" applyFill="1" applyBorder="1" applyAlignment="1">
      <alignment horizontal="center" vertical="center"/>
    </xf>
    <xf numFmtId="0" fontId="83" fillId="48" borderId="24" xfId="0" applyFont="1" applyFill="1" applyBorder="1" applyAlignment="1">
      <alignment horizontal="center" vertical="center"/>
    </xf>
    <xf numFmtId="176" fontId="146" fillId="89" borderId="239" xfId="0" applyNumberFormat="1" applyFont="1" applyFill="1" applyBorder="1" applyAlignment="1">
      <alignment horizontal="center" vertical="center"/>
    </xf>
    <xf numFmtId="176" fontId="146" fillId="89" borderId="188" xfId="0" applyNumberFormat="1" applyFont="1" applyFill="1" applyBorder="1" applyAlignment="1">
      <alignment horizontal="center" vertical="center"/>
    </xf>
    <xf numFmtId="176" fontId="753" fillId="452" borderId="239" xfId="0" applyNumberFormat="1" applyFont="1" applyFill="1" applyBorder="1" applyAlignment="1">
      <alignment horizontal="center" vertical="center"/>
    </xf>
    <xf numFmtId="176" fontId="753" fillId="452" borderId="188" xfId="0" applyNumberFormat="1" applyFont="1" applyFill="1" applyBorder="1" applyAlignment="1">
      <alignment horizontal="center" vertical="center"/>
    </xf>
    <xf numFmtId="0" fontId="686" fillId="415" borderId="102" xfId="0" applyFont="1" applyFill="1" applyBorder="1" applyAlignment="1" applyProtection="1">
      <alignment horizontal="center" vertical="center" wrapText="1"/>
      <protection locked="0"/>
    </xf>
    <xf numFmtId="0" fontId="686" fillId="415" borderId="224" xfId="0" applyFont="1" applyFill="1" applyBorder="1" applyAlignment="1" applyProtection="1">
      <alignment horizontal="center" vertical="center" wrapText="1"/>
      <protection locked="0"/>
    </xf>
    <xf numFmtId="176" fontId="435" fillId="255" borderId="239" xfId="0" applyNumberFormat="1" applyFont="1" applyFill="1" applyBorder="1" applyAlignment="1">
      <alignment horizontal="center" vertical="center"/>
    </xf>
    <xf numFmtId="176" fontId="435" fillId="255" borderId="188" xfId="0" applyNumberFormat="1" applyFont="1" applyFill="1" applyBorder="1" applyAlignment="1">
      <alignment horizontal="center" vertical="center"/>
    </xf>
    <xf numFmtId="176" fontId="99" fillId="59" borderId="239" xfId="0" applyNumberFormat="1" applyFont="1" applyFill="1" applyBorder="1" applyAlignment="1">
      <alignment horizontal="center" vertical="center"/>
    </xf>
    <xf numFmtId="176" fontId="99" fillId="59" borderId="188" xfId="0" applyNumberFormat="1" applyFont="1" applyFill="1" applyBorder="1" applyAlignment="1">
      <alignment horizontal="center" vertical="center"/>
    </xf>
    <xf numFmtId="176" fontId="559" fillId="334" borderId="239" xfId="0" applyNumberFormat="1" applyFont="1" applyFill="1" applyBorder="1" applyAlignment="1">
      <alignment horizontal="center" vertical="center"/>
    </xf>
    <xf numFmtId="176" fontId="559" fillId="334" borderId="188" xfId="0" applyNumberFormat="1" applyFont="1" applyFill="1" applyBorder="1" applyAlignment="1">
      <alignment horizontal="center" vertical="center"/>
    </xf>
    <xf numFmtId="176" fontId="728" fillId="435" borderId="239" xfId="0" applyNumberFormat="1" applyFont="1" applyFill="1" applyBorder="1" applyAlignment="1">
      <alignment horizontal="center" vertical="center"/>
    </xf>
    <xf numFmtId="176" fontId="728" fillId="435" borderId="188" xfId="0" applyNumberFormat="1" applyFont="1" applyFill="1" applyBorder="1" applyAlignment="1">
      <alignment horizontal="center" vertical="center"/>
    </xf>
    <xf numFmtId="176" fontId="742" fillId="443" borderId="239" xfId="0" applyNumberFormat="1" applyFont="1" applyFill="1" applyBorder="1" applyAlignment="1">
      <alignment horizontal="center" vertical="center"/>
    </xf>
    <xf numFmtId="176" fontId="742" fillId="443" borderId="188" xfId="0" applyNumberFormat="1" applyFont="1" applyFill="1" applyBorder="1" applyAlignment="1">
      <alignment horizontal="center" vertical="center"/>
    </xf>
    <xf numFmtId="176" fontId="716" fillId="429" borderId="239" xfId="0" applyNumberFormat="1" applyFont="1" applyFill="1" applyBorder="1" applyAlignment="1">
      <alignment horizontal="center" vertical="center"/>
    </xf>
    <xf numFmtId="176" fontId="716" fillId="429" borderId="188" xfId="0" applyNumberFormat="1" applyFont="1" applyFill="1" applyBorder="1" applyAlignment="1">
      <alignment horizontal="center" vertical="center"/>
    </xf>
    <xf numFmtId="176" fontId="538" fillId="319" borderId="239" xfId="0" applyNumberFormat="1" applyFont="1" applyFill="1" applyBorder="1" applyAlignment="1">
      <alignment horizontal="center" vertical="center"/>
    </xf>
    <xf numFmtId="176" fontId="538" fillId="319" borderId="188" xfId="0" applyNumberFormat="1" applyFont="1" applyFill="1" applyBorder="1" applyAlignment="1">
      <alignment horizontal="center" vertical="center"/>
    </xf>
    <xf numFmtId="176" fontId="459" fillId="272" borderId="239" xfId="0" applyNumberFormat="1" applyFont="1" applyFill="1" applyBorder="1" applyAlignment="1">
      <alignment horizontal="center" vertical="center"/>
    </xf>
    <xf numFmtId="176" fontId="459" fillId="272" borderId="188" xfId="0" applyNumberFormat="1" applyFont="1" applyFill="1" applyBorder="1" applyAlignment="1">
      <alignment horizontal="center" vertical="center"/>
    </xf>
    <xf numFmtId="176" fontId="54" fillId="36" borderId="239" xfId="0" applyNumberFormat="1" applyFont="1" applyFill="1" applyBorder="1" applyAlignment="1">
      <alignment horizontal="center" vertical="center"/>
    </xf>
    <xf numFmtId="176" fontId="54" fillId="36" borderId="188" xfId="0" applyNumberFormat="1" applyFont="1" applyFill="1" applyBorder="1" applyAlignment="1">
      <alignment horizontal="center" vertical="center"/>
    </xf>
    <xf numFmtId="176" fontId="100" fillId="60" borderId="239" xfId="0" applyNumberFormat="1" applyFont="1" applyFill="1" applyBorder="1" applyAlignment="1">
      <alignment horizontal="center" vertical="center"/>
    </xf>
    <xf numFmtId="176" fontId="100" fillId="60" borderId="188" xfId="0" applyNumberFormat="1" applyFont="1" applyFill="1" applyBorder="1" applyAlignment="1">
      <alignment horizontal="center" vertical="center"/>
    </xf>
    <xf numFmtId="176" fontId="181" fillId="111" borderId="239" xfId="0" applyNumberFormat="1" applyFont="1" applyFill="1" applyBorder="1" applyAlignment="1">
      <alignment horizontal="center" vertical="center"/>
    </xf>
    <xf numFmtId="176" fontId="181" fillId="111" borderId="188" xfId="0" applyNumberFormat="1" applyFont="1" applyFill="1" applyBorder="1" applyAlignment="1">
      <alignment horizontal="center" vertical="center"/>
    </xf>
    <xf numFmtId="176" fontId="74" fillId="44" borderId="239" xfId="0" applyNumberFormat="1" applyFont="1" applyFill="1" applyBorder="1" applyAlignment="1">
      <alignment horizontal="center" vertical="center"/>
    </xf>
    <xf numFmtId="176" fontId="74" fillId="44" borderId="188" xfId="0" applyNumberFormat="1" applyFont="1" applyFill="1" applyBorder="1" applyAlignment="1">
      <alignment horizontal="center" vertical="center"/>
    </xf>
    <xf numFmtId="176" fontId="357" fillId="209" borderId="239" xfId="0" applyNumberFormat="1" applyFont="1" applyFill="1" applyBorder="1" applyAlignment="1">
      <alignment horizontal="center" vertical="center"/>
    </xf>
    <xf numFmtId="176" fontId="357" fillId="209" borderId="188" xfId="0" applyNumberFormat="1" applyFont="1" applyFill="1" applyBorder="1" applyAlignment="1">
      <alignment horizontal="center" vertical="center"/>
    </xf>
    <xf numFmtId="164" fontId="636" fillId="384" borderId="239" xfId="0" applyNumberFormat="1" applyFont="1" applyFill="1" applyBorder="1" applyAlignment="1">
      <alignment horizontal="center" vertical="center"/>
    </xf>
    <xf numFmtId="164" fontId="636" fillId="384" borderId="188" xfId="0" applyNumberFormat="1" applyFont="1" applyFill="1" applyBorder="1" applyAlignment="1">
      <alignment horizontal="center" vertical="center"/>
    </xf>
    <xf numFmtId="164" fontId="504" fillId="300" borderId="239" xfId="0" applyNumberFormat="1" applyFont="1" applyFill="1" applyBorder="1" applyAlignment="1">
      <alignment horizontal="center" vertical="center"/>
    </xf>
    <xf numFmtId="164" fontId="504" fillId="300" borderId="188" xfId="0" applyNumberFormat="1" applyFont="1" applyFill="1" applyBorder="1" applyAlignment="1">
      <alignment horizontal="center" vertical="center"/>
    </xf>
    <xf numFmtId="164" fontId="430" fillId="250" borderId="239" xfId="0" applyNumberFormat="1" applyFont="1" applyFill="1" applyBorder="1" applyAlignment="1">
      <alignment horizontal="center" vertical="center"/>
    </xf>
    <xf numFmtId="164" fontId="430" fillId="250" borderId="188" xfId="0" applyNumberFormat="1" applyFont="1" applyFill="1" applyBorder="1" applyAlignment="1">
      <alignment horizontal="center" vertical="center"/>
    </xf>
    <xf numFmtId="164" fontId="261" fillId="156" borderId="239" xfId="0" applyNumberFormat="1" applyFont="1" applyFill="1" applyBorder="1" applyAlignment="1">
      <alignment horizontal="center" vertical="center"/>
    </xf>
    <xf numFmtId="164" fontId="261" fillId="156" borderId="188" xfId="0" applyNumberFormat="1" applyFont="1" applyFill="1" applyBorder="1" applyAlignment="1">
      <alignment horizontal="center" vertical="center"/>
    </xf>
    <xf numFmtId="164" fontId="552" fillId="329" borderId="239" xfId="0" applyNumberFormat="1" applyFont="1" applyFill="1" applyBorder="1" applyAlignment="1">
      <alignment horizontal="center" vertical="center"/>
    </xf>
    <xf numFmtId="164" fontId="552" fillId="329" borderId="188" xfId="0" applyNumberFormat="1" applyFont="1" applyFill="1" applyBorder="1" applyAlignment="1">
      <alignment horizontal="center" vertical="center"/>
    </xf>
    <xf numFmtId="164" fontId="86" fillId="51" borderId="239" xfId="0" applyNumberFormat="1" applyFont="1" applyFill="1" applyBorder="1" applyAlignment="1">
      <alignment horizontal="center" vertical="center"/>
    </xf>
    <xf numFmtId="164" fontId="86" fillId="51" borderId="188" xfId="0" applyNumberFormat="1" applyFont="1" applyFill="1" applyBorder="1" applyAlignment="1">
      <alignment horizontal="center" vertical="center"/>
    </xf>
    <xf numFmtId="164" fontId="555" fillId="331" borderId="239" xfId="0" applyNumberFormat="1" applyFont="1" applyFill="1" applyBorder="1" applyAlignment="1">
      <alignment horizontal="center" vertical="center"/>
    </xf>
    <xf numFmtId="164" fontId="555" fillId="331" borderId="188" xfId="0" applyNumberFormat="1" applyFont="1" applyFill="1" applyBorder="1" applyAlignment="1">
      <alignment horizontal="center" vertical="center"/>
    </xf>
    <xf numFmtId="164" fontId="709" fillId="426" borderId="239" xfId="0" applyNumberFormat="1" applyFont="1" applyFill="1" applyBorder="1" applyAlignment="1">
      <alignment horizontal="center" vertical="center"/>
    </xf>
    <xf numFmtId="164" fontId="709" fillId="426" borderId="188" xfId="0" applyNumberFormat="1" applyFont="1" applyFill="1" applyBorder="1" applyAlignment="1">
      <alignment horizontal="center" vertical="center"/>
    </xf>
    <xf numFmtId="164" fontId="747" fillId="446" borderId="239" xfId="0" applyNumberFormat="1" applyFont="1" applyFill="1" applyBorder="1" applyAlignment="1">
      <alignment horizontal="center" vertical="center"/>
    </xf>
    <xf numFmtId="164" fontId="747" fillId="446" borderId="188" xfId="0" applyNumberFormat="1" applyFont="1" applyFill="1" applyBorder="1" applyAlignment="1">
      <alignment horizontal="center" vertical="center"/>
    </xf>
    <xf numFmtId="164" fontId="447" fillId="264" borderId="239" xfId="0" applyNumberFormat="1" applyFont="1" applyFill="1" applyBorder="1" applyAlignment="1">
      <alignment horizontal="center" vertical="center"/>
    </xf>
    <xf numFmtId="164" fontId="447" fillId="264" borderId="188" xfId="0" applyNumberFormat="1" applyFont="1" applyFill="1" applyBorder="1" applyAlignment="1">
      <alignment horizontal="center" vertical="center"/>
    </xf>
    <xf numFmtId="164" fontId="738" fillId="442" borderId="239" xfId="0" applyNumberFormat="1" applyFont="1" applyFill="1" applyBorder="1" applyAlignment="1">
      <alignment horizontal="center" vertical="center"/>
    </xf>
    <xf numFmtId="164" fontId="738" fillId="442" borderId="188" xfId="0" applyNumberFormat="1" applyFont="1" applyFill="1" applyBorder="1" applyAlignment="1">
      <alignment horizontal="center" vertical="center"/>
    </xf>
    <xf numFmtId="164" fontId="483" fillId="289" borderId="239" xfId="0" applyNumberFormat="1" applyFont="1" applyFill="1" applyBorder="1" applyAlignment="1">
      <alignment horizontal="center" vertical="center"/>
    </xf>
    <xf numFmtId="164" fontId="483" fillId="289" borderId="188" xfId="0" applyNumberFormat="1" applyFont="1" applyFill="1" applyBorder="1" applyAlignment="1">
      <alignment horizontal="center" vertical="center"/>
    </xf>
    <xf numFmtId="164" fontId="360" fillId="211" borderId="239" xfId="0" applyNumberFormat="1" applyFont="1" applyFill="1" applyBorder="1" applyAlignment="1">
      <alignment horizontal="center" vertical="center"/>
    </xf>
    <xf numFmtId="164" fontId="360" fillId="211" borderId="188" xfId="0" applyNumberFormat="1" applyFont="1" applyFill="1" applyBorder="1" applyAlignment="1">
      <alignment horizontal="center" vertical="center"/>
    </xf>
    <xf numFmtId="164" fontId="678" fillId="408" borderId="239" xfId="0" applyNumberFormat="1" applyFont="1" applyFill="1" applyBorder="1" applyAlignment="1">
      <alignment horizontal="center" vertical="center"/>
    </xf>
    <xf numFmtId="164" fontId="678" fillId="408" borderId="188" xfId="0" applyNumberFormat="1" applyFont="1" applyFill="1" applyBorder="1" applyAlignment="1">
      <alignment horizontal="center" vertical="center"/>
    </xf>
    <xf numFmtId="164" fontId="85" fillId="50" borderId="239" xfId="0" applyNumberFormat="1" applyFont="1" applyFill="1" applyBorder="1" applyAlignment="1">
      <alignment horizontal="center" vertical="center"/>
    </xf>
    <xf numFmtId="164" fontId="85" fillId="50" borderId="188" xfId="0" applyNumberFormat="1" applyFont="1" applyFill="1" applyBorder="1" applyAlignment="1">
      <alignment horizontal="center" vertical="center"/>
    </xf>
    <xf numFmtId="176" fontId="529" fillId="315" borderId="239" xfId="0" applyNumberFormat="1" applyFont="1" applyFill="1" applyBorder="1" applyAlignment="1">
      <alignment horizontal="center" vertical="center"/>
    </xf>
    <xf numFmtId="176" fontId="529" fillId="315" borderId="188" xfId="0" applyNumberFormat="1" applyFont="1" applyFill="1" applyBorder="1" applyAlignment="1">
      <alignment horizontal="center" vertical="center"/>
    </xf>
    <xf numFmtId="176" fontId="55" fillId="37" borderId="239" xfId="0" applyNumberFormat="1" applyFont="1" applyFill="1" applyBorder="1" applyAlignment="1">
      <alignment horizontal="center" vertical="center"/>
    </xf>
    <xf numFmtId="176" fontId="55" fillId="37" borderId="188" xfId="0" applyNumberFormat="1" applyFont="1" applyFill="1" applyBorder="1" applyAlignment="1">
      <alignment horizontal="center" vertical="center"/>
    </xf>
    <xf numFmtId="176" fontId="475" fillId="281" borderId="239" xfId="0" applyNumberFormat="1" applyFont="1" applyFill="1" applyBorder="1" applyAlignment="1">
      <alignment horizontal="center" vertical="center"/>
    </xf>
    <xf numFmtId="176" fontId="475" fillId="281" borderId="188" xfId="0" applyNumberFormat="1" applyFont="1" applyFill="1" applyBorder="1" applyAlignment="1">
      <alignment horizontal="center" vertical="center"/>
    </xf>
    <xf numFmtId="176" fontId="382" fillId="226" borderId="239" xfId="0" applyNumberFormat="1" applyFont="1" applyFill="1" applyBorder="1" applyAlignment="1">
      <alignment horizontal="center" vertical="center"/>
    </xf>
    <xf numFmtId="176" fontId="382" fillId="226" borderId="188" xfId="0" applyNumberFormat="1" applyFont="1" applyFill="1" applyBorder="1" applyAlignment="1">
      <alignment horizontal="center" vertical="center"/>
    </xf>
    <xf numFmtId="176" fontId="544" fillId="324" borderId="239" xfId="0" applyNumberFormat="1" applyFont="1" applyFill="1" applyBorder="1" applyAlignment="1">
      <alignment horizontal="center" vertical="center"/>
    </xf>
    <xf numFmtId="176" fontId="544" fillId="324" borderId="188" xfId="0" applyNumberFormat="1" applyFont="1" applyFill="1" applyBorder="1" applyAlignment="1">
      <alignment horizontal="center" vertical="center"/>
    </xf>
    <xf numFmtId="176" fontId="724" fillId="434" borderId="239" xfId="0" applyNumberFormat="1" applyFont="1" applyFill="1" applyBorder="1" applyAlignment="1">
      <alignment horizontal="center" vertical="center"/>
    </xf>
    <xf numFmtId="176" fontId="724" fillId="434" borderId="188" xfId="0" applyNumberFormat="1" applyFont="1" applyFill="1" applyBorder="1" applyAlignment="1">
      <alignment horizontal="center" vertical="center"/>
    </xf>
    <xf numFmtId="176" fontId="592" fillId="356" borderId="239" xfId="0" applyNumberFormat="1" applyFont="1" applyFill="1" applyBorder="1" applyAlignment="1">
      <alignment horizontal="center" vertical="center"/>
    </xf>
    <xf numFmtId="176" fontId="592" fillId="356" borderId="188" xfId="0" applyNumberFormat="1" applyFont="1" applyFill="1" applyBorder="1" applyAlignment="1">
      <alignment horizontal="center" vertical="center"/>
    </xf>
    <xf numFmtId="176" fontId="620" fillId="376" borderId="239" xfId="0" applyNumberFormat="1" applyFont="1" applyFill="1" applyBorder="1" applyAlignment="1">
      <alignment horizontal="center" vertical="center"/>
    </xf>
    <xf numFmtId="176" fontId="620" fillId="376" borderId="188" xfId="0" applyNumberFormat="1" applyFont="1" applyFill="1" applyBorder="1" applyAlignment="1">
      <alignment horizontal="center" vertical="center"/>
    </xf>
    <xf numFmtId="176" fontId="563" fillId="338" borderId="239" xfId="0" applyNumberFormat="1" applyFont="1" applyFill="1" applyBorder="1" applyAlignment="1">
      <alignment horizontal="center" vertical="center"/>
    </xf>
    <xf numFmtId="176" fontId="563" fillId="338" borderId="188" xfId="0" applyNumberFormat="1" applyFont="1" applyFill="1" applyBorder="1" applyAlignment="1">
      <alignment horizontal="center" vertical="center"/>
    </xf>
    <xf numFmtId="176" fontId="174" fillId="108" borderId="239" xfId="0" applyNumberFormat="1" applyFont="1" applyFill="1" applyBorder="1" applyAlignment="1">
      <alignment horizontal="center" vertical="center"/>
    </xf>
    <xf numFmtId="176" fontId="174" fillId="108" borderId="188" xfId="0" applyNumberFormat="1" applyFont="1" applyFill="1" applyBorder="1" applyAlignment="1">
      <alignment horizontal="center" vertical="center"/>
    </xf>
    <xf numFmtId="176" fontId="734" fillId="439" borderId="239" xfId="0" applyNumberFormat="1" applyFont="1" applyFill="1" applyBorder="1" applyAlignment="1">
      <alignment horizontal="center" vertical="center"/>
    </xf>
    <xf numFmtId="176" fontId="734" fillId="439" borderId="188" xfId="0" applyNumberFormat="1" applyFont="1" applyFill="1" applyBorder="1" applyAlignment="1">
      <alignment horizontal="center" vertical="center"/>
    </xf>
    <xf numFmtId="176" fontId="190" fillId="117" borderId="239" xfId="0" applyNumberFormat="1" applyFont="1" applyFill="1" applyBorder="1" applyAlignment="1">
      <alignment horizontal="center" vertical="center"/>
    </xf>
    <xf numFmtId="176" fontId="190" fillId="117" borderId="188" xfId="0" applyNumberFormat="1" applyFont="1" applyFill="1" applyBorder="1" applyAlignment="1">
      <alignment horizontal="center" vertical="center"/>
    </xf>
    <xf numFmtId="0" fontId="266" fillId="160" borderId="239" xfId="0" applyFont="1" applyFill="1" applyBorder="1" applyAlignment="1">
      <alignment horizontal="center" vertical="center"/>
    </xf>
    <xf numFmtId="0" fontId="266" fillId="160" borderId="188" xfId="0" applyFont="1" applyFill="1" applyBorder="1" applyAlignment="1">
      <alignment horizontal="center" vertical="center"/>
    </xf>
    <xf numFmtId="0" fontId="637" fillId="385" borderId="239" xfId="0" applyFont="1" applyFill="1" applyBorder="1" applyAlignment="1">
      <alignment horizontal="center" vertical="center"/>
    </xf>
    <xf numFmtId="0" fontId="637" fillId="385" borderId="188" xfId="0" applyFont="1" applyFill="1" applyBorder="1" applyAlignment="1">
      <alignment horizontal="center" vertical="center"/>
    </xf>
    <xf numFmtId="0" fontId="400" fillId="235" borderId="239" xfId="0" applyFont="1" applyFill="1" applyBorder="1" applyAlignment="1">
      <alignment horizontal="center" vertical="center"/>
    </xf>
    <xf numFmtId="0" fontId="400" fillId="235" borderId="188" xfId="0" applyFont="1" applyFill="1" applyBorder="1" applyAlignment="1">
      <alignment horizontal="center" vertical="center"/>
    </xf>
    <xf numFmtId="0" fontId="445" fillId="262" borderId="239" xfId="0" applyFont="1" applyFill="1" applyBorder="1" applyAlignment="1">
      <alignment horizontal="center" vertical="center"/>
    </xf>
    <xf numFmtId="0" fontId="445" fillId="262" borderId="188" xfId="0" applyFont="1" applyFill="1" applyBorder="1" applyAlignment="1">
      <alignment horizontal="center" vertical="center"/>
    </xf>
    <xf numFmtId="0" fontId="405" fillId="238" borderId="239" xfId="0" applyFont="1" applyFill="1" applyBorder="1" applyAlignment="1">
      <alignment horizontal="center" vertical="center"/>
    </xf>
    <xf numFmtId="0" fontId="405" fillId="238" borderId="188" xfId="0" applyFont="1" applyFill="1" applyBorder="1" applyAlignment="1">
      <alignment horizontal="center" vertical="center"/>
    </xf>
    <xf numFmtId="0" fontId="562" fillId="337" borderId="239" xfId="0" applyFont="1" applyFill="1" applyBorder="1" applyAlignment="1">
      <alignment horizontal="center" vertical="center"/>
    </xf>
    <xf numFmtId="0" fontId="562" fillId="337" borderId="188" xfId="0" applyFont="1" applyFill="1" applyBorder="1" applyAlignment="1">
      <alignment horizontal="center" vertical="center"/>
    </xf>
    <xf numFmtId="0" fontId="39" fillId="24" borderId="239" xfId="0" applyFont="1" applyFill="1" applyBorder="1" applyAlignment="1">
      <alignment horizontal="center" vertical="center"/>
    </xf>
    <xf numFmtId="0" fontId="39" fillId="24" borderId="188" xfId="0" applyFont="1" applyFill="1" applyBorder="1" applyAlignment="1">
      <alignment horizontal="center" vertical="center"/>
    </xf>
    <xf numFmtId="176" fontId="258" fillId="154" borderId="239" xfId="0" applyNumberFormat="1" applyFont="1" applyFill="1" applyBorder="1" applyAlignment="1">
      <alignment horizontal="center" vertical="center"/>
    </xf>
    <xf numFmtId="176" fontId="258" fillId="154" borderId="188" xfId="0" applyNumberFormat="1" applyFont="1" applyFill="1" applyBorder="1" applyAlignment="1">
      <alignment horizontal="center" vertical="center"/>
    </xf>
    <xf numFmtId="176" fontId="401" fillId="236" borderId="239" xfId="0" applyNumberFormat="1" applyFont="1" applyFill="1" applyBorder="1" applyAlignment="1">
      <alignment horizontal="center" vertical="center"/>
    </xf>
    <xf numFmtId="176" fontId="401" fillId="236" borderId="188" xfId="0" applyNumberFormat="1" applyFont="1" applyFill="1" applyBorder="1" applyAlignment="1">
      <alignment horizontal="center" vertical="center"/>
    </xf>
    <xf numFmtId="176" fontId="330" fillId="194" borderId="239" xfId="0" applyNumberFormat="1" applyFont="1" applyFill="1" applyBorder="1" applyAlignment="1">
      <alignment horizontal="center" vertical="center"/>
    </xf>
    <xf numFmtId="176" fontId="330" fillId="194" borderId="188" xfId="0" applyNumberFormat="1" applyFont="1" applyFill="1" applyBorder="1" applyAlignment="1">
      <alignment horizontal="center" vertical="center"/>
    </xf>
    <xf numFmtId="0" fontId="465" fillId="276" borderId="239" xfId="0" applyFont="1" applyFill="1" applyBorder="1" applyAlignment="1">
      <alignment horizontal="center" vertical="center"/>
    </xf>
    <xf numFmtId="0" fontId="465" fillId="276" borderId="188" xfId="0" applyFont="1" applyFill="1" applyBorder="1" applyAlignment="1">
      <alignment horizontal="center" vertical="center"/>
    </xf>
    <xf numFmtId="0" fontId="663" fillId="402" borderId="239" xfId="0" applyFont="1" applyFill="1" applyBorder="1" applyAlignment="1">
      <alignment horizontal="center" vertical="center"/>
    </xf>
    <xf numFmtId="0" fontId="663" fillId="402" borderId="188" xfId="0" applyFont="1" applyFill="1" applyBorder="1" applyAlignment="1">
      <alignment horizontal="center" vertical="center"/>
    </xf>
    <xf numFmtId="0" fontId="220" fillId="133" borderId="239" xfId="0" applyFont="1" applyFill="1" applyBorder="1" applyAlignment="1">
      <alignment horizontal="center" vertical="center"/>
    </xf>
    <xf numFmtId="0" fontId="220" fillId="133" borderId="188" xfId="0" applyFont="1" applyFill="1" applyBorder="1" applyAlignment="1">
      <alignment horizontal="center" vertical="center"/>
    </xf>
    <xf numFmtId="0" fontId="680" fillId="410" borderId="239" xfId="0" applyFont="1" applyFill="1" applyBorder="1" applyAlignment="1">
      <alignment horizontal="center" vertical="center"/>
    </xf>
    <xf numFmtId="0" fontId="680" fillId="410" borderId="188" xfId="0" applyFont="1" applyFill="1" applyBorder="1" applyAlignment="1">
      <alignment horizontal="center" vertical="center"/>
    </xf>
    <xf numFmtId="0" fontId="615" fillId="372" borderId="239" xfId="0" applyFont="1" applyFill="1" applyBorder="1" applyAlignment="1">
      <alignment horizontal="center" vertical="center"/>
    </xf>
    <xf numFmtId="0" fontId="615" fillId="372" borderId="188" xfId="0" applyFont="1" applyFill="1" applyBorder="1" applyAlignment="1">
      <alignment horizontal="center" vertical="center"/>
    </xf>
    <xf numFmtId="0" fontId="736" fillId="441" borderId="239" xfId="0" applyFont="1" applyFill="1" applyBorder="1" applyAlignment="1">
      <alignment horizontal="center" vertical="center"/>
    </xf>
    <xf numFmtId="0" fontId="736" fillId="441" borderId="188" xfId="0" applyFont="1" applyFill="1" applyBorder="1" applyAlignment="1">
      <alignment horizontal="center" vertical="center"/>
    </xf>
    <xf numFmtId="0" fontId="391" fillId="230" borderId="239" xfId="0" applyFont="1" applyFill="1" applyBorder="1" applyAlignment="1">
      <alignment horizontal="center" vertical="center"/>
    </xf>
    <xf numFmtId="0" fontId="391" fillId="230" borderId="188" xfId="0" applyFont="1" applyFill="1" applyBorder="1" applyAlignment="1">
      <alignment horizontal="center" vertical="center"/>
    </xf>
    <xf numFmtId="0" fontId="255" fillId="152" borderId="239" xfId="0" applyFont="1" applyFill="1" applyBorder="1" applyAlignment="1">
      <alignment horizontal="center" vertical="center"/>
    </xf>
    <xf numFmtId="0" fontId="255" fillId="152" borderId="188" xfId="0" applyFont="1" applyFill="1" applyBorder="1" applyAlignment="1">
      <alignment horizontal="center" vertical="center"/>
    </xf>
    <xf numFmtId="0" fontId="235" fillId="141" borderId="253" xfId="0" applyFont="1" applyFill="1" applyBorder="1" applyAlignment="1">
      <alignment horizontal="center" vertical="center"/>
    </xf>
    <xf numFmtId="0" fontId="1" fillId="415" borderId="253" xfId="0" applyFont="1" applyFill="1" applyBorder="1" applyAlignment="1">
      <alignment horizontal="center" vertical="center" wrapText="1"/>
    </xf>
    <xf numFmtId="0" fontId="621" fillId="377" borderId="253" xfId="0" applyFont="1" applyFill="1" applyBorder="1" applyAlignment="1">
      <alignment horizontal="center" vertical="center"/>
    </xf>
    <xf numFmtId="0" fontId="260" fillId="155" borderId="253" xfId="0" applyFont="1" applyFill="1" applyBorder="1" applyAlignment="1">
      <alignment horizontal="center" vertical="center" wrapText="1"/>
    </xf>
    <xf numFmtId="0" fontId="733" fillId="438" borderId="253" xfId="0" applyFont="1" applyFill="1" applyBorder="1" applyAlignment="1">
      <alignment horizontal="center" vertical="center"/>
    </xf>
    <xf numFmtId="171" fontId="717" fillId="430" borderId="239" xfId="0" applyNumberFormat="1" applyFont="1" applyFill="1" applyBorder="1" applyAlignment="1">
      <alignment horizontal="center" vertical="center"/>
    </xf>
    <xf numFmtId="171" fontId="717" fillId="430" borderId="188" xfId="0" applyNumberFormat="1" applyFont="1" applyFill="1" applyBorder="1" applyAlignment="1">
      <alignment horizontal="center" vertical="center"/>
    </xf>
    <xf numFmtId="164" fontId="456" fillId="269" borderId="147" xfId="0" applyNumberFormat="1" applyFont="1" applyFill="1" applyBorder="1" applyAlignment="1">
      <alignment horizontal="center" vertical="center"/>
    </xf>
    <xf numFmtId="164" fontId="354" fillId="206" borderId="117" xfId="0" applyNumberFormat="1" applyFont="1" applyFill="1" applyBorder="1" applyAlignment="1">
      <alignment horizontal="center" vertical="center"/>
    </xf>
    <xf numFmtId="0" fontId="119" fillId="70" borderId="36" xfId="0" applyFont="1" applyFill="1" applyBorder="1" applyAlignment="1">
      <alignment horizontal="center" vertical="center"/>
    </xf>
    <xf numFmtId="0" fontId="379" fillId="224" borderId="127" xfId="0" applyFont="1" applyFill="1" applyBorder="1" applyAlignment="1">
      <alignment horizontal="center" vertical="center"/>
    </xf>
    <xf numFmtId="0" fontId="313" fillId="186" borderId="105" xfId="0" applyFont="1" applyFill="1" applyBorder="1" applyAlignment="1">
      <alignment horizontal="center" vertical="center"/>
    </xf>
    <xf numFmtId="0" fontId="674" fillId="406" borderId="213" xfId="0" applyFont="1" applyFill="1" applyBorder="1" applyAlignment="1">
      <alignment horizontal="center" vertical="center"/>
    </xf>
    <xf numFmtId="0" fontId="385" fillId="228" borderId="129" xfId="0" applyFont="1" applyFill="1" applyBorder="1" applyAlignment="1">
      <alignment horizontal="center" vertical="center"/>
    </xf>
    <xf numFmtId="0" fontId="518" fillId="307" borderId="166" xfId="0" applyFont="1" applyFill="1" applyBorder="1" applyAlignment="1">
      <alignment horizontal="center" vertical="center"/>
    </xf>
    <xf numFmtId="0" fontId="440" fillId="258" borderId="142" xfId="0" applyFont="1" applyFill="1" applyBorder="1" applyAlignment="1">
      <alignment horizontal="center" vertical="center"/>
    </xf>
    <xf numFmtId="0" fontId="707" fillId="425" borderId="227" xfId="0" applyFont="1" applyFill="1" applyBorder="1" applyAlignment="1">
      <alignment horizontal="center" vertical="center"/>
    </xf>
    <xf numFmtId="164" fontId="245" fillId="146" borderId="78" xfId="0" applyNumberFormat="1" applyFont="1" applyFill="1" applyBorder="1" applyAlignment="1">
      <alignment horizontal="center" vertical="center"/>
    </xf>
    <xf numFmtId="164" fontId="399" fillId="234" borderId="131" xfId="0" applyNumberFormat="1" applyFont="1" applyFill="1" applyBorder="1" applyAlignment="1">
      <alignment horizontal="center" vertical="center"/>
    </xf>
    <xf numFmtId="0" fontId="0" fillId="183" borderId="239" xfId="0" applyFill="1" applyBorder="1" applyAlignment="1">
      <alignment horizontal="center" vertical="center" wrapText="1"/>
    </xf>
    <xf numFmtId="0" fontId="0" fillId="183" borderId="188" xfId="0" applyFill="1" applyBorder="1" applyAlignment="1">
      <alignment horizontal="center" vertical="center" wrapText="1"/>
    </xf>
    <xf numFmtId="0" fontId="12" fillId="0" borderId="0" xfId="0" applyFont="1" applyAlignment="1">
      <alignment horizontal="center" vertical="center"/>
    </xf>
    <xf numFmtId="164" fontId="5" fillId="0" borderId="0" xfId="0" applyNumberFormat="1" applyFont="1" applyAlignment="1">
      <alignment horizontal="center" vertical="center"/>
    </xf>
    <xf numFmtId="0" fontId="491" fillId="0" borderId="0" xfId="0" applyFont="1" applyAlignment="1">
      <alignment horizontal="center" vertical="center"/>
    </xf>
    <xf numFmtId="0" fontId="566" fillId="340" borderId="178" xfId="0" applyFont="1" applyFill="1" applyBorder="1" applyAlignment="1">
      <alignment horizontal="center" vertical="center" wrapText="1"/>
    </xf>
    <xf numFmtId="0" fontId="216" fillId="131" borderId="70" xfId="0" applyFont="1" applyFill="1" applyBorder="1" applyAlignment="1">
      <alignment horizontal="center" vertical="center"/>
    </xf>
    <xf numFmtId="0" fontId="140" fillId="82" borderId="43" xfId="0" applyFont="1" applyFill="1" applyBorder="1" applyAlignment="1">
      <alignment horizontal="center" vertical="center"/>
    </xf>
    <xf numFmtId="0" fontId="130" fillId="77" borderId="38" xfId="0" applyFont="1" applyFill="1" applyBorder="1" applyAlignment="1">
      <alignment horizontal="center" vertical="center"/>
    </xf>
    <xf numFmtId="0" fontId="505" fillId="301" borderId="162" xfId="0" applyFont="1" applyFill="1" applyBorder="1" applyAlignment="1">
      <alignment horizontal="center" vertical="center"/>
    </xf>
    <xf numFmtId="0" fontId="416" fillId="242" borderId="135" xfId="0" applyFont="1" applyFill="1" applyBorder="1" applyAlignment="1">
      <alignment horizontal="center" vertical="center"/>
    </xf>
    <xf numFmtId="0" fontId="549" fillId="326" borderId="175" xfId="0" applyFont="1" applyFill="1" applyBorder="1" applyAlignment="1">
      <alignment horizontal="center" vertical="center"/>
    </xf>
    <xf numFmtId="0" fontId="652" fillId="395" borderId="206" xfId="0" applyFont="1" applyFill="1" applyBorder="1" applyAlignment="1">
      <alignment horizontal="center" vertical="center"/>
    </xf>
    <xf numFmtId="0" fontId="112" fillId="0" borderId="0" xfId="0" applyFont="1" applyAlignment="1">
      <alignment horizontal="center" vertical="center" wrapText="1"/>
    </xf>
    <xf numFmtId="0" fontId="718" fillId="431" borderId="102" xfId="0" applyFont="1" applyFill="1" applyBorder="1" applyAlignment="1">
      <alignment horizontal="center" vertical="center"/>
    </xf>
    <xf numFmtId="0" fontId="718" fillId="431" borderId="240" xfId="0" applyFont="1" applyFill="1" applyBorder="1" applyAlignment="1">
      <alignment horizontal="center" vertical="center"/>
    </xf>
    <xf numFmtId="0" fontId="718" fillId="431" borderId="193" xfId="0" applyFont="1" applyFill="1" applyBorder="1" applyAlignment="1">
      <alignment horizontal="center" vertical="center"/>
    </xf>
    <xf numFmtId="164" fontId="408" fillId="0" borderId="0" xfId="0" applyNumberFormat="1" applyFont="1" applyAlignment="1">
      <alignment horizontal="center" vertical="center"/>
    </xf>
    <xf numFmtId="0" fontId="576" fillId="346" borderId="183" xfId="0" applyFont="1" applyFill="1" applyBorder="1" applyAlignment="1">
      <alignment horizontal="center" vertical="center"/>
    </xf>
    <xf numFmtId="0" fontId="501" fillId="296" borderId="161" xfId="0" applyFont="1" applyFill="1" applyBorder="1" applyAlignment="1">
      <alignment horizontal="center" vertical="center"/>
    </xf>
    <xf numFmtId="0" fontId="478" fillId="285" borderId="156" xfId="0" applyFont="1" applyFill="1" applyBorder="1" applyAlignment="1">
      <alignment horizontal="center" vertical="center"/>
    </xf>
    <xf numFmtId="0" fontId="136" fillId="81" borderId="41" xfId="0" applyFont="1" applyFill="1" applyBorder="1" applyAlignment="1">
      <alignment horizontal="center" vertical="center"/>
    </xf>
    <xf numFmtId="164" fontId="609" fillId="366" borderId="195" xfId="0" applyNumberFormat="1" applyFont="1" applyFill="1" applyBorder="1" applyAlignment="1">
      <alignment horizontal="center" vertical="center"/>
    </xf>
    <xf numFmtId="164" fontId="411" fillId="239" borderId="133" xfId="0" applyNumberFormat="1" applyFont="1" applyFill="1" applyBorder="1" applyAlignment="1">
      <alignment horizontal="center" vertical="center"/>
    </xf>
    <xf numFmtId="0" fontId="618" fillId="374" borderId="198" xfId="0" applyFont="1" applyFill="1" applyBorder="1" applyAlignment="1">
      <alignment horizontal="center" vertical="center"/>
    </xf>
    <xf numFmtId="0" fontId="275" fillId="162" borderId="90" xfId="0" applyFont="1" applyFill="1" applyBorder="1" applyAlignment="1">
      <alignment horizontal="center" vertical="center"/>
    </xf>
    <xf numFmtId="0" fontId="542" fillId="322" borderId="173" xfId="0" applyFont="1" applyFill="1" applyBorder="1" applyAlignment="1">
      <alignment horizontal="center" vertical="center"/>
    </xf>
    <xf numFmtId="0" fontId="468" fillId="277" borderId="151" xfId="0" applyFont="1" applyFill="1" applyBorder="1" applyAlignment="1">
      <alignment horizontal="center" vertical="center"/>
    </xf>
    <xf numFmtId="0" fontId="1" fillId="162" borderId="90" xfId="0" applyFont="1" applyFill="1" applyBorder="1" applyAlignment="1">
      <alignment horizontal="center" vertical="center"/>
    </xf>
    <xf numFmtId="0" fontId="0" fillId="0" borderId="247" xfId="0" applyBorder="1" applyAlignment="1">
      <alignment horizontal="center" vertical="center" wrapText="1"/>
    </xf>
    <xf numFmtId="0" fontId="762" fillId="0" borderId="0" xfId="0" applyFont="1" applyAlignment="1">
      <alignment horizontal="center" vertical="center" wrapText="1"/>
    </xf>
    <xf numFmtId="164" fontId="5" fillId="0" borderId="0" xfId="0" applyNumberFormat="1" applyFont="1" applyFill="1" applyBorder="1" applyAlignment="1">
      <alignment horizontal="center" vertical="center"/>
    </xf>
    <xf numFmtId="0" fontId="211" fillId="0" borderId="0" xfId="0" applyFont="1" applyFill="1" applyAlignment="1">
      <alignment horizontal="center" vertical="center" wrapText="1"/>
    </xf>
    <xf numFmtId="0" fontId="3" fillId="0" borderId="0" xfId="0" applyFont="1" applyAlignment="1">
      <alignment horizontal="center" vertical="center"/>
    </xf>
    <xf numFmtId="0" fontId="12" fillId="0" borderId="0" xfId="0" applyFont="1" applyFill="1" applyBorder="1" applyAlignment="1">
      <alignment horizontal="center" vertical="center"/>
    </xf>
    <xf numFmtId="0" fontId="211" fillId="0" borderId="0" xfId="0" applyFont="1" applyFill="1" applyBorder="1" applyAlignment="1">
      <alignment horizontal="center" vertical="center" wrapText="1"/>
    </xf>
    <xf numFmtId="0" fontId="0" fillId="0" borderId="0" xfId="0" applyAlignment="1">
      <alignment horizontal="center" wrapText="1"/>
    </xf>
    <xf numFmtId="0" fontId="762" fillId="0" borderId="0" xfId="0" applyFont="1" applyAlignment="1">
      <alignment horizontal="center" wrapText="1"/>
    </xf>
    <xf numFmtId="0" fontId="762"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2" fontId="774" fillId="0" borderId="0" xfId="0" applyNumberFormat="1" applyFont="1" applyAlignment="1">
      <alignment horizontal="center" vertical="center" wrapText="1"/>
    </xf>
    <xf numFmtId="0" fontId="0" fillId="0" borderId="243" xfId="0" applyBorder="1" applyAlignment="1">
      <alignment horizontal="center" wrapText="1"/>
    </xf>
    <xf numFmtId="0" fontId="0" fillId="0" borderId="248" xfId="0" applyBorder="1" applyAlignment="1">
      <alignment horizontal="center" wrapText="1"/>
    </xf>
    <xf numFmtId="0" fontId="0" fillId="0" borderId="253" xfId="0" applyBorder="1" applyAlignment="1">
      <alignment horizontal="center" wrapText="1"/>
    </xf>
    <xf numFmtId="0" fontId="780" fillId="0" borderId="243" xfId="0" applyFont="1" applyBorder="1" applyAlignment="1">
      <alignment horizontal="center" wrapText="1"/>
    </xf>
    <xf numFmtId="0" fontId="780" fillId="0" borderId="253" xfId="0" applyFont="1" applyBorder="1" applyAlignment="1">
      <alignment horizontal="center" wrapText="1"/>
    </xf>
    <xf numFmtId="0" fontId="780" fillId="0" borderId="248" xfId="0" applyFont="1" applyBorder="1" applyAlignment="1">
      <alignment horizontal="center" wrapText="1"/>
    </xf>
    <xf numFmtId="0" fontId="780" fillId="0" borderId="239" xfId="0" applyFont="1" applyBorder="1" applyAlignment="1">
      <alignment horizontal="center" wrapText="1"/>
    </xf>
    <xf numFmtId="0" fontId="780" fillId="0" borderId="201" xfId="0" applyFont="1" applyBorder="1" applyAlignment="1">
      <alignment horizontal="center" wrapText="1"/>
    </xf>
    <xf numFmtId="0" fontId="780" fillId="0" borderId="188" xfId="0" applyFont="1" applyBorder="1" applyAlignment="1">
      <alignment horizontal="center" wrapText="1"/>
    </xf>
    <xf numFmtId="0" fontId="780" fillId="0" borderId="259" xfId="0" applyFont="1" applyBorder="1" applyAlignment="1">
      <alignment horizontal="center" wrapText="1"/>
    </xf>
    <xf numFmtId="0" fontId="780" fillId="0" borderId="251" xfId="0" applyFont="1" applyBorder="1" applyAlignment="1">
      <alignment horizontal="center" wrapText="1"/>
    </xf>
    <xf numFmtId="0" fontId="780" fillId="0" borderId="272" xfId="0" applyFont="1" applyBorder="1" applyAlignment="1">
      <alignment horizontal="center" wrapText="1"/>
    </xf>
    <xf numFmtId="0" fontId="780" fillId="0" borderId="260" xfId="0" applyFont="1" applyBorder="1" applyAlignment="1">
      <alignment horizontal="center" wrapText="1"/>
    </xf>
    <xf numFmtId="0" fontId="780" fillId="0" borderId="97" xfId="0" applyFont="1" applyBorder="1" applyAlignment="1">
      <alignment horizontal="center" wrapText="1"/>
    </xf>
    <xf numFmtId="0" fontId="780" fillId="0" borderId="273" xfId="0" applyFont="1" applyBorder="1" applyAlignment="1">
      <alignment horizontal="center" wrapText="1"/>
    </xf>
    <xf numFmtId="0" fontId="640" fillId="0" borderId="0" xfId="0" applyFont="1" applyBorder="1" applyAlignment="1">
      <alignment horizontal="left"/>
    </xf>
    <xf numFmtId="0" fontId="3" fillId="210" borderId="0" xfId="0" applyFont="1" applyFill="1" applyAlignment="1">
      <alignment horizontal="center"/>
    </xf>
    <xf numFmtId="0" fontId="3" fillId="0" borderId="0" xfId="0" applyFont="1" applyAlignment="1">
      <alignment horizontal="center"/>
    </xf>
    <xf numFmtId="0" fontId="762" fillId="0" borderId="0" xfId="0" applyFont="1" applyBorder="1" applyAlignment="1" applyProtection="1">
      <alignment horizontal="center" vertical="center" wrapText="1"/>
      <protection locked="0"/>
    </xf>
    <xf numFmtId="0" fontId="491" fillId="0" borderId="228" xfId="0" applyFont="1" applyBorder="1" applyAlignment="1">
      <alignment horizontal="center"/>
    </xf>
    <xf numFmtId="0" fontId="491" fillId="0" borderId="234" xfId="0" applyFont="1" applyBorder="1" applyAlignment="1">
      <alignment horizontal="center"/>
    </xf>
    <xf numFmtId="0" fontId="491" fillId="0" borderId="163" xfId="0" applyFont="1" applyBorder="1" applyAlignment="1">
      <alignment horizontal="center"/>
    </xf>
    <xf numFmtId="0" fontId="765" fillId="241" borderId="253" xfId="0" applyFont="1" applyFill="1" applyBorder="1" applyAlignment="1" applyProtection="1">
      <alignment horizontal="center" vertical="center"/>
      <protection locked="0"/>
    </xf>
    <xf numFmtId="0" fontId="3" fillId="0" borderId="253" xfId="0" applyFont="1" applyBorder="1" applyAlignment="1">
      <alignment horizontal="center"/>
    </xf>
    <xf numFmtId="0" fontId="479" fillId="286" borderId="253" xfId="0" applyFont="1" applyFill="1" applyBorder="1" applyAlignment="1">
      <alignment horizontal="center" vertical="center"/>
    </xf>
    <xf numFmtId="0" fontId="232" fillId="139" borderId="253" xfId="0" applyFont="1" applyFill="1" applyBorder="1" applyAlignment="1">
      <alignment horizontal="center" vertical="center"/>
    </xf>
    <xf numFmtId="0" fontId="762" fillId="0" borderId="265" xfId="0" applyFont="1" applyFill="1" applyBorder="1" applyAlignment="1" applyProtection="1">
      <alignment horizontal="center" vertical="center" wrapText="1"/>
      <protection locked="0"/>
    </xf>
    <xf numFmtId="0" fontId="762" fillId="0" borderId="220" xfId="0" applyFont="1" applyFill="1" applyBorder="1" applyAlignment="1" applyProtection="1">
      <alignment horizontal="center" vertical="center" wrapText="1"/>
      <protection locked="0"/>
    </xf>
    <xf numFmtId="0" fontId="748" fillId="447" borderId="253" xfId="0" applyFont="1" applyFill="1" applyBorder="1" applyAlignment="1">
      <alignment horizontal="center" vertical="center"/>
    </xf>
    <xf numFmtId="0" fontId="14" fillId="7" borderId="253" xfId="0" applyFont="1" applyFill="1" applyBorder="1" applyAlignment="1">
      <alignment horizontal="center" vertical="center"/>
    </xf>
    <xf numFmtId="0" fontId="233" fillId="140" borderId="253" xfId="0" applyFont="1" applyFill="1" applyBorder="1" applyAlignment="1">
      <alignment horizontal="center" vertical="center"/>
    </xf>
    <xf numFmtId="0" fontId="762" fillId="0" borderId="228" xfId="0" applyFont="1" applyBorder="1" applyAlignment="1" applyProtection="1">
      <alignment horizontal="center" vertical="center" wrapText="1"/>
      <protection locked="0"/>
    </xf>
    <xf numFmtId="0" fontId="762" fillId="0" borderId="243" xfId="0" applyFont="1" applyBorder="1" applyAlignment="1" applyProtection="1">
      <alignment horizontal="center" vertical="center" wrapText="1"/>
      <protection locked="0"/>
    </xf>
    <xf numFmtId="0" fontId="762" fillId="0" borderId="249" xfId="0" applyFont="1" applyBorder="1" applyAlignment="1" applyProtection="1">
      <alignment horizontal="center" vertical="center" wrapText="1"/>
      <protection locked="0"/>
    </xf>
    <xf numFmtId="0" fontId="6" fillId="207" borderId="253" xfId="0" applyFont="1" applyFill="1" applyBorder="1" applyAlignment="1">
      <alignment horizontal="center" vertical="center"/>
    </xf>
    <xf numFmtId="0" fontId="762" fillId="0" borderId="259" xfId="0" applyFont="1" applyBorder="1" applyAlignment="1" applyProtection="1">
      <alignment horizontal="center" vertical="center" wrapText="1"/>
      <protection locked="0"/>
    </xf>
    <xf numFmtId="0" fontId="588" fillId="353" borderId="253" xfId="0" applyFont="1" applyFill="1" applyBorder="1" applyAlignment="1">
      <alignment horizontal="center" vertical="center" wrapText="1"/>
    </xf>
    <xf numFmtId="0" fontId="262" fillId="157" borderId="253" xfId="0" applyFont="1" applyFill="1" applyBorder="1" applyAlignment="1">
      <alignment horizontal="center" vertical="center" wrapText="1"/>
    </xf>
    <xf numFmtId="0" fontId="469" fillId="278" borderId="253" xfId="0" applyFont="1" applyFill="1" applyBorder="1" applyAlignment="1">
      <alignment horizontal="right" vertical="center"/>
    </xf>
    <xf numFmtId="0" fontId="477" fillId="284" borderId="253" xfId="0" applyFont="1" applyFill="1" applyBorder="1" applyAlignment="1">
      <alignment horizontal="right" vertical="center"/>
    </xf>
    <xf numFmtId="0" fontId="163" fillId="103" borderId="253" xfId="0" applyFont="1" applyFill="1" applyBorder="1" applyAlignment="1" applyProtection="1">
      <alignment horizontal="center" vertical="center" wrapText="1"/>
      <protection locked="0"/>
    </xf>
    <xf numFmtId="0" fontId="0" fillId="0" borderId="253" xfId="0" applyBorder="1" applyAlignment="1">
      <alignment wrapText="1"/>
    </xf>
    <xf numFmtId="0" fontId="453" fillId="401" borderId="253" xfId="0" applyFont="1" applyFill="1" applyBorder="1" applyAlignment="1">
      <alignment horizontal="center" vertical="center"/>
    </xf>
    <xf numFmtId="43" fontId="6" fillId="401" borderId="253" xfId="1" applyFont="1" applyFill="1" applyBorder="1" applyAlignment="1">
      <alignment horizontal="center"/>
    </xf>
    <xf numFmtId="0" fontId="762" fillId="0" borderId="139" xfId="0" applyFont="1" applyFill="1" applyBorder="1" applyAlignment="1">
      <alignment horizontal="center" vertical="center" wrapText="1"/>
    </xf>
    <xf numFmtId="0" fontId="762" fillId="0" borderId="218" xfId="0" applyFont="1" applyFill="1" applyBorder="1" applyAlignment="1">
      <alignment horizontal="center" vertical="center" wrapText="1"/>
    </xf>
    <xf numFmtId="0" fontId="762" fillId="0" borderId="203" xfId="0" applyFont="1" applyFill="1" applyBorder="1" applyAlignment="1">
      <alignment horizontal="center" vertical="center" wrapText="1"/>
    </xf>
    <xf numFmtId="0" fontId="3" fillId="472" borderId="265" xfId="0" applyFont="1" applyFill="1" applyBorder="1" applyAlignment="1">
      <alignment horizontal="center" vertical="center" wrapText="1"/>
    </xf>
    <xf numFmtId="0" fontId="406" fillId="472" borderId="220" xfId="0" applyFont="1" applyFill="1" applyBorder="1" applyAlignment="1">
      <alignment horizontal="center" vertical="center" wrapText="1"/>
    </xf>
    <xf numFmtId="0" fontId="406" fillId="472" borderId="261" xfId="0" applyFont="1" applyFill="1" applyBorder="1" applyAlignment="1">
      <alignment horizontal="center" vertical="center" wrapText="1"/>
    </xf>
    <xf numFmtId="0" fontId="762" fillId="0" borderId="265" xfId="0" applyFont="1" applyBorder="1" applyAlignment="1">
      <alignment horizontal="center" wrapText="1"/>
    </xf>
    <xf numFmtId="0" fontId="762" fillId="0" borderId="186" xfId="0" applyFont="1" applyBorder="1" applyAlignment="1">
      <alignment horizontal="center" wrapText="1"/>
    </xf>
    <xf numFmtId="0" fontId="762" fillId="0" borderId="29" xfId="0" applyFont="1" applyBorder="1" applyAlignment="1">
      <alignment horizontal="center" wrapText="1"/>
    </xf>
    <xf numFmtId="164" fontId="3" fillId="0" borderId="265" xfId="0" applyNumberFormat="1" applyFont="1" applyFill="1" applyBorder="1" applyAlignment="1">
      <alignment horizontal="center" vertical="center"/>
    </xf>
    <xf numFmtId="164" fontId="3" fillId="0" borderId="220" xfId="0" applyNumberFormat="1" applyFont="1" applyFill="1" applyBorder="1" applyAlignment="1">
      <alignment horizontal="center" vertical="center"/>
    </xf>
    <xf numFmtId="164" fontId="3" fillId="0" borderId="218" xfId="0" applyNumberFormat="1" applyFont="1" applyFill="1" applyBorder="1" applyAlignment="1">
      <alignment horizontal="center" vertical="center"/>
    </xf>
    <xf numFmtId="164" fontId="3" fillId="0" borderId="203" xfId="0" applyNumberFormat="1" applyFont="1" applyFill="1" applyBorder="1" applyAlignment="1">
      <alignment horizontal="center" vertical="center"/>
    </xf>
    <xf numFmtId="0" fontId="437" fillId="480" borderId="220" xfId="0" applyFont="1" applyFill="1" applyBorder="1" applyAlignment="1">
      <alignment horizontal="center" vertical="center" wrapText="1"/>
    </xf>
    <xf numFmtId="0" fontId="437" fillId="480" borderId="261" xfId="0" applyFont="1" applyFill="1" applyBorder="1" applyAlignment="1">
      <alignment horizontal="center" vertical="center" wrapText="1"/>
    </xf>
    <xf numFmtId="0" fontId="3" fillId="480" borderId="265" xfId="0" applyFont="1" applyFill="1" applyBorder="1" applyAlignment="1">
      <alignment horizontal="center" vertical="center" wrapText="1"/>
    </xf>
    <xf numFmtId="164" fontId="3" fillId="0" borderId="139" xfId="0" applyNumberFormat="1" applyFont="1" applyFill="1" applyBorder="1" applyAlignment="1">
      <alignment horizontal="center" vertical="center"/>
    </xf>
    <xf numFmtId="0" fontId="406" fillId="481" borderId="265" xfId="0" applyFont="1" applyFill="1" applyBorder="1" applyAlignment="1">
      <alignment horizontal="center" vertical="center" wrapText="1"/>
    </xf>
    <xf numFmtId="0" fontId="406" fillId="481" borderId="220" xfId="0" applyFont="1" applyFill="1" applyBorder="1" applyAlignment="1">
      <alignment horizontal="center" vertical="center" wrapText="1"/>
    </xf>
    <xf numFmtId="0" fontId="406" fillId="481" borderId="261" xfId="0" applyFont="1" applyFill="1" applyBorder="1" applyAlignment="1">
      <alignment horizontal="center" vertical="center" wrapText="1"/>
    </xf>
    <xf numFmtId="0" fontId="406" fillId="457" borderId="265" xfId="0" applyFont="1" applyFill="1" applyBorder="1" applyAlignment="1">
      <alignment horizontal="center" vertical="center" wrapText="1"/>
    </xf>
    <xf numFmtId="0" fontId="406" fillId="457" borderId="220" xfId="0" applyFont="1" applyFill="1" applyBorder="1" applyAlignment="1">
      <alignment horizontal="center" vertical="center" wrapText="1"/>
    </xf>
    <xf numFmtId="0" fontId="406" fillId="457" borderId="261" xfId="0" applyFont="1" applyFill="1" applyBorder="1" applyAlignment="1">
      <alignment horizontal="center" vertical="center" wrapText="1"/>
    </xf>
    <xf numFmtId="0" fontId="3" fillId="462" borderId="265" xfId="0" applyFont="1" applyFill="1" applyBorder="1" applyAlignment="1">
      <alignment horizontal="center" vertical="center" wrapText="1"/>
    </xf>
    <xf numFmtId="0" fontId="406" fillId="462" borderId="220" xfId="0" applyFont="1" applyFill="1" applyBorder="1" applyAlignment="1">
      <alignment horizontal="center" vertical="center" wrapText="1"/>
    </xf>
    <xf numFmtId="0" fontId="406" fillId="462" borderId="261" xfId="0" applyFont="1" applyFill="1" applyBorder="1" applyAlignment="1">
      <alignment horizontal="center" vertical="center" wrapText="1"/>
    </xf>
    <xf numFmtId="43" fontId="1" fillId="0" borderId="0" xfId="1" applyFont="1" applyBorder="1" applyAlignment="1">
      <alignment horizontal="center" vertical="center"/>
    </xf>
    <xf numFmtId="43" fontId="5" fillId="0" borderId="0" xfId="1" applyFont="1" applyBorder="1" applyAlignment="1">
      <alignment horizontal="center" vertical="center"/>
    </xf>
    <xf numFmtId="43" fontId="5" fillId="0" borderId="65" xfId="1" applyFont="1" applyBorder="1" applyAlignment="1">
      <alignment horizontal="center" vertical="center"/>
    </xf>
    <xf numFmtId="0" fontId="3" fillId="467" borderId="265" xfId="0" applyFont="1" applyFill="1" applyBorder="1" applyAlignment="1">
      <alignment horizontal="center" vertical="center" wrapText="1"/>
    </xf>
    <xf numFmtId="0" fontId="3" fillId="467" borderId="220" xfId="0" applyFont="1" applyFill="1" applyBorder="1" applyAlignment="1">
      <alignment horizontal="center" vertical="center" wrapText="1"/>
    </xf>
    <xf numFmtId="0" fontId="3" fillId="467" borderId="261" xfId="0" applyFont="1" applyFill="1" applyBorder="1" applyAlignment="1">
      <alignment horizontal="center" vertical="center" wrapText="1"/>
    </xf>
    <xf numFmtId="0" fontId="3" fillId="0" borderId="265" xfId="0" applyFont="1" applyBorder="1" applyAlignment="1">
      <alignment horizontal="center" vertical="center"/>
    </xf>
    <xf numFmtId="0" fontId="3" fillId="0" borderId="186" xfId="0" applyFont="1" applyBorder="1" applyAlignment="1">
      <alignment horizontal="center" vertical="center"/>
    </xf>
    <xf numFmtId="0" fontId="3" fillId="0" borderId="29" xfId="0" applyFont="1" applyBorder="1" applyAlignment="1">
      <alignment horizontal="center" vertical="center"/>
    </xf>
    <xf numFmtId="43" fontId="1" fillId="0" borderId="65" xfId="1" applyFont="1" applyBorder="1" applyAlignment="1">
      <alignment horizontal="center" vertical="center"/>
    </xf>
    <xf numFmtId="0" fontId="762" fillId="480" borderId="220" xfId="0" applyFont="1" applyFill="1" applyBorder="1" applyAlignment="1">
      <alignment horizontal="center" vertical="center" wrapText="1"/>
    </xf>
    <xf numFmtId="0" fontId="762" fillId="480" borderId="261" xfId="0" applyFont="1" applyFill="1" applyBorder="1" applyAlignment="1">
      <alignment horizontal="center" vertical="center" wrapText="1"/>
    </xf>
    <xf numFmtId="0" fontId="762" fillId="481" borderId="265" xfId="0" applyFont="1" applyFill="1" applyBorder="1" applyAlignment="1">
      <alignment horizontal="center" vertical="center" wrapText="1"/>
    </xf>
    <xf numFmtId="0" fontId="762" fillId="481" borderId="220" xfId="0" applyFont="1" applyFill="1" applyBorder="1" applyAlignment="1">
      <alignment horizontal="center" vertical="center" wrapText="1"/>
    </xf>
    <xf numFmtId="0" fontId="762" fillId="481" borderId="261" xfId="0" applyFont="1" applyFill="1" applyBorder="1" applyAlignment="1">
      <alignment horizontal="center" vertical="center" wrapText="1"/>
    </xf>
    <xf numFmtId="0" fontId="437" fillId="457" borderId="265" xfId="0" applyFont="1" applyFill="1" applyBorder="1" applyAlignment="1">
      <alignment horizontal="center" vertical="center" wrapText="1"/>
    </xf>
    <xf numFmtId="0" fontId="437" fillId="457" borderId="220" xfId="0" applyFont="1" applyFill="1" applyBorder="1" applyAlignment="1">
      <alignment horizontal="center" vertical="center" wrapText="1"/>
    </xf>
    <xf numFmtId="0" fontId="3" fillId="482" borderId="265" xfId="0" applyFont="1" applyFill="1" applyBorder="1" applyAlignment="1">
      <alignment horizontal="center" vertical="center" wrapText="1"/>
    </xf>
    <xf numFmtId="0" fontId="437" fillId="482" borderId="220" xfId="0" applyFont="1" applyFill="1" applyBorder="1" applyAlignment="1">
      <alignment horizontal="center" vertical="center" wrapText="1"/>
    </xf>
    <xf numFmtId="0" fontId="437" fillId="482" borderId="261" xfId="0" applyFont="1" applyFill="1" applyBorder="1" applyAlignment="1">
      <alignment horizontal="center" vertical="center" wrapText="1"/>
    </xf>
    <xf numFmtId="0" fontId="406" fillId="472" borderId="265" xfId="0" applyFont="1" applyFill="1" applyBorder="1" applyAlignment="1">
      <alignment horizontal="center" vertical="center" wrapText="1"/>
    </xf>
    <xf numFmtId="0" fontId="406" fillId="482" borderId="265" xfId="0" applyFont="1" applyFill="1" applyBorder="1" applyAlignment="1">
      <alignment horizontal="center" vertical="center" wrapText="1"/>
    </xf>
    <xf numFmtId="0" fontId="406" fillId="482" borderId="220" xfId="0" applyFont="1" applyFill="1" applyBorder="1" applyAlignment="1">
      <alignment horizontal="center" vertical="center" wrapText="1"/>
    </xf>
    <xf numFmtId="0" fontId="406" fillId="482" borderId="261" xfId="0" applyFont="1" applyFill="1" applyBorder="1" applyAlignment="1">
      <alignment horizontal="center" vertical="center" wrapText="1"/>
    </xf>
    <xf numFmtId="164" fontId="3" fillId="0" borderId="261" xfId="0" applyNumberFormat="1" applyFont="1" applyFill="1" applyBorder="1" applyAlignment="1">
      <alignment horizontal="center" vertical="center"/>
    </xf>
    <xf numFmtId="0" fontId="3" fillId="462" borderId="220" xfId="0" applyFont="1" applyFill="1" applyBorder="1" applyAlignment="1">
      <alignment horizontal="center" vertical="center" wrapText="1"/>
    </xf>
    <xf numFmtId="0" fontId="406" fillId="480" borderId="265" xfId="0" applyFont="1" applyFill="1" applyBorder="1" applyAlignment="1">
      <alignment horizontal="center" vertical="center" wrapText="1"/>
    </xf>
    <xf numFmtId="0" fontId="406" fillId="480" borderId="220" xfId="0" applyFont="1" applyFill="1" applyBorder="1" applyAlignment="1">
      <alignment horizontal="center" vertical="center" wrapText="1"/>
    </xf>
    <xf numFmtId="0" fontId="406" fillId="480" borderId="261" xfId="0" applyFont="1" applyFill="1" applyBorder="1" applyAlignment="1">
      <alignment horizontal="center" vertical="center" wrapText="1"/>
    </xf>
    <xf numFmtId="0" fontId="762" fillId="0" borderId="265" xfId="0" applyFont="1" applyFill="1" applyBorder="1" applyAlignment="1">
      <alignment horizontal="center" vertical="center" wrapText="1"/>
    </xf>
    <xf numFmtId="0" fontId="762" fillId="0" borderId="220" xfId="0" applyFont="1" applyFill="1" applyBorder="1" applyAlignment="1">
      <alignment horizontal="center" vertical="center" wrapText="1"/>
    </xf>
    <xf numFmtId="0" fontId="437" fillId="457" borderId="261" xfId="0" applyFont="1" applyFill="1" applyBorder="1" applyAlignment="1">
      <alignment horizontal="center" vertical="center" wrapText="1"/>
    </xf>
    <xf numFmtId="0" fontId="762" fillId="0" borderId="265" xfId="0" applyFont="1" applyBorder="1" applyAlignment="1" applyProtection="1">
      <alignment horizontal="center" vertical="center" wrapText="1"/>
    </xf>
    <xf numFmtId="0" fontId="762" fillId="0" borderId="29" xfId="0" applyFont="1" applyBorder="1" applyAlignment="1" applyProtection="1">
      <alignment horizontal="center" vertical="center" wrapText="1"/>
    </xf>
    <xf numFmtId="0" fontId="0" fillId="0" borderId="139" xfId="0" applyBorder="1" applyAlignment="1" applyProtection="1">
      <alignment horizontal="center" vertical="center" wrapText="1"/>
    </xf>
    <xf numFmtId="0" fontId="0" fillId="0" borderId="218" xfId="0" applyBorder="1" applyAlignment="1" applyProtection="1">
      <alignment horizontal="center" vertical="center" wrapText="1"/>
    </xf>
    <xf numFmtId="0" fontId="0" fillId="0" borderId="203" xfId="0" applyBorder="1" applyAlignment="1" applyProtection="1">
      <alignment horizontal="center" vertical="center" wrapText="1"/>
    </xf>
    <xf numFmtId="0" fontId="762" fillId="0" borderId="0" xfId="0" quotePrefix="1" applyFont="1" applyBorder="1" applyAlignment="1" applyProtection="1">
      <alignment horizontal="center" vertical="center" wrapText="1"/>
    </xf>
    <xf numFmtId="0" fontId="762" fillId="0" borderId="92" xfId="0" quotePrefix="1" applyFont="1" applyBorder="1" applyAlignment="1" applyProtection="1">
      <alignment horizontal="center" vertical="center" wrapText="1"/>
    </xf>
    <xf numFmtId="0" fontId="762" fillId="0" borderId="210" xfId="0" applyFont="1" applyBorder="1" applyAlignment="1" applyProtection="1">
      <alignment horizontal="center" vertical="center" wrapText="1"/>
    </xf>
    <xf numFmtId="0" fontId="762" fillId="0" borderId="186" xfId="0" applyFont="1" applyBorder="1" applyAlignment="1" applyProtection="1">
      <alignment horizontal="center" vertical="center" wrapText="1"/>
    </xf>
    <xf numFmtId="0" fontId="762" fillId="0" borderId="270" xfId="0" applyFont="1" applyBorder="1" applyAlignment="1" applyProtection="1">
      <alignment horizontal="center" vertical="center" wrapText="1"/>
    </xf>
    <xf numFmtId="0" fontId="762" fillId="0" borderId="252" xfId="0" applyFont="1" applyBorder="1" applyAlignment="1" applyProtection="1">
      <alignment horizontal="center" vertical="center" wrapText="1"/>
    </xf>
    <xf numFmtId="0" fontId="762" fillId="0" borderId="205" xfId="0" applyFont="1" applyBorder="1" applyAlignment="1" applyProtection="1">
      <alignment horizontal="center" vertical="center" wrapText="1"/>
    </xf>
    <xf numFmtId="0" fontId="762" fillId="0" borderId="139" xfId="0" applyFont="1" applyBorder="1" applyAlignment="1" applyProtection="1">
      <alignment horizontal="center" vertical="center" wrapText="1"/>
    </xf>
    <xf numFmtId="0" fontId="762" fillId="0" borderId="218" xfId="0" applyFont="1" applyBorder="1" applyAlignment="1" applyProtection="1">
      <alignment horizontal="center" vertical="center" wrapText="1"/>
    </xf>
    <xf numFmtId="0" fontId="762" fillId="0" borderId="203" xfId="0" applyFont="1" applyBorder="1" applyAlignment="1" applyProtection="1">
      <alignment horizontal="center" vertical="center" wrapText="1"/>
    </xf>
    <xf numFmtId="0" fontId="784" fillId="0" borderId="253" xfId="0" applyFont="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92" xfId="0" applyBorder="1" applyAlignment="1" applyProtection="1">
      <alignment horizontal="center" vertical="center" wrapText="1"/>
    </xf>
    <xf numFmtId="0" fontId="0" fillId="0" borderId="265" xfId="0" applyBorder="1" applyAlignment="1" applyProtection="1">
      <alignment horizontal="center" vertical="center" wrapText="1"/>
    </xf>
    <xf numFmtId="0" fontId="0" fillId="0" borderId="29" xfId="0" applyBorder="1" applyAlignment="1" applyProtection="1">
      <alignment horizontal="center" vertical="center" wrapText="1"/>
    </xf>
    <xf numFmtId="0" fontId="0" fillId="0" borderId="220" xfId="0" applyBorder="1" applyAlignment="1" applyProtection="1">
      <alignment horizontal="center" vertical="center" wrapText="1"/>
    </xf>
    <xf numFmtId="0" fontId="0" fillId="0" borderId="65" xfId="0" applyBorder="1" applyAlignment="1" applyProtection="1">
      <alignment horizontal="center" vertical="center" wrapText="1"/>
    </xf>
    <xf numFmtId="0" fontId="0" fillId="0" borderId="261" xfId="0" applyBorder="1" applyAlignment="1" applyProtection="1">
      <alignment horizontal="center" vertical="center" wrapText="1"/>
    </xf>
    <xf numFmtId="0" fontId="0" fillId="0" borderId="257" xfId="0" applyBorder="1" applyAlignment="1" applyProtection="1">
      <alignment horizontal="center" vertical="center" wrapText="1"/>
    </xf>
    <xf numFmtId="0" fontId="762" fillId="0" borderId="65" xfId="0" applyFont="1" applyBorder="1" applyAlignment="1" applyProtection="1">
      <alignment horizontal="center" vertical="center" wrapText="1"/>
    </xf>
    <xf numFmtId="0" fontId="762" fillId="0" borderId="92" xfId="0" applyFont="1" applyBorder="1" applyAlignment="1" applyProtection="1">
      <alignment horizontal="center" vertical="center" wrapText="1"/>
    </xf>
    <xf numFmtId="177" fontId="0" fillId="0" borderId="0" xfId="0" applyNumberFormat="1" applyBorder="1" applyAlignment="1" applyProtection="1">
      <alignment horizontal="center" vertical="center" wrapText="1"/>
    </xf>
    <xf numFmtId="0" fontId="762" fillId="0" borderId="0" xfId="0" applyFont="1" applyBorder="1" applyAlignment="1" applyProtection="1">
      <alignment horizontal="center" vertical="center" wrapText="1"/>
    </xf>
    <xf numFmtId="0" fontId="762" fillId="0" borderId="215" xfId="0" applyFont="1" applyBorder="1" applyAlignment="1" applyProtection="1">
      <alignment horizontal="center" vertical="center" wrapText="1"/>
    </xf>
    <xf numFmtId="0" fontId="762" fillId="0" borderId="245" xfId="0" applyFont="1" applyBorder="1" applyAlignment="1" applyProtection="1">
      <alignment horizontal="center" vertical="center" wrapText="1"/>
    </xf>
    <xf numFmtId="0" fontId="762" fillId="0" borderId="221" xfId="0" applyFont="1" applyBorder="1" applyAlignment="1" applyProtection="1">
      <alignment horizontal="center" vertical="center" wrapText="1"/>
    </xf>
    <xf numFmtId="0" fontId="762" fillId="0" borderId="0" xfId="0" applyFont="1" applyAlignment="1" applyProtection="1">
      <alignment horizontal="center" vertical="center" wrapText="1"/>
    </xf>
    <xf numFmtId="0" fontId="762" fillId="0" borderId="183" xfId="0" applyFont="1" applyFill="1" applyBorder="1" applyAlignment="1" applyProtection="1">
      <alignment horizontal="center" vertical="center" wrapText="1"/>
    </xf>
    <xf numFmtId="0" fontId="762" fillId="0" borderId="242" xfId="0" applyFont="1" applyFill="1" applyBorder="1" applyAlignment="1" applyProtection="1">
      <alignment horizontal="center" vertical="center" wrapText="1"/>
    </xf>
    <xf numFmtId="0" fontId="762" fillId="0" borderId="194" xfId="0" applyFont="1" applyFill="1" applyBorder="1" applyAlignment="1" applyProtection="1">
      <alignment horizontal="center" vertical="center" wrapText="1"/>
    </xf>
    <xf numFmtId="0" fontId="762" fillId="0" borderId="232" xfId="0" applyFont="1" applyBorder="1" applyAlignment="1" applyProtection="1">
      <alignment horizontal="center" vertical="center" wrapText="1"/>
    </xf>
    <xf numFmtId="0" fontId="762" fillId="0" borderId="220" xfId="0" applyFont="1" applyBorder="1" applyAlignment="1" applyProtection="1">
      <alignment horizontal="center" vertical="center" wrapText="1"/>
    </xf>
    <xf numFmtId="0" fontId="762" fillId="0" borderId="261" xfId="0" applyFont="1" applyBorder="1" applyAlignment="1" applyProtection="1">
      <alignment horizontal="center" vertical="center" wrapText="1"/>
    </xf>
    <xf numFmtId="177" fontId="0" fillId="0" borderId="0" xfId="0" applyNumberFormat="1" applyFill="1" applyBorder="1" applyAlignment="1" applyProtection="1">
      <alignment horizontal="center" vertical="center" wrapText="1"/>
    </xf>
    <xf numFmtId="0" fontId="0" fillId="0" borderId="0" xfId="0" applyAlignment="1" applyProtection="1">
      <alignment horizontal="center" vertical="center" wrapText="1"/>
    </xf>
    <xf numFmtId="0" fontId="762" fillId="0" borderId="228" xfId="0" applyFont="1" applyBorder="1" applyAlignment="1" applyProtection="1">
      <alignment horizontal="center" vertical="center" wrapText="1"/>
    </xf>
    <xf numFmtId="0" fontId="762" fillId="0" borderId="163" xfId="0" applyFont="1" applyBorder="1" applyAlignment="1" applyProtection="1">
      <alignment horizontal="center" vertical="center" wrapText="1"/>
    </xf>
    <xf numFmtId="0" fontId="762" fillId="0" borderId="249" xfId="0" applyFont="1" applyBorder="1" applyAlignment="1" applyProtection="1">
      <alignment horizontal="center" vertical="center" wrapText="1"/>
    </xf>
    <xf numFmtId="0" fontId="762" fillId="0" borderId="216" xfId="0" applyFont="1" applyBorder="1" applyAlignment="1" applyProtection="1">
      <alignment horizontal="center" vertical="center" wrapText="1"/>
    </xf>
    <xf numFmtId="0" fontId="762" fillId="0" borderId="259" xfId="0" applyFont="1" applyBorder="1" applyAlignment="1" applyProtection="1">
      <alignment horizontal="center" vertical="center" wrapText="1"/>
    </xf>
    <xf numFmtId="0" fontId="762" fillId="0" borderId="241" xfId="0" applyFont="1" applyBorder="1" applyAlignment="1" applyProtection="1">
      <alignment horizontal="center" vertical="center" wrapText="1"/>
    </xf>
    <xf numFmtId="0" fontId="762" fillId="0" borderId="250" xfId="0" applyFont="1" applyBorder="1" applyAlignment="1" applyProtection="1">
      <alignment horizontal="center" vertical="center" wrapText="1"/>
    </xf>
    <xf numFmtId="0" fontId="762" fillId="0" borderId="238" xfId="0" applyFont="1" applyBorder="1" applyAlignment="1" applyProtection="1">
      <alignment horizontal="center" vertical="center" wrapText="1"/>
    </xf>
    <xf numFmtId="0" fontId="0" fillId="0" borderId="215" xfId="0" applyBorder="1" applyAlignment="1" applyProtection="1">
      <alignment horizontal="center" vertical="center" wrapText="1"/>
    </xf>
    <xf numFmtId="0" fontId="0" fillId="0" borderId="245" xfId="0" applyBorder="1" applyAlignment="1" applyProtection="1">
      <alignment horizontal="center" vertical="center" wrapText="1"/>
    </xf>
    <xf numFmtId="0" fontId="0" fillId="0" borderId="221" xfId="0" applyBorder="1" applyAlignment="1" applyProtection="1">
      <alignment horizontal="center" vertical="center" wrapText="1"/>
    </xf>
    <xf numFmtId="0" fontId="0" fillId="0" borderId="267" xfId="0" applyBorder="1" applyAlignment="1" applyProtection="1">
      <alignment horizontal="center" vertical="center" wrapText="1"/>
    </xf>
    <xf numFmtId="0" fontId="0" fillId="0" borderId="240" xfId="0" applyBorder="1" applyAlignment="1" applyProtection="1">
      <alignment horizontal="center" vertical="center" wrapText="1"/>
    </xf>
    <xf numFmtId="0" fontId="0" fillId="0" borderId="193" xfId="0" applyBorder="1" applyAlignment="1" applyProtection="1">
      <alignment horizontal="center" vertical="center" wrapText="1"/>
    </xf>
    <xf numFmtId="0" fontId="0" fillId="0" borderId="247" xfId="0" applyBorder="1" applyAlignment="1" applyProtection="1">
      <alignment horizontal="center" vertical="center" wrapText="1"/>
    </xf>
    <xf numFmtId="0" fontId="0" fillId="0" borderId="266" xfId="0" applyBorder="1" applyAlignment="1" applyProtection="1">
      <alignment horizontal="center" vertical="center" wrapText="1"/>
    </xf>
    <xf numFmtId="0" fontId="0" fillId="0" borderId="210" xfId="0" applyBorder="1" applyAlignment="1" applyProtection="1">
      <alignment horizontal="center" vertical="center" wrapText="1"/>
    </xf>
    <xf numFmtId="0" fontId="0" fillId="0" borderId="169" xfId="0" applyBorder="1" applyAlignment="1" applyProtection="1">
      <alignment horizontal="center" vertical="center" wrapText="1"/>
    </xf>
    <xf numFmtId="49" fontId="762" fillId="0" borderId="270" xfId="0" applyNumberFormat="1" applyFont="1" applyBorder="1" applyAlignment="1" applyProtection="1">
      <alignment horizontal="center" vertical="center" wrapText="1"/>
    </xf>
    <xf numFmtId="49" fontId="762" fillId="0" borderId="252" xfId="0" applyNumberFormat="1" applyFont="1" applyBorder="1" applyAlignment="1" applyProtection="1">
      <alignment horizontal="center" vertical="center" wrapText="1"/>
    </xf>
    <xf numFmtId="49" fontId="762" fillId="0" borderId="205" xfId="0" applyNumberFormat="1" applyFont="1" applyBorder="1" applyAlignment="1" applyProtection="1">
      <alignment horizontal="center" vertical="center" wrapText="1"/>
    </xf>
    <xf numFmtId="0" fontId="773" fillId="0" borderId="0" xfId="0" applyFont="1" applyAlignment="1">
      <alignment horizontal="center" vertical="center" wrapText="1"/>
    </xf>
    <xf numFmtId="0" fontId="773" fillId="0" borderId="139" xfId="0" applyFont="1" applyBorder="1" applyAlignment="1">
      <alignment horizontal="center" vertical="center" wrapText="1"/>
    </xf>
    <xf numFmtId="0" fontId="773" fillId="0" borderId="218" xfId="0" applyFont="1" applyBorder="1" applyAlignment="1">
      <alignment horizontal="center" vertical="center" wrapText="1"/>
    </xf>
    <xf numFmtId="0" fontId="773" fillId="0" borderId="203" xfId="0" applyFont="1" applyBorder="1" applyAlignment="1">
      <alignment horizontal="center" vertical="center" wrapText="1"/>
    </xf>
    <xf numFmtId="0" fontId="786" fillId="0" borderId="253" xfId="0" applyFont="1" applyBorder="1" applyAlignment="1" applyProtection="1">
      <alignment horizontal="center" vertical="center" wrapText="1"/>
    </xf>
    <xf numFmtId="0" fontId="773" fillId="0" borderId="220" xfId="0" applyFont="1" applyFill="1" applyBorder="1" applyAlignment="1">
      <alignment horizontal="center" vertical="center" wrapText="1"/>
    </xf>
    <xf numFmtId="0" fontId="773" fillId="0" borderId="0" xfId="0" applyFont="1" applyFill="1" applyBorder="1" applyAlignment="1">
      <alignment horizontal="center" vertical="center" wrapText="1"/>
    </xf>
    <xf numFmtId="0" fontId="773" fillId="0" borderId="265" xfId="0" applyFont="1" applyBorder="1" applyAlignment="1">
      <alignment horizontal="center" vertical="center" wrapText="1"/>
    </xf>
    <xf numFmtId="0" fontId="773" fillId="0" borderId="220" xfId="0" applyFont="1" applyBorder="1" applyAlignment="1">
      <alignment horizontal="center" vertical="center" wrapText="1"/>
    </xf>
    <xf numFmtId="0" fontId="773" fillId="0" borderId="261" xfId="0" applyFont="1" applyBorder="1" applyAlignment="1">
      <alignment horizontal="center" vertical="center" wrapText="1"/>
    </xf>
    <xf numFmtId="0" fontId="773" fillId="0" borderId="0" xfId="0" applyFont="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0" xfId="0" applyBorder="1" applyAlignment="1" applyProtection="1">
      <alignment horizontal="left" vertical="center" wrapText="1"/>
      <protection locked="0"/>
    </xf>
    <xf numFmtId="0" fontId="0" fillId="0" borderId="0" xfId="0" applyBorder="1" applyAlignment="1" applyProtection="1">
      <alignment horizontal="left" vertical="center" wrapText="1"/>
    </xf>
    <xf numFmtId="0" fontId="773" fillId="0" borderId="0" xfId="0" applyFont="1" applyBorder="1" applyAlignment="1" applyProtection="1">
      <alignment horizontal="left" vertical="center" wrapText="1"/>
      <protection locked="0"/>
    </xf>
    <xf numFmtId="0" fontId="762" fillId="0" borderId="0" xfId="0" quotePrefix="1" applyFont="1" applyBorder="1" applyAlignment="1" applyProtection="1">
      <alignment horizontal="left" vertical="center" wrapText="1"/>
    </xf>
    <xf numFmtId="0" fontId="773" fillId="0" borderId="65" xfId="0" applyFont="1" applyBorder="1" applyAlignment="1" applyProtection="1">
      <alignment horizontal="left" vertical="center" wrapText="1"/>
      <protection locked="0"/>
    </xf>
  </cellXfs>
  <cellStyles count="5">
    <cellStyle name="Lien hypertexte" xfId="3" builtinId="8"/>
    <cellStyle name="Milliers" xfId="1" builtinId="3"/>
    <cellStyle name="Monétaire" xfId="2" builtinId="4"/>
    <cellStyle name="Normal" xfId="0" builtinId="0"/>
    <cellStyle name="Pourcentage" xfId="4" builtinId="5"/>
  </cellStyles>
  <dxfs count="12">
    <dxf>
      <fill>
        <patternFill>
          <bgColor rgb="FF00CCFF"/>
        </patternFill>
      </fill>
    </dxf>
    <dxf>
      <fill>
        <patternFill>
          <bgColor rgb="FFCC00CC"/>
        </patternFill>
      </fill>
    </dxf>
    <dxf>
      <fill>
        <patternFill>
          <bgColor rgb="FF7030A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rgb="FFFFC7CE"/>
        </patternFill>
      </fill>
    </dxf>
    <dxf>
      <font>
        <condense val="0"/>
        <extend val="0"/>
        <color rgb="FF9C0006"/>
      </font>
    </dxf>
    <dxf>
      <border>
        <left style="thin">
          <color rgb="FF9C0006"/>
        </left>
        <right style="thin">
          <color rgb="FF9C0006"/>
        </right>
        <top style="thin">
          <color rgb="FF9C0006"/>
        </top>
        <bottom style="thin">
          <color rgb="FF9C0006"/>
        </bottom>
        <vertical/>
        <horizontal/>
      </border>
    </dxf>
    <dxf>
      <fill>
        <patternFill>
          <bgColor rgb="FF00B0F0"/>
        </patternFill>
      </fill>
    </dxf>
    <dxf>
      <fill>
        <patternFill>
          <bgColor rgb="FF92D050"/>
        </patternFill>
      </fill>
    </dxf>
    <dxf>
      <fill>
        <patternFill>
          <bgColor rgb="FFCA9536"/>
        </patternFill>
      </fill>
    </dxf>
  </dxfs>
  <tableStyles count="0" defaultTableStyle="TableStyleMedium9" defaultPivotStyle="PivotStyleLight16"/>
  <colors>
    <mruColors>
      <color rgb="FFFFFF99"/>
      <color rgb="FFCA9536"/>
      <color rgb="FF3399FF"/>
      <color rgb="FFCCFF99"/>
      <color rgb="FF00CCFF"/>
      <color rgb="FFCC00CC"/>
      <color rgb="FFFFFFFF"/>
      <color rgb="FFFF7C80"/>
      <color rgb="FF66FFFF"/>
      <color rgb="FF66FF66"/>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plotArea>
      <c:layout/>
      <c:barChart>
        <c:barDir val="bar"/>
        <c:grouping val="clustered"/>
        <c:ser>
          <c:idx val="0"/>
          <c:order val="0"/>
          <c:tx>
            <c:strRef>
              <c:f>Calculateur!$D$142</c:f>
              <c:strCache>
                <c:ptCount val="1"/>
                <c:pt idx="0">
                  <c:v>porté visuel</c:v>
                </c:pt>
              </c:strCache>
            </c:strRef>
          </c:tx>
          <c:dLbls>
            <c:showVal val="1"/>
          </c:dLbls>
          <c:val>
            <c:numRef>
              <c:f>Calculateur!$E$142</c:f>
              <c:numCache>
                <c:formatCode>0.0</c:formatCode>
                <c:ptCount val="1"/>
                <c:pt idx="0">
                  <c:v>200</c:v>
                </c:pt>
              </c:numCache>
            </c:numRef>
          </c:val>
        </c:ser>
        <c:ser>
          <c:idx val="2"/>
          <c:order val="1"/>
          <c:tx>
            <c:strRef>
              <c:f>Calculateur!$D$140</c:f>
              <c:strCache>
                <c:ptCount val="1"/>
                <c:pt idx="0">
                  <c:v>taux-d'emmition</c:v>
                </c:pt>
              </c:strCache>
            </c:strRef>
          </c:tx>
          <c:dLbls>
            <c:showVal val="1"/>
          </c:dLbls>
          <c:val>
            <c:numRef>
              <c:f>Calculateur!$E$140</c:f>
              <c:numCache>
                <c:formatCode>0.0</c:formatCode>
                <c:ptCount val="1"/>
                <c:pt idx="0">
                  <c:v>100</c:v>
                </c:pt>
              </c:numCache>
            </c:numRef>
          </c:val>
        </c:ser>
        <c:ser>
          <c:idx val="3"/>
          <c:order val="2"/>
          <c:tx>
            <c:strRef>
              <c:f>Calculateur!$D$139</c:f>
              <c:strCache>
                <c:ptCount val="1"/>
                <c:pt idx="0">
                  <c:v>pare-feux</c:v>
                </c:pt>
              </c:strCache>
            </c:strRef>
          </c:tx>
          <c:dLbls>
            <c:showVal val="1"/>
          </c:dLbls>
          <c:val>
            <c:numRef>
              <c:f>Calculateur!$E$139</c:f>
              <c:numCache>
                <c:formatCode>0.0</c:formatCode>
                <c:ptCount val="1"/>
                <c:pt idx="0">
                  <c:v>100</c:v>
                </c:pt>
              </c:numCache>
            </c:numRef>
          </c:val>
        </c:ser>
        <c:ser>
          <c:idx val="4"/>
          <c:order val="3"/>
          <c:tx>
            <c:strRef>
              <c:f>Calculateur!$D$138</c:f>
              <c:strCache>
                <c:ptCount val="1"/>
                <c:pt idx="0">
                  <c:v>recharge energie</c:v>
                </c:pt>
              </c:strCache>
            </c:strRef>
          </c:tx>
          <c:dLbls>
            <c:showVal val="1"/>
          </c:dLbls>
          <c:val>
            <c:numRef>
              <c:f>Calculateur!$E$138</c:f>
              <c:numCache>
                <c:formatCode>0.0</c:formatCode>
                <c:ptCount val="1"/>
                <c:pt idx="0">
                  <c:v>5</c:v>
                </c:pt>
              </c:numCache>
            </c:numRef>
          </c:val>
        </c:ser>
        <c:ser>
          <c:idx val="5"/>
          <c:order val="4"/>
          <c:tx>
            <c:strRef>
              <c:f>Calculateur!$D$137</c:f>
              <c:strCache>
                <c:ptCount val="1"/>
                <c:pt idx="0">
                  <c:v>energie</c:v>
                </c:pt>
              </c:strCache>
            </c:strRef>
          </c:tx>
          <c:dLbls>
            <c:showVal val="1"/>
          </c:dLbls>
          <c:val>
            <c:numRef>
              <c:f>Calculateur!$E$137</c:f>
              <c:numCache>
                <c:formatCode>0.0</c:formatCode>
                <c:ptCount val="1"/>
                <c:pt idx="0">
                  <c:v>100</c:v>
                </c:pt>
              </c:numCache>
            </c:numRef>
          </c:val>
        </c:ser>
        <c:ser>
          <c:idx val="6"/>
          <c:order val="5"/>
          <c:tx>
            <c:strRef>
              <c:f>Calculateur!$H$133</c:f>
              <c:strCache>
                <c:ptCount val="1"/>
                <c:pt idx="0">
                  <c:v>cout FTL</c:v>
                </c:pt>
              </c:strCache>
            </c:strRef>
          </c:tx>
          <c:dLbls>
            <c:showVal val="1"/>
          </c:dLbls>
          <c:val>
            <c:numRef>
              <c:f>Calculateur!$I$133</c:f>
              <c:numCache>
                <c:formatCode>0.00</c:formatCode>
                <c:ptCount val="1"/>
                <c:pt idx="0">
                  <c:v>20</c:v>
                </c:pt>
              </c:numCache>
            </c:numRef>
          </c:val>
        </c:ser>
        <c:ser>
          <c:idx val="7"/>
          <c:order val="6"/>
          <c:tx>
            <c:strRef>
              <c:f>Calculateur!$H$132</c:f>
              <c:strCache>
                <c:ptCount val="1"/>
                <c:pt idx="0">
                  <c:v>chargement FTL</c:v>
                </c:pt>
              </c:strCache>
            </c:strRef>
          </c:tx>
          <c:dLbls>
            <c:showVal val="1"/>
          </c:dLbls>
          <c:val>
            <c:numRef>
              <c:f>Calculateur!$I$132</c:f>
              <c:numCache>
                <c:formatCode>0.00</c:formatCode>
                <c:ptCount val="1"/>
                <c:pt idx="0">
                  <c:v>15</c:v>
                </c:pt>
              </c:numCache>
            </c:numRef>
          </c:val>
        </c:ser>
        <c:ser>
          <c:idx val="8"/>
          <c:order val="7"/>
          <c:tx>
            <c:strRef>
              <c:f>Calculateur!$H$131</c:f>
              <c:strCache>
                <c:ptCount val="1"/>
                <c:pt idx="0">
                  <c:v>porté FTL</c:v>
                </c:pt>
              </c:strCache>
            </c:strRef>
          </c:tx>
          <c:dLbls>
            <c:showVal val="1"/>
          </c:dLbls>
          <c:val>
            <c:numRef>
              <c:f>Calculateur!$I$131</c:f>
              <c:numCache>
                <c:formatCode>0.00</c:formatCode>
                <c:ptCount val="1"/>
                <c:pt idx="0">
                  <c:v>4.5</c:v>
                </c:pt>
              </c:numCache>
            </c:numRef>
          </c:val>
        </c:ser>
        <c:ser>
          <c:idx val="9"/>
          <c:order val="8"/>
          <c:tx>
            <c:strRef>
              <c:f>Calculateur!$H$130</c:f>
              <c:strCache>
                <c:ptCount val="1"/>
                <c:pt idx="0">
                  <c:v>cout du boost</c:v>
                </c:pt>
              </c:strCache>
            </c:strRef>
          </c:tx>
          <c:dLbls>
            <c:showVal val="1"/>
          </c:dLbls>
          <c:val>
            <c:numRef>
              <c:f>Calculateur!$I$130</c:f>
              <c:numCache>
                <c:formatCode>0.00</c:formatCode>
                <c:ptCount val="1"/>
                <c:pt idx="0">
                  <c:v>0.5</c:v>
                </c:pt>
              </c:numCache>
            </c:numRef>
          </c:val>
        </c:ser>
        <c:ser>
          <c:idx val="10"/>
          <c:order val="9"/>
          <c:tx>
            <c:strRef>
              <c:f>Calculateur!$D$135</c:f>
              <c:strCache>
                <c:ptCount val="1"/>
                <c:pt idx="0">
                  <c:v>vitesse boost</c:v>
                </c:pt>
              </c:strCache>
            </c:strRef>
          </c:tx>
          <c:dLbls>
            <c:showVal val="1"/>
          </c:dLbls>
          <c:val>
            <c:numRef>
              <c:f>Calculateur!$E$135</c:f>
              <c:numCache>
                <c:formatCode>0.0</c:formatCode>
                <c:ptCount val="1"/>
                <c:pt idx="0">
                  <c:v>90</c:v>
                </c:pt>
              </c:numCache>
            </c:numRef>
          </c:val>
        </c:ser>
        <c:ser>
          <c:idx val="11"/>
          <c:order val="10"/>
          <c:tx>
            <c:strRef>
              <c:f>Calculateur!$D$134</c:f>
              <c:strCache>
                <c:ptCount val="1"/>
                <c:pt idx="0">
                  <c:v>vitesse max</c:v>
                </c:pt>
              </c:strCache>
            </c:strRef>
          </c:tx>
          <c:dLbls>
            <c:showVal val="1"/>
          </c:dLbls>
          <c:val>
            <c:numRef>
              <c:f>Calculateur!$E$134</c:f>
              <c:numCache>
                <c:formatCode>0.0</c:formatCode>
                <c:ptCount val="1"/>
                <c:pt idx="0">
                  <c:v>55</c:v>
                </c:pt>
              </c:numCache>
            </c:numRef>
          </c:val>
        </c:ser>
        <c:ser>
          <c:idx val="12"/>
          <c:order val="11"/>
          <c:tx>
            <c:strRef>
              <c:f>Calculateur!$D$133</c:f>
              <c:strCache>
                <c:ptCount val="1"/>
                <c:pt idx="0">
                  <c:v>accélération </c:v>
                </c:pt>
              </c:strCache>
            </c:strRef>
          </c:tx>
          <c:dLbls>
            <c:showVal val="1"/>
          </c:dLbls>
          <c:val>
            <c:numRef>
              <c:f>Calculateur!$E$133</c:f>
              <c:numCache>
                <c:formatCode>0.0</c:formatCode>
                <c:ptCount val="1"/>
                <c:pt idx="0">
                  <c:v>12</c:v>
                </c:pt>
              </c:numCache>
            </c:numRef>
          </c:val>
        </c:ser>
        <c:ser>
          <c:idx val="13"/>
          <c:order val="12"/>
          <c:tx>
            <c:strRef>
              <c:f>Calculateur!$D$132</c:f>
              <c:strCache>
                <c:ptCount val="1"/>
                <c:pt idx="0">
                  <c:v>accélération en rotation</c:v>
                </c:pt>
              </c:strCache>
            </c:strRef>
          </c:tx>
          <c:dLbls>
            <c:showVal val="1"/>
          </c:dLbls>
          <c:val>
            <c:numRef>
              <c:f>Calculateur!$E$132</c:f>
              <c:numCache>
                <c:formatCode>0.0</c:formatCode>
                <c:ptCount val="1"/>
                <c:pt idx="0">
                  <c:v>55</c:v>
                </c:pt>
              </c:numCache>
            </c:numRef>
          </c:val>
        </c:ser>
        <c:ser>
          <c:idx val="14"/>
          <c:order val="13"/>
          <c:tx>
            <c:strRef>
              <c:f>Calculateur!$D$131</c:f>
              <c:strCache>
                <c:ptCount val="1"/>
                <c:pt idx="0">
                  <c:v>vitesse de rotation</c:v>
                </c:pt>
              </c:strCache>
            </c:strRef>
          </c:tx>
          <c:dLbls>
            <c:showVal val="1"/>
          </c:dLbls>
          <c:val>
            <c:numRef>
              <c:f>Calculateur!$E$131</c:f>
              <c:numCache>
                <c:formatCode>0.0</c:formatCode>
                <c:ptCount val="1"/>
                <c:pt idx="0">
                  <c:v>52</c:v>
                </c:pt>
              </c:numCache>
            </c:numRef>
          </c:val>
        </c:ser>
        <c:ser>
          <c:idx val="15"/>
          <c:order val="14"/>
          <c:tx>
            <c:strRef>
              <c:f>Calculateur!$D$130</c:f>
              <c:strCache>
                <c:ptCount val="1"/>
                <c:pt idx="0">
                  <c:v>evitements</c:v>
                </c:pt>
              </c:strCache>
            </c:strRef>
          </c:tx>
          <c:dLbls>
            <c:showVal val="1"/>
          </c:dLbls>
          <c:val>
            <c:numRef>
              <c:f>Calculateur!$E$130</c:f>
              <c:numCache>
                <c:formatCode>0.0</c:formatCode>
                <c:ptCount val="1"/>
                <c:pt idx="0">
                  <c:v>510</c:v>
                </c:pt>
              </c:numCache>
            </c:numRef>
          </c:val>
        </c:ser>
        <c:ser>
          <c:idx val="16"/>
          <c:order val="15"/>
          <c:tx>
            <c:strRef>
              <c:f>Calculateur!$D$121</c:f>
              <c:strCache>
                <c:ptCount val="1"/>
                <c:pt idx="0">
                  <c:v>defence critique</c:v>
                </c:pt>
              </c:strCache>
            </c:strRef>
          </c:tx>
          <c:dLbls>
            <c:showVal val="1"/>
          </c:dLbls>
          <c:val>
            <c:numRef>
              <c:f>Calculateur!$E$121</c:f>
              <c:numCache>
                <c:formatCode>0.0</c:formatCode>
                <c:ptCount val="1"/>
                <c:pt idx="0">
                  <c:v>80</c:v>
                </c:pt>
              </c:numCache>
            </c:numRef>
          </c:val>
        </c:ser>
        <c:ser>
          <c:idx val="17"/>
          <c:order val="16"/>
          <c:tx>
            <c:strRef>
              <c:f>Calculateur!$D$120</c:f>
              <c:strCache>
                <c:ptCount val="1"/>
                <c:pt idx="0">
                  <c:v>blindage</c:v>
                </c:pt>
              </c:strCache>
            </c:strRef>
          </c:tx>
          <c:dLbls>
            <c:showVal val="1"/>
          </c:dLbls>
          <c:val>
            <c:numRef>
              <c:f>Calculateur!$E$120</c:f>
              <c:numCache>
                <c:formatCode>0.0</c:formatCode>
                <c:ptCount val="1"/>
                <c:pt idx="0">
                  <c:v>5</c:v>
                </c:pt>
              </c:numCache>
            </c:numRef>
          </c:val>
        </c:ser>
        <c:ser>
          <c:idx val="18"/>
          <c:order val="17"/>
          <c:tx>
            <c:strRef>
              <c:f>Calculateur!$D$119</c:f>
              <c:strCache>
                <c:ptCount val="1"/>
                <c:pt idx="0">
                  <c:v>régénération</c:v>
                </c:pt>
              </c:strCache>
            </c:strRef>
          </c:tx>
          <c:dLbls>
            <c:showVal val="1"/>
          </c:dLbls>
          <c:val>
            <c:numRef>
              <c:f>Calculateur!$E$119</c:f>
              <c:numCache>
                <c:formatCode>0.0</c:formatCode>
                <c:ptCount val="1"/>
                <c:pt idx="0">
                  <c:v>2.5</c:v>
                </c:pt>
              </c:numCache>
            </c:numRef>
          </c:val>
        </c:ser>
        <c:ser>
          <c:idx val="1"/>
          <c:order val="18"/>
          <c:tx>
            <c:strRef>
              <c:f>Calculateur!$D$118</c:f>
              <c:strCache>
                <c:ptCount val="1"/>
                <c:pt idx="0">
                  <c:v>points</c:v>
                </c:pt>
              </c:strCache>
            </c:strRef>
          </c:tx>
          <c:spPr>
            <a:solidFill>
              <a:schemeClr val="accent3"/>
            </a:solidFill>
            <a:effectLst>
              <a:outerShdw blurRad="50800" dist="50800" dir="5400000" algn="ctr" rotWithShape="0">
                <a:schemeClr val="bg1"/>
              </a:outerShdw>
            </a:effectLst>
          </c:spPr>
          <c:dLbls>
            <c:showVal val="1"/>
          </c:dLbls>
          <c:val>
            <c:numRef>
              <c:f>Calculateur!$E$118</c:f>
              <c:numCache>
                <c:formatCode>0.0</c:formatCode>
                <c:ptCount val="1"/>
                <c:pt idx="0">
                  <c:v>450</c:v>
                </c:pt>
              </c:numCache>
            </c:numRef>
          </c:val>
        </c:ser>
        <c:axId val="145599488"/>
        <c:axId val="145609472"/>
      </c:barChart>
      <c:catAx>
        <c:axId val="145599488"/>
        <c:scaling>
          <c:orientation val="minMax"/>
        </c:scaling>
        <c:delete val="1"/>
        <c:axPos val="l"/>
        <c:tickLblPos val="none"/>
        <c:crossAx val="145609472"/>
        <c:crosses val="autoZero"/>
        <c:auto val="1"/>
        <c:lblAlgn val="ctr"/>
        <c:lblOffset val="100"/>
      </c:catAx>
      <c:valAx>
        <c:axId val="145609472"/>
        <c:scaling>
          <c:orientation val="minMax"/>
        </c:scaling>
        <c:axPos val="b"/>
        <c:majorGridlines/>
        <c:numFmt formatCode="0.0" sourceLinked="1"/>
        <c:tickLblPos val="nextTo"/>
        <c:crossAx val="145599488"/>
        <c:crosses val="autoZero"/>
        <c:crossBetween val="between"/>
      </c:valAx>
    </c:plotArea>
    <c:legend>
      <c:legendPos val="r"/>
      <c:layout/>
    </c:legend>
    <c:plotVisOnly val="1"/>
    <c:dispBlanksAs val="gap"/>
  </c:chart>
  <c:printSettings>
    <c:headerFooter/>
    <c:pageMargins b="0.75000000000000722" l="0.70000000000000062" r="0.70000000000000062" t="0.75000000000000722"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4.png"/><Relationship Id="rId7" Type="http://schemas.openxmlformats.org/officeDocument/2006/relationships/image" Target="../media/image12.png"/><Relationship Id="rId12" Type="http://schemas.openxmlformats.org/officeDocument/2006/relationships/image" Target="../media/image19.png"/><Relationship Id="rId2" Type="http://schemas.openxmlformats.org/officeDocument/2006/relationships/image" Target="../media/image13.png"/><Relationship Id="rId16" Type="http://schemas.openxmlformats.org/officeDocument/2006/relationships/image" Target="../media/image23.png"/><Relationship Id="rId1" Type="http://schemas.openxmlformats.org/officeDocument/2006/relationships/chart" Target="../charts/chart1.xml"/><Relationship Id="rId6" Type="http://schemas.openxmlformats.org/officeDocument/2006/relationships/image" Target="../media/image11.png"/><Relationship Id="rId11" Type="http://schemas.openxmlformats.org/officeDocument/2006/relationships/image" Target="../media/image18.png"/><Relationship Id="rId5" Type="http://schemas.openxmlformats.org/officeDocument/2006/relationships/image" Target="../media/image10.png"/><Relationship Id="rId15" Type="http://schemas.openxmlformats.org/officeDocument/2006/relationships/image" Target="../media/image22.png"/><Relationship Id="rId10" Type="http://schemas.openxmlformats.org/officeDocument/2006/relationships/image" Target="../media/image17.png"/><Relationship Id="rId4" Type="http://schemas.openxmlformats.org/officeDocument/2006/relationships/image" Target="../media/image9.png"/><Relationship Id="rId9" Type="http://schemas.openxmlformats.org/officeDocument/2006/relationships/image" Target="../media/image16.png"/><Relationship Id="rId1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8.jpeg"/><Relationship Id="rId26" Type="http://schemas.openxmlformats.org/officeDocument/2006/relationships/image" Target="../media/image36.gif"/><Relationship Id="rId39" Type="http://schemas.openxmlformats.org/officeDocument/2006/relationships/image" Target="../media/image49.png"/><Relationship Id="rId3" Type="http://schemas.openxmlformats.org/officeDocument/2006/relationships/image" Target="../media/image11.png"/><Relationship Id="rId21" Type="http://schemas.openxmlformats.org/officeDocument/2006/relationships/image" Target="../media/image31.gif"/><Relationship Id="rId34" Type="http://schemas.openxmlformats.org/officeDocument/2006/relationships/image" Target="../media/image44.png"/><Relationship Id="rId42" Type="http://schemas.openxmlformats.org/officeDocument/2006/relationships/image" Target="../media/image52.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7.jpeg"/><Relationship Id="rId25" Type="http://schemas.openxmlformats.org/officeDocument/2006/relationships/image" Target="../media/image35.png"/><Relationship Id="rId33" Type="http://schemas.openxmlformats.org/officeDocument/2006/relationships/image" Target="../media/image43.jpeg"/><Relationship Id="rId38" Type="http://schemas.openxmlformats.org/officeDocument/2006/relationships/image" Target="../media/image48.png"/><Relationship Id="rId46" Type="http://schemas.openxmlformats.org/officeDocument/2006/relationships/image" Target="../media/image56.png"/><Relationship Id="rId2" Type="http://schemas.openxmlformats.org/officeDocument/2006/relationships/image" Target="../media/image10.png"/><Relationship Id="rId16" Type="http://schemas.openxmlformats.org/officeDocument/2006/relationships/image" Target="../media/image26.png"/><Relationship Id="rId20" Type="http://schemas.openxmlformats.org/officeDocument/2006/relationships/image" Target="../media/image30.png"/><Relationship Id="rId29" Type="http://schemas.openxmlformats.org/officeDocument/2006/relationships/image" Target="../media/image39.png"/><Relationship Id="rId41" Type="http://schemas.openxmlformats.org/officeDocument/2006/relationships/image" Target="../media/image51.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4.jpeg"/><Relationship Id="rId32" Type="http://schemas.openxmlformats.org/officeDocument/2006/relationships/image" Target="../media/image42.jpeg"/><Relationship Id="rId37" Type="http://schemas.openxmlformats.org/officeDocument/2006/relationships/image" Target="../media/image47.png"/><Relationship Id="rId40" Type="http://schemas.openxmlformats.org/officeDocument/2006/relationships/image" Target="../media/image50.png"/><Relationship Id="rId45" Type="http://schemas.openxmlformats.org/officeDocument/2006/relationships/image" Target="../media/image55.png"/><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3.gif"/><Relationship Id="rId28" Type="http://schemas.openxmlformats.org/officeDocument/2006/relationships/image" Target="../media/image38.png"/><Relationship Id="rId36" Type="http://schemas.openxmlformats.org/officeDocument/2006/relationships/image" Target="../media/image46.png"/><Relationship Id="rId10" Type="http://schemas.openxmlformats.org/officeDocument/2006/relationships/image" Target="../media/image18.png"/><Relationship Id="rId19" Type="http://schemas.openxmlformats.org/officeDocument/2006/relationships/image" Target="../media/image29.jpeg"/><Relationship Id="rId31" Type="http://schemas.openxmlformats.org/officeDocument/2006/relationships/image" Target="../media/image41.jpeg"/><Relationship Id="rId44" Type="http://schemas.openxmlformats.org/officeDocument/2006/relationships/image" Target="../media/image54.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32.jpeg"/><Relationship Id="rId27" Type="http://schemas.openxmlformats.org/officeDocument/2006/relationships/image" Target="../media/image37.gif"/><Relationship Id="rId30" Type="http://schemas.openxmlformats.org/officeDocument/2006/relationships/image" Target="../media/image40.png"/><Relationship Id="rId35" Type="http://schemas.openxmlformats.org/officeDocument/2006/relationships/image" Target="../media/image45.png"/><Relationship Id="rId43" Type="http://schemas.openxmlformats.org/officeDocument/2006/relationships/image" Target="../media/image5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59.emf"/><Relationship Id="rId2" Type="http://schemas.openxmlformats.org/officeDocument/2006/relationships/image" Target="../media/image58.emf"/><Relationship Id="rId1" Type="http://schemas.openxmlformats.org/officeDocument/2006/relationships/image" Target="../media/image57.emf"/></Relationships>
</file>

<file path=xl/drawings/drawing1.xml><?xml version="1.0" encoding="utf-8"?>
<xdr:wsDr xmlns:xdr="http://schemas.openxmlformats.org/drawingml/2006/spreadsheetDrawing" xmlns:a="http://schemas.openxmlformats.org/drawingml/2006/main">
  <xdr:oneCellAnchor>
    <xdr:from>
      <xdr:col>10</xdr:col>
      <xdr:colOff>304800</xdr:colOff>
      <xdr:row>45</xdr:row>
      <xdr:rowOff>190500</xdr:rowOff>
    </xdr:from>
    <xdr:ext cx="2857500" cy="1714500"/>
    <xdr:pic>
      <xdr:nvPicPr>
        <xdr:cNvPr id="2" name="image01.png"/>
        <xdr:cNvPicPr preferRelativeResize="0"/>
      </xdr:nvPicPr>
      <xdr:blipFill>
        <a:blip xmlns:r="http://schemas.openxmlformats.org/officeDocument/2006/relationships" r:embed="rId1" cstate="print"/>
        <a:stretch>
          <a:fillRect/>
        </a:stretch>
      </xdr:blipFill>
      <xdr:spPr>
        <a:xfrm>
          <a:off x="0" y="0"/>
          <a:ext cx="2857500" cy="1714500"/>
        </a:xfrm>
        <a:prstGeom prst="rect">
          <a:avLst/>
        </a:prstGeom>
        <a:noFill/>
      </xdr:spPr>
    </xdr:pic>
    <xdr:clientData fLocksWithSheet="0"/>
  </xdr:oneCellAnchor>
  <xdr:oneCellAnchor>
    <xdr:from>
      <xdr:col>18</xdr:col>
      <xdr:colOff>152400</xdr:colOff>
      <xdr:row>45</xdr:row>
      <xdr:rowOff>457200</xdr:rowOff>
    </xdr:from>
    <xdr:ext cx="2857500" cy="1714500"/>
    <xdr:pic>
      <xdr:nvPicPr>
        <xdr:cNvPr id="3" name="image02.png"/>
        <xdr:cNvPicPr preferRelativeResize="0"/>
      </xdr:nvPicPr>
      <xdr:blipFill>
        <a:blip xmlns:r="http://schemas.openxmlformats.org/officeDocument/2006/relationships" r:embed="rId2" cstate="print"/>
        <a:stretch>
          <a:fillRect/>
        </a:stretch>
      </xdr:blipFill>
      <xdr:spPr>
        <a:xfrm>
          <a:off x="0" y="0"/>
          <a:ext cx="2857500" cy="1714500"/>
        </a:xfrm>
        <a:prstGeom prst="rect">
          <a:avLst/>
        </a:prstGeom>
        <a:noFill/>
      </xdr:spPr>
    </xdr:pic>
    <xdr:clientData fLocksWithSheet="0"/>
  </xdr:oneCellAnchor>
  <xdr:oneCellAnchor>
    <xdr:from>
      <xdr:col>10</xdr:col>
      <xdr:colOff>57150</xdr:colOff>
      <xdr:row>72</xdr:row>
      <xdr:rowOff>19050</xdr:rowOff>
    </xdr:from>
    <xdr:ext cx="4029075" cy="1828800"/>
    <xdr:pic>
      <xdr:nvPicPr>
        <xdr:cNvPr id="4" name="image06.png"/>
        <xdr:cNvPicPr preferRelativeResize="0"/>
      </xdr:nvPicPr>
      <xdr:blipFill>
        <a:blip xmlns:r="http://schemas.openxmlformats.org/officeDocument/2006/relationships" r:embed="rId3" cstate="print"/>
        <a:stretch>
          <a:fillRect/>
        </a:stretch>
      </xdr:blipFill>
      <xdr:spPr>
        <a:xfrm>
          <a:off x="7400925" y="10753725"/>
          <a:ext cx="4029075" cy="1828800"/>
        </a:xfrm>
        <a:prstGeom prst="rect">
          <a:avLst/>
        </a:prstGeom>
        <a:noFill/>
      </xdr:spPr>
    </xdr:pic>
    <xdr:clientData fLocksWithSheet="0"/>
  </xdr:oneCellAnchor>
  <xdr:oneCellAnchor>
    <xdr:from>
      <xdr:col>19</xdr:col>
      <xdr:colOff>390525</xdr:colOff>
      <xdr:row>74</xdr:row>
      <xdr:rowOff>76200</xdr:rowOff>
    </xdr:from>
    <xdr:ext cx="4029075" cy="1828800"/>
    <xdr:pic>
      <xdr:nvPicPr>
        <xdr:cNvPr id="5" name="image04.png"/>
        <xdr:cNvPicPr preferRelativeResize="0"/>
      </xdr:nvPicPr>
      <xdr:blipFill>
        <a:blip xmlns:r="http://schemas.openxmlformats.org/officeDocument/2006/relationships" r:embed="rId4" cstate="print"/>
        <a:stretch>
          <a:fillRect/>
        </a:stretch>
      </xdr:blipFill>
      <xdr:spPr>
        <a:xfrm>
          <a:off x="11334750" y="11249025"/>
          <a:ext cx="4029075" cy="1828800"/>
        </a:xfrm>
        <a:prstGeom prst="rect">
          <a:avLst/>
        </a:prstGeom>
        <a:noFill/>
      </xdr:spPr>
    </xdr:pic>
    <xdr:clientData fLocksWithSheet="0"/>
  </xdr:oneCellAnchor>
  <xdr:oneCellAnchor>
    <xdr:from>
      <xdr:col>8</xdr:col>
      <xdr:colOff>390525</xdr:colOff>
      <xdr:row>98</xdr:row>
      <xdr:rowOff>76200</xdr:rowOff>
    </xdr:from>
    <xdr:ext cx="4029075" cy="1828800"/>
    <xdr:pic>
      <xdr:nvPicPr>
        <xdr:cNvPr id="6" name="image00.png"/>
        <xdr:cNvPicPr preferRelativeResize="0"/>
      </xdr:nvPicPr>
      <xdr:blipFill>
        <a:blip xmlns:r="http://schemas.openxmlformats.org/officeDocument/2006/relationships" r:embed="rId5" cstate="print"/>
        <a:stretch>
          <a:fillRect/>
        </a:stretch>
      </xdr:blipFill>
      <xdr:spPr>
        <a:xfrm>
          <a:off x="0" y="0"/>
          <a:ext cx="4029075" cy="1828800"/>
        </a:xfrm>
        <a:prstGeom prst="rect">
          <a:avLst/>
        </a:prstGeom>
        <a:noFill/>
      </xdr:spPr>
    </xdr:pic>
    <xdr:clientData fLocksWithSheet="0"/>
  </xdr:oneCellAnchor>
  <xdr:oneCellAnchor>
    <xdr:from>
      <xdr:col>19</xdr:col>
      <xdr:colOff>133350</xdr:colOff>
      <xdr:row>96</xdr:row>
      <xdr:rowOff>523875</xdr:rowOff>
    </xdr:from>
    <xdr:ext cx="4029075" cy="1828800"/>
    <xdr:pic>
      <xdr:nvPicPr>
        <xdr:cNvPr id="7" name="image03.png"/>
        <xdr:cNvPicPr preferRelativeResize="0"/>
      </xdr:nvPicPr>
      <xdr:blipFill>
        <a:blip xmlns:r="http://schemas.openxmlformats.org/officeDocument/2006/relationships" r:embed="rId6" cstate="print"/>
        <a:stretch>
          <a:fillRect/>
        </a:stretch>
      </xdr:blipFill>
      <xdr:spPr>
        <a:xfrm>
          <a:off x="0" y="0"/>
          <a:ext cx="4029075" cy="1828800"/>
        </a:xfrm>
        <a:prstGeom prst="rect">
          <a:avLst/>
        </a:prstGeom>
        <a:noFill/>
      </xdr:spPr>
    </xdr:pic>
    <xdr:clientData fLocksWithSheet="0"/>
  </xdr:oneCellAnchor>
  <xdr:oneCellAnchor>
    <xdr:from>
      <xdr:col>18</xdr:col>
      <xdr:colOff>771525</xdr:colOff>
      <xdr:row>18</xdr:row>
      <xdr:rowOff>438150</xdr:rowOff>
    </xdr:from>
    <xdr:ext cx="1952625" cy="971550"/>
    <xdr:pic>
      <xdr:nvPicPr>
        <xdr:cNvPr id="8" name="image05.png"/>
        <xdr:cNvPicPr preferRelativeResize="0"/>
      </xdr:nvPicPr>
      <xdr:blipFill>
        <a:blip xmlns:r="http://schemas.openxmlformats.org/officeDocument/2006/relationships" r:embed="rId7" cstate="print"/>
        <a:stretch>
          <a:fillRect/>
        </a:stretch>
      </xdr:blipFill>
      <xdr:spPr>
        <a:xfrm>
          <a:off x="0" y="0"/>
          <a:ext cx="1952625" cy="971550"/>
        </a:xfrm>
        <a:prstGeom prst="rect">
          <a:avLst/>
        </a:prstGeom>
        <a:noFill/>
      </xdr:spPr>
    </xdr:pic>
    <xdr:clientData fLocksWithSheet="0"/>
  </xdr:oneCellAnchor>
  <xdr:oneCellAnchor>
    <xdr:from>
      <xdr:col>12</xdr:col>
      <xdr:colOff>114300</xdr:colOff>
      <xdr:row>18</xdr:row>
      <xdr:rowOff>447675</xdr:rowOff>
    </xdr:from>
    <xdr:ext cx="2066925" cy="981075"/>
    <xdr:pic>
      <xdr:nvPicPr>
        <xdr:cNvPr id="9" name="image07.png"/>
        <xdr:cNvPicPr preferRelativeResize="0"/>
      </xdr:nvPicPr>
      <xdr:blipFill>
        <a:blip xmlns:r="http://schemas.openxmlformats.org/officeDocument/2006/relationships" r:embed="rId8" cstate="print"/>
        <a:stretch>
          <a:fillRect/>
        </a:stretch>
      </xdr:blipFill>
      <xdr:spPr>
        <a:xfrm>
          <a:off x="0" y="0"/>
          <a:ext cx="2066925" cy="9810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2</xdr:col>
      <xdr:colOff>103911</xdr:colOff>
      <xdr:row>15</xdr:row>
      <xdr:rowOff>576341</xdr:rowOff>
    </xdr:from>
    <xdr:to>
      <xdr:col>2</xdr:col>
      <xdr:colOff>3060541</xdr:colOff>
      <xdr:row>15</xdr:row>
      <xdr:rowOff>2427733</xdr:rowOff>
    </xdr:to>
    <xdr:pic>
      <xdr:nvPicPr>
        <xdr:cNvPr id="2" name="Image 1" descr="halbert liche.png"/>
        <xdr:cNvPicPr>
          <a:picLocks noChangeAspect="1"/>
        </xdr:cNvPicPr>
      </xdr:nvPicPr>
      <xdr:blipFill>
        <a:blip xmlns:r="http://schemas.openxmlformats.org/officeDocument/2006/relationships" r:embed="rId1" cstate="print"/>
        <a:stretch>
          <a:fillRect/>
        </a:stretch>
      </xdr:blipFill>
      <xdr:spPr>
        <a:xfrm>
          <a:off x="865911" y="26449705"/>
          <a:ext cx="2956630" cy="1851392"/>
        </a:xfrm>
        <a:prstGeom prst="rect">
          <a:avLst/>
        </a:prstGeom>
      </xdr:spPr>
    </xdr:pic>
    <xdr:clientData/>
  </xdr:twoCellAnchor>
  <xdr:twoCellAnchor editAs="oneCell">
    <xdr:from>
      <xdr:col>2</xdr:col>
      <xdr:colOff>277091</xdr:colOff>
      <xdr:row>16</xdr:row>
      <xdr:rowOff>583164</xdr:rowOff>
    </xdr:from>
    <xdr:to>
      <xdr:col>2</xdr:col>
      <xdr:colOff>2868683</xdr:colOff>
      <xdr:row>16</xdr:row>
      <xdr:rowOff>2420521</xdr:rowOff>
    </xdr:to>
    <xdr:pic>
      <xdr:nvPicPr>
        <xdr:cNvPr id="3" name="Image 2" descr="aesir fenrir.png"/>
        <xdr:cNvPicPr>
          <a:picLocks noChangeAspect="1"/>
        </xdr:cNvPicPr>
      </xdr:nvPicPr>
      <xdr:blipFill>
        <a:blip xmlns:r="http://schemas.openxmlformats.org/officeDocument/2006/relationships" r:embed="rId2" cstate="print"/>
        <a:stretch>
          <a:fillRect/>
        </a:stretch>
      </xdr:blipFill>
      <xdr:spPr>
        <a:xfrm>
          <a:off x="1039091" y="29314028"/>
          <a:ext cx="2591592" cy="1837357"/>
        </a:xfrm>
        <a:prstGeom prst="rect">
          <a:avLst/>
        </a:prstGeom>
      </xdr:spPr>
    </xdr:pic>
    <xdr:clientData/>
  </xdr:twoCellAnchor>
  <xdr:twoCellAnchor editAs="oneCell">
    <xdr:from>
      <xdr:col>2</xdr:col>
      <xdr:colOff>264085</xdr:colOff>
      <xdr:row>17</xdr:row>
      <xdr:rowOff>635118</xdr:rowOff>
    </xdr:from>
    <xdr:to>
      <xdr:col>2</xdr:col>
      <xdr:colOff>2889392</xdr:colOff>
      <xdr:row>17</xdr:row>
      <xdr:rowOff>2502018</xdr:rowOff>
    </xdr:to>
    <xdr:pic>
      <xdr:nvPicPr>
        <xdr:cNvPr id="4" name="Image 3" descr="jotum jormun.png"/>
        <xdr:cNvPicPr>
          <a:picLocks noChangeAspect="1"/>
        </xdr:cNvPicPr>
      </xdr:nvPicPr>
      <xdr:blipFill>
        <a:blip xmlns:r="http://schemas.openxmlformats.org/officeDocument/2006/relationships" r:embed="rId3" cstate="print"/>
        <a:stretch>
          <a:fillRect/>
        </a:stretch>
      </xdr:blipFill>
      <xdr:spPr>
        <a:xfrm>
          <a:off x="1026085" y="32223482"/>
          <a:ext cx="2625307" cy="1866900"/>
        </a:xfrm>
        <a:prstGeom prst="rect">
          <a:avLst/>
        </a:prstGeom>
      </xdr:spPr>
    </xdr:pic>
    <xdr:clientData/>
  </xdr:twoCellAnchor>
  <xdr:twoCellAnchor editAs="oneCell">
    <xdr:from>
      <xdr:col>2</xdr:col>
      <xdr:colOff>321914</xdr:colOff>
      <xdr:row>18</xdr:row>
      <xdr:rowOff>554640</xdr:rowOff>
    </xdr:from>
    <xdr:to>
      <xdr:col>2</xdr:col>
      <xdr:colOff>2990549</xdr:colOff>
      <xdr:row>18</xdr:row>
      <xdr:rowOff>2448489</xdr:rowOff>
    </xdr:to>
    <xdr:pic>
      <xdr:nvPicPr>
        <xdr:cNvPr id="5" name="Image 4" descr="vanir hell.png"/>
        <xdr:cNvPicPr>
          <a:picLocks noChangeAspect="1"/>
        </xdr:cNvPicPr>
      </xdr:nvPicPr>
      <xdr:blipFill>
        <a:blip xmlns:r="http://schemas.openxmlformats.org/officeDocument/2006/relationships" r:embed="rId4" cstate="print"/>
        <a:stretch>
          <a:fillRect/>
        </a:stretch>
      </xdr:blipFill>
      <xdr:spPr>
        <a:xfrm>
          <a:off x="1083914" y="35000504"/>
          <a:ext cx="2668635" cy="1893849"/>
        </a:xfrm>
        <a:prstGeom prst="rect">
          <a:avLst/>
        </a:prstGeom>
      </xdr:spPr>
    </xdr:pic>
    <xdr:clientData/>
  </xdr:twoCellAnchor>
  <xdr:twoCellAnchor editAs="oneCell">
    <xdr:from>
      <xdr:col>2</xdr:col>
      <xdr:colOff>322932</xdr:colOff>
      <xdr:row>19</xdr:row>
      <xdr:rowOff>456845</xdr:rowOff>
    </xdr:from>
    <xdr:to>
      <xdr:col>2</xdr:col>
      <xdr:colOff>2988511</xdr:colOff>
      <xdr:row>19</xdr:row>
      <xdr:rowOff>2350694</xdr:rowOff>
    </xdr:to>
    <xdr:pic>
      <xdr:nvPicPr>
        <xdr:cNvPr id="6" name="Image 5" descr="gungnir nigdog.png"/>
        <xdr:cNvPicPr>
          <a:picLocks noChangeAspect="1"/>
        </xdr:cNvPicPr>
      </xdr:nvPicPr>
      <xdr:blipFill>
        <a:blip xmlns:r="http://schemas.openxmlformats.org/officeDocument/2006/relationships" r:embed="rId5" cstate="print"/>
        <a:stretch>
          <a:fillRect/>
        </a:stretch>
      </xdr:blipFill>
      <xdr:spPr>
        <a:xfrm>
          <a:off x="1084932" y="37760209"/>
          <a:ext cx="2665579" cy="1893849"/>
        </a:xfrm>
        <a:prstGeom prst="rect">
          <a:avLst/>
        </a:prstGeom>
      </xdr:spPr>
    </xdr:pic>
    <xdr:clientData/>
  </xdr:twoCellAnchor>
  <xdr:twoCellAnchor editAs="oneCell">
    <xdr:from>
      <xdr:col>2</xdr:col>
      <xdr:colOff>223101</xdr:colOff>
      <xdr:row>20</xdr:row>
      <xdr:rowOff>578073</xdr:rowOff>
    </xdr:from>
    <xdr:to>
      <xdr:col>2</xdr:col>
      <xdr:colOff>2832651</xdr:colOff>
      <xdr:row>20</xdr:row>
      <xdr:rowOff>2433976</xdr:rowOff>
    </xdr:to>
    <xdr:pic>
      <xdr:nvPicPr>
        <xdr:cNvPr id="7" name="Image 6" descr="brumir sutur.png"/>
        <xdr:cNvPicPr>
          <a:picLocks noChangeAspect="1"/>
        </xdr:cNvPicPr>
      </xdr:nvPicPr>
      <xdr:blipFill>
        <a:blip xmlns:r="http://schemas.openxmlformats.org/officeDocument/2006/relationships" r:embed="rId6" cstate="print"/>
        <a:stretch>
          <a:fillRect/>
        </a:stretch>
      </xdr:blipFill>
      <xdr:spPr>
        <a:xfrm>
          <a:off x="985101" y="40738937"/>
          <a:ext cx="2609550" cy="1855903"/>
        </a:xfrm>
        <a:prstGeom prst="rect">
          <a:avLst/>
        </a:prstGeom>
      </xdr:spPr>
    </xdr:pic>
    <xdr:clientData/>
  </xdr:twoCellAnchor>
  <xdr:twoCellAnchor editAs="oneCell">
    <xdr:from>
      <xdr:col>2</xdr:col>
      <xdr:colOff>99285</xdr:colOff>
      <xdr:row>6</xdr:row>
      <xdr:rowOff>97268</xdr:rowOff>
    </xdr:from>
    <xdr:to>
      <xdr:col>2</xdr:col>
      <xdr:colOff>3069864</xdr:colOff>
      <xdr:row>6</xdr:row>
      <xdr:rowOff>2382150</xdr:rowOff>
    </xdr:to>
    <xdr:pic>
      <xdr:nvPicPr>
        <xdr:cNvPr id="8" name="Image 7" descr="viperMKII raider.png"/>
        <xdr:cNvPicPr>
          <a:picLocks noChangeAspect="1"/>
        </xdr:cNvPicPr>
      </xdr:nvPicPr>
      <xdr:blipFill>
        <a:blip xmlns:r="http://schemas.openxmlformats.org/officeDocument/2006/relationships" r:embed="rId7" cstate="print"/>
        <a:stretch>
          <a:fillRect/>
        </a:stretch>
      </xdr:blipFill>
      <xdr:spPr>
        <a:xfrm>
          <a:off x="861285" y="261492"/>
          <a:ext cx="2970579" cy="2284882"/>
        </a:xfrm>
        <a:prstGeom prst="rect">
          <a:avLst/>
        </a:prstGeom>
      </xdr:spPr>
    </xdr:pic>
    <xdr:clientData/>
  </xdr:twoCellAnchor>
  <xdr:twoCellAnchor editAs="oneCell">
    <xdr:from>
      <xdr:col>2</xdr:col>
      <xdr:colOff>176367</xdr:colOff>
      <xdr:row>7</xdr:row>
      <xdr:rowOff>328377</xdr:rowOff>
    </xdr:from>
    <xdr:to>
      <xdr:col>2</xdr:col>
      <xdr:colOff>2954137</xdr:colOff>
      <xdr:row>7</xdr:row>
      <xdr:rowOff>2495329</xdr:rowOff>
    </xdr:to>
    <xdr:pic>
      <xdr:nvPicPr>
        <xdr:cNvPr id="9" name="Image 8" descr="rhino marauder.png"/>
        <xdr:cNvPicPr>
          <a:picLocks noChangeAspect="1"/>
        </xdr:cNvPicPr>
      </xdr:nvPicPr>
      <xdr:blipFill>
        <a:blip xmlns:r="http://schemas.openxmlformats.org/officeDocument/2006/relationships" r:embed="rId8" cstate="print"/>
        <a:stretch>
          <a:fillRect/>
        </a:stretch>
      </xdr:blipFill>
      <xdr:spPr>
        <a:xfrm>
          <a:off x="938367" y="3341741"/>
          <a:ext cx="2777770" cy="2166952"/>
        </a:xfrm>
        <a:prstGeom prst="rect">
          <a:avLst/>
        </a:prstGeom>
      </xdr:spPr>
    </xdr:pic>
    <xdr:clientData/>
  </xdr:twoCellAnchor>
  <xdr:twoCellAnchor editAs="oneCell">
    <xdr:from>
      <xdr:col>2</xdr:col>
      <xdr:colOff>119189</xdr:colOff>
      <xdr:row>9</xdr:row>
      <xdr:rowOff>383390</xdr:rowOff>
    </xdr:from>
    <xdr:to>
      <xdr:col>2</xdr:col>
      <xdr:colOff>3048000</xdr:colOff>
      <xdr:row>9</xdr:row>
      <xdr:rowOff>2347772</xdr:rowOff>
    </xdr:to>
    <xdr:pic>
      <xdr:nvPicPr>
        <xdr:cNvPr id="10" name="Image 9" descr="raptor Heavy.png"/>
        <xdr:cNvPicPr>
          <a:picLocks noChangeAspect="1"/>
        </xdr:cNvPicPr>
      </xdr:nvPicPr>
      <xdr:blipFill>
        <a:blip xmlns:r="http://schemas.openxmlformats.org/officeDocument/2006/relationships" r:embed="rId9" cstate="print"/>
        <a:stretch>
          <a:fillRect/>
        </a:stretch>
      </xdr:blipFill>
      <xdr:spPr>
        <a:xfrm>
          <a:off x="881189" y="9111754"/>
          <a:ext cx="2928811" cy="1964382"/>
        </a:xfrm>
        <a:prstGeom prst="rect">
          <a:avLst/>
        </a:prstGeom>
      </xdr:spPr>
    </xdr:pic>
    <xdr:clientData/>
  </xdr:twoCellAnchor>
  <xdr:twoCellAnchor editAs="oneCell">
    <xdr:from>
      <xdr:col>2</xdr:col>
      <xdr:colOff>132432</xdr:colOff>
      <xdr:row>10</xdr:row>
      <xdr:rowOff>374887</xdr:rowOff>
    </xdr:from>
    <xdr:to>
      <xdr:col>2</xdr:col>
      <xdr:colOff>3117023</xdr:colOff>
      <xdr:row>10</xdr:row>
      <xdr:rowOff>2680892</xdr:rowOff>
    </xdr:to>
    <xdr:pic>
      <xdr:nvPicPr>
        <xdr:cNvPr id="11" name="Image 10" descr="MKVII warraider.png"/>
        <xdr:cNvPicPr>
          <a:picLocks noChangeAspect="1"/>
        </xdr:cNvPicPr>
      </xdr:nvPicPr>
      <xdr:blipFill>
        <a:blip xmlns:r="http://schemas.openxmlformats.org/officeDocument/2006/relationships" r:embed="rId10" cstate="print"/>
        <a:stretch>
          <a:fillRect/>
        </a:stretch>
      </xdr:blipFill>
      <xdr:spPr>
        <a:xfrm>
          <a:off x="894432" y="11960751"/>
          <a:ext cx="2984591" cy="2306005"/>
        </a:xfrm>
        <a:prstGeom prst="rect">
          <a:avLst/>
        </a:prstGeom>
      </xdr:spPr>
    </xdr:pic>
    <xdr:clientData/>
  </xdr:twoCellAnchor>
  <xdr:twoCellAnchor editAs="oneCell">
    <xdr:from>
      <xdr:col>2</xdr:col>
      <xdr:colOff>157900</xdr:colOff>
      <xdr:row>8</xdr:row>
      <xdr:rowOff>253660</xdr:rowOff>
    </xdr:from>
    <xdr:to>
      <xdr:col>2</xdr:col>
      <xdr:colOff>2971551</xdr:colOff>
      <xdr:row>8</xdr:row>
      <xdr:rowOff>2555591</xdr:rowOff>
    </xdr:to>
    <xdr:pic>
      <xdr:nvPicPr>
        <xdr:cNvPr id="12" name="Image 11" descr="MKIII.png"/>
        <xdr:cNvPicPr>
          <a:picLocks noChangeAspect="1"/>
        </xdr:cNvPicPr>
      </xdr:nvPicPr>
      <xdr:blipFill>
        <a:blip xmlns:r="http://schemas.openxmlformats.org/officeDocument/2006/relationships" r:embed="rId11" cstate="print"/>
        <a:stretch>
          <a:fillRect/>
        </a:stretch>
      </xdr:blipFill>
      <xdr:spPr>
        <a:xfrm>
          <a:off x="919900" y="6124524"/>
          <a:ext cx="2813651" cy="2301931"/>
        </a:xfrm>
        <a:prstGeom prst="rect">
          <a:avLst/>
        </a:prstGeom>
      </xdr:spPr>
    </xdr:pic>
    <xdr:clientData/>
  </xdr:twoCellAnchor>
  <xdr:twoCellAnchor editAs="oneCell">
    <xdr:from>
      <xdr:col>2</xdr:col>
      <xdr:colOff>245510</xdr:colOff>
      <xdr:row>11</xdr:row>
      <xdr:rowOff>225137</xdr:rowOff>
    </xdr:from>
    <xdr:to>
      <xdr:col>2</xdr:col>
      <xdr:colOff>3069501</xdr:colOff>
      <xdr:row>11</xdr:row>
      <xdr:rowOff>2538273</xdr:rowOff>
    </xdr:to>
    <xdr:pic>
      <xdr:nvPicPr>
        <xdr:cNvPr id="13" name="Image 12" descr="Raven &amp; Malefactor.png"/>
        <xdr:cNvPicPr>
          <a:picLocks noChangeAspect="1"/>
        </xdr:cNvPicPr>
      </xdr:nvPicPr>
      <xdr:blipFill>
        <a:blip xmlns:r="http://schemas.openxmlformats.org/officeDocument/2006/relationships" r:embed="rId12" cstate="print"/>
        <a:stretch>
          <a:fillRect/>
        </a:stretch>
      </xdr:blipFill>
      <xdr:spPr>
        <a:xfrm>
          <a:off x="1007510" y="14668501"/>
          <a:ext cx="2823991" cy="2313136"/>
        </a:xfrm>
        <a:prstGeom prst="rect">
          <a:avLst/>
        </a:prstGeom>
      </xdr:spPr>
    </xdr:pic>
    <xdr:clientData/>
  </xdr:twoCellAnchor>
  <xdr:twoCellAnchor editAs="oneCell">
    <xdr:from>
      <xdr:col>2</xdr:col>
      <xdr:colOff>161976</xdr:colOff>
      <xdr:row>12</xdr:row>
      <xdr:rowOff>524385</xdr:rowOff>
    </xdr:from>
    <xdr:to>
      <xdr:col>2</xdr:col>
      <xdr:colOff>2976714</xdr:colOff>
      <xdr:row>12</xdr:row>
      <xdr:rowOff>2402490</xdr:rowOff>
    </xdr:to>
    <xdr:pic>
      <xdr:nvPicPr>
        <xdr:cNvPr id="14" name="Image 13" descr="shyt banshéé.png"/>
        <xdr:cNvPicPr>
          <a:picLocks noChangeAspect="1"/>
        </xdr:cNvPicPr>
      </xdr:nvPicPr>
      <xdr:blipFill>
        <a:blip xmlns:r="http://schemas.openxmlformats.org/officeDocument/2006/relationships" r:embed="rId13" cstate="print"/>
        <a:stretch>
          <a:fillRect/>
        </a:stretch>
      </xdr:blipFill>
      <xdr:spPr>
        <a:xfrm>
          <a:off x="923976" y="17825249"/>
          <a:ext cx="2814738" cy="1878105"/>
        </a:xfrm>
        <a:prstGeom prst="rect">
          <a:avLst/>
        </a:prstGeom>
      </xdr:spPr>
    </xdr:pic>
    <xdr:clientData/>
  </xdr:twoCellAnchor>
  <xdr:twoCellAnchor editAs="oneCell">
    <xdr:from>
      <xdr:col>2</xdr:col>
      <xdr:colOff>183369</xdr:colOff>
      <xdr:row>13</xdr:row>
      <xdr:rowOff>691455</xdr:rowOff>
    </xdr:from>
    <xdr:to>
      <xdr:col>2</xdr:col>
      <xdr:colOff>2958163</xdr:colOff>
      <xdr:row>13</xdr:row>
      <xdr:rowOff>2547150</xdr:rowOff>
    </xdr:to>
    <xdr:pic>
      <xdr:nvPicPr>
        <xdr:cNvPr id="15" name="Image 14" descr="maul whait.png"/>
        <xdr:cNvPicPr>
          <a:picLocks noChangeAspect="1"/>
        </xdr:cNvPicPr>
      </xdr:nvPicPr>
      <xdr:blipFill>
        <a:blip xmlns:r="http://schemas.openxmlformats.org/officeDocument/2006/relationships" r:embed="rId14" cstate="print"/>
        <a:stretch>
          <a:fillRect/>
        </a:stretch>
      </xdr:blipFill>
      <xdr:spPr>
        <a:xfrm>
          <a:off x="945369" y="20849819"/>
          <a:ext cx="2774794" cy="1855695"/>
        </a:xfrm>
        <a:prstGeom prst="rect">
          <a:avLst/>
        </a:prstGeom>
      </xdr:spPr>
    </xdr:pic>
    <xdr:clientData/>
  </xdr:twoCellAnchor>
  <xdr:twoCellAnchor editAs="oneCell">
    <xdr:from>
      <xdr:col>2</xdr:col>
      <xdr:colOff>501206</xdr:colOff>
      <xdr:row>14</xdr:row>
      <xdr:rowOff>483638</xdr:rowOff>
    </xdr:from>
    <xdr:to>
      <xdr:col>2</xdr:col>
      <xdr:colOff>2732845</xdr:colOff>
      <xdr:row>14</xdr:row>
      <xdr:rowOff>2340907</xdr:rowOff>
    </xdr:to>
    <xdr:pic>
      <xdr:nvPicPr>
        <xdr:cNvPr id="16" name="Image 15" descr="glaive spectre.png"/>
        <xdr:cNvPicPr>
          <a:picLocks noChangeAspect="1"/>
        </xdr:cNvPicPr>
      </xdr:nvPicPr>
      <xdr:blipFill>
        <a:blip xmlns:r="http://schemas.openxmlformats.org/officeDocument/2006/relationships" r:embed="rId15" cstate="print"/>
        <a:stretch>
          <a:fillRect/>
        </a:stretch>
      </xdr:blipFill>
      <xdr:spPr>
        <a:xfrm>
          <a:off x="1263206" y="23499502"/>
          <a:ext cx="2231639" cy="18572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380998</xdr:colOff>
      <xdr:row>103</xdr:row>
      <xdr:rowOff>313764</xdr:rowOff>
    </xdr:from>
    <xdr:to>
      <xdr:col>16</xdr:col>
      <xdr:colOff>145674</xdr:colOff>
      <xdr:row>141</xdr:row>
      <xdr:rowOff>257736</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105</xdr:col>
      <xdr:colOff>322932</xdr:colOff>
      <xdr:row>23</xdr:row>
      <xdr:rowOff>456845</xdr:rowOff>
    </xdr:from>
    <xdr:to>
      <xdr:col>110</xdr:col>
      <xdr:colOff>436729</xdr:colOff>
      <xdr:row>24</xdr:row>
      <xdr:rowOff>7239</xdr:rowOff>
    </xdr:to>
    <xdr:pic>
      <xdr:nvPicPr>
        <xdr:cNvPr id="22" name="Image 21" descr="gungnir nigdog.png"/>
        <xdr:cNvPicPr>
          <a:picLocks noChangeAspect="1"/>
        </xdr:cNvPicPr>
      </xdr:nvPicPr>
      <xdr:blipFill>
        <a:blip xmlns:r="http://schemas.openxmlformats.org/officeDocument/2006/relationships" r:embed="rId2" cstate="print"/>
        <a:stretch>
          <a:fillRect/>
        </a:stretch>
      </xdr:blipFill>
      <xdr:spPr>
        <a:xfrm>
          <a:off x="1846932" y="37766270"/>
          <a:ext cx="2665579" cy="1893849"/>
        </a:xfrm>
        <a:prstGeom prst="rect">
          <a:avLst/>
        </a:prstGeom>
      </xdr:spPr>
    </xdr:pic>
    <xdr:clientData/>
  </xdr:twoCellAnchor>
  <xdr:twoCellAnchor editAs="oneCell">
    <xdr:from>
      <xdr:col>105</xdr:col>
      <xdr:colOff>223101</xdr:colOff>
      <xdr:row>24</xdr:row>
      <xdr:rowOff>578073</xdr:rowOff>
    </xdr:from>
    <xdr:to>
      <xdr:col>110</xdr:col>
      <xdr:colOff>542625</xdr:colOff>
      <xdr:row>25</xdr:row>
      <xdr:rowOff>51245</xdr:rowOff>
    </xdr:to>
    <xdr:pic>
      <xdr:nvPicPr>
        <xdr:cNvPr id="23" name="Image 22" descr="brumir sutur.png"/>
        <xdr:cNvPicPr>
          <a:picLocks noChangeAspect="1"/>
        </xdr:cNvPicPr>
      </xdr:nvPicPr>
      <xdr:blipFill>
        <a:blip xmlns:r="http://schemas.openxmlformats.org/officeDocument/2006/relationships" r:embed="rId3" cstate="print"/>
        <a:stretch>
          <a:fillRect/>
        </a:stretch>
      </xdr:blipFill>
      <xdr:spPr>
        <a:xfrm>
          <a:off x="1747101" y="40744998"/>
          <a:ext cx="2609550" cy="1855903"/>
        </a:xfrm>
        <a:prstGeom prst="rect">
          <a:avLst/>
        </a:prstGeom>
      </xdr:spPr>
    </xdr:pic>
    <xdr:clientData/>
  </xdr:twoCellAnchor>
  <xdr:twoCellAnchor editAs="oneCell">
    <xdr:from>
      <xdr:col>126</xdr:col>
      <xdr:colOff>103911</xdr:colOff>
      <xdr:row>252</xdr:row>
      <xdr:rowOff>91437</xdr:rowOff>
    </xdr:from>
    <xdr:to>
      <xdr:col>126</xdr:col>
      <xdr:colOff>3060541</xdr:colOff>
      <xdr:row>252</xdr:row>
      <xdr:rowOff>1942829</xdr:rowOff>
    </xdr:to>
    <xdr:pic>
      <xdr:nvPicPr>
        <xdr:cNvPr id="33" name="Image 32" descr="halbert liche.png"/>
        <xdr:cNvPicPr>
          <a:picLocks noChangeAspect="1"/>
        </xdr:cNvPicPr>
      </xdr:nvPicPr>
      <xdr:blipFill>
        <a:blip xmlns:r="http://schemas.openxmlformats.org/officeDocument/2006/relationships" r:embed="rId4" cstate="print"/>
        <a:stretch>
          <a:fillRect/>
        </a:stretch>
      </xdr:blipFill>
      <xdr:spPr>
        <a:xfrm>
          <a:off x="83871956" y="70853528"/>
          <a:ext cx="2956630" cy="1851392"/>
        </a:xfrm>
        <a:prstGeom prst="rect">
          <a:avLst/>
        </a:prstGeom>
      </xdr:spPr>
    </xdr:pic>
    <xdr:clientData/>
  </xdr:twoCellAnchor>
  <xdr:twoCellAnchor editAs="oneCell">
    <xdr:from>
      <xdr:col>126</xdr:col>
      <xdr:colOff>277091</xdr:colOff>
      <xdr:row>253</xdr:row>
      <xdr:rowOff>115578</xdr:rowOff>
    </xdr:from>
    <xdr:to>
      <xdr:col>126</xdr:col>
      <xdr:colOff>2868683</xdr:colOff>
      <xdr:row>253</xdr:row>
      <xdr:rowOff>1952935</xdr:rowOff>
    </xdr:to>
    <xdr:pic>
      <xdr:nvPicPr>
        <xdr:cNvPr id="34" name="Image 33" descr="aesir fenrir.png"/>
        <xdr:cNvPicPr>
          <a:picLocks noChangeAspect="1"/>
        </xdr:cNvPicPr>
      </xdr:nvPicPr>
      <xdr:blipFill>
        <a:blip xmlns:r="http://schemas.openxmlformats.org/officeDocument/2006/relationships" r:embed="rId5" cstate="print"/>
        <a:stretch>
          <a:fillRect/>
        </a:stretch>
      </xdr:blipFill>
      <xdr:spPr>
        <a:xfrm>
          <a:off x="84045136" y="72955851"/>
          <a:ext cx="2591592" cy="1837357"/>
        </a:xfrm>
        <a:prstGeom prst="rect">
          <a:avLst/>
        </a:prstGeom>
      </xdr:spPr>
    </xdr:pic>
    <xdr:clientData/>
  </xdr:twoCellAnchor>
  <xdr:twoCellAnchor editAs="oneCell">
    <xdr:from>
      <xdr:col>126</xdr:col>
      <xdr:colOff>264085</xdr:colOff>
      <xdr:row>254</xdr:row>
      <xdr:rowOff>115578</xdr:rowOff>
    </xdr:from>
    <xdr:to>
      <xdr:col>126</xdr:col>
      <xdr:colOff>2889392</xdr:colOff>
      <xdr:row>254</xdr:row>
      <xdr:rowOff>1982478</xdr:rowOff>
    </xdr:to>
    <xdr:pic>
      <xdr:nvPicPr>
        <xdr:cNvPr id="35" name="Image 34" descr="jotum jormun.png"/>
        <xdr:cNvPicPr>
          <a:picLocks noChangeAspect="1"/>
        </xdr:cNvPicPr>
      </xdr:nvPicPr>
      <xdr:blipFill>
        <a:blip xmlns:r="http://schemas.openxmlformats.org/officeDocument/2006/relationships" r:embed="rId6" cstate="print"/>
        <a:stretch>
          <a:fillRect/>
        </a:stretch>
      </xdr:blipFill>
      <xdr:spPr>
        <a:xfrm>
          <a:off x="84032130" y="75051351"/>
          <a:ext cx="2625307" cy="1866900"/>
        </a:xfrm>
        <a:prstGeom prst="rect">
          <a:avLst/>
        </a:prstGeom>
      </xdr:spPr>
    </xdr:pic>
    <xdr:clientData/>
  </xdr:twoCellAnchor>
  <xdr:twoCellAnchor editAs="oneCell">
    <xdr:from>
      <xdr:col>126</xdr:col>
      <xdr:colOff>304596</xdr:colOff>
      <xdr:row>255</xdr:row>
      <xdr:rowOff>104372</xdr:rowOff>
    </xdr:from>
    <xdr:to>
      <xdr:col>126</xdr:col>
      <xdr:colOff>2973231</xdr:colOff>
      <xdr:row>255</xdr:row>
      <xdr:rowOff>1998221</xdr:rowOff>
    </xdr:to>
    <xdr:pic>
      <xdr:nvPicPr>
        <xdr:cNvPr id="36" name="Image 35" descr="vanir hell.png"/>
        <xdr:cNvPicPr>
          <a:picLocks noChangeAspect="1"/>
        </xdr:cNvPicPr>
      </xdr:nvPicPr>
      <xdr:blipFill>
        <a:blip xmlns:r="http://schemas.openxmlformats.org/officeDocument/2006/relationships" r:embed="rId7" cstate="print"/>
        <a:stretch>
          <a:fillRect/>
        </a:stretch>
      </xdr:blipFill>
      <xdr:spPr>
        <a:xfrm>
          <a:off x="84072641" y="77118327"/>
          <a:ext cx="2668635" cy="1893849"/>
        </a:xfrm>
        <a:prstGeom prst="rect">
          <a:avLst/>
        </a:prstGeom>
      </xdr:spPr>
    </xdr:pic>
    <xdr:clientData/>
  </xdr:twoCellAnchor>
  <xdr:twoCellAnchor editAs="oneCell">
    <xdr:from>
      <xdr:col>126</xdr:col>
      <xdr:colOff>305614</xdr:colOff>
      <xdr:row>256</xdr:row>
      <xdr:rowOff>93167</xdr:rowOff>
    </xdr:from>
    <xdr:to>
      <xdr:col>126</xdr:col>
      <xdr:colOff>2971193</xdr:colOff>
      <xdr:row>256</xdr:row>
      <xdr:rowOff>1987016</xdr:rowOff>
    </xdr:to>
    <xdr:pic>
      <xdr:nvPicPr>
        <xdr:cNvPr id="37" name="Image 36" descr="gungnir nigdog.png"/>
        <xdr:cNvPicPr>
          <a:picLocks noChangeAspect="1"/>
        </xdr:cNvPicPr>
      </xdr:nvPicPr>
      <xdr:blipFill>
        <a:blip xmlns:r="http://schemas.openxmlformats.org/officeDocument/2006/relationships" r:embed="rId2" cstate="print"/>
        <a:stretch>
          <a:fillRect/>
        </a:stretch>
      </xdr:blipFill>
      <xdr:spPr>
        <a:xfrm>
          <a:off x="84073659" y="79185303"/>
          <a:ext cx="2665579" cy="1893849"/>
        </a:xfrm>
        <a:prstGeom prst="rect">
          <a:avLst/>
        </a:prstGeom>
      </xdr:spPr>
    </xdr:pic>
    <xdr:clientData/>
  </xdr:twoCellAnchor>
  <xdr:twoCellAnchor editAs="oneCell">
    <xdr:from>
      <xdr:col>126</xdr:col>
      <xdr:colOff>257737</xdr:colOff>
      <xdr:row>257</xdr:row>
      <xdr:rowOff>93169</xdr:rowOff>
    </xdr:from>
    <xdr:to>
      <xdr:col>126</xdr:col>
      <xdr:colOff>2867287</xdr:colOff>
      <xdr:row>257</xdr:row>
      <xdr:rowOff>1956713</xdr:rowOff>
    </xdr:to>
    <xdr:pic>
      <xdr:nvPicPr>
        <xdr:cNvPr id="38" name="Image 37" descr="brumir sutur.png"/>
        <xdr:cNvPicPr>
          <a:picLocks noChangeAspect="1"/>
        </xdr:cNvPicPr>
      </xdr:nvPicPr>
      <xdr:blipFill>
        <a:blip xmlns:r="http://schemas.openxmlformats.org/officeDocument/2006/relationships" r:embed="rId3" cstate="print"/>
        <a:stretch>
          <a:fillRect/>
        </a:stretch>
      </xdr:blipFill>
      <xdr:spPr>
        <a:xfrm>
          <a:off x="84025782" y="81246169"/>
          <a:ext cx="2609550" cy="1863544"/>
        </a:xfrm>
        <a:prstGeom prst="rect">
          <a:avLst/>
        </a:prstGeom>
      </xdr:spPr>
    </xdr:pic>
    <xdr:clientData/>
  </xdr:twoCellAnchor>
  <xdr:twoCellAnchor editAs="oneCell">
    <xdr:from>
      <xdr:col>126</xdr:col>
      <xdr:colOff>99285</xdr:colOff>
      <xdr:row>243</xdr:row>
      <xdr:rowOff>97268</xdr:rowOff>
    </xdr:from>
    <xdr:to>
      <xdr:col>126</xdr:col>
      <xdr:colOff>3069864</xdr:colOff>
      <xdr:row>243</xdr:row>
      <xdr:rowOff>2383387</xdr:rowOff>
    </xdr:to>
    <xdr:pic>
      <xdr:nvPicPr>
        <xdr:cNvPr id="39" name="Image 38" descr="viperMKII raider.png"/>
        <xdr:cNvPicPr>
          <a:picLocks noChangeAspect="1"/>
        </xdr:cNvPicPr>
      </xdr:nvPicPr>
      <xdr:blipFill>
        <a:blip xmlns:r="http://schemas.openxmlformats.org/officeDocument/2006/relationships" r:embed="rId8" cstate="print"/>
        <a:stretch>
          <a:fillRect/>
        </a:stretch>
      </xdr:blipFill>
      <xdr:spPr>
        <a:xfrm>
          <a:off x="1623285" y="259193"/>
          <a:ext cx="2970579" cy="2284882"/>
        </a:xfrm>
        <a:prstGeom prst="rect">
          <a:avLst/>
        </a:prstGeom>
      </xdr:spPr>
    </xdr:pic>
    <xdr:clientData/>
  </xdr:twoCellAnchor>
  <xdr:twoCellAnchor editAs="oneCell">
    <xdr:from>
      <xdr:col>126</xdr:col>
      <xdr:colOff>176367</xdr:colOff>
      <xdr:row>244</xdr:row>
      <xdr:rowOff>85925</xdr:rowOff>
    </xdr:from>
    <xdr:to>
      <xdr:col>126</xdr:col>
      <xdr:colOff>2954137</xdr:colOff>
      <xdr:row>244</xdr:row>
      <xdr:rowOff>2254114</xdr:rowOff>
    </xdr:to>
    <xdr:pic>
      <xdr:nvPicPr>
        <xdr:cNvPr id="40" name="Image 39" descr="rhino marauder.png"/>
        <xdr:cNvPicPr>
          <a:picLocks noChangeAspect="1"/>
        </xdr:cNvPicPr>
      </xdr:nvPicPr>
      <xdr:blipFill>
        <a:blip xmlns:r="http://schemas.openxmlformats.org/officeDocument/2006/relationships" r:embed="rId9" cstate="print"/>
        <a:stretch>
          <a:fillRect/>
        </a:stretch>
      </xdr:blipFill>
      <xdr:spPr>
        <a:xfrm>
          <a:off x="83944412" y="52265607"/>
          <a:ext cx="2777770" cy="2166952"/>
        </a:xfrm>
        <a:prstGeom prst="rect">
          <a:avLst/>
        </a:prstGeom>
      </xdr:spPr>
    </xdr:pic>
    <xdr:clientData/>
  </xdr:twoCellAnchor>
  <xdr:twoCellAnchor editAs="oneCell">
    <xdr:from>
      <xdr:col>126</xdr:col>
      <xdr:colOff>119189</xdr:colOff>
      <xdr:row>246</xdr:row>
      <xdr:rowOff>71666</xdr:rowOff>
    </xdr:from>
    <xdr:to>
      <xdr:col>126</xdr:col>
      <xdr:colOff>3048000</xdr:colOff>
      <xdr:row>246</xdr:row>
      <xdr:rowOff>2037284</xdr:rowOff>
    </xdr:to>
    <xdr:pic>
      <xdr:nvPicPr>
        <xdr:cNvPr id="41" name="Image 40" descr="raptor Heavy.png"/>
        <xdr:cNvPicPr>
          <a:picLocks noChangeAspect="1"/>
        </xdr:cNvPicPr>
      </xdr:nvPicPr>
      <xdr:blipFill>
        <a:blip xmlns:r="http://schemas.openxmlformats.org/officeDocument/2006/relationships" r:embed="rId10" cstate="print"/>
        <a:stretch>
          <a:fillRect/>
        </a:stretch>
      </xdr:blipFill>
      <xdr:spPr>
        <a:xfrm>
          <a:off x="83887234" y="57083121"/>
          <a:ext cx="2928811" cy="1964382"/>
        </a:xfrm>
        <a:prstGeom prst="rect">
          <a:avLst/>
        </a:prstGeom>
      </xdr:spPr>
    </xdr:pic>
    <xdr:clientData/>
  </xdr:twoCellAnchor>
  <xdr:twoCellAnchor editAs="oneCell">
    <xdr:from>
      <xdr:col>126</xdr:col>
      <xdr:colOff>132432</xdr:colOff>
      <xdr:row>247</xdr:row>
      <xdr:rowOff>97799</xdr:rowOff>
    </xdr:from>
    <xdr:to>
      <xdr:col>126</xdr:col>
      <xdr:colOff>3117023</xdr:colOff>
      <xdr:row>247</xdr:row>
      <xdr:rowOff>2405040</xdr:rowOff>
    </xdr:to>
    <xdr:pic>
      <xdr:nvPicPr>
        <xdr:cNvPr id="42" name="Image 41" descr="MKVII warraider.png"/>
        <xdr:cNvPicPr>
          <a:picLocks noChangeAspect="1"/>
        </xdr:cNvPicPr>
      </xdr:nvPicPr>
      <xdr:blipFill>
        <a:blip xmlns:r="http://schemas.openxmlformats.org/officeDocument/2006/relationships" r:embed="rId11" cstate="print"/>
        <a:stretch>
          <a:fillRect/>
        </a:stretch>
      </xdr:blipFill>
      <xdr:spPr>
        <a:xfrm>
          <a:off x="83900477" y="59239390"/>
          <a:ext cx="2984591" cy="2306005"/>
        </a:xfrm>
        <a:prstGeom prst="rect">
          <a:avLst/>
        </a:prstGeom>
      </xdr:spPr>
    </xdr:pic>
    <xdr:clientData/>
  </xdr:twoCellAnchor>
  <xdr:twoCellAnchor editAs="oneCell">
    <xdr:from>
      <xdr:col>126</xdr:col>
      <xdr:colOff>157900</xdr:colOff>
      <xdr:row>245</xdr:row>
      <xdr:rowOff>80480</xdr:rowOff>
    </xdr:from>
    <xdr:to>
      <xdr:col>126</xdr:col>
      <xdr:colOff>2971551</xdr:colOff>
      <xdr:row>245</xdr:row>
      <xdr:rowOff>2383649</xdr:rowOff>
    </xdr:to>
    <xdr:pic>
      <xdr:nvPicPr>
        <xdr:cNvPr id="43" name="Image 42" descr="MKIII.png"/>
        <xdr:cNvPicPr>
          <a:picLocks noChangeAspect="1"/>
        </xdr:cNvPicPr>
      </xdr:nvPicPr>
      <xdr:blipFill>
        <a:blip xmlns:r="http://schemas.openxmlformats.org/officeDocument/2006/relationships" r:embed="rId12" cstate="print"/>
        <a:stretch>
          <a:fillRect/>
        </a:stretch>
      </xdr:blipFill>
      <xdr:spPr>
        <a:xfrm>
          <a:off x="83925945" y="54598116"/>
          <a:ext cx="2813651" cy="2301931"/>
        </a:xfrm>
        <a:prstGeom prst="rect">
          <a:avLst/>
        </a:prstGeom>
      </xdr:spPr>
    </xdr:pic>
    <xdr:clientData/>
  </xdr:twoCellAnchor>
  <xdr:twoCellAnchor editAs="oneCell">
    <xdr:from>
      <xdr:col>126</xdr:col>
      <xdr:colOff>245510</xdr:colOff>
      <xdr:row>248</xdr:row>
      <xdr:rowOff>103911</xdr:rowOff>
    </xdr:from>
    <xdr:to>
      <xdr:col>126</xdr:col>
      <xdr:colOff>3069501</xdr:colOff>
      <xdr:row>248</xdr:row>
      <xdr:rowOff>2418285</xdr:rowOff>
    </xdr:to>
    <xdr:pic>
      <xdr:nvPicPr>
        <xdr:cNvPr id="44" name="Image 43" descr="Raven &amp; Malefactor.png"/>
        <xdr:cNvPicPr>
          <a:picLocks noChangeAspect="1"/>
        </xdr:cNvPicPr>
      </xdr:nvPicPr>
      <xdr:blipFill>
        <a:blip xmlns:r="http://schemas.openxmlformats.org/officeDocument/2006/relationships" r:embed="rId13" cstate="print"/>
        <a:stretch>
          <a:fillRect/>
        </a:stretch>
      </xdr:blipFill>
      <xdr:spPr>
        <a:xfrm>
          <a:off x="84013555" y="61756638"/>
          <a:ext cx="2823991" cy="2313136"/>
        </a:xfrm>
        <a:prstGeom prst="rect">
          <a:avLst/>
        </a:prstGeom>
      </xdr:spPr>
    </xdr:pic>
    <xdr:clientData/>
  </xdr:twoCellAnchor>
  <xdr:twoCellAnchor editAs="oneCell">
    <xdr:from>
      <xdr:col>126</xdr:col>
      <xdr:colOff>161976</xdr:colOff>
      <xdr:row>249</xdr:row>
      <xdr:rowOff>126071</xdr:rowOff>
    </xdr:from>
    <xdr:to>
      <xdr:col>126</xdr:col>
      <xdr:colOff>2976714</xdr:colOff>
      <xdr:row>249</xdr:row>
      <xdr:rowOff>2004176</xdr:rowOff>
    </xdr:to>
    <xdr:pic>
      <xdr:nvPicPr>
        <xdr:cNvPr id="45" name="Image 44" descr="shyt banshéé.png"/>
        <xdr:cNvPicPr>
          <a:picLocks noChangeAspect="1"/>
        </xdr:cNvPicPr>
      </xdr:nvPicPr>
      <xdr:blipFill>
        <a:blip xmlns:r="http://schemas.openxmlformats.org/officeDocument/2006/relationships" r:embed="rId14" cstate="print"/>
        <a:stretch>
          <a:fillRect/>
        </a:stretch>
      </xdr:blipFill>
      <xdr:spPr>
        <a:xfrm>
          <a:off x="83930021" y="64376526"/>
          <a:ext cx="2814738" cy="1878105"/>
        </a:xfrm>
        <a:prstGeom prst="rect">
          <a:avLst/>
        </a:prstGeom>
      </xdr:spPr>
    </xdr:pic>
    <xdr:clientData/>
  </xdr:twoCellAnchor>
  <xdr:twoCellAnchor editAs="oneCell">
    <xdr:from>
      <xdr:col>126</xdr:col>
      <xdr:colOff>183369</xdr:colOff>
      <xdr:row>250</xdr:row>
      <xdr:rowOff>102643</xdr:rowOff>
    </xdr:from>
    <xdr:to>
      <xdr:col>126</xdr:col>
      <xdr:colOff>2958163</xdr:colOff>
      <xdr:row>250</xdr:row>
      <xdr:rowOff>1958338</xdr:rowOff>
    </xdr:to>
    <xdr:pic>
      <xdr:nvPicPr>
        <xdr:cNvPr id="46" name="Image 45" descr="maul whait.png"/>
        <xdr:cNvPicPr>
          <a:picLocks noChangeAspect="1"/>
        </xdr:cNvPicPr>
      </xdr:nvPicPr>
      <xdr:blipFill>
        <a:blip xmlns:r="http://schemas.openxmlformats.org/officeDocument/2006/relationships" r:embed="rId15" cstate="print"/>
        <a:stretch>
          <a:fillRect/>
        </a:stretch>
      </xdr:blipFill>
      <xdr:spPr>
        <a:xfrm>
          <a:off x="83951414" y="66517870"/>
          <a:ext cx="2774794" cy="1855695"/>
        </a:xfrm>
        <a:prstGeom prst="rect">
          <a:avLst/>
        </a:prstGeom>
      </xdr:spPr>
    </xdr:pic>
    <xdr:clientData/>
  </xdr:twoCellAnchor>
  <xdr:twoCellAnchor editAs="oneCell">
    <xdr:from>
      <xdr:col>126</xdr:col>
      <xdr:colOff>255050</xdr:colOff>
      <xdr:row>251</xdr:row>
      <xdr:rowOff>102642</xdr:rowOff>
    </xdr:from>
    <xdr:to>
      <xdr:col>126</xdr:col>
      <xdr:colOff>2732845</xdr:colOff>
      <xdr:row>251</xdr:row>
      <xdr:rowOff>2166011</xdr:rowOff>
    </xdr:to>
    <xdr:pic>
      <xdr:nvPicPr>
        <xdr:cNvPr id="47" name="Image 46" descr="glaive spectre.png"/>
        <xdr:cNvPicPr>
          <a:picLocks noChangeAspect="1"/>
        </xdr:cNvPicPr>
      </xdr:nvPicPr>
      <xdr:blipFill>
        <a:blip xmlns:r="http://schemas.openxmlformats.org/officeDocument/2006/relationships" r:embed="rId16" cstate="print"/>
        <a:stretch>
          <a:fillRect/>
        </a:stretch>
      </xdr:blipFill>
      <xdr:spPr>
        <a:xfrm>
          <a:off x="84023095" y="68578733"/>
          <a:ext cx="2477795" cy="20621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103911</xdr:colOff>
      <xdr:row>68</xdr:row>
      <xdr:rowOff>91437</xdr:rowOff>
    </xdr:from>
    <xdr:to>
      <xdr:col>13</xdr:col>
      <xdr:colOff>3060541</xdr:colOff>
      <xdr:row>68</xdr:row>
      <xdr:rowOff>1942829</xdr:rowOff>
    </xdr:to>
    <xdr:pic>
      <xdr:nvPicPr>
        <xdr:cNvPr id="62" name="Image 61" descr="halbert liche.png"/>
        <xdr:cNvPicPr>
          <a:picLocks noChangeAspect="1"/>
        </xdr:cNvPicPr>
      </xdr:nvPicPr>
      <xdr:blipFill>
        <a:blip xmlns:r="http://schemas.openxmlformats.org/officeDocument/2006/relationships" r:embed="rId1" cstate="print"/>
        <a:stretch>
          <a:fillRect/>
        </a:stretch>
      </xdr:blipFill>
      <xdr:spPr>
        <a:xfrm>
          <a:off x="29355186" y="75310362"/>
          <a:ext cx="2956630" cy="1851392"/>
        </a:xfrm>
        <a:prstGeom prst="rect">
          <a:avLst/>
        </a:prstGeom>
      </xdr:spPr>
    </xdr:pic>
    <xdr:clientData/>
  </xdr:twoCellAnchor>
  <xdr:twoCellAnchor editAs="oneCell">
    <xdr:from>
      <xdr:col>13</xdr:col>
      <xdr:colOff>277091</xdr:colOff>
      <xdr:row>69</xdr:row>
      <xdr:rowOff>115578</xdr:rowOff>
    </xdr:from>
    <xdr:to>
      <xdr:col>13</xdr:col>
      <xdr:colOff>2868683</xdr:colOff>
      <xdr:row>69</xdr:row>
      <xdr:rowOff>1952935</xdr:rowOff>
    </xdr:to>
    <xdr:pic>
      <xdr:nvPicPr>
        <xdr:cNvPr id="63" name="Image 62" descr="aesir fenrir.png"/>
        <xdr:cNvPicPr>
          <a:picLocks noChangeAspect="1"/>
        </xdr:cNvPicPr>
      </xdr:nvPicPr>
      <xdr:blipFill>
        <a:blip xmlns:r="http://schemas.openxmlformats.org/officeDocument/2006/relationships" r:embed="rId2" cstate="print"/>
        <a:stretch>
          <a:fillRect/>
        </a:stretch>
      </xdr:blipFill>
      <xdr:spPr>
        <a:xfrm>
          <a:off x="29528366" y="77410953"/>
          <a:ext cx="2591592" cy="1837357"/>
        </a:xfrm>
        <a:prstGeom prst="rect">
          <a:avLst/>
        </a:prstGeom>
      </xdr:spPr>
    </xdr:pic>
    <xdr:clientData/>
  </xdr:twoCellAnchor>
  <xdr:twoCellAnchor editAs="oneCell">
    <xdr:from>
      <xdr:col>13</xdr:col>
      <xdr:colOff>264085</xdr:colOff>
      <xdr:row>70</xdr:row>
      <xdr:rowOff>115578</xdr:rowOff>
    </xdr:from>
    <xdr:to>
      <xdr:col>13</xdr:col>
      <xdr:colOff>2889392</xdr:colOff>
      <xdr:row>70</xdr:row>
      <xdr:rowOff>1982478</xdr:rowOff>
    </xdr:to>
    <xdr:pic>
      <xdr:nvPicPr>
        <xdr:cNvPr id="64" name="Image 63" descr="jotum jormun.png"/>
        <xdr:cNvPicPr>
          <a:picLocks noChangeAspect="1"/>
        </xdr:cNvPicPr>
      </xdr:nvPicPr>
      <xdr:blipFill>
        <a:blip xmlns:r="http://schemas.openxmlformats.org/officeDocument/2006/relationships" r:embed="rId3" cstate="print"/>
        <a:stretch>
          <a:fillRect/>
        </a:stretch>
      </xdr:blipFill>
      <xdr:spPr>
        <a:xfrm>
          <a:off x="29515360" y="79506453"/>
          <a:ext cx="2625307" cy="1866900"/>
        </a:xfrm>
        <a:prstGeom prst="rect">
          <a:avLst/>
        </a:prstGeom>
      </xdr:spPr>
    </xdr:pic>
    <xdr:clientData/>
  </xdr:twoCellAnchor>
  <xdr:twoCellAnchor editAs="oneCell">
    <xdr:from>
      <xdr:col>13</xdr:col>
      <xdr:colOff>304596</xdr:colOff>
      <xdr:row>71</xdr:row>
      <xdr:rowOff>104372</xdr:rowOff>
    </xdr:from>
    <xdr:to>
      <xdr:col>13</xdr:col>
      <xdr:colOff>2973231</xdr:colOff>
      <xdr:row>71</xdr:row>
      <xdr:rowOff>1998221</xdr:rowOff>
    </xdr:to>
    <xdr:pic>
      <xdr:nvPicPr>
        <xdr:cNvPr id="65" name="Image 64" descr="vanir hell.png"/>
        <xdr:cNvPicPr>
          <a:picLocks noChangeAspect="1"/>
        </xdr:cNvPicPr>
      </xdr:nvPicPr>
      <xdr:blipFill>
        <a:blip xmlns:r="http://schemas.openxmlformats.org/officeDocument/2006/relationships" r:embed="rId4" cstate="print"/>
        <a:stretch>
          <a:fillRect/>
        </a:stretch>
      </xdr:blipFill>
      <xdr:spPr>
        <a:xfrm>
          <a:off x="29555871" y="81571697"/>
          <a:ext cx="2668635" cy="1893849"/>
        </a:xfrm>
        <a:prstGeom prst="rect">
          <a:avLst/>
        </a:prstGeom>
      </xdr:spPr>
    </xdr:pic>
    <xdr:clientData/>
  </xdr:twoCellAnchor>
  <xdr:twoCellAnchor editAs="oneCell">
    <xdr:from>
      <xdr:col>13</xdr:col>
      <xdr:colOff>305614</xdr:colOff>
      <xdr:row>72</xdr:row>
      <xdr:rowOff>93167</xdr:rowOff>
    </xdr:from>
    <xdr:to>
      <xdr:col>13</xdr:col>
      <xdr:colOff>2971193</xdr:colOff>
      <xdr:row>72</xdr:row>
      <xdr:rowOff>1987016</xdr:rowOff>
    </xdr:to>
    <xdr:pic>
      <xdr:nvPicPr>
        <xdr:cNvPr id="66" name="Image 65" descr="gungnir nigdog.png"/>
        <xdr:cNvPicPr>
          <a:picLocks noChangeAspect="1"/>
        </xdr:cNvPicPr>
      </xdr:nvPicPr>
      <xdr:blipFill>
        <a:blip xmlns:r="http://schemas.openxmlformats.org/officeDocument/2006/relationships" r:embed="rId5" cstate="print"/>
        <a:stretch>
          <a:fillRect/>
        </a:stretch>
      </xdr:blipFill>
      <xdr:spPr>
        <a:xfrm>
          <a:off x="29556889" y="83636942"/>
          <a:ext cx="2665579" cy="1893849"/>
        </a:xfrm>
        <a:prstGeom prst="rect">
          <a:avLst/>
        </a:prstGeom>
      </xdr:spPr>
    </xdr:pic>
    <xdr:clientData/>
  </xdr:twoCellAnchor>
  <xdr:twoCellAnchor editAs="oneCell">
    <xdr:from>
      <xdr:col>13</xdr:col>
      <xdr:colOff>257737</xdr:colOff>
      <xdr:row>73</xdr:row>
      <xdr:rowOff>93169</xdr:rowOff>
    </xdr:from>
    <xdr:to>
      <xdr:col>13</xdr:col>
      <xdr:colOff>2867287</xdr:colOff>
      <xdr:row>73</xdr:row>
      <xdr:rowOff>1956713</xdr:rowOff>
    </xdr:to>
    <xdr:pic>
      <xdr:nvPicPr>
        <xdr:cNvPr id="67" name="Image 66" descr="brumir sutur.png"/>
        <xdr:cNvPicPr>
          <a:picLocks noChangeAspect="1"/>
        </xdr:cNvPicPr>
      </xdr:nvPicPr>
      <xdr:blipFill>
        <a:blip xmlns:r="http://schemas.openxmlformats.org/officeDocument/2006/relationships" r:embed="rId6" cstate="print"/>
        <a:stretch>
          <a:fillRect/>
        </a:stretch>
      </xdr:blipFill>
      <xdr:spPr>
        <a:xfrm>
          <a:off x="29509012" y="85703869"/>
          <a:ext cx="2609550" cy="1863544"/>
        </a:xfrm>
        <a:prstGeom prst="rect">
          <a:avLst/>
        </a:prstGeom>
      </xdr:spPr>
    </xdr:pic>
    <xdr:clientData/>
  </xdr:twoCellAnchor>
  <xdr:twoCellAnchor editAs="oneCell">
    <xdr:from>
      <xdr:col>13</xdr:col>
      <xdr:colOff>99285</xdr:colOff>
      <xdr:row>59</xdr:row>
      <xdr:rowOff>97268</xdr:rowOff>
    </xdr:from>
    <xdr:to>
      <xdr:col>13</xdr:col>
      <xdr:colOff>3069864</xdr:colOff>
      <xdr:row>60</xdr:row>
      <xdr:rowOff>900</xdr:rowOff>
    </xdr:to>
    <xdr:pic>
      <xdr:nvPicPr>
        <xdr:cNvPr id="68" name="Image 67" descr="viperMKII raider.png"/>
        <xdr:cNvPicPr>
          <a:picLocks noChangeAspect="1"/>
        </xdr:cNvPicPr>
      </xdr:nvPicPr>
      <xdr:blipFill>
        <a:blip xmlns:r="http://schemas.openxmlformats.org/officeDocument/2006/relationships" r:embed="rId7" cstate="print"/>
        <a:stretch>
          <a:fillRect/>
        </a:stretch>
      </xdr:blipFill>
      <xdr:spPr>
        <a:xfrm>
          <a:off x="29350560" y="54294518"/>
          <a:ext cx="2970579" cy="2284882"/>
        </a:xfrm>
        <a:prstGeom prst="rect">
          <a:avLst/>
        </a:prstGeom>
      </xdr:spPr>
    </xdr:pic>
    <xdr:clientData/>
  </xdr:twoCellAnchor>
  <xdr:twoCellAnchor editAs="oneCell">
    <xdr:from>
      <xdr:col>13</xdr:col>
      <xdr:colOff>176367</xdr:colOff>
      <xdr:row>60</xdr:row>
      <xdr:rowOff>85925</xdr:rowOff>
    </xdr:from>
    <xdr:to>
      <xdr:col>13</xdr:col>
      <xdr:colOff>2954137</xdr:colOff>
      <xdr:row>60</xdr:row>
      <xdr:rowOff>2024277</xdr:rowOff>
    </xdr:to>
    <xdr:pic>
      <xdr:nvPicPr>
        <xdr:cNvPr id="69" name="Image 68" descr="rhino marauder.png"/>
        <xdr:cNvPicPr>
          <a:picLocks noChangeAspect="1"/>
        </xdr:cNvPicPr>
      </xdr:nvPicPr>
      <xdr:blipFill>
        <a:blip xmlns:r="http://schemas.openxmlformats.org/officeDocument/2006/relationships" r:embed="rId8" cstate="print"/>
        <a:stretch>
          <a:fillRect/>
        </a:stretch>
      </xdr:blipFill>
      <xdr:spPr>
        <a:xfrm>
          <a:off x="29427642" y="56721575"/>
          <a:ext cx="2777770" cy="2166952"/>
        </a:xfrm>
        <a:prstGeom prst="rect">
          <a:avLst/>
        </a:prstGeom>
      </xdr:spPr>
    </xdr:pic>
    <xdr:clientData/>
  </xdr:twoCellAnchor>
  <xdr:twoCellAnchor editAs="oneCell">
    <xdr:from>
      <xdr:col>13</xdr:col>
      <xdr:colOff>119189</xdr:colOff>
      <xdr:row>62</xdr:row>
      <xdr:rowOff>71666</xdr:rowOff>
    </xdr:from>
    <xdr:to>
      <xdr:col>13</xdr:col>
      <xdr:colOff>3048000</xdr:colOff>
      <xdr:row>62</xdr:row>
      <xdr:rowOff>2026523</xdr:rowOff>
    </xdr:to>
    <xdr:pic>
      <xdr:nvPicPr>
        <xdr:cNvPr id="70" name="Image 69" descr="raptor Heavy.png"/>
        <xdr:cNvPicPr>
          <a:picLocks noChangeAspect="1"/>
        </xdr:cNvPicPr>
      </xdr:nvPicPr>
      <xdr:blipFill>
        <a:blip xmlns:r="http://schemas.openxmlformats.org/officeDocument/2006/relationships" r:embed="rId9" cstate="print"/>
        <a:stretch>
          <a:fillRect/>
        </a:stretch>
      </xdr:blipFill>
      <xdr:spPr>
        <a:xfrm>
          <a:off x="29370464" y="61536491"/>
          <a:ext cx="2928811" cy="1964382"/>
        </a:xfrm>
        <a:prstGeom prst="rect">
          <a:avLst/>
        </a:prstGeom>
      </xdr:spPr>
    </xdr:pic>
    <xdr:clientData/>
  </xdr:twoCellAnchor>
  <xdr:twoCellAnchor editAs="oneCell">
    <xdr:from>
      <xdr:col>13</xdr:col>
      <xdr:colOff>132432</xdr:colOff>
      <xdr:row>63</xdr:row>
      <xdr:rowOff>97799</xdr:rowOff>
    </xdr:from>
    <xdr:to>
      <xdr:col>13</xdr:col>
      <xdr:colOff>3117023</xdr:colOff>
      <xdr:row>64</xdr:row>
      <xdr:rowOff>3504</xdr:rowOff>
    </xdr:to>
    <xdr:pic>
      <xdr:nvPicPr>
        <xdr:cNvPr id="71" name="Image 70" descr="MKVII warraider.png"/>
        <xdr:cNvPicPr>
          <a:picLocks noChangeAspect="1"/>
        </xdr:cNvPicPr>
      </xdr:nvPicPr>
      <xdr:blipFill>
        <a:blip xmlns:r="http://schemas.openxmlformats.org/officeDocument/2006/relationships" r:embed="rId10" cstate="print"/>
        <a:stretch>
          <a:fillRect/>
        </a:stretch>
      </xdr:blipFill>
      <xdr:spPr>
        <a:xfrm>
          <a:off x="29383707" y="63696224"/>
          <a:ext cx="2984591" cy="2306005"/>
        </a:xfrm>
        <a:prstGeom prst="rect">
          <a:avLst/>
        </a:prstGeom>
      </xdr:spPr>
    </xdr:pic>
    <xdr:clientData/>
  </xdr:twoCellAnchor>
  <xdr:twoCellAnchor editAs="oneCell">
    <xdr:from>
      <xdr:col>13</xdr:col>
      <xdr:colOff>157900</xdr:colOff>
      <xdr:row>61</xdr:row>
      <xdr:rowOff>80480</xdr:rowOff>
    </xdr:from>
    <xdr:to>
      <xdr:col>13</xdr:col>
      <xdr:colOff>2971551</xdr:colOff>
      <xdr:row>62</xdr:row>
      <xdr:rowOff>1161</xdr:rowOff>
    </xdr:to>
    <xdr:pic>
      <xdr:nvPicPr>
        <xdr:cNvPr id="72" name="Image 71" descr="MKIII.png"/>
        <xdr:cNvPicPr>
          <a:picLocks noChangeAspect="1"/>
        </xdr:cNvPicPr>
      </xdr:nvPicPr>
      <xdr:blipFill>
        <a:blip xmlns:r="http://schemas.openxmlformats.org/officeDocument/2006/relationships" r:embed="rId11" cstate="print"/>
        <a:stretch>
          <a:fillRect/>
        </a:stretch>
      </xdr:blipFill>
      <xdr:spPr>
        <a:xfrm>
          <a:off x="29409175" y="59049755"/>
          <a:ext cx="2813651" cy="2301931"/>
        </a:xfrm>
        <a:prstGeom prst="rect">
          <a:avLst/>
        </a:prstGeom>
      </xdr:spPr>
    </xdr:pic>
    <xdr:clientData/>
  </xdr:twoCellAnchor>
  <xdr:twoCellAnchor editAs="oneCell">
    <xdr:from>
      <xdr:col>13</xdr:col>
      <xdr:colOff>245510</xdr:colOff>
      <xdr:row>64</xdr:row>
      <xdr:rowOff>103911</xdr:rowOff>
    </xdr:from>
    <xdr:to>
      <xdr:col>13</xdr:col>
      <xdr:colOff>3069501</xdr:colOff>
      <xdr:row>64</xdr:row>
      <xdr:rowOff>2026522</xdr:rowOff>
    </xdr:to>
    <xdr:pic>
      <xdr:nvPicPr>
        <xdr:cNvPr id="73" name="Image 72" descr="Raven &amp; Malefactor.png"/>
        <xdr:cNvPicPr>
          <a:picLocks noChangeAspect="1"/>
        </xdr:cNvPicPr>
      </xdr:nvPicPr>
      <xdr:blipFill>
        <a:blip xmlns:r="http://schemas.openxmlformats.org/officeDocument/2006/relationships" r:embed="rId12" cstate="print"/>
        <a:stretch>
          <a:fillRect/>
        </a:stretch>
      </xdr:blipFill>
      <xdr:spPr>
        <a:xfrm>
          <a:off x="29496785" y="66216936"/>
          <a:ext cx="2823991" cy="2313136"/>
        </a:xfrm>
        <a:prstGeom prst="rect">
          <a:avLst/>
        </a:prstGeom>
      </xdr:spPr>
    </xdr:pic>
    <xdr:clientData/>
  </xdr:twoCellAnchor>
  <xdr:twoCellAnchor editAs="oneCell">
    <xdr:from>
      <xdr:col>13</xdr:col>
      <xdr:colOff>161976</xdr:colOff>
      <xdr:row>65</xdr:row>
      <xdr:rowOff>126071</xdr:rowOff>
    </xdr:from>
    <xdr:to>
      <xdr:col>13</xdr:col>
      <xdr:colOff>2976714</xdr:colOff>
      <xdr:row>65</xdr:row>
      <xdr:rowOff>2004176</xdr:rowOff>
    </xdr:to>
    <xdr:pic>
      <xdr:nvPicPr>
        <xdr:cNvPr id="74" name="Image 73" descr="shyt banshéé.png"/>
        <xdr:cNvPicPr>
          <a:picLocks noChangeAspect="1"/>
        </xdr:cNvPicPr>
      </xdr:nvPicPr>
      <xdr:blipFill>
        <a:blip xmlns:r="http://schemas.openxmlformats.org/officeDocument/2006/relationships" r:embed="rId13" cstate="print"/>
        <a:stretch>
          <a:fillRect/>
        </a:stretch>
      </xdr:blipFill>
      <xdr:spPr>
        <a:xfrm>
          <a:off x="29413251" y="68839421"/>
          <a:ext cx="2814738" cy="1878105"/>
        </a:xfrm>
        <a:prstGeom prst="rect">
          <a:avLst/>
        </a:prstGeom>
      </xdr:spPr>
    </xdr:pic>
    <xdr:clientData/>
  </xdr:twoCellAnchor>
  <xdr:twoCellAnchor editAs="oneCell">
    <xdr:from>
      <xdr:col>13</xdr:col>
      <xdr:colOff>183369</xdr:colOff>
      <xdr:row>66</xdr:row>
      <xdr:rowOff>102643</xdr:rowOff>
    </xdr:from>
    <xdr:to>
      <xdr:col>13</xdr:col>
      <xdr:colOff>2958163</xdr:colOff>
      <xdr:row>66</xdr:row>
      <xdr:rowOff>1958338</xdr:rowOff>
    </xdr:to>
    <xdr:pic>
      <xdr:nvPicPr>
        <xdr:cNvPr id="75" name="Image 74" descr="maul whait.png"/>
        <xdr:cNvPicPr>
          <a:picLocks noChangeAspect="1"/>
        </xdr:cNvPicPr>
      </xdr:nvPicPr>
      <xdr:blipFill>
        <a:blip xmlns:r="http://schemas.openxmlformats.org/officeDocument/2006/relationships" r:embed="rId14" cstate="print"/>
        <a:stretch>
          <a:fillRect/>
        </a:stretch>
      </xdr:blipFill>
      <xdr:spPr>
        <a:xfrm>
          <a:off x="29434644" y="70978168"/>
          <a:ext cx="2774794" cy="1855695"/>
        </a:xfrm>
        <a:prstGeom prst="rect">
          <a:avLst/>
        </a:prstGeom>
      </xdr:spPr>
    </xdr:pic>
    <xdr:clientData/>
  </xdr:twoCellAnchor>
  <xdr:twoCellAnchor editAs="oneCell">
    <xdr:from>
      <xdr:col>13</xdr:col>
      <xdr:colOff>255050</xdr:colOff>
      <xdr:row>67</xdr:row>
      <xdr:rowOff>102642</xdr:rowOff>
    </xdr:from>
    <xdr:to>
      <xdr:col>13</xdr:col>
      <xdr:colOff>2732845</xdr:colOff>
      <xdr:row>68</xdr:row>
      <xdr:rowOff>2598</xdr:rowOff>
    </xdr:to>
    <xdr:pic>
      <xdr:nvPicPr>
        <xdr:cNvPr id="76" name="Image 75" descr="glaive spectre.png"/>
        <xdr:cNvPicPr>
          <a:picLocks noChangeAspect="1"/>
        </xdr:cNvPicPr>
      </xdr:nvPicPr>
      <xdr:blipFill>
        <a:blip xmlns:r="http://schemas.openxmlformats.org/officeDocument/2006/relationships" r:embed="rId15" cstate="print"/>
        <a:stretch>
          <a:fillRect/>
        </a:stretch>
      </xdr:blipFill>
      <xdr:spPr>
        <a:xfrm>
          <a:off x="29506325" y="73035567"/>
          <a:ext cx="2477795" cy="2062131"/>
        </a:xfrm>
        <a:prstGeom prst="rect">
          <a:avLst/>
        </a:prstGeom>
      </xdr:spPr>
    </xdr:pic>
    <xdr:clientData/>
  </xdr:twoCellAnchor>
  <xdr:twoCellAnchor editAs="oneCell">
    <xdr:from>
      <xdr:col>17</xdr:col>
      <xdr:colOff>28575</xdr:colOff>
      <xdr:row>77</xdr:row>
      <xdr:rowOff>0</xdr:rowOff>
    </xdr:from>
    <xdr:to>
      <xdr:col>17</xdr:col>
      <xdr:colOff>386746</xdr:colOff>
      <xdr:row>77</xdr:row>
      <xdr:rowOff>373412</xdr:rowOff>
    </xdr:to>
    <xdr:pic>
      <xdr:nvPicPr>
        <xdr:cNvPr id="18" name="Image 17" descr="5b4c8ec8f8cf2228be1e900e75a3c65a5398b29c.png"/>
        <xdr:cNvPicPr>
          <a:picLocks noChangeAspect="1"/>
        </xdr:cNvPicPr>
      </xdr:nvPicPr>
      <xdr:blipFill>
        <a:blip xmlns:r="http://schemas.openxmlformats.org/officeDocument/2006/relationships" r:embed="rId16" cstate="print"/>
        <a:stretch>
          <a:fillRect/>
        </a:stretch>
      </xdr:blipFill>
      <xdr:spPr>
        <a:xfrm>
          <a:off x="21802725" y="47720250"/>
          <a:ext cx="358171" cy="373412"/>
        </a:xfrm>
        <a:prstGeom prst="rect">
          <a:avLst/>
        </a:prstGeom>
      </xdr:spPr>
    </xdr:pic>
    <xdr:clientData/>
  </xdr:twoCellAnchor>
  <xdr:twoCellAnchor editAs="oneCell">
    <xdr:from>
      <xdr:col>17</xdr:col>
      <xdr:colOff>19050</xdr:colOff>
      <xdr:row>78</xdr:row>
      <xdr:rowOff>0</xdr:rowOff>
    </xdr:from>
    <xdr:to>
      <xdr:col>18</xdr:col>
      <xdr:colOff>0</xdr:colOff>
      <xdr:row>79</xdr:row>
      <xdr:rowOff>9525</xdr:rowOff>
    </xdr:to>
    <xdr:pic>
      <xdr:nvPicPr>
        <xdr:cNvPr id="19" name="Image 18" descr="MEC E13-S.jpg"/>
        <xdr:cNvPicPr>
          <a:picLocks noChangeAspect="1"/>
        </xdr:cNvPicPr>
      </xdr:nvPicPr>
      <xdr:blipFill>
        <a:blip xmlns:r="http://schemas.openxmlformats.org/officeDocument/2006/relationships" r:embed="rId17" cstate="print"/>
        <a:stretch>
          <a:fillRect/>
        </a:stretch>
      </xdr:blipFill>
      <xdr:spPr>
        <a:xfrm>
          <a:off x="19678650" y="48110775"/>
          <a:ext cx="400050" cy="400050"/>
        </a:xfrm>
        <a:prstGeom prst="rect">
          <a:avLst/>
        </a:prstGeom>
      </xdr:spPr>
    </xdr:pic>
    <xdr:clientData/>
  </xdr:twoCellAnchor>
  <xdr:twoCellAnchor editAs="oneCell">
    <xdr:from>
      <xdr:col>17</xdr:col>
      <xdr:colOff>19050</xdr:colOff>
      <xdr:row>82</xdr:row>
      <xdr:rowOff>9525</xdr:rowOff>
    </xdr:from>
    <xdr:to>
      <xdr:col>17</xdr:col>
      <xdr:colOff>409575</xdr:colOff>
      <xdr:row>83</xdr:row>
      <xdr:rowOff>9525</xdr:rowOff>
    </xdr:to>
    <xdr:pic>
      <xdr:nvPicPr>
        <xdr:cNvPr id="20" name="Image 19" descr="MEC E12-S.jpg"/>
        <xdr:cNvPicPr>
          <a:picLocks noChangeAspect="1"/>
        </xdr:cNvPicPr>
      </xdr:nvPicPr>
      <xdr:blipFill>
        <a:blip xmlns:r="http://schemas.openxmlformats.org/officeDocument/2006/relationships" r:embed="rId18" cstate="print"/>
        <a:stretch>
          <a:fillRect/>
        </a:stretch>
      </xdr:blipFill>
      <xdr:spPr>
        <a:xfrm>
          <a:off x="19678650" y="48510825"/>
          <a:ext cx="390525" cy="390525"/>
        </a:xfrm>
        <a:prstGeom prst="rect">
          <a:avLst/>
        </a:prstGeom>
      </xdr:spPr>
    </xdr:pic>
    <xdr:clientData/>
  </xdr:twoCellAnchor>
  <xdr:twoCellAnchor editAs="oneCell">
    <xdr:from>
      <xdr:col>17</xdr:col>
      <xdr:colOff>0</xdr:colOff>
      <xdr:row>84</xdr:row>
      <xdr:rowOff>19050</xdr:rowOff>
    </xdr:from>
    <xdr:to>
      <xdr:col>17</xdr:col>
      <xdr:colOff>400050</xdr:colOff>
      <xdr:row>85</xdr:row>
      <xdr:rowOff>28575</xdr:rowOff>
    </xdr:to>
    <xdr:pic>
      <xdr:nvPicPr>
        <xdr:cNvPr id="21" name="Image 20" descr="MEC E17-S.jpg"/>
        <xdr:cNvPicPr>
          <a:picLocks noChangeAspect="1"/>
        </xdr:cNvPicPr>
      </xdr:nvPicPr>
      <xdr:blipFill>
        <a:blip xmlns:r="http://schemas.openxmlformats.org/officeDocument/2006/relationships" r:embed="rId19" cstate="print"/>
        <a:stretch>
          <a:fillRect/>
        </a:stretch>
      </xdr:blipFill>
      <xdr:spPr>
        <a:xfrm>
          <a:off x="19659600" y="48910875"/>
          <a:ext cx="400050" cy="400050"/>
        </a:xfrm>
        <a:prstGeom prst="rect">
          <a:avLst/>
        </a:prstGeom>
      </xdr:spPr>
    </xdr:pic>
    <xdr:clientData/>
  </xdr:twoCellAnchor>
  <xdr:twoCellAnchor editAs="oneCell">
    <xdr:from>
      <xdr:col>17</xdr:col>
      <xdr:colOff>0</xdr:colOff>
      <xdr:row>81</xdr:row>
      <xdr:rowOff>0</xdr:rowOff>
    </xdr:from>
    <xdr:to>
      <xdr:col>17</xdr:col>
      <xdr:colOff>409632</xdr:colOff>
      <xdr:row>81</xdr:row>
      <xdr:rowOff>381053</xdr:rowOff>
    </xdr:to>
    <xdr:pic>
      <xdr:nvPicPr>
        <xdr:cNvPr id="22" name="Image 21" descr="Canon experimental 5%.PNG"/>
        <xdr:cNvPicPr>
          <a:picLocks noChangeAspect="1"/>
        </xdr:cNvPicPr>
      </xdr:nvPicPr>
      <xdr:blipFill>
        <a:blip xmlns:r="http://schemas.openxmlformats.org/officeDocument/2006/relationships" r:embed="rId20" cstate="print"/>
        <a:stretch>
          <a:fillRect/>
        </a:stretch>
      </xdr:blipFill>
      <xdr:spPr>
        <a:xfrm>
          <a:off x="19659600" y="48891825"/>
          <a:ext cx="409632" cy="381053"/>
        </a:xfrm>
        <a:prstGeom prst="rect">
          <a:avLst/>
        </a:prstGeom>
      </xdr:spPr>
    </xdr:pic>
    <xdr:clientData/>
  </xdr:twoCellAnchor>
  <xdr:twoCellAnchor editAs="oneCell">
    <xdr:from>
      <xdr:col>16</xdr:col>
      <xdr:colOff>1228725</xdr:colOff>
      <xdr:row>86</xdr:row>
      <xdr:rowOff>0</xdr:rowOff>
    </xdr:from>
    <xdr:to>
      <xdr:col>18</xdr:col>
      <xdr:colOff>28575</xdr:colOff>
      <xdr:row>87</xdr:row>
      <xdr:rowOff>85725</xdr:rowOff>
    </xdr:to>
    <xdr:pic>
      <xdr:nvPicPr>
        <xdr:cNvPr id="23" name="Image 22" descr="gopher.gif"/>
        <xdr:cNvPicPr>
          <a:picLocks noChangeAspect="1"/>
        </xdr:cNvPicPr>
      </xdr:nvPicPr>
      <xdr:blipFill>
        <a:blip xmlns:r="http://schemas.openxmlformats.org/officeDocument/2006/relationships" r:embed="rId21" cstate="print"/>
        <a:stretch>
          <a:fillRect/>
        </a:stretch>
      </xdr:blipFill>
      <xdr:spPr>
        <a:xfrm>
          <a:off x="19631025" y="51549300"/>
          <a:ext cx="476250" cy="476250"/>
        </a:xfrm>
        <a:prstGeom prst="rect">
          <a:avLst/>
        </a:prstGeom>
      </xdr:spPr>
    </xdr:pic>
    <xdr:clientData/>
  </xdr:twoCellAnchor>
  <xdr:twoCellAnchor editAs="oneCell">
    <xdr:from>
      <xdr:col>17</xdr:col>
      <xdr:colOff>19050</xdr:colOff>
      <xdr:row>88</xdr:row>
      <xdr:rowOff>0</xdr:rowOff>
    </xdr:from>
    <xdr:to>
      <xdr:col>17</xdr:col>
      <xdr:colOff>400050</xdr:colOff>
      <xdr:row>88</xdr:row>
      <xdr:rowOff>381000</xdr:rowOff>
    </xdr:to>
    <xdr:pic>
      <xdr:nvPicPr>
        <xdr:cNvPr id="24" name="Image 23" descr="HD-96 Nova.jpg"/>
        <xdr:cNvPicPr>
          <a:picLocks noChangeAspect="1"/>
        </xdr:cNvPicPr>
      </xdr:nvPicPr>
      <xdr:blipFill>
        <a:blip xmlns:r="http://schemas.openxmlformats.org/officeDocument/2006/relationships" r:embed="rId22" cstate="print"/>
        <a:stretch>
          <a:fillRect/>
        </a:stretch>
      </xdr:blipFill>
      <xdr:spPr>
        <a:xfrm>
          <a:off x="19678650" y="50453925"/>
          <a:ext cx="381000" cy="381000"/>
        </a:xfrm>
        <a:prstGeom prst="rect">
          <a:avLst/>
        </a:prstGeom>
      </xdr:spPr>
    </xdr:pic>
    <xdr:clientData/>
  </xdr:twoCellAnchor>
  <xdr:twoCellAnchor editAs="oneCell">
    <xdr:from>
      <xdr:col>16</xdr:col>
      <xdr:colOff>1238250</xdr:colOff>
      <xdr:row>88</xdr:row>
      <xdr:rowOff>342900</xdr:rowOff>
    </xdr:from>
    <xdr:to>
      <xdr:col>18</xdr:col>
      <xdr:colOff>38100</xdr:colOff>
      <xdr:row>90</xdr:row>
      <xdr:rowOff>38100</xdr:rowOff>
    </xdr:to>
    <xdr:pic>
      <xdr:nvPicPr>
        <xdr:cNvPr id="25" name="Image 24" descr="hd-70P light p.gif"/>
        <xdr:cNvPicPr>
          <a:picLocks noChangeAspect="1"/>
        </xdr:cNvPicPr>
      </xdr:nvPicPr>
      <xdr:blipFill>
        <a:blip xmlns:r="http://schemas.openxmlformats.org/officeDocument/2006/relationships" r:embed="rId23" cstate="print"/>
        <a:stretch>
          <a:fillRect/>
        </a:stretch>
      </xdr:blipFill>
      <xdr:spPr>
        <a:xfrm>
          <a:off x="19640550" y="50796825"/>
          <a:ext cx="476250" cy="476250"/>
        </a:xfrm>
        <a:prstGeom prst="rect">
          <a:avLst/>
        </a:prstGeom>
      </xdr:spPr>
    </xdr:pic>
    <xdr:clientData/>
  </xdr:twoCellAnchor>
  <xdr:twoCellAnchor editAs="oneCell">
    <xdr:from>
      <xdr:col>17</xdr:col>
      <xdr:colOff>28575</xdr:colOff>
      <xdr:row>92</xdr:row>
      <xdr:rowOff>19050</xdr:rowOff>
    </xdr:from>
    <xdr:to>
      <xdr:col>17</xdr:col>
      <xdr:colOff>381000</xdr:colOff>
      <xdr:row>92</xdr:row>
      <xdr:rowOff>371475</xdr:rowOff>
    </xdr:to>
    <xdr:pic>
      <xdr:nvPicPr>
        <xdr:cNvPr id="26" name="Image 25" descr="HD-H48 (S).jpg"/>
        <xdr:cNvPicPr>
          <a:picLocks noChangeAspect="1"/>
        </xdr:cNvPicPr>
      </xdr:nvPicPr>
      <xdr:blipFill>
        <a:blip xmlns:r="http://schemas.openxmlformats.org/officeDocument/2006/relationships" r:embed="rId24" cstate="print"/>
        <a:stretch>
          <a:fillRect/>
        </a:stretch>
      </xdr:blipFill>
      <xdr:spPr>
        <a:xfrm>
          <a:off x="19688175" y="51254025"/>
          <a:ext cx="352425" cy="352425"/>
        </a:xfrm>
        <a:prstGeom prst="rect">
          <a:avLst/>
        </a:prstGeom>
      </xdr:spPr>
    </xdr:pic>
    <xdr:clientData/>
  </xdr:twoCellAnchor>
  <xdr:twoCellAnchor editAs="oneCell">
    <xdr:from>
      <xdr:col>17</xdr:col>
      <xdr:colOff>38100</xdr:colOff>
      <xdr:row>94</xdr:row>
      <xdr:rowOff>28575</xdr:rowOff>
    </xdr:from>
    <xdr:to>
      <xdr:col>17</xdr:col>
      <xdr:colOff>373409</xdr:colOff>
      <xdr:row>94</xdr:row>
      <xdr:rowOff>363884</xdr:rowOff>
    </xdr:to>
    <xdr:pic>
      <xdr:nvPicPr>
        <xdr:cNvPr id="27" name="Image 26" descr="ASM-A3 Cyclops.png"/>
        <xdr:cNvPicPr>
          <a:picLocks noChangeAspect="1"/>
        </xdr:cNvPicPr>
      </xdr:nvPicPr>
      <xdr:blipFill>
        <a:blip xmlns:r="http://schemas.openxmlformats.org/officeDocument/2006/relationships" r:embed="rId25" cstate="print"/>
        <a:stretch>
          <a:fillRect/>
        </a:stretch>
      </xdr:blipFill>
      <xdr:spPr>
        <a:xfrm>
          <a:off x="19697700" y="51654075"/>
          <a:ext cx="335309" cy="335309"/>
        </a:xfrm>
        <a:prstGeom prst="rect">
          <a:avLst/>
        </a:prstGeom>
      </xdr:spPr>
    </xdr:pic>
    <xdr:clientData/>
  </xdr:twoCellAnchor>
  <xdr:twoCellAnchor editAs="oneCell">
    <xdr:from>
      <xdr:col>17</xdr:col>
      <xdr:colOff>0</xdr:colOff>
      <xdr:row>95</xdr:row>
      <xdr:rowOff>0</xdr:rowOff>
    </xdr:from>
    <xdr:to>
      <xdr:col>17</xdr:col>
      <xdr:colOff>400050</xdr:colOff>
      <xdr:row>96</xdr:row>
      <xdr:rowOff>9525</xdr:rowOff>
    </xdr:to>
    <xdr:pic>
      <xdr:nvPicPr>
        <xdr:cNvPr id="28" name="Image 27" descr="nucléaire tactique.gif"/>
        <xdr:cNvPicPr>
          <a:picLocks noChangeAspect="1"/>
        </xdr:cNvPicPr>
      </xdr:nvPicPr>
      <xdr:blipFill>
        <a:blip xmlns:r="http://schemas.openxmlformats.org/officeDocument/2006/relationships" r:embed="rId26" cstate="print"/>
        <a:stretch>
          <a:fillRect/>
        </a:stretch>
      </xdr:blipFill>
      <xdr:spPr>
        <a:xfrm>
          <a:off x="19659600" y="52016025"/>
          <a:ext cx="400050" cy="400050"/>
        </a:xfrm>
        <a:prstGeom prst="rect">
          <a:avLst/>
        </a:prstGeom>
      </xdr:spPr>
    </xdr:pic>
    <xdr:clientData/>
  </xdr:twoCellAnchor>
  <xdr:twoCellAnchor editAs="oneCell">
    <xdr:from>
      <xdr:col>17</xdr:col>
      <xdr:colOff>0</xdr:colOff>
      <xdr:row>79</xdr:row>
      <xdr:rowOff>0</xdr:rowOff>
    </xdr:from>
    <xdr:to>
      <xdr:col>17</xdr:col>
      <xdr:colOff>400050</xdr:colOff>
      <xdr:row>80</xdr:row>
      <xdr:rowOff>9525</xdr:rowOff>
    </xdr:to>
    <xdr:pic>
      <xdr:nvPicPr>
        <xdr:cNvPr id="29" name="Image 28" descr="MEC E13-S.jpg"/>
        <xdr:cNvPicPr>
          <a:picLocks noChangeAspect="1"/>
        </xdr:cNvPicPr>
      </xdr:nvPicPr>
      <xdr:blipFill>
        <a:blip xmlns:r="http://schemas.openxmlformats.org/officeDocument/2006/relationships" r:embed="rId17" cstate="print"/>
        <a:stretch>
          <a:fillRect/>
        </a:stretch>
      </xdr:blipFill>
      <xdr:spPr>
        <a:xfrm>
          <a:off x="19659600" y="48815625"/>
          <a:ext cx="400050" cy="400050"/>
        </a:xfrm>
        <a:prstGeom prst="rect">
          <a:avLst/>
        </a:prstGeom>
      </xdr:spPr>
    </xdr:pic>
    <xdr:clientData/>
  </xdr:twoCellAnchor>
  <xdr:twoCellAnchor editAs="oneCell">
    <xdr:from>
      <xdr:col>17</xdr:col>
      <xdr:colOff>0</xdr:colOff>
      <xdr:row>83</xdr:row>
      <xdr:rowOff>0</xdr:rowOff>
    </xdr:from>
    <xdr:to>
      <xdr:col>17</xdr:col>
      <xdr:colOff>390525</xdr:colOff>
      <xdr:row>84</xdr:row>
      <xdr:rowOff>0</xdr:rowOff>
    </xdr:to>
    <xdr:pic>
      <xdr:nvPicPr>
        <xdr:cNvPr id="31" name="Image 30" descr="MEC E12-S.jpg"/>
        <xdr:cNvPicPr>
          <a:picLocks noChangeAspect="1"/>
        </xdr:cNvPicPr>
      </xdr:nvPicPr>
      <xdr:blipFill>
        <a:blip xmlns:r="http://schemas.openxmlformats.org/officeDocument/2006/relationships" r:embed="rId18" cstate="print"/>
        <a:stretch>
          <a:fillRect/>
        </a:stretch>
      </xdr:blipFill>
      <xdr:spPr>
        <a:xfrm>
          <a:off x="19659600" y="50377725"/>
          <a:ext cx="390525" cy="390525"/>
        </a:xfrm>
        <a:prstGeom prst="rect">
          <a:avLst/>
        </a:prstGeom>
      </xdr:spPr>
    </xdr:pic>
    <xdr:clientData/>
  </xdr:twoCellAnchor>
  <xdr:twoCellAnchor editAs="oneCell">
    <xdr:from>
      <xdr:col>17</xdr:col>
      <xdr:colOff>0</xdr:colOff>
      <xdr:row>85</xdr:row>
      <xdr:rowOff>0</xdr:rowOff>
    </xdr:from>
    <xdr:to>
      <xdr:col>17</xdr:col>
      <xdr:colOff>400050</xdr:colOff>
      <xdr:row>86</xdr:row>
      <xdr:rowOff>9525</xdr:rowOff>
    </xdr:to>
    <xdr:pic>
      <xdr:nvPicPr>
        <xdr:cNvPr id="32" name="Image 31" descr="MEC E17-S.jpg"/>
        <xdr:cNvPicPr>
          <a:picLocks noChangeAspect="1"/>
        </xdr:cNvPicPr>
      </xdr:nvPicPr>
      <xdr:blipFill>
        <a:blip xmlns:r="http://schemas.openxmlformats.org/officeDocument/2006/relationships" r:embed="rId19" cstate="print"/>
        <a:stretch>
          <a:fillRect/>
        </a:stretch>
      </xdr:blipFill>
      <xdr:spPr>
        <a:xfrm>
          <a:off x="19659600" y="51158775"/>
          <a:ext cx="400050" cy="400050"/>
        </a:xfrm>
        <a:prstGeom prst="rect">
          <a:avLst/>
        </a:prstGeom>
      </xdr:spPr>
    </xdr:pic>
    <xdr:clientData/>
  </xdr:twoCellAnchor>
  <xdr:twoCellAnchor editAs="oneCell">
    <xdr:from>
      <xdr:col>16</xdr:col>
      <xdr:colOff>1228725</xdr:colOff>
      <xdr:row>87</xdr:row>
      <xdr:rowOff>0</xdr:rowOff>
    </xdr:from>
    <xdr:to>
      <xdr:col>18</xdr:col>
      <xdr:colOff>28575</xdr:colOff>
      <xdr:row>88</xdr:row>
      <xdr:rowOff>85725</xdr:rowOff>
    </xdr:to>
    <xdr:pic>
      <xdr:nvPicPr>
        <xdr:cNvPr id="33" name="Image 32" descr="gopher.gif"/>
        <xdr:cNvPicPr>
          <a:picLocks noChangeAspect="1"/>
        </xdr:cNvPicPr>
      </xdr:nvPicPr>
      <xdr:blipFill>
        <a:blip xmlns:r="http://schemas.openxmlformats.org/officeDocument/2006/relationships" r:embed="rId21" cstate="print"/>
        <a:stretch>
          <a:fillRect/>
        </a:stretch>
      </xdr:blipFill>
      <xdr:spPr>
        <a:xfrm>
          <a:off x="19631025" y="51939825"/>
          <a:ext cx="476250" cy="476250"/>
        </a:xfrm>
        <a:prstGeom prst="rect">
          <a:avLst/>
        </a:prstGeom>
      </xdr:spPr>
    </xdr:pic>
    <xdr:clientData/>
  </xdr:twoCellAnchor>
  <xdr:twoCellAnchor editAs="oneCell">
    <xdr:from>
      <xdr:col>16</xdr:col>
      <xdr:colOff>1238250</xdr:colOff>
      <xdr:row>90</xdr:row>
      <xdr:rowOff>0</xdr:rowOff>
    </xdr:from>
    <xdr:to>
      <xdr:col>18</xdr:col>
      <xdr:colOff>38100</xdr:colOff>
      <xdr:row>91</xdr:row>
      <xdr:rowOff>85725</xdr:rowOff>
    </xdr:to>
    <xdr:pic>
      <xdr:nvPicPr>
        <xdr:cNvPr id="34" name="Image 33" descr="hd-70P light p.gif"/>
        <xdr:cNvPicPr>
          <a:picLocks noChangeAspect="1"/>
        </xdr:cNvPicPr>
      </xdr:nvPicPr>
      <xdr:blipFill>
        <a:blip xmlns:r="http://schemas.openxmlformats.org/officeDocument/2006/relationships" r:embed="rId23" cstate="print"/>
        <a:stretch>
          <a:fillRect/>
        </a:stretch>
      </xdr:blipFill>
      <xdr:spPr>
        <a:xfrm>
          <a:off x="19640550" y="53111400"/>
          <a:ext cx="476250" cy="476250"/>
        </a:xfrm>
        <a:prstGeom prst="rect">
          <a:avLst/>
        </a:prstGeom>
      </xdr:spPr>
    </xdr:pic>
    <xdr:clientData/>
  </xdr:twoCellAnchor>
  <xdr:twoCellAnchor editAs="oneCell">
    <xdr:from>
      <xdr:col>17</xdr:col>
      <xdr:colOff>19050</xdr:colOff>
      <xdr:row>93</xdr:row>
      <xdr:rowOff>0</xdr:rowOff>
    </xdr:from>
    <xdr:to>
      <xdr:col>17</xdr:col>
      <xdr:colOff>371475</xdr:colOff>
      <xdr:row>93</xdr:row>
      <xdr:rowOff>352425</xdr:rowOff>
    </xdr:to>
    <xdr:pic>
      <xdr:nvPicPr>
        <xdr:cNvPr id="35" name="Image 34" descr="HD-H48 (S).jpg"/>
        <xdr:cNvPicPr>
          <a:picLocks noChangeAspect="1"/>
        </xdr:cNvPicPr>
      </xdr:nvPicPr>
      <xdr:blipFill>
        <a:blip xmlns:r="http://schemas.openxmlformats.org/officeDocument/2006/relationships" r:embed="rId24" cstate="print"/>
        <a:stretch>
          <a:fillRect/>
        </a:stretch>
      </xdr:blipFill>
      <xdr:spPr>
        <a:xfrm>
          <a:off x="19678650" y="53892450"/>
          <a:ext cx="352425" cy="352425"/>
        </a:xfrm>
        <a:prstGeom prst="rect">
          <a:avLst/>
        </a:prstGeom>
      </xdr:spPr>
    </xdr:pic>
    <xdr:clientData/>
  </xdr:twoCellAnchor>
  <xdr:twoCellAnchor editAs="oneCell">
    <xdr:from>
      <xdr:col>17</xdr:col>
      <xdr:colOff>0</xdr:colOff>
      <xdr:row>80</xdr:row>
      <xdr:rowOff>0</xdr:rowOff>
    </xdr:from>
    <xdr:to>
      <xdr:col>17</xdr:col>
      <xdr:colOff>400050</xdr:colOff>
      <xdr:row>81</xdr:row>
      <xdr:rowOff>9525</xdr:rowOff>
    </xdr:to>
    <xdr:pic>
      <xdr:nvPicPr>
        <xdr:cNvPr id="36" name="Image 35" descr="MEC E13-S.jpg"/>
        <xdr:cNvPicPr>
          <a:picLocks noChangeAspect="1"/>
        </xdr:cNvPicPr>
      </xdr:nvPicPr>
      <xdr:blipFill>
        <a:blip xmlns:r="http://schemas.openxmlformats.org/officeDocument/2006/relationships" r:embed="rId17" cstate="print"/>
        <a:stretch>
          <a:fillRect/>
        </a:stretch>
      </xdr:blipFill>
      <xdr:spPr>
        <a:xfrm>
          <a:off x="19659600" y="49206150"/>
          <a:ext cx="400050" cy="400050"/>
        </a:xfrm>
        <a:prstGeom prst="rect">
          <a:avLst/>
        </a:prstGeom>
      </xdr:spPr>
    </xdr:pic>
    <xdr:clientData/>
  </xdr:twoCellAnchor>
  <xdr:twoCellAnchor editAs="oneCell">
    <xdr:from>
      <xdr:col>17</xdr:col>
      <xdr:colOff>0</xdr:colOff>
      <xdr:row>91</xdr:row>
      <xdr:rowOff>0</xdr:rowOff>
    </xdr:from>
    <xdr:to>
      <xdr:col>18</xdr:col>
      <xdr:colOff>57150</xdr:colOff>
      <xdr:row>92</xdr:row>
      <xdr:rowOff>85725</xdr:rowOff>
    </xdr:to>
    <xdr:pic>
      <xdr:nvPicPr>
        <xdr:cNvPr id="37" name="Image 36" descr="hd-70P light p.gif"/>
        <xdr:cNvPicPr>
          <a:picLocks noChangeAspect="1"/>
        </xdr:cNvPicPr>
      </xdr:nvPicPr>
      <xdr:blipFill>
        <a:blip xmlns:r="http://schemas.openxmlformats.org/officeDocument/2006/relationships" r:embed="rId23" cstate="print"/>
        <a:stretch>
          <a:fillRect/>
        </a:stretch>
      </xdr:blipFill>
      <xdr:spPr>
        <a:xfrm>
          <a:off x="19659600" y="53501925"/>
          <a:ext cx="476250" cy="476250"/>
        </a:xfrm>
        <a:prstGeom prst="rect">
          <a:avLst/>
        </a:prstGeom>
      </xdr:spPr>
    </xdr:pic>
    <xdr:clientData/>
  </xdr:twoCellAnchor>
  <xdr:twoCellAnchor editAs="oneCell">
    <xdr:from>
      <xdr:col>21</xdr:col>
      <xdr:colOff>0</xdr:colOff>
      <xdr:row>77</xdr:row>
      <xdr:rowOff>0</xdr:rowOff>
    </xdr:from>
    <xdr:to>
      <xdr:col>21</xdr:col>
      <xdr:colOff>400050</xdr:colOff>
      <xdr:row>78</xdr:row>
      <xdr:rowOff>9525</xdr:rowOff>
    </xdr:to>
    <xdr:pic>
      <xdr:nvPicPr>
        <xdr:cNvPr id="42" name="Image 41" descr="MEC E13-S.jpg"/>
        <xdr:cNvPicPr>
          <a:picLocks noChangeAspect="1"/>
        </xdr:cNvPicPr>
      </xdr:nvPicPr>
      <xdr:blipFill>
        <a:blip xmlns:r="http://schemas.openxmlformats.org/officeDocument/2006/relationships" r:embed="rId17" cstate="print"/>
        <a:stretch>
          <a:fillRect/>
        </a:stretch>
      </xdr:blipFill>
      <xdr:spPr>
        <a:xfrm>
          <a:off x="22745700" y="48596550"/>
          <a:ext cx="400050" cy="400050"/>
        </a:xfrm>
        <a:prstGeom prst="rect">
          <a:avLst/>
        </a:prstGeom>
      </xdr:spPr>
    </xdr:pic>
    <xdr:clientData/>
  </xdr:twoCellAnchor>
  <xdr:twoCellAnchor editAs="oneCell">
    <xdr:from>
      <xdr:col>21</xdr:col>
      <xdr:colOff>0</xdr:colOff>
      <xdr:row>78</xdr:row>
      <xdr:rowOff>0</xdr:rowOff>
    </xdr:from>
    <xdr:to>
      <xdr:col>21</xdr:col>
      <xdr:colOff>400050</xdr:colOff>
      <xdr:row>79</xdr:row>
      <xdr:rowOff>9525</xdr:rowOff>
    </xdr:to>
    <xdr:pic>
      <xdr:nvPicPr>
        <xdr:cNvPr id="43" name="Image 42" descr="MEC E13-S.jpg"/>
        <xdr:cNvPicPr>
          <a:picLocks noChangeAspect="1"/>
        </xdr:cNvPicPr>
      </xdr:nvPicPr>
      <xdr:blipFill>
        <a:blip xmlns:r="http://schemas.openxmlformats.org/officeDocument/2006/relationships" r:embed="rId17" cstate="print"/>
        <a:stretch>
          <a:fillRect/>
        </a:stretch>
      </xdr:blipFill>
      <xdr:spPr>
        <a:xfrm>
          <a:off x="22745700" y="48987075"/>
          <a:ext cx="400050" cy="400050"/>
        </a:xfrm>
        <a:prstGeom prst="rect">
          <a:avLst/>
        </a:prstGeom>
      </xdr:spPr>
    </xdr:pic>
    <xdr:clientData/>
  </xdr:twoCellAnchor>
  <xdr:twoCellAnchor editAs="oneCell">
    <xdr:from>
      <xdr:col>21</xdr:col>
      <xdr:colOff>0</xdr:colOff>
      <xdr:row>79</xdr:row>
      <xdr:rowOff>0</xdr:rowOff>
    </xdr:from>
    <xdr:to>
      <xdr:col>21</xdr:col>
      <xdr:colOff>400050</xdr:colOff>
      <xdr:row>80</xdr:row>
      <xdr:rowOff>9525</xdr:rowOff>
    </xdr:to>
    <xdr:pic>
      <xdr:nvPicPr>
        <xdr:cNvPr id="44" name="Image 43" descr="MEC E13-S.jpg"/>
        <xdr:cNvPicPr>
          <a:picLocks noChangeAspect="1"/>
        </xdr:cNvPicPr>
      </xdr:nvPicPr>
      <xdr:blipFill>
        <a:blip xmlns:r="http://schemas.openxmlformats.org/officeDocument/2006/relationships" r:embed="rId17" cstate="print"/>
        <a:stretch>
          <a:fillRect/>
        </a:stretch>
      </xdr:blipFill>
      <xdr:spPr>
        <a:xfrm>
          <a:off x="22745700" y="49377600"/>
          <a:ext cx="400050" cy="400050"/>
        </a:xfrm>
        <a:prstGeom prst="rect">
          <a:avLst/>
        </a:prstGeom>
      </xdr:spPr>
    </xdr:pic>
    <xdr:clientData/>
  </xdr:twoCellAnchor>
  <xdr:twoCellAnchor editAs="oneCell">
    <xdr:from>
      <xdr:col>21</xdr:col>
      <xdr:colOff>0</xdr:colOff>
      <xdr:row>80</xdr:row>
      <xdr:rowOff>0</xdr:rowOff>
    </xdr:from>
    <xdr:to>
      <xdr:col>21</xdr:col>
      <xdr:colOff>409632</xdr:colOff>
      <xdr:row>80</xdr:row>
      <xdr:rowOff>381053</xdr:rowOff>
    </xdr:to>
    <xdr:pic>
      <xdr:nvPicPr>
        <xdr:cNvPr id="45" name="Image 44" descr="Canon experimental 5%.PNG"/>
        <xdr:cNvPicPr>
          <a:picLocks noChangeAspect="1"/>
        </xdr:cNvPicPr>
      </xdr:nvPicPr>
      <xdr:blipFill>
        <a:blip xmlns:r="http://schemas.openxmlformats.org/officeDocument/2006/relationships" r:embed="rId20" cstate="print"/>
        <a:stretch>
          <a:fillRect/>
        </a:stretch>
      </xdr:blipFill>
      <xdr:spPr>
        <a:xfrm>
          <a:off x="22745700" y="49768125"/>
          <a:ext cx="409632" cy="381053"/>
        </a:xfrm>
        <a:prstGeom prst="rect">
          <a:avLst/>
        </a:prstGeom>
      </xdr:spPr>
    </xdr:pic>
    <xdr:clientData/>
  </xdr:twoCellAnchor>
  <xdr:twoCellAnchor editAs="oneCell">
    <xdr:from>
      <xdr:col>21</xdr:col>
      <xdr:colOff>0</xdr:colOff>
      <xdr:row>81</xdr:row>
      <xdr:rowOff>0</xdr:rowOff>
    </xdr:from>
    <xdr:to>
      <xdr:col>21</xdr:col>
      <xdr:colOff>390525</xdr:colOff>
      <xdr:row>82</xdr:row>
      <xdr:rowOff>0</xdr:rowOff>
    </xdr:to>
    <xdr:pic>
      <xdr:nvPicPr>
        <xdr:cNvPr id="46" name="Image 45" descr="MEC E12-S.jpg"/>
        <xdr:cNvPicPr>
          <a:picLocks noChangeAspect="1"/>
        </xdr:cNvPicPr>
      </xdr:nvPicPr>
      <xdr:blipFill>
        <a:blip xmlns:r="http://schemas.openxmlformats.org/officeDocument/2006/relationships" r:embed="rId18" cstate="print"/>
        <a:stretch>
          <a:fillRect/>
        </a:stretch>
      </xdr:blipFill>
      <xdr:spPr>
        <a:xfrm>
          <a:off x="22745700" y="50158650"/>
          <a:ext cx="390525" cy="390525"/>
        </a:xfrm>
        <a:prstGeom prst="rect">
          <a:avLst/>
        </a:prstGeom>
      </xdr:spPr>
    </xdr:pic>
    <xdr:clientData/>
  </xdr:twoCellAnchor>
  <xdr:twoCellAnchor editAs="oneCell">
    <xdr:from>
      <xdr:col>21</xdr:col>
      <xdr:colOff>0</xdr:colOff>
      <xdr:row>82</xdr:row>
      <xdr:rowOff>0</xdr:rowOff>
    </xdr:from>
    <xdr:to>
      <xdr:col>21</xdr:col>
      <xdr:colOff>390525</xdr:colOff>
      <xdr:row>83</xdr:row>
      <xdr:rowOff>0</xdr:rowOff>
    </xdr:to>
    <xdr:pic>
      <xdr:nvPicPr>
        <xdr:cNvPr id="47" name="Image 46" descr="MEC E12-S.jpg"/>
        <xdr:cNvPicPr>
          <a:picLocks noChangeAspect="1"/>
        </xdr:cNvPicPr>
      </xdr:nvPicPr>
      <xdr:blipFill>
        <a:blip xmlns:r="http://schemas.openxmlformats.org/officeDocument/2006/relationships" r:embed="rId18" cstate="print"/>
        <a:stretch>
          <a:fillRect/>
        </a:stretch>
      </xdr:blipFill>
      <xdr:spPr>
        <a:xfrm>
          <a:off x="22745700" y="50549175"/>
          <a:ext cx="390525" cy="390525"/>
        </a:xfrm>
        <a:prstGeom prst="rect">
          <a:avLst/>
        </a:prstGeom>
      </xdr:spPr>
    </xdr:pic>
    <xdr:clientData/>
  </xdr:twoCellAnchor>
  <xdr:twoCellAnchor editAs="oneCell">
    <xdr:from>
      <xdr:col>21</xdr:col>
      <xdr:colOff>0</xdr:colOff>
      <xdr:row>83</xdr:row>
      <xdr:rowOff>0</xdr:rowOff>
    </xdr:from>
    <xdr:to>
      <xdr:col>21</xdr:col>
      <xdr:colOff>400050</xdr:colOff>
      <xdr:row>84</xdr:row>
      <xdr:rowOff>9525</xdr:rowOff>
    </xdr:to>
    <xdr:pic>
      <xdr:nvPicPr>
        <xdr:cNvPr id="48" name="Image 47" descr="MEC E17-S.jpg"/>
        <xdr:cNvPicPr>
          <a:picLocks noChangeAspect="1"/>
        </xdr:cNvPicPr>
      </xdr:nvPicPr>
      <xdr:blipFill>
        <a:blip xmlns:r="http://schemas.openxmlformats.org/officeDocument/2006/relationships" r:embed="rId19" cstate="print"/>
        <a:stretch>
          <a:fillRect/>
        </a:stretch>
      </xdr:blipFill>
      <xdr:spPr>
        <a:xfrm>
          <a:off x="22745700" y="50939700"/>
          <a:ext cx="400050" cy="400050"/>
        </a:xfrm>
        <a:prstGeom prst="rect">
          <a:avLst/>
        </a:prstGeom>
      </xdr:spPr>
    </xdr:pic>
    <xdr:clientData/>
  </xdr:twoCellAnchor>
  <xdr:twoCellAnchor editAs="oneCell">
    <xdr:from>
      <xdr:col>21</xdr:col>
      <xdr:colOff>0</xdr:colOff>
      <xdr:row>84</xdr:row>
      <xdr:rowOff>0</xdr:rowOff>
    </xdr:from>
    <xdr:to>
      <xdr:col>21</xdr:col>
      <xdr:colOff>400050</xdr:colOff>
      <xdr:row>85</xdr:row>
      <xdr:rowOff>9525</xdr:rowOff>
    </xdr:to>
    <xdr:pic>
      <xdr:nvPicPr>
        <xdr:cNvPr id="49" name="Image 48" descr="MEC E17-S.jpg"/>
        <xdr:cNvPicPr>
          <a:picLocks noChangeAspect="1"/>
        </xdr:cNvPicPr>
      </xdr:nvPicPr>
      <xdr:blipFill>
        <a:blip xmlns:r="http://schemas.openxmlformats.org/officeDocument/2006/relationships" r:embed="rId19" cstate="print"/>
        <a:stretch>
          <a:fillRect/>
        </a:stretch>
      </xdr:blipFill>
      <xdr:spPr>
        <a:xfrm>
          <a:off x="22745700" y="51330225"/>
          <a:ext cx="400050" cy="400050"/>
        </a:xfrm>
        <a:prstGeom prst="rect">
          <a:avLst/>
        </a:prstGeom>
      </xdr:spPr>
    </xdr:pic>
    <xdr:clientData/>
  </xdr:twoCellAnchor>
  <xdr:twoCellAnchor editAs="oneCell">
    <xdr:from>
      <xdr:col>20</xdr:col>
      <xdr:colOff>1123950</xdr:colOff>
      <xdr:row>85</xdr:row>
      <xdr:rowOff>0</xdr:rowOff>
    </xdr:from>
    <xdr:to>
      <xdr:col>22</xdr:col>
      <xdr:colOff>38100</xdr:colOff>
      <xdr:row>86</xdr:row>
      <xdr:rowOff>85725</xdr:rowOff>
    </xdr:to>
    <xdr:pic>
      <xdr:nvPicPr>
        <xdr:cNvPr id="50" name="Image 49" descr="gopher.gif"/>
        <xdr:cNvPicPr>
          <a:picLocks noChangeAspect="1"/>
        </xdr:cNvPicPr>
      </xdr:nvPicPr>
      <xdr:blipFill>
        <a:blip xmlns:r="http://schemas.openxmlformats.org/officeDocument/2006/relationships" r:embed="rId21" cstate="print"/>
        <a:stretch>
          <a:fillRect/>
        </a:stretch>
      </xdr:blipFill>
      <xdr:spPr>
        <a:xfrm>
          <a:off x="22726650" y="51720750"/>
          <a:ext cx="476250" cy="476250"/>
        </a:xfrm>
        <a:prstGeom prst="rect">
          <a:avLst/>
        </a:prstGeom>
      </xdr:spPr>
    </xdr:pic>
    <xdr:clientData/>
  </xdr:twoCellAnchor>
  <xdr:twoCellAnchor editAs="oneCell">
    <xdr:from>
      <xdr:col>20</xdr:col>
      <xdr:colOff>1123950</xdr:colOff>
      <xdr:row>85</xdr:row>
      <xdr:rowOff>381000</xdr:rowOff>
    </xdr:from>
    <xdr:to>
      <xdr:col>22</xdr:col>
      <xdr:colOff>38100</xdr:colOff>
      <xdr:row>87</xdr:row>
      <xdr:rowOff>76200</xdr:rowOff>
    </xdr:to>
    <xdr:pic>
      <xdr:nvPicPr>
        <xdr:cNvPr id="51" name="Image 50" descr="gopher.gif"/>
        <xdr:cNvPicPr>
          <a:picLocks noChangeAspect="1"/>
        </xdr:cNvPicPr>
      </xdr:nvPicPr>
      <xdr:blipFill>
        <a:blip xmlns:r="http://schemas.openxmlformats.org/officeDocument/2006/relationships" r:embed="rId21" cstate="print"/>
        <a:stretch>
          <a:fillRect/>
        </a:stretch>
      </xdr:blipFill>
      <xdr:spPr>
        <a:xfrm>
          <a:off x="22726650" y="52101750"/>
          <a:ext cx="476250" cy="476250"/>
        </a:xfrm>
        <a:prstGeom prst="rect">
          <a:avLst/>
        </a:prstGeom>
      </xdr:spPr>
    </xdr:pic>
    <xdr:clientData/>
  </xdr:twoCellAnchor>
  <xdr:twoCellAnchor editAs="oneCell">
    <xdr:from>
      <xdr:col>20</xdr:col>
      <xdr:colOff>1123950</xdr:colOff>
      <xdr:row>86</xdr:row>
      <xdr:rowOff>361950</xdr:rowOff>
    </xdr:from>
    <xdr:to>
      <xdr:col>22</xdr:col>
      <xdr:colOff>38100</xdr:colOff>
      <xdr:row>88</xdr:row>
      <xdr:rowOff>57150</xdr:rowOff>
    </xdr:to>
    <xdr:pic>
      <xdr:nvPicPr>
        <xdr:cNvPr id="52" name="Image 51" descr="hd-70P light p.gif"/>
        <xdr:cNvPicPr>
          <a:picLocks noChangeAspect="1"/>
        </xdr:cNvPicPr>
      </xdr:nvPicPr>
      <xdr:blipFill>
        <a:blip xmlns:r="http://schemas.openxmlformats.org/officeDocument/2006/relationships" r:embed="rId23" cstate="print"/>
        <a:stretch>
          <a:fillRect/>
        </a:stretch>
      </xdr:blipFill>
      <xdr:spPr>
        <a:xfrm>
          <a:off x="22726650" y="52473225"/>
          <a:ext cx="476250" cy="476250"/>
        </a:xfrm>
        <a:prstGeom prst="rect">
          <a:avLst/>
        </a:prstGeom>
      </xdr:spPr>
    </xdr:pic>
    <xdr:clientData/>
  </xdr:twoCellAnchor>
  <xdr:twoCellAnchor editAs="oneCell">
    <xdr:from>
      <xdr:col>20</xdr:col>
      <xdr:colOff>1123950</xdr:colOff>
      <xdr:row>87</xdr:row>
      <xdr:rowOff>381000</xdr:rowOff>
    </xdr:from>
    <xdr:to>
      <xdr:col>22</xdr:col>
      <xdr:colOff>38100</xdr:colOff>
      <xdr:row>89</xdr:row>
      <xdr:rowOff>76200</xdr:rowOff>
    </xdr:to>
    <xdr:pic>
      <xdr:nvPicPr>
        <xdr:cNvPr id="53" name="Image 52" descr="hd-70P light p.gif"/>
        <xdr:cNvPicPr>
          <a:picLocks noChangeAspect="1"/>
        </xdr:cNvPicPr>
      </xdr:nvPicPr>
      <xdr:blipFill>
        <a:blip xmlns:r="http://schemas.openxmlformats.org/officeDocument/2006/relationships" r:embed="rId23" cstate="print"/>
        <a:stretch>
          <a:fillRect/>
        </a:stretch>
      </xdr:blipFill>
      <xdr:spPr>
        <a:xfrm>
          <a:off x="22726650" y="52882800"/>
          <a:ext cx="476250" cy="476250"/>
        </a:xfrm>
        <a:prstGeom prst="rect">
          <a:avLst/>
        </a:prstGeom>
      </xdr:spPr>
    </xdr:pic>
    <xdr:clientData/>
  </xdr:twoCellAnchor>
  <xdr:twoCellAnchor editAs="oneCell">
    <xdr:from>
      <xdr:col>20</xdr:col>
      <xdr:colOff>1133475</xdr:colOff>
      <xdr:row>88</xdr:row>
      <xdr:rowOff>381000</xdr:rowOff>
    </xdr:from>
    <xdr:to>
      <xdr:col>22</xdr:col>
      <xdr:colOff>47625</xdr:colOff>
      <xdr:row>90</xdr:row>
      <xdr:rowOff>76200</xdr:rowOff>
    </xdr:to>
    <xdr:pic>
      <xdr:nvPicPr>
        <xdr:cNvPr id="54" name="Image 53" descr="hd-70P light p.gif"/>
        <xdr:cNvPicPr>
          <a:picLocks noChangeAspect="1"/>
        </xdr:cNvPicPr>
      </xdr:nvPicPr>
      <xdr:blipFill>
        <a:blip xmlns:r="http://schemas.openxmlformats.org/officeDocument/2006/relationships" r:embed="rId23" cstate="print"/>
        <a:stretch>
          <a:fillRect/>
        </a:stretch>
      </xdr:blipFill>
      <xdr:spPr>
        <a:xfrm>
          <a:off x="22736175" y="53273325"/>
          <a:ext cx="476250" cy="476250"/>
        </a:xfrm>
        <a:prstGeom prst="rect">
          <a:avLst/>
        </a:prstGeom>
      </xdr:spPr>
    </xdr:pic>
    <xdr:clientData/>
  </xdr:twoCellAnchor>
  <xdr:twoCellAnchor editAs="oneCell">
    <xdr:from>
      <xdr:col>21</xdr:col>
      <xdr:colOff>0</xdr:colOff>
      <xdr:row>89</xdr:row>
      <xdr:rowOff>352425</xdr:rowOff>
    </xdr:from>
    <xdr:to>
      <xdr:col>22</xdr:col>
      <xdr:colOff>9525</xdr:colOff>
      <xdr:row>91</xdr:row>
      <xdr:rowOff>0</xdr:rowOff>
    </xdr:to>
    <xdr:pic>
      <xdr:nvPicPr>
        <xdr:cNvPr id="55" name="Image 54" descr="HD-H48 (S).jpg"/>
        <xdr:cNvPicPr>
          <a:picLocks noChangeAspect="1"/>
        </xdr:cNvPicPr>
      </xdr:nvPicPr>
      <xdr:blipFill>
        <a:blip xmlns:r="http://schemas.openxmlformats.org/officeDocument/2006/relationships" r:embed="rId24" cstate="print"/>
        <a:stretch>
          <a:fillRect/>
        </a:stretch>
      </xdr:blipFill>
      <xdr:spPr>
        <a:xfrm>
          <a:off x="22745700" y="53635275"/>
          <a:ext cx="428625" cy="428625"/>
        </a:xfrm>
        <a:prstGeom prst="rect">
          <a:avLst/>
        </a:prstGeom>
      </xdr:spPr>
    </xdr:pic>
    <xdr:clientData/>
  </xdr:twoCellAnchor>
  <xdr:twoCellAnchor editAs="oneCell">
    <xdr:from>
      <xdr:col>21</xdr:col>
      <xdr:colOff>0</xdr:colOff>
      <xdr:row>91</xdr:row>
      <xdr:rowOff>0</xdr:rowOff>
    </xdr:from>
    <xdr:to>
      <xdr:col>22</xdr:col>
      <xdr:colOff>9525</xdr:colOff>
      <xdr:row>92</xdr:row>
      <xdr:rowOff>38100</xdr:rowOff>
    </xdr:to>
    <xdr:pic>
      <xdr:nvPicPr>
        <xdr:cNvPr id="56" name="Image 55" descr="HD-H48 (S).jpg"/>
        <xdr:cNvPicPr>
          <a:picLocks noChangeAspect="1"/>
        </xdr:cNvPicPr>
      </xdr:nvPicPr>
      <xdr:blipFill>
        <a:blip xmlns:r="http://schemas.openxmlformats.org/officeDocument/2006/relationships" r:embed="rId24" cstate="print"/>
        <a:stretch>
          <a:fillRect/>
        </a:stretch>
      </xdr:blipFill>
      <xdr:spPr>
        <a:xfrm>
          <a:off x="22745700" y="54063900"/>
          <a:ext cx="428625" cy="428625"/>
        </a:xfrm>
        <a:prstGeom prst="rect">
          <a:avLst/>
        </a:prstGeom>
      </xdr:spPr>
    </xdr:pic>
    <xdr:clientData/>
  </xdr:twoCellAnchor>
  <xdr:twoCellAnchor editAs="oneCell">
    <xdr:from>
      <xdr:col>20</xdr:col>
      <xdr:colOff>1133475</xdr:colOff>
      <xdr:row>91</xdr:row>
      <xdr:rowOff>361950</xdr:rowOff>
    </xdr:from>
    <xdr:to>
      <xdr:col>21</xdr:col>
      <xdr:colOff>409575</xdr:colOff>
      <xdr:row>93</xdr:row>
      <xdr:rowOff>0</xdr:rowOff>
    </xdr:to>
    <xdr:pic>
      <xdr:nvPicPr>
        <xdr:cNvPr id="57" name="Image 56" descr="a5m a3.gif"/>
        <xdr:cNvPicPr>
          <a:picLocks noChangeAspect="1"/>
        </xdr:cNvPicPr>
      </xdr:nvPicPr>
      <xdr:blipFill>
        <a:blip xmlns:r="http://schemas.openxmlformats.org/officeDocument/2006/relationships" r:embed="rId27" cstate="print"/>
        <a:stretch>
          <a:fillRect/>
        </a:stretch>
      </xdr:blipFill>
      <xdr:spPr>
        <a:xfrm>
          <a:off x="22736175" y="54425850"/>
          <a:ext cx="419100" cy="419100"/>
        </a:xfrm>
        <a:prstGeom prst="rect">
          <a:avLst/>
        </a:prstGeom>
      </xdr:spPr>
    </xdr:pic>
    <xdr:clientData/>
  </xdr:twoCellAnchor>
  <xdr:twoCellAnchor editAs="oneCell">
    <xdr:from>
      <xdr:col>25</xdr:col>
      <xdr:colOff>19050</xdr:colOff>
      <xdr:row>76</xdr:row>
      <xdr:rowOff>342900</xdr:rowOff>
    </xdr:from>
    <xdr:to>
      <xdr:col>26</xdr:col>
      <xdr:colOff>9525</xdr:colOff>
      <xdr:row>77</xdr:row>
      <xdr:rowOff>380154</xdr:rowOff>
    </xdr:to>
    <xdr:pic>
      <xdr:nvPicPr>
        <xdr:cNvPr id="60" name="Image 59" descr="canon cours multi.PNG"/>
        <xdr:cNvPicPr>
          <a:picLocks noChangeAspect="1"/>
        </xdr:cNvPicPr>
      </xdr:nvPicPr>
      <xdr:blipFill>
        <a:blip xmlns:r="http://schemas.openxmlformats.org/officeDocument/2006/relationships" r:embed="rId28" cstate="print"/>
        <a:stretch>
          <a:fillRect/>
        </a:stretch>
      </xdr:blipFill>
      <xdr:spPr>
        <a:xfrm>
          <a:off x="27403425" y="48625125"/>
          <a:ext cx="409575" cy="427779"/>
        </a:xfrm>
        <a:prstGeom prst="rect">
          <a:avLst/>
        </a:prstGeom>
      </xdr:spPr>
    </xdr:pic>
    <xdr:clientData/>
  </xdr:twoCellAnchor>
  <xdr:twoCellAnchor editAs="oneCell">
    <xdr:from>
      <xdr:col>25</xdr:col>
      <xdr:colOff>9525</xdr:colOff>
      <xdr:row>77</xdr:row>
      <xdr:rowOff>371475</xdr:rowOff>
    </xdr:from>
    <xdr:to>
      <xdr:col>26</xdr:col>
      <xdr:colOff>0</xdr:colOff>
      <xdr:row>79</xdr:row>
      <xdr:rowOff>18204</xdr:rowOff>
    </xdr:to>
    <xdr:pic>
      <xdr:nvPicPr>
        <xdr:cNvPr id="61" name="Image 60" descr="canon cours multi.PNG"/>
        <xdr:cNvPicPr>
          <a:picLocks noChangeAspect="1"/>
        </xdr:cNvPicPr>
      </xdr:nvPicPr>
      <xdr:blipFill>
        <a:blip xmlns:r="http://schemas.openxmlformats.org/officeDocument/2006/relationships" r:embed="rId28" cstate="print"/>
        <a:stretch>
          <a:fillRect/>
        </a:stretch>
      </xdr:blipFill>
      <xdr:spPr>
        <a:xfrm>
          <a:off x="27393900" y="49044225"/>
          <a:ext cx="409575" cy="427779"/>
        </a:xfrm>
        <a:prstGeom prst="rect">
          <a:avLst/>
        </a:prstGeom>
      </xdr:spPr>
    </xdr:pic>
    <xdr:clientData/>
  </xdr:twoCellAnchor>
  <xdr:twoCellAnchor editAs="oneCell">
    <xdr:from>
      <xdr:col>25</xdr:col>
      <xdr:colOff>19050</xdr:colOff>
      <xdr:row>78</xdr:row>
      <xdr:rowOff>371475</xdr:rowOff>
    </xdr:from>
    <xdr:to>
      <xdr:col>26</xdr:col>
      <xdr:colOff>0</xdr:colOff>
      <xdr:row>79</xdr:row>
      <xdr:rowOff>381000</xdr:rowOff>
    </xdr:to>
    <xdr:pic>
      <xdr:nvPicPr>
        <xdr:cNvPr id="78" name="Image 77" descr="MEC E13-S.jpg"/>
        <xdr:cNvPicPr>
          <a:picLocks noChangeAspect="1"/>
        </xdr:cNvPicPr>
      </xdr:nvPicPr>
      <xdr:blipFill>
        <a:blip xmlns:r="http://schemas.openxmlformats.org/officeDocument/2006/relationships" r:embed="rId17" cstate="print"/>
        <a:stretch>
          <a:fillRect/>
        </a:stretch>
      </xdr:blipFill>
      <xdr:spPr>
        <a:xfrm>
          <a:off x="27403425" y="49434750"/>
          <a:ext cx="400050" cy="400050"/>
        </a:xfrm>
        <a:prstGeom prst="rect">
          <a:avLst/>
        </a:prstGeom>
      </xdr:spPr>
    </xdr:pic>
    <xdr:clientData/>
  </xdr:twoCellAnchor>
  <xdr:twoCellAnchor editAs="oneCell">
    <xdr:from>
      <xdr:col>25</xdr:col>
      <xdr:colOff>9525</xdr:colOff>
      <xdr:row>79</xdr:row>
      <xdr:rowOff>381000</xdr:rowOff>
    </xdr:from>
    <xdr:to>
      <xdr:col>26</xdr:col>
      <xdr:colOff>57</xdr:colOff>
      <xdr:row>80</xdr:row>
      <xdr:rowOff>371528</xdr:rowOff>
    </xdr:to>
    <xdr:pic>
      <xdr:nvPicPr>
        <xdr:cNvPr id="79" name="Image 78" descr="Canon experimental 5%.PNG"/>
        <xdr:cNvPicPr>
          <a:picLocks noChangeAspect="1"/>
        </xdr:cNvPicPr>
      </xdr:nvPicPr>
      <xdr:blipFill>
        <a:blip xmlns:r="http://schemas.openxmlformats.org/officeDocument/2006/relationships" r:embed="rId20" cstate="print"/>
        <a:stretch>
          <a:fillRect/>
        </a:stretch>
      </xdr:blipFill>
      <xdr:spPr>
        <a:xfrm>
          <a:off x="27393900" y="49834800"/>
          <a:ext cx="409632" cy="381053"/>
        </a:xfrm>
        <a:prstGeom prst="rect">
          <a:avLst/>
        </a:prstGeom>
      </xdr:spPr>
    </xdr:pic>
    <xdr:clientData/>
  </xdr:twoCellAnchor>
  <xdr:twoCellAnchor editAs="oneCell">
    <xdr:from>
      <xdr:col>25</xdr:col>
      <xdr:colOff>0</xdr:colOff>
      <xdr:row>81</xdr:row>
      <xdr:rowOff>0</xdr:rowOff>
    </xdr:from>
    <xdr:to>
      <xdr:col>26</xdr:col>
      <xdr:colOff>6724</xdr:colOff>
      <xdr:row>81</xdr:row>
      <xdr:rowOff>361950</xdr:rowOff>
    </xdr:to>
    <xdr:pic>
      <xdr:nvPicPr>
        <xdr:cNvPr id="80" name="Image 79" descr="General_Multi_Cannon_Icon.png"/>
        <xdr:cNvPicPr>
          <a:picLocks noChangeAspect="1"/>
        </xdr:cNvPicPr>
      </xdr:nvPicPr>
      <xdr:blipFill>
        <a:blip xmlns:r="http://schemas.openxmlformats.org/officeDocument/2006/relationships" r:embed="rId29" cstate="print"/>
        <a:stretch>
          <a:fillRect/>
        </a:stretch>
      </xdr:blipFill>
      <xdr:spPr>
        <a:xfrm>
          <a:off x="27384375" y="50158650"/>
          <a:ext cx="425824" cy="361950"/>
        </a:xfrm>
        <a:prstGeom prst="rect">
          <a:avLst/>
        </a:prstGeom>
      </xdr:spPr>
    </xdr:pic>
    <xdr:clientData/>
  </xdr:twoCellAnchor>
  <xdr:twoCellAnchor editAs="oneCell">
    <xdr:from>
      <xdr:col>25</xdr:col>
      <xdr:colOff>0</xdr:colOff>
      <xdr:row>82</xdr:row>
      <xdr:rowOff>0</xdr:rowOff>
    </xdr:from>
    <xdr:to>
      <xdr:col>26</xdr:col>
      <xdr:colOff>6724</xdr:colOff>
      <xdr:row>82</xdr:row>
      <xdr:rowOff>361950</xdr:rowOff>
    </xdr:to>
    <xdr:pic>
      <xdr:nvPicPr>
        <xdr:cNvPr id="81" name="Image 80" descr="General_Multi_Cannon_Icon.png"/>
        <xdr:cNvPicPr>
          <a:picLocks noChangeAspect="1"/>
        </xdr:cNvPicPr>
      </xdr:nvPicPr>
      <xdr:blipFill>
        <a:blip xmlns:r="http://schemas.openxmlformats.org/officeDocument/2006/relationships" r:embed="rId29" cstate="print"/>
        <a:stretch>
          <a:fillRect/>
        </a:stretch>
      </xdr:blipFill>
      <xdr:spPr>
        <a:xfrm>
          <a:off x="27384375" y="50549175"/>
          <a:ext cx="425824" cy="361950"/>
        </a:xfrm>
        <a:prstGeom prst="rect">
          <a:avLst/>
        </a:prstGeom>
      </xdr:spPr>
    </xdr:pic>
    <xdr:clientData/>
  </xdr:twoCellAnchor>
  <xdr:twoCellAnchor editAs="oneCell">
    <xdr:from>
      <xdr:col>25</xdr:col>
      <xdr:colOff>0</xdr:colOff>
      <xdr:row>83</xdr:row>
      <xdr:rowOff>0</xdr:rowOff>
    </xdr:from>
    <xdr:to>
      <xdr:col>26</xdr:col>
      <xdr:colOff>59</xdr:colOff>
      <xdr:row>84</xdr:row>
      <xdr:rowOff>19107</xdr:rowOff>
    </xdr:to>
    <xdr:pic>
      <xdr:nvPicPr>
        <xdr:cNvPr id="82" name="Image 81" descr="canon long multi.PNG"/>
        <xdr:cNvPicPr>
          <a:picLocks noChangeAspect="1"/>
        </xdr:cNvPicPr>
      </xdr:nvPicPr>
      <xdr:blipFill>
        <a:blip xmlns:r="http://schemas.openxmlformats.org/officeDocument/2006/relationships" r:embed="rId30" cstate="print"/>
        <a:stretch>
          <a:fillRect/>
        </a:stretch>
      </xdr:blipFill>
      <xdr:spPr>
        <a:xfrm>
          <a:off x="27384375" y="50939700"/>
          <a:ext cx="419159" cy="409632"/>
        </a:xfrm>
        <a:prstGeom prst="rect">
          <a:avLst/>
        </a:prstGeom>
      </xdr:spPr>
    </xdr:pic>
    <xdr:clientData/>
  </xdr:twoCellAnchor>
  <xdr:twoCellAnchor editAs="oneCell">
    <xdr:from>
      <xdr:col>25</xdr:col>
      <xdr:colOff>0</xdr:colOff>
      <xdr:row>84</xdr:row>
      <xdr:rowOff>0</xdr:rowOff>
    </xdr:from>
    <xdr:to>
      <xdr:col>26</xdr:col>
      <xdr:colOff>59</xdr:colOff>
      <xdr:row>85</xdr:row>
      <xdr:rowOff>19107</xdr:rowOff>
    </xdr:to>
    <xdr:pic>
      <xdr:nvPicPr>
        <xdr:cNvPr id="83" name="Image 82" descr="canon long multi.PNG"/>
        <xdr:cNvPicPr>
          <a:picLocks noChangeAspect="1"/>
        </xdr:cNvPicPr>
      </xdr:nvPicPr>
      <xdr:blipFill>
        <a:blip xmlns:r="http://schemas.openxmlformats.org/officeDocument/2006/relationships" r:embed="rId30" cstate="print"/>
        <a:stretch>
          <a:fillRect/>
        </a:stretch>
      </xdr:blipFill>
      <xdr:spPr>
        <a:xfrm>
          <a:off x="27384375" y="51330225"/>
          <a:ext cx="419159" cy="409632"/>
        </a:xfrm>
        <a:prstGeom prst="rect">
          <a:avLst/>
        </a:prstGeom>
      </xdr:spPr>
    </xdr:pic>
    <xdr:clientData/>
  </xdr:twoCellAnchor>
  <xdr:twoCellAnchor editAs="oneCell">
    <xdr:from>
      <xdr:col>25</xdr:col>
      <xdr:colOff>9525</xdr:colOff>
      <xdr:row>84</xdr:row>
      <xdr:rowOff>381000</xdr:rowOff>
    </xdr:from>
    <xdr:to>
      <xdr:col>25</xdr:col>
      <xdr:colOff>400050</xdr:colOff>
      <xdr:row>85</xdr:row>
      <xdr:rowOff>381000</xdr:rowOff>
    </xdr:to>
    <xdr:pic>
      <xdr:nvPicPr>
        <xdr:cNvPr id="84" name="Image 83" descr="MEC L30-P Brushfire.jpg"/>
        <xdr:cNvPicPr>
          <a:picLocks noChangeAspect="1"/>
        </xdr:cNvPicPr>
      </xdr:nvPicPr>
      <xdr:blipFill>
        <a:blip xmlns:r="http://schemas.openxmlformats.org/officeDocument/2006/relationships" r:embed="rId31" cstate="print"/>
        <a:stretch>
          <a:fillRect/>
        </a:stretch>
      </xdr:blipFill>
      <xdr:spPr>
        <a:xfrm>
          <a:off x="27393900" y="51711225"/>
          <a:ext cx="390525" cy="390525"/>
        </a:xfrm>
        <a:prstGeom prst="rect">
          <a:avLst/>
        </a:prstGeom>
      </xdr:spPr>
    </xdr:pic>
    <xdr:clientData/>
  </xdr:twoCellAnchor>
  <xdr:twoCellAnchor editAs="oneCell">
    <xdr:from>
      <xdr:col>25</xdr:col>
      <xdr:colOff>19050</xdr:colOff>
      <xdr:row>85</xdr:row>
      <xdr:rowOff>371475</xdr:rowOff>
    </xdr:from>
    <xdr:to>
      <xdr:col>25</xdr:col>
      <xdr:colOff>381000</xdr:colOff>
      <xdr:row>86</xdr:row>
      <xdr:rowOff>342900</xdr:rowOff>
    </xdr:to>
    <xdr:pic>
      <xdr:nvPicPr>
        <xdr:cNvPr id="85" name="Image 84" descr="MEC L39-F.jpg"/>
        <xdr:cNvPicPr>
          <a:picLocks noChangeAspect="1"/>
        </xdr:cNvPicPr>
      </xdr:nvPicPr>
      <xdr:blipFill>
        <a:blip xmlns:r="http://schemas.openxmlformats.org/officeDocument/2006/relationships" r:embed="rId32" cstate="print"/>
        <a:stretch>
          <a:fillRect/>
        </a:stretch>
      </xdr:blipFill>
      <xdr:spPr>
        <a:xfrm>
          <a:off x="27403425" y="52092225"/>
          <a:ext cx="361950" cy="361950"/>
        </a:xfrm>
        <a:prstGeom prst="rect">
          <a:avLst/>
        </a:prstGeom>
      </xdr:spPr>
    </xdr:pic>
    <xdr:clientData/>
  </xdr:twoCellAnchor>
  <xdr:twoCellAnchor editAs="oneCell">
    <xdr:from>
      <xdr:col>25</xdr:col>
      <xdr:colOff>28575</xdr:colOff>
      <xdr:row>86</xdr:row>
      <xdr:rowOff>371475</xdr:rowOff>
    </xdr:from>
    <xdr:to>
      <xdr:col>25</xdr:col>
      <xdr:colOff>409575</xdr:colOff>
      <xdr:row>87</xdr:row>
      <xdr:rowOff>361950</xdr:rowOff>
    </xdr:to>
    <xdr:pic>
      <xdr:nvPicPr>
        <xdr:cNvPr id="86" name="Image 85" descr="phalange Badger Mining.jpg"/>
        <xdr:cNvPicPr>
          <a:picLocks noChangeAspect="1"/>
        </xdr:cNvPicPr>
      </xdr:nvPicPr>
      <xdr:blipFill>
        <a:blip xmlns:r="http://schemas.openxmlformats.org/officeDocument/2006/relationships" r:embed="rId33" cstate="print"/>
        <a:stretch>
          <a:fillRect/>
        </a:stretch>
      </xdr:blipFill>
      <xdr:spPr>
        <a:xfrm>
          <a:off x="27412950" y="52482750"/>
          <a:ext cx="381000" cy="381000"/>
        </a:xfrm>
        <a:prstGeom prst="rect">
          <a:avLst/>
        </a:prstGeom>
      </xdr:spPr>
    </xdr:pic>
    <xdr:clientData/>
  </xdr:twoCellAnchor>
  <xdr:twoCellAnchor editAs="oneCell">
    <xdr:from>
      <xdr:col>25</xdr:col>
      <xdr:colOff>9525</xdr:colOff>
      <xdr:row>87</xdr:row>
      <xdr:rowOff>381000</xdr:rowOff>
    </xdr:from>
    <xdr:to>
      <xdr:col>25</xdr:col>
      <xdr:colOff>390525</xdr:colOff>
      <xdr:row>88</xdr:row>
      <xdr:rowOff>371475</xdr:rowOff>
    </xdr:to>
    <xdr:pic>
      <xdr:nvPicPr>
        <xdr:cNvPr id="87" name="Image 86" descr="phalange Badger Mining.jpg"/>
        <xdr:cNvPicPr>
          <a:picLocks noChangeAspect="1"/>
        </xdr:cNvPicPr>
      </xdr:nvPicPr>
      <xdr:blipFill>
        <a:blip xmlns:r="http://schemas.openxmlformats.org/officeDocument/2006/relationships" r:embed="rId33" cstate="print"/>
        <a:stretch>
          <a:fillRect/>
        </a:stretch>
      </xdr:blipFill>
      <xdr:spPr>
        <a:xfrm>
          <a:off x="27393900" y="52959000"/>
          <a:ext cx="381000" cy="381000"/>
        </a:xfrm>
        <a:prstGeom prst="rect">
          <a:avLst/>
        </a:prstGeom>
      </xdr:spPr>
    </xdr:pic>
    <xdr:clientData/>
  </xdr:twoCellAnchor>
  <xdr:twoCellAnchor editAs="oneCell">
    <xdr:from>
      <xdr:col>25</xdr:col>
      <xdr:colOff>0</xdr:colOff>
      <xdr:row>89</xdr:row>
      <xdr:rowOff>0</xdr:rowOff>
    </xdr:from>
    <xdr:to>
      <xdr:col>26</xdr:col>
      <xdr:colOff>9585</xdr:colOff>
      <xdr:row>90</xdr:row>
      <xdr:rowOff>55</xdr:rowOff>
    </xdr:to>
    <xdr:pic>
      <xdr:nvPicPr>
        <xdr:cNvPr id="88" name="Image 87" descr="missile escorte moy multi.PNG"/>
        <xdr:cNvPicPr>
          <a:picLocks noChangeAspect="1"/>
        </xdr:cNvPicPr>
      </xdr:nvPicPr>
      <xdr:blipFill>
        <a:blip xmlns:r="http://schemas.openxmlformats.org/officeDocument/2006/relationships" r:embed="rId34" cstate="print"/>
        <a:stretch>
          <a:fillRect/>
        </a:stretch>
      </xdr:blipFill>
      <xdr:spPr>
        <a:xfrm>
          <a:off x="27384375" y="53282850"/>
          <a:ext cx="428685" cy="390580"/>
        </a:xfrm>
        <a:prstGeom prst="rect">
          <a:avLst/>
        </a:prstGeom>
      </xdr:spPr>
    </xdr:pic>
    <xdr:clientData/>
  </xdr:twoCellAnchor>
  <xdr:twoCellAnchor editAs="oneCell">
    <xdr:from>
      <xdr:col>25</xdr:col>
      <xdr:colOff>0</xdr:colOff>
      <xdr:row>90</xdr:row>
      <xdr:rowOff>0</xdr:rowOff>
    </xdr:from>
    <xdr:to>
      <xdr:col>26</xdr:col>
      <xdr:colOff>9585</xdr:colOff>
      <xdr:row>91</xdr:row>
      <xdr:rowOff>55</xdr:rowOff>
    </xdr:to>
    <xdr:pic>
      <xdr:nvPicPr>
        <xdr:cNvPr id="89" name="Image 88" descr="missile escorte moy multi.PNG"/>
        <xdr:cNvPicPr>
          <a:picLocks noChangeAspect="1"/>
        </xdr:cNvPicPr>
      </xdr:nvPicPr>
      <xdr:blipFill>
        <a:blip xmlns:r="http://schemas.openxmlformats.org/officeDocument/2006/relationships" r:embed="rId34" cstate="print"/>
        <a:stretch>
          <a:fillRect/>
        </a:stretch>
      </xdr:blipFill>
      <xdr:spPr>
        <a:xfrm>
          <a:off x="27384375" y="53673375"/>
          <a:ext cx="428685" cy="390580"/>
        </a:xfrm>
        <a:prstGeom prst="rect">
          <a:avLst/>
        </a:prstGeom>
      </xdr:spPr>
    </xdr:pic>
    <xdr:clientData/>
  </xdr:twoCellAnchor>
  <xdr:twoCellAnchor editAs="oneCell">
    <xdr:from>
      <xdr:col>25</xdr:col>
      <xdr:colOff>19050</xdr:colOff>
      <xdr:row>90</xdr:row>
      <xdr:rowOff>381000</xdr:rowOff>
    </xdr:from>
    <xdr:to>
      <xdr:col>25</xdr:col>
      <xdr:colOff>400050</xdr:colOff>
      <xdr:row>91</xdr:row>
      <xdr:rowOff>371475</xdr:rowOff>
    </xdr:to>
    <xdr:pic>
      <xdr:nvPicPr>
        <xdr:cNvPr id="90" name="Image 89" descr="hd-70P light p.gif"/>
        <xdr:cNvPicPr>
          <a:picLocks noChangeAspect="1"/>
        </xdr:cNvPicPr>
      </xdr:nvPicPr>
      <xdr:blipFill>
        <a:blip xmlns:r="http://schemas.openxmlformats.org/officeDocument/2006/relationships" r:embed="rId23" cstate="print"/>
        <a:stretch>
          <a:fillRect/>
        </a:stretch>
      </xdr:blipFill>
      <xdr:spPr>
        <a:xfrm>
          <a:off x="27403425" y="54054375"/>
          <a:ext cx="381000" cy="381000"/>
        </a:xfrm>
        <a:prstGeom prst="rect">
          <a:avLst/>
        </a:prstGeom>
      </xdr:spPr>
    </xdr:pic>
    <xdr:clientData/>
  </xdr:twoCellAnchor>
  <xdr:twoCellAnchor editAs="oneCell">
    <xdr:from>
      <xdr:col>25</xdr:col>
      <xdr:colOff>0</xdr:colOff>
      <xdr:row>92</xdr:row>
      <xdr:rowOff>0</xdr:rowOff>
    </xdr:from>
    <xdr:to>
      <xdr:col>25</xdr:col>
      <xdr:colOff>404038</xdr:colOff>
      <xdr:row>92</xdr:row>
      <xdr:rowOff>361950</xdr:rowOff>
    </xdr:to>
    <xdr:pic>
      <xdr:nvPicPr>
        <xdr:cNvPr id="91" name="Image 90" descr="lanceur missile moy long multi.PNG"/>
        <xdr:cNvPicPr>
          <a:picLocks noChangeAspect="1"/>
        </xdr:cNvPicPr>
      </xdr:nvPicPr>
      <xdr:blipFill>
        <a:blip xmlns:r="http://schemas.openxmlformats.org/officeDocument/2006/relationships" r:embed="rId35" cstate="print"/>
        <a:stretch>
          <a:fillRect/>
        </a:stretch>
      </xdr:blipFill>
      <xdr:spPr>
        <a:xfrm>
          <a:off x="27384375" y="54454425"/>
          <a:ext cx="404038" cy="361950"/>
        </a:xfrm>
        <a:prstGeom prst="rect">
          <a:avLst/>
        </a:prstGeom>
      </xdr:spPr>
    </xdr:pic>
    <xdr:clientData/>
  </xdr:twoCellAnchor>
  <xdr:twoCellAnchor editAs="oneCell">
    <xdr:from>
      <xdr:col>25</xdr:col>
      <xdr:colOff>0</xdr:colOff>
      <xdr:row>93</xdr:row>
      <xdr:rowOff>0</xdr:rowOff>
    </xdr:from>
    <xdr:to>
      <xdr:col>25</xdr:col>
      <xdr:colOff>404038</xdr:colOff>
      <xdr:row>93</xdr:row>
      <xdr:rowOff>361950</xdr:rowOff>
    </xdr:to>
    <xdr:pic>
      <xdr:nvPicPr>
        <xdr:cNvPr id="92" name="Image 91" descr="lanceur missile moy long multi.PNG"/>
        <xdr:cNvPicPr>
          <a:picLocks noChangeAspect="1"/>
        </xdr:cNvPicPr>
      </xdr:nvPicPr>
      <xdr:blipFill>
        <a:blip xmlns:r="http://schemas.openxmlformats.org/officeDocument/2006/relationships" r:embed="rId35" cstate="print"/>
        <a:stretch>
          <a:fillRect/>
        </a:stretch>
      </xdr:blipFill>
      <xdr:spPr>
        <a:xfrm>
          <a:off x="27384375" y="54844950"/>
          <a:ext cx="404038" cy="361950"/>
        </a:xfrm>
        <a:prstGeom prst="rect">
          <a:avLst/>
        </a:prstGeom>
      </xdr:spPr>
    </xdr:pic>
    <xdr:clientData/>
  </xdr:twoCellAnchor>
  <xdr:twoCellAnchor editAs="oneCell">
    <xdr:from>
      <xdr:col>25</xdr:col>
      <xdr:colOff>28575</xdr:colOff>
      <xdr:row>94</xdr:row>
      <xdr:rowOff>9525</xdr:rowOff>
    </xdr:from>
    <xdr:to>
      <xdr:col>25</xdr:col>
      <xdr:colOff>379125</xdr:colOff>
      <xdr:row>94</xdr:row>
      <xdr:rowOff>344834</xdr:rowOff>
    </xdr:to>
    <xdr:pic>
      <xdr:nvPicPr>
        <xdr:cNvPr id="93" name="Image 92" descr="ASM-224 Geryon.png"/>
        <xdr:cNvPicPr>
          <a:picLocks noChangeAspect="1"/>
        </xdr:cNvPicPr>
      </xdr:nvPicPr>
      <xdr:blipFill>
        <a:blip xmlns:r="http://schemas.openxmlformats.org/officeDocument/2006/relationships" r:embed="rId36" cstate="print"/>
        <a:stretch>
          <a:fillRect/>
        </a:stretch>
      </xdr:blipFill>
      <xdr:spPr>
        <a:xfrm>
          <a:off x="27412950" y="55245000"/>
          <a:ext cx="350550" cy="335309"/>
        </a:xfrm>
        <a:prstGeom prst="rect">
          <a:avLst/>
        </a:prstGeom>
      </xdr:spPr>
    </xdr:pic>
    <xdr:clientData/>
  </xdr:twoCellAnchor>
  <xdr:twoCellAnchor editAs="oneCell">
    <xdr:from>
      <xdr:col>29</xdr:col>
      <xdr:colOff>28575</xdr:colOff>
      <xdr:row>84</xdr:row>
      <xdr:rowOff>3353</xdr:rowOff>
    </xdr:from>
    <xdr:to>
      <xdr:col>30</xdr:col>
      <xdr:colOff>9525</xdr:colOff>
      <xdr:row>84</xdr:row>
      <xdr:rowOff>352488</xdr:rowOff>
    </xdr:to>
    <xdr:pic>
      <xdr:nvPicPr>
        <xdr:cNvPr id="99" name="Image 98" descr="long rang dradis guided missile.PNG"/>
        <xdr:cNvPicPr>
          <a:picLocks noChangeAspect="1"/>
        </xdr:cNvPicPr>
      </xdr:nvPicPr>
      <xdr:blipFill>
        <a:blip xmlns:r="http://schemas.openxmlformats.org/officeDocument/2006/relationships" r:embed="rId37" cstate="print"/>
        <a:stretch>
          <a:fillRect/>
        </a:stretch>
      </xdr:blipFill>
      <xdr:spPr>
        <a:xfrm>
          <a:off x="30299025" y="51409778"/>
          <a:ext cx="400050" cy="349135"/>
        </a:xfrm>
        <a:prstGeom prst="rect">
          <a:avLst/>
        </a:prstGeom>
      </xdr:spPr>
    </xdr:pic>
    <xdr:clientData/>
  </xdr:twoCellAnchor>
  <xdr:twoCellAnchor editAs="oneCell">
    <xdr:from>
      <xdr:col>29</xdr:col>
      <xdr:colOff>28574</xdr:colOff>
      <xdr:row>85</xdr:row>
      <xdr:rowOff>0</xdr:rowOff>
    </xdr:from>
    <xdr:to>
      <xdr:col>29</xdr:col>
      <xdr:colOff>403163</xdr:colOff>
      <xdr:row>85</xdr:row>
      <xdr:rowOff>362013</xdr:rowOff>
    </xdr:to>
    <xdr:pic>
      <xdr:nvPicPr>
        <xdr:cNvPr id="100" name="Image 99" descr="ram-179a stormstrike guided missile rack.PNG"/>
        <xdr:cNvPicPr>
          <a:picLocks noChangeAspect="1"/>
        </xdr:cNvPicPr>
      </xdr:nvPicPr>
      <xdr:blipFill>
        <a:blip xmlns:r="http://schemas.openxmlformats.org/officeDocument/2006/relationships" r:embed="rId38" cstate="print"/>
        <a:stretch>
          <a:fillRect/>
        </a:stretch>
      </xdr:blipFill>
      <xdr:spPr>
        <a:xfrm>
          <a:off x="30299024" y="51796950"/>
          <a:ext cx="374589" cy="362013"/>
        </a:xfrm>
        <a:prstGeom prst="rect">
          <a:avLst/>
        </a:prstGeom>
      </xdr:spPr>
    </xdr:pic>
    <xdr:clientData/>
  </xdr:twoCellAnchor>
  <xdr:twoCellAnchor editAs="oneCell">
    <xdr:from>
      <xdr:col>29</xdr:col>
      <xdr:colOff>19050</xdr:colOff>
      <xdr:row>99</xdr:row>
      <xdr:rowOff>28574</xdr:rowOff>
    </xdr:from>
    <xdr:to>
      <xdr:col>29</xdr:col>
      <xdr:colOff>398256</xdr:colOff>
      <xdr:row>99</xdr:row>
      <xdr:rowOff>352479</xdr:rowOff>
    </xdr:to>
    <xdr:pic>
      <xdr:nvPicPr>
        <xdr:cNvPr id="77" name="Image 76" descr="dca fusillade 6.3mm.PNG"/>
        <xdr:cNvPicPr>
          <a:picLocks noChangeAspect="1"/>
        </xdr:cNvPicPr>
      </xdr:nvPicPr>
      <xdr:blipFill>
        <a:blip xmlns:r="http://schemas.openxmlformats.org/officeDocument/2006/relationships" r:embed="rId39" cstate="print"/>
        <a:stretch>
          <a:fillRect/>
        </a:stretch>
      </xdr:blipFill>
      <xdr:spPr>
        <a:xfrm>
          <a:off x="29898975" y="49644299"/>
          <a:ext cx="379206" cy="323905"/>
        </a:xfrm>
        <a:prstGeom prst="rect">
          <a:avLst/>
        </a:prstGeom>
      </xdr:spPr>
    </xdr:pic>
    <xdr:clientData/>
  </xdr:twoCellAnchor>
  <xdr:twoCellAnchor editAs="oneCell">
    <xdr:from>
      <xdr:col>29</xdr:col>
      <xdr:colOff>9526</xdr:colOff>
      <xdr:row>99</xdr:row>
      <xdr:rowOff>389756</xdr:rowOff>
    </xdr:from>
    <xdr:to>
      <xdr:col>29</xdr:col>
      <xdr:colOff>409576</xdr:colOff>
      <xdr:row>101</xdr:row>
      <xdr:rowOff>60</xdr:rowOff>
    </xdr:to>
    <xdr:pic>
      <xdr:nvPicPr>
        <xdr:cNvPr id="101" name="Image 100" descr="dca avalanche 5cm.PNG"/>
        <xdr:cNvPicPr>
          <a:picLocks noChangeAspect="1"/>
        </xdr:cNvPicPr>
      </xdr:nvPicPr>
      <xdr:blipFill>
        <a:blip xmlns:r="http://schemas.openxmlformats.org/officeDocument/2006/relationships" r:embed="rId40" cstate="print"/>
        <a:stretch>
          <a:fillRect/>
        </a:stretch>
      </xdr:blipFill>
      <xdr:spPr>
        <a:xfrm>
          <a:off x="29889451" y="50005481"/>
          <a:ext cx="400050" cy="391354"/>
        </a:xfrm>
        <a:prstGeom prst="rect">
          <a:avLst/>
        </a:prstGeom>
      </xdr:spPr>
    </xdr:pic>
    <xdr:clientData/>
  </xdr:twoCellAnchor>
  <xdr:twoCellAnchor editAs="oneCell">
    <xdr:from>
      <xdr:col>29</xdr:col>
      <xdr:colOff>19051</xdr:colOff>
      <xdr:row>101</xdr:row>
      <xdr:rowOff>9525</xdr:rowOff>
    </xdr:from>
    <xdr:to>
      <xdr:col>29</xdr:col>
      <xdr:colOff>417445</xdr:colOff>
      <xdr:row>101</xdr:row>
      <xdr:rowOff>361950</xdr:rowOff>
    </xdr:to>
    <xdr:pic>
      <xdr:nvPicPr>
        <xdr:cNvPr id="102" name="Image 101" descr="25mm point defense battery (flack).PNG"/>
        <xdr:cNvPicPr>
          <a:picLocks noChangeAspect="1"/>
        </xdr:cNvPicPr>
      </xdr:nvPicPr>
      <xdr:blipFill>
        <a:blip xmlns:r="http://schemas.openxmlformats.org/officeDocument/2006/relationships" r:embed="rId41" cstate="print"/>
        <a:stretch>
          <a:fillRect/>
        </a:stretch>
      </xdr:blipFill>
      <xdr:spPr>
        <a:xfrm>
          <a:off x="29898976" y="58997850"/>
          <a:ext cx="398394" cy="352425"/>
        </a:xfrm>
        <a:prstGeom prst="rect">
          <a:avLst/>
        </a:prstGeom>
      </xdr:spPr>
    </xdr:pic>
    <xdr:clientData/>
  </xdr:twoCellAnchor>
  <xdr:twoCellAnchor editAs="oneCell">
    <xdr:from>
      <xdr:col>29</xdr:col>
      <xdr:colOff>19050</xdr:colOff>
      <xdr:row>104</xdr:row>
      <xdr:rowOff>381000</xdr:rowOff>
    </xdr:from>
    <xdr:to>
      <xdr:col>29</xdr:col>
      <xdr:colOff>409575</xdr:colOff>
      <xdr:row>105</xdr:row>
      <xdr:rowOff>389678</xdr:rowOff>
    </xdr:to>
    <xdr:pic>
      <xdr:nvPicPr>
        <xdr:cNvPr id="103" name="Image 102" descr="artillery canon 130mm.PNG"/>
        <xdr:cNvPicPr>
          <a:picLocks noChangeAspect="1"/>
        </xdr:cNvPicPr>
      </xdr:nvPicPr>
      <xdr:blipFill>
        <a:blip xmlns:r="http://schemas.openxmlformats.org/officeDocument/2006/relationships" r:embed="rId42" cstate="print"/>
        <a:stretch>
          <a:fillRect/>
        </a:stretch>
      </xdr:blipFill>
      <xdr:spPr>
        <a:xfrm>
          <a:off x="29898975" y="51168300"/>
          <a:ext cx="390525" cy="399203"/>
        </a:xfrm>
        <a:prstGeom prst="rect">
          <a:avLst/>
        </a:prstGeom>
      </xdr:spPr>
    </xdr:pic>
    <xdr:clientData/>
  </xdr:twoCellAnchor>
  <xdr:twoCellAnchor editAs="oneCell">
    <xdr:from>
      <xdr:col>29</xdr:col>
      <xdr:colOff>19050</xdr:colOff>
      <xdr:row>106</xdr:row>
      <xdr:rowOff>1</xdr:rowOff>
    </xdr:from>
    <xdr:to>
      <xdr:col>29</xdr:col>
      <xdr:colOff>405130</xdr:colOff>
      <xdr:row>106</xdr:row>
      <xdr:rowOff>361951</xdr:rowOff>
    </xdr:to>
    <xdr:pic>
      <xdr:nvPicPr>
        <xdr:cNvPr id="104" name="Image 103" descr="10mm burst array.PNG"/>
        <xdr:cNvPicPr>
          <a:picLocks noChangeAspect="1"/>
        </xdr:cNvPicPr>
      </xdr:nvPicPr>
      <xdr:blipFill>
        <a:blip xmlns:r="http://schemas.openxmlformats.org/officeDocument/2006/relationships" r:embed="rId43" cstate="print"/>
        <a:stretch>
          <a:fillRect/>
        </a:stretch>
      </xdr:blipFill>
      <xdr:spPr>
        <a:xfrm>
          <a:off x="29898975" y="51568351"/>
          <a:ext cx="386080" cy="361950"/>
        </a:xfrm>
        <a:prstGeom prst="rect">
          <a:avLst/>
        </a:prstGeom>
      </xdr:spPr>
    </xdr:pic>
    <xdr:clientData/>
  </xdr:twoCellAnchor>
  <xdr:twoCellAnchor editAs="oneCell">
    <xdr:from>
      <xdr:col>33</xdr:col>
      <xdr:colOff>38101</xdr:colOff>
      <xdr:row>105</xdr:row>
      <xdr:rowOff>9525</xdr:rowOff>
    </xdr:from>
    <xdr:to>
      <xdr:col>33</xdr:col>
      <xdr:colOff>393427</xdr:colOff>
      <xdr:row>105</xdr:row>
      <xdr:rowOff>381001</xdr:rowOff>
    </xdr:to>
    <xdr:pic>
      <xdr:nvPicPr>
        <xdr:cNvPr id="105" name="Image 104" descr="canon fléchettes 8mm.PNG"/>
        <xdr:cNvPicPr>
          <a:picLocks noChangeAspect="1"/>
        </xdr:cNvPicPr>
      </xdr:nvPicPr>
      <xdr:blipFill>
        <a:blip xmlns:r="http://schemas.openxmlformats.org/officeDocument/2006/relationships" r:embed="rId44" cstate="print"/>
        <a:stretch>
          <a:fillRect/>
        </a:stretch>
      </xdr:blipFill>
      <xdr:spPr>
        <a:xfrm>
          <a:off x="33280351" y="60559950"/>
          <a:ext cx="355326" cy="371476"/>
        </a:xfrm>
        <a:prstGeom prst="rect">
          <a:avLst/>
        </a:prstGeom>
      </xdr:spPr>
    </xdr:pic>
    <xdr:clientData/>
  </xdr:twoCellAnchor>
  <xdr:twoCellAnchor editAs="oneCell">
    <xdr:from>
      <xdr:col>33</xdr:col>
      <xdr:colOff>38100</xdr:colOff>
      <xdr:row>106</xdr:row>
      <xdr:rowOff>38099</xdr:rowOff>
    </xdr:from>
    <xdr:to>
      <xdr:col>33</xdr:col>
      <xdr:colOff>389033</xdr:colOff>
      <xdr:row>106</xdr:row>
      <xdr:rowOff>381056</xdr:rowOff>
    </xdr:to>
    <xdr:pic>
      <xdr:nvPicPr>
        <xdr:cNvPr id="106" name="Image 105" descr="mitrailleuse 11.7mm.PNG"/>
        <xdr:cNvPicPr>
          <a:picLocks noChangeAspect="1"/>
        </xdr:cNvPicPr>
      </xdr:nvPicPr>
      <xdr:blipFill>
        <a:blip xmlns:r="http://schemas.openxmlformats.org/officeDocument/2006/relationships" r:embed="rId45" cstate="print"/>
        <a:stretch>
          <a:fillRect/>
        </a:stretch>
      </xdr:blipFill>
      <xdr:spPr>
        <a:xfrm>
          <a:off x="33280350" y="60979049"/>
          <a:ext cx="350933" cy="342957"/>
        </a:xfrm>
        <a:prstGeom prst="rect">
          <a:avLst/>
        </a:prstGeom>
      </xdr:spPr>
    </xdr:pic>
    <xdr:clientData/>
  </xdr:twoCellAnchor>
  <xdr:twoCellAnchor editAs="oneCell">
    <xdr:from>
      <xdr:col>33</xdr:col>
      <xdr:colOff>38100</xdr:colOff>
      <xdr:row>107</xdr:row>
      <xdr:rowOff>20437</xdr:rowOff>
    </xdr:from>
    <xdr:to>
      <xdr:col>33</xdr:col>
      <xdr:colOff>390525</xdr:colOff>
      <xdr:row>107</xdr:row>
      <xdr:rowOff>381059</xdr:rowOff>
    </xdr:to>
    <xdr:pic>
      <xdr:nvPicPr>
        <xdr:cNvPr id="107" name="Image 106" descr="canon auto 20mm.PNG"/>
        <xdr:cNvPicPr>
          <a:picLocks noChangeAspect="1"/>
        </xdr:cNvPicPr>
      </xdr:nvPicPr>
      <xdr:blipFill>
        <a:blip xmlns:r="http://schemas.openxmlformats.org/officeDocument/2006/relationships" r:embed="rId46" cstate="print"/>
        <a:stretch>
          <a:fillRect/>
        </a:stretch>
      </xdr:blipFill>
      <xdr:spPr>
        <a:xfrm>
          <a:off x="33280350" y="61351912"/>
          <a:ext cx="352425" cy="360622"/>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codeName="Feuil2"/>
  <dimension ref="A1:AG67"/>
  <sheetViews>
    <sheetView showGridLines="0" topLeftCell="A29" zoomScale="115" zoomScaleNormal="115" workbookViewId="0">
      <pane xSplit="2" topLeftCell="C1" activePane="topRight" state="frozen"/>
      <selection pane="topRight" activeCell="B43" sqref="B41:AG43"/>
    </sheetView>
  </sheetViews>
  <sheetFormatPr baseColWidth="10" defaultColWidth="8.7109375" defaultRowHeight="15" customHeight="1"/>
  <cols>
    <col min="1" max="1" width="8.7109375" style="1733"/>
    <col min="2" max="2" width="24" style="113" bestFit="1" customWidth="1"/>
    <col min="3" max="13" width="14.7109375" style="113" bestFit="1" customWidth="1"/>
    <col min="14" max="15" width="16.5703125" style="113" bestFit="1" customWidth="1"/>
    <col min="16" max="31" width="18.28515625" style="113" bestFit="1" customWidth="1"/>
    <col min="32" max="32" width="16.85546875" style="113" bestFit="1" customWidth="1"/>
    <col min="33" max="33" width="16.28515625" style="114" bestFit="1" customWidth="1"/>
    <col min="34" max="16384" width="8.7109375" style="114"/>
  </cols>
  <sheetData>
    <row r="1" spans="1:33" s="1733" customFormat="1" ht="15" customHeight="1">
      <c r="B1" s="1734"/>
      <c r="C1" s="1847">
        <v>100</v>
      </c>
      <c r="D1" s="1847"/>
      <c r="E1" s="1847"/>
      <c r="F1" s="1847"/>
      <c r="G1" s="1847"/>
      <c r="H1" s="1847"/>
      <c r="I1" s="1847"/>
      <c r="J1" s="1847"/>
      <c r="K1" s="1847"/>
      <c r="L1" s="1847"/>
      <c r="M1" s="1847"/>
      <c r="N1" s="1847"/>
      <c r="O1" s="1847"/>
      <c r="P1" s="1836">
        <v>200</v>
      </c>
      <c r="Q1" s="1836"/>
      <c r="R1" s="1836"/>
      <c r="S1" s="1836"/>
      <c r="T1" s="1836"/>
      <c r="U1" s="1836"/>
      <c r="V1" s="1836"/>
      <c r="W1" s="1836"/>
      <c r="X1" s="1836">
        <v>300</v>
      </c>
      <c r="Y1" s="1836"/>
      <c r="Z1" s="1836"/>
      <c r="AA1" s="1836"/>
      <c r="AB1" s="1836"/>
      <c r="AC1" s="1836"/>
      <c r="AD1" s="1836"/>
      <c r="AE1" s="1836"/>
      <c r="AF1" s="1836">
        <v>400</v>
      </c>
      <c r="AG1" s="1836"/>
    </row>
    <row r="2" spans="1:33" s="1733" customFormat="1" ht="15" customHeight="1">
      <c r="A2" s="1733">
        <v>1</v>
      </c>
      <c r="B2" s="1734"/>
      <c r="C2" s="1734">
        <v>101</v>
      </c>
      <c r="D2" s="1734">
        <v>102</v>
      </c>
      <c r="E2" s="1734">
        <v>201</v>
      </c>
      <c r="F2" s="1734">
        <v>202</v>
      </c>
      <c r="G2" s="1734">
        <v>301</v>
      </c>
      <c r="H2" s="1734">
        <v>302</v>
      </c>
      <c r="I2" s="1734">
        <v>401</v>
      </c>
      <c r="J2" s="1734">
        <v>402</v>
      </c>
      <c r="K2" s="1734">
        <v>403</v>
      </c>
      <c r="L2" s="1734">
        <v>501</v>
      </c>
      <c r="M2" s="1734">
        <v>502</v>
      </c>
      <c r="N2" s="1734">
        <v>601</v>
      </c>
      <c r="O2" s="1734">
        <v>602</v>
      </c>
      <c r="P2" s="1734">
        <v>701</v>
      </c>
      <c r="Q2" s="1734">
        <v>702</v>
      </c>
      <c r="R2" s="1734">
        <v>801</v>
      </c>
      <c r="S2" s="1734">
        <v>802</v>
      </c>
      <c r="T2" s="1734">
        <v>901</v>
      </c>
      <c r="U2" s="1734">
        <v>902</v>
      </c>
      <c r="V2" s="1734">
        <v>1001</v>
      </c>
      <c r="W2" s="1734">
        <v>1002</v>
      </c>
      <c r="X2" s="1734">
        <v>1101</v>
      </c>
      <c r="Y2" s="1734">
        <v>1102</v>
      </c>
      <c r="Z2" s="1734">
        <v>1201</v>
      </c>
      <c r="AA2" s="1734">
        <v>1202</v>
      </c>
      <c r="AB2" s="1734">
        <v>1301</v>
      </c>
      <c r="AC2" s="1734">
        <v>1302</v>
      </c>
      <c r="AD2" s="1734">
        <v>1401</v>
      </c>
      <c r="AE2" s="1734">
        <v>1402</v>
      </c>
      <c r="AF2" s="1734">
        <v>1501</v>
      </c>
      <c r="AG2" s="1733">
        <v>1502</v>
      </c>
    </row>
    <row r="3" spans="1:33" ht="29.25" customHeight="1">
      <c r="A3" s="1733">
        <v>2</v>
      </c>
      <c r="B3" s="1841" t="s">
        <v>0</v>
      </c>
      <c r="C3" s="165" t="s">
        <v>669</v>
      </c>
      <c r="D3" s="165" t="s">
        <v>669</v>
      </c>
      <c r="E3" s="165" t="s">
        <v>669</v>
      </c>
      <c r="F3" s="165" t="s">
        <v>669</v>
      </c>
      <c r="G3" s="165" t="s">
        <v>669</v>
      </c>
      <c r="H3" s="165" t="s">
        <v>669</v>
      </c>
      <c r="I3" s="165" t="s">
        <v>669</v>
      </c>
      <c r="J3" s="165" t="s">
        <v>669</v>
      </c>
      <c r="K3" s="165" t="s">
        <v>669</v>
      </c>
      <c r="L3" s="165" t="s">
        <v>669</v>
      </c>
      <c r="M3" s="165" t="s">
        <v>669</v>
      </c>
      <c r="N3" s="165" t="s">
        <v>669</v>
      </c>
      <c r="O3" s="165" t="s">
        <v>669</v>
      </c>
      <c r="P3" s="166" t="s">
        <v>94</v>
      </c>
      <c r="Q3" s="166" t="s">
        <v>94</v>
      </c>
      <c r="R3" s="166" t="s">
        <v>94</v>
      </c>
      <c r="S3" s="166" t="s">
        <v>94</v>
      </c>
      <c r="T3" s="166" t="s">
        <v>94</v>
      </c>
      <c r="U3" s="166" t="s">
        <v>94</v>
      </c>
      <c r="V3" s="166" t="s">
        <v>94</v>
      </c>
      <c r="W3" s="166" t="s">
        <v>94</v>
      </c>
      <c r="X3" s="167" t="s">
        <v>109</v>
      </c>
      <c r="Y3" s="167" t="s">
        <v>109</v>
      </c>
      <c r="Z3" s="167" t="s">
        <v>109</v>
      </c>
      <c r="AA3" s="167" t="s">
        <v>109</v>
      </c>
      <c r="AB3" s="167" t="s">
        <v>109</v>
      </c>
      <c r="AC3" s="167" t="s">
        <v>109</v>
      </c>
      <c r="AD3" s="167" t="s">
        <v>109</v>
      </c>
      <c r="AE3" s="167" t="s">
        <v>109</v>
      </c>
      <c r="AF3" s="168" t="s">
        <v>670</v>
      </c>
      <c r="AG3" s="168" t="s">
        <v>670</v>
      </c>
    </row>
    <row r="4" spans="1:33" ht="15" customHeight="1">
      <c r="A4" s="1733">
        <v>3</v>
      </c>
      <c r="B4" s="1842"/>
      <c r="C4" s="157" t="s">
        <v>1</v>
      </c>
      <c r="D4" s="157" t="s">
        <v>1</v>
      </c>
      <c r="E4" s="157" t="s">
        <v>2</v>
      </c>
      <c r="F4" s="157" t="s">
        <v>2</v>
      </c>
      <c r="G4" s="157" t="s">
        <v>3</v>
      </c>
      <c r="H4" s="157" t="s">
        <v>3</v>
      </c>
      <c r="I4" s="157" t="s">
        <v>4</v>
      </c>
      <c r="J4" s="157" t="s">
        <v>4</v>
      </c>
      <c r="K4" s="157" t="s">
        <v>4</v>
      </c>
      <c r="L4" s="157" t="s">
        <v>5</v>
      </c>
      <c r="M4" s="157" t="s">
        <v>5</v>
      </c>
      <c r="N4" s="158" t="s">
        <v>652</v>
      </c>
      <c r="O4" s="158" t="s">
        <v>652</v>
      </c>
      <c r="P4" s="159" t="s">
        <v>6</v>
      </c>
      <c r="Q4" s="159" t="s">
        <v>6</v>
      </c>
      <c r="R4" s="159" t="s">
        <v>7</v>
      </c>
      <c r="S4" s="159" t="s">
        <v>7</v>
      </c>
      <c r="T4" s="159" t="s">
        <v>8</v>
      </c>
      <c r="U4" s="159" t="s">
        <v>8</v>
      </c>
      <c r="V4" s="159" t="s">
        <v>9</v>
      </c>
      <c r="W4" s="159" t="s">
        <v>9</v>
      </c>
      <c r="X4" s="160" t="s">
        <v>10</v>
      </c>
      <c r="Y4" s="160" t="s">
        <v>10</v>
      </c>
      <c r="Z4" s="160" t="s">
        <v>11</v>
      </c>
      <c r="AA4" s="160" t="s">
        <v>11</v>
      </c>
      <c r="AB4" s="160" t="s">
        <v>12</v>
      </c>
      <c r="AC4" s="160" t="s">
        <v>12</v>
      </c>
      <c r="AD4" s="160" t="s">
        <v>13</v>
      </c>
      <c r="AE4" s="160" t="s">
        <v>13</v>
      </c>
      <c r="AF4" s="161" t="s">
        <v>14</v>
      </c>
      <c r="AG4" s="161" t="s">
        <v>14</v>
      </c>
    </row>
    <row r="5" spans="1:33">
      <c r="A5" s="1733">
        <v>4</v>
      </c>
      <c r="B5" s="1843"/>
      <c r="C5" s="157" t="s">
        <v>15</v>
      </c>
      <c r="D5" s="157" t="s">
        <v>15</v>
      </c>
      <c r="E5" s="157" t="s">
        <v>16</v>
      </c>
      <c r="F5" s="157" t="s">
        <v>16</v>
      </c>
      <c r="G5" s="157" t="s">
        <v>17</v>
      </c>
      <c r="H5" s="157" t="s">
        <v>17</v>
      </c>
      <c r="I5" s="157" t="s">
        <v>18</v>
      </c>
      <c r="J5" s="157" t="s">
        <v>18</v>
      </c>
      <c r="K5" s="157" t="s">
        <v>18</v>
      </c>
      <c r="L5" s="157" t="s">
        <v>19</v>
      </c>
      <c r="M5" s="157" t="s">
        <v>19</v>
      </c>
      <c r="N5" s="117" t="s">
        <v>757</v>
      </c>
      <c r="O5" s="117" t="s">
        <v>758</v>
      </c>
      <c r="P5" s="159" t="s">
        <v>20</v>
      </c>
      <c r="Q5" s="159" t="s">
        <v>20</v>
      </c>
      <c r="R5" s="159" t="s">
        <v>21</v>
      </c>
      <c r="S5" s="159" t="s">
        <v>21</v>
      </c>
      <c r="T5" s="159" t="s">
        <v>22</v>
      </c>
      <c r="U5" s="159" t="s">
        <v>22</v>
      </c>
      <c r="V5" s="159" t="s">
        <v>23</v>
      </c>
      <c r="W5" s="159" t="s">
        <v>23</v>
      </c>
      <c r="X5" s="160" t="s">
        <v>24</v>
      </c>
      <c r="Y5" s="160" t="s">
        <v>24</v>
      </c>
      <c r="Z5" s="160" t="s">
        <v>25</v>
      </c>
      <c r="AA5" s="160" t="s">
        <v>25</v>
      </c>
      <c r="AB5" s="160" t="s">
        <v>26</v>
      </c>
      <c r="AC5" s="160" t="s">
        <v>26</v>
      </c>
      <c r="AD5" s="160" t="s">
        <v>27</v>
      </c>
      <c r="AE5" s="160" t="s">
        <v>27</v>
      </c>
      <c r="AF5" s="161" t="s">
        <v>28</v>
      </c>
      <c r="AG5" s="161" t="s">
        <v>28</v>
      </c>
    </row>
    <row r="6" spans="1:33" ht="15.75" customHeight="1">
      <c r="A6" s="1733">
        <v>5</v>
      </c>
      <c r="B6" s="115" t="s">
        <v>29</v>
      </c>
      <c r="C6" s="116" t="s">
        <v>30</v>
      </c>
      <c r="D6" s="162" t="s">
        <v>1168</v>
      </c>
      <c r="E6" s="116" t="s">
        <v>30</v>
      </c>
      <c r="F6" s="162" t="s">
        <v>1168</v>
      </c>
      <c r="G6" s="116" t="s">
        <v>30</v>
      </c>
      <c r="H6" s="162" t="s">
        <v>1168</v>
      </c>
      <c r="I6" s="116" t="s">
        <v>30</v>
      </c>
      <c r="J6" s="162" t="s">
        <v>1168</v>
      </c>
      <c r="K6" s="162" t="s">
        <v>656</v>
      </c>
      <c r="L6" s="116" t="s">
        <v>30</v>
      </c>
      <c r="M6" s="162" t="s">
        <v>1168</v>
      </c>
      <c r="N6" s="117" t="s">
        <v>30</v>
      </c>
      <c r="O6" s="117" t="s">
        <v>1168</v>
      </c>
      <c r="P6" s="118" t="s">
        <v>30</v>
      </c>
      <c r="Q6" s="1113" t="s">
        <v>1168</v>
      </c>
      <c r="R6" s="118" t="s">
        <v>30</v>
      </c>
      <c r="S6" s="1113" t="s">
        <v>1168</v>
      </c>
      <c r="T6" s="118" t="s">
        <v>30</v>
      </c>
      <c r="U6" s="1113" t="s">
        <v>1168</v>
      </c>
      <c r="V6" s="118" t="s">
        <v>30</v>
      </c>
      <c r="W6" s="1113" t="s">
        <v>1168</v>
      </c>
      <c r="X6" s="119" t="s">
        <v>30</v>
      </c>
      <c r="Y6" s="1114" t="s">
        <v>1168</v>
      </c>
      <c r="Z6" s="119" t="s">
        <v>30</v>
      </c>
      <c r="AA6" s="1114" t="s">
        <v>1168</v>
      </c>
      <c r="AB6" s="119" t="s">
        <v>30</v>
      </c>
      <c r="AC6" s="1114" t="s">
        <v>1168</v>
      </c>
      <c r="AD6" s="119" t="s">
        <v>30</v>
      </c>
      <c r="AE6" s="1114" t="s">
        <v>1168</v>
      </c>
      <c r="AF6" s="120" t="s">
        <v>30</v>
      </c>
      <c r="AG6" s="121" t="s">
        <v>1168</v>
      </c>
    </row>
    <row r="7" spans="1:33">
      <c r="A7" s="1733">
        <v>6</v>
      </c>
      <c r="B7" s="116" t="s">
        <v>33</v>
      </c>
      <c r="C7" s="122">
        <v>0</v>
      </c>
      <c r="D7" s="122">
        <v>30000</v>
      </c>
      <c r="E7" s="122">
        <v>36000</v>
      </c>
      <c r="F7" s="122">
        <v>40000</v>
      </c>
      <c r="G7" s="122" t="s">
        <v>35</v>
      </c>
      <c r="H7" s="122" t="s">
        <v>34</v>
      </c>
      <c r="I7" s="122">
        <v>0</v>
      </c>
      <c r="J7" s="122" t="s">
        <v>34</v>
      </c>
      <c r="K7" s="122" t="s">
        <v>36</v>
      </c>
      <c r="L7" s="122" t="s">
        <v>36</v>
      </c>
      <c r="M7" s="122">
        <v>0</v>
      </c>
      <c r="N7" s="123">
        <v>0</v>
      </c>
      <c r="O7" s="123">
        <v>0</v>
      </c>
      <c r="P7" s="124">
        <v>0</v>
      </c>
      <c r="Q7" s="124">
        <v>45000</v>
      </c>
      <c r="R7" s="124">
        <v>0</v>
      </c>
      <c r="S7" s="124">
        <v>45000</v>
      </c>
      <c r="T7" s="124">
        <v>60000</v>
      </c>
      <c r="U7" s="124">
        <v>50000</v>
      </c>
      <c r="V7" s="124">
        <v>75000</v>
      </c>
      <c r="W7" s="124">
        <v>0</v>
      </c>
      <c r="X7" s="125">
        <v>135000</v>
      </c>
      <c r="Y7" s="125">
        <v>100000</v>
      </c>
      <c r="Z7" s="125">
        <v>0</v>
      </c>
      <c r="AA7" s="125">
        <v>60000</v>
      </c>
      <c r="AB7" s="125">
        <v>0</v>
      </c>
      <c r="AC7" s="125">
        <v>60000</v>
      </c>
      <c r="AD7" s="125">
        <v>250000</v>
      </c>
      <c r="AE7" s="125">
        <v>0</v>
      </c>
      <c r="AF7" s="126">
        <v>400000</v>
      </c>
      <c r="AG7" s="126">
        <v>250000</v>
      </c>
    </row>
    <row r="8" spans="1:33">
      <c r="A8" s="1733">
        <v>7</v>
      </c>
      <c r="B8" s="116" t="s">
        <v>37</v>
      </c>
      <c r="C8" s="122">
        <v>100000</v>
      </c>
      <c r="D8" s="122">
        <v>0</v>
      </c>
      <c r="E8" s="122">
        <v>0</v>
      </c>
      <c r="F8" s="122">
        <v>0</v>
      </c>
      <c r="G8" s="122">
        <v>0</v>
      </c>
      <c r="H8" s="122">
        <v>0</v>
      </c>
      <c r="I8" s="122">
        <v>75000</v>
      </c>
      <c r="J8" s="122">
        <v>0</v>
      </c>
      <c r="K8" s="122">
        <v>0</v>
      </c>
      <c r="L8" s="122">
        <v>0</v>
      </c>
      <c r="M8" s="122">
        <v>0</v>
      </c>
      <c r="N8" s="123">
        <v>0</v>
      </c>
      <c r="O8" s="123">
        <v>0</v>
      </c>
      <c r="P8" s="124">
        <v>600000</v>
      </c>
      <c r="Q8" s="124">
        <v>0</v>
      </c>
      <c r="R8" s="124">
        <v>600000</v>
      </c>
      <c r="S8" s="124">
        <v>0</v>
      </c>
      <c r="T8" s="124">
        <v>0</v>
      </c>
      <c r="U8" s="124">
        <v>0</v>
      </c>
      <c r="V8" s="124">
        <v>0</v>
      </c>
      <c r="W8" s="124">
        <v>0</v>
      </c>
      <c r="X8" s="125">
        <v>0</v>
      </c>
      <c r="Y8" s="125">
        <v>0</v>
      </c>
      <c r="Z8" s="125">
        <v>2000000</v>
      </c>
      <c r="AA8" s="125">
        <v>0</v>
      </c>
      <c r="AB8" s="125">
        <v>2000000</v>
      </c>
      <c r="AC8" s="125">
        <v>0</v>
      </c>
      <c r="AD8" s="125">
        <v>0</v>
      </c>
      <c r="AE8" s="125">
        <v>0</v>
      </c>
      <c r="AF8" s="127">
        <v>0</v>
      </c>
      <c r="AG8" s="127">
        <v>0</v>
      </c>
    </row>
    <row r="9" spans="1:33">
      <c r="A9" s="1733">
        <v>8</v>
      </c>
      <c r="B9" s="116" t="s">
        <v>38</v>
      </c>
      <c r="C9" s="122">
        <v>0</v>
      </c>
      <c r="D9" s="122">
        <v>0</v>
      </c>
      <c r="E9" s="122">
        <v>0</v>
      </c>
      <c r="F9" s="122">
        <v>0</v>
      </c>
      <c r="G9" s="122">
        <v>0</v>
      </c>
      <c r="H9" s="122">
        <v>0</v>
      </c>
      <c r="I9" s="122">
        <v>0</v>
      </c>
      <c r="J9" s="122">
        <v>0</v>
      </c>
      <c r="K9" s="122">
        <v>0</v>
      </c>
      <c r="L9" s="122">
        <v>0</v>
      </c>
      <c r="M9" s="122" t="s">
        <v>34</v>
      </c>
      <c r="N9" s="123">
        <v>28000</v>
      </c>
      <c r="O9" s="123">
        <v>40000</v>
      </c>
      <c r="P9" s="124">
        <v>0</v>
      </c>
      <c r="Q9" s="124">
        <v>0</v>
      </c>
      <c r="R9" s="124">
        <v>0</v>
      </c>
      <c r="S9" s="124">
        <v>0</v>
      </c>
      <c r="T9" s="124">
        <v>0</v>
      </c>
      <c r="U9" s="124">
        <v>0</v>
      </c>
      <c r="V9" s="124">
        <v>0</v>
      </c>
      <c r="W9" s="124">
        <v>45000</v>
      </c>
      <c r="X9" s="125">
        <v>0</v>
      </c>
      <c r="Y9" s="125">
        <v>0</v>
      </c>
      <c r="Z9" s="125">
        <v>0</v>
      </c>
      <c r="AA9" s="125">
        <v>0</v>
      </c>
      <c r="AB9" s="125">
        <v>0</v>
      </c>
      <c r="AC9" s="125">
        <v>0</v>
      </c>
      <c r="AD9" s="125">
        <v>0</v>
      </c>
      <c r="AE9" s="125">
        <v>60000</v>
      </c>
      <c r="AF9" s="127">
        <v>90000</v>
      </c>
      <c r="AG9" s="127">
        <v>50000</v>
      </c>
    </row>
    <row r="10" spans="1:33" ht="30">
      <c r="A10" s="1733">
        <v>9</v>
      </c>
      <c r="B10" s="116" t="s">
        <v>39</v>
      </c>
      <c r="C10" s="312" t="s">
        <v>1065</v>
      </c>
      <c r="D10" s="312" t="s">
        <v>1065</v>
      </c>
      <c r="E10" s="313" t="s">
        <v>1061</v>
      </c>
      <c r="F10" s="313" t="s">
        <v>1061</v>
      </c>
      <c r="G10" s="314" t="s">
        <v>1062</v>
      </c>
      <c r="H10" s="314" t="s">
        <v>1062</v>
      </c>
      <c r="I10" s="315" t="s">
        <v>1064</v>
      </c>
      <c r="J10" s="315" t="s">
        <v>1064</v>
      </c>
      <c r="K10" s="315" t="s">
        <v>1064</v>
      </c>
      <c r="L10" s="314" t="s">
        <v>1062</v>
      </c>
      <c r="M10" s="314" t="s">
        <v>1062</v>
      </c>
      <c r="N10" s="521" t="s">
        <v>654</v>
      </c>
      <c r="O10" s="521" t="s">
        <v>654</v>
      </c>
      <c r="P10" s="312" t="s">
        <v>1065</v>
      </c>
      <c r="Q10" s="312" t="s">
        <v>1065</v>
      </c>
      <c r="R10" s="313" t="s">
        <v>1061</v>
      </c>
      <c r="S10" s="313" t="s">
        <v>1061</v>
      </c>
      <c r="T10" s="315" t="s">
        <v>1064</v>
      </c>
      <c r="U10" s="315" t="s">
        <v>1064</v>
      </c>
      <c r="V10" s="314" t="s">
        <v>1062</v>
      </c>
      <c r="W10" s="314" t="s">
        <v>1062</v>
      </c>
      <c r="X10" s="312" t="s">
        <v>1065</v>
      </c>
      <c r="Y10" s="312" t="s">
        <v>1065</v>
      </c>
      <c r="Z10" s="313" t="s">
        <v>1061</v>
      </c>
      <c r="AA10" s="313" t="s">
        <v>1061</v>
      </c>
      <c r="AB10" s="315" t="s">
        <v>1064</v>
      </c>
      <c r="AC10" s="315" t="s">
        <v>1064</v>
      </c>
      <c r="AD10" s="314" t="s">
        <v>1062</v>
      </c>
      <c r="AE10" s="314" t="s">
        <v>1062</v>
      </c>
      <c r="AF10" s="128" t="s">
        <v>40</v>
      </c>
      <c r="AG10" s="953" t="s">
        <v>40</v>
      </c>
    </row>
    <row r="11" spans="1:33" ht="15.75" customHeight="1">
      <c r="A11" s="1733">
        <v>10</v>
      </c>
      <c r="B11" s="116" t="s">
        <v>41</v>
      </c>
      <c r="C11" s="312" t="s">
        <v>684</v>
      </c>
      <c r="D11" s="312" t="s">
        <v>685</v>
      </c>
      <c r="E11" s="313" t="s">
        <v>685</v>
      </c>
      <c r="F11" s="313" t="s">
        <v>686</v>
      </c>
      <c r="G11" s="314" t="s">
        <v>687</v>
      </c>
      <c r="H11" s="314" t="s">
        <v>688</v>
      </c>
      <c r="I11" s="315" t="s">
        <v>687</v>
      </c>
      <c r="J11" s="315" t="s">
        <v>688</v>
      </c>
      <c r="K11" s="315" t="s">
        <v>687</v>
      </c>
      <c r="L11" s="314" t="s">
        <v>688</v>
      </c>
      <c r="M11" s="314" t="s">
        <v>689</v>
      </c>
      <c r="N11" s="521" t="s">
        <v>690</v>
      </c>
      <c r="O11" s="521" t="s">
        <v>690</v>
      </c>
      <c r="P11" s="312" t="s">
        <v>691</v>
      </c>
      <c r="Q11" s="312" t="s">
        <v>692</v>
      </c>
      <c r="R11" s="313" t="s">
        <v>691</v>
      </c>
      <c r="S11" s="313" t="s">
        <v>692</v>
      </c>
      <c r="T11" s="315" t="s">
        <v>692</v>
      </c>
      <c r="U11" s="315" t="s">
        <v>692</v>
      </c>
      <c r="V11" s="314" t="s">
        <v>692</v>
      </c>
      <c r="W11" s="314" t="s">
        <v>693</v>
      </c>
      <c r="X11" s="312" t="s">
        <v>694</v>
      </c>
      <c r="Y11" s="312" t="s">
        <v>694</v>
      </c>
      <c r="Z11" s="313" t="s">
        <v>692</v>
      </c>
      <c r="AA11" s="313" t="s">
        <v>694</v>
      </c>
      <c r="AB11" s="315" t="s">
        <v>692</v>
      </c>
      <c r="AC11" s="315" t="s">
        <v>694</v>
      </c>
      <c r="AD11" s="314" t="s">
        <v>694</v>
      </c>
      <c r="AE11" s="314" t="s">
        <v>695</v>
      </c>
      <c r="AF11" s="128">
        <v>0</v>
      </c>
      <c r="AG11" s="129">
        <v>0</v>
      </c>
    </row>
    <row r="12" spans="1:33">
      <c r="A12" s="1733">
        <v>11</v>
      </c>
      <c r="B12" s="118" t="s">
        <v>42</v>
      </c>
      <c r="C12" s="124">
        <v>3</v>
      </c>
      <c r="D12" s="124">
        <v>4</v>
      </c>
      <c r="E12" s="124">
        <v>4</v>
      </c>
      <c r="F12" s="124">
        <v>5</v>
      </c>
      <c r="G12" s="124">
        <v>3</v>
      </c>
      <c r="H12" s="124">
        <v>4</v>
      </c>
      <c r="I12" s="124">
        <v>3</v>
      </c>
      <c r="J12" s="124">
        <v>4</v>
      </c>
      <c r="K12" s="124">
        <v>3</v>
      </c>
      <c r="L12" s="124">
        <v>4</v>
      </c>
      <c r="M12" s="124">
        <v>5</v>
      </c>
      <c r="N12" s="130">
        <v>0</v>
      </c>
      <c r="O12" s="130">
        <v>0</v>
      </c>
      <c r="P12" s="125">
        <v>4</v>
      </c>
      <c r="Q12" s="125">
        <v>6</v>
      </c>
      <c r="R12" s="125">
        <v>4</v>
      </c>
      <c r="S12" s="125">
        <v>6</v>
      </c>
      <c r="T12" s="125">
        <v>6</v>
      </c>
      <c r="U12" s="125">
        <v>6</v>
      </c>
      <c r="V12" s="125">
        <v>6</v>
      </c>
      <c r="W12" s="125">
        <v>7</v>
      </c>
      <c r="X12" s="122">
        <v>8</v>
      </c>
      <c r="Y12" s="122">
        <v>8</v>
      </c>
      <c r="Z12" s="122">
        <v>6</v>
      </c>
      <c r="AA12" s="122">
        <v>8</v>
      </c>
      <c r="AB12" s="122">
        <v>6</v>
      </c>
      <c r="AC12" s="122">
        <v>8</v>
      </c>
      <c r="AD12" s="122">
        <v>8</v>
      </c>
      <c r="AE12" s="122">
        <v>9</v>
      </c>
      <c r="AF12" s="124">
        <v>0</v>
      </c>
      <c r="AG12" s="131">
        <v>0</v>
      </c>
    </row>
    <row r="13" spans="1:33">
      <c r="A13" s="1733">
        <v>12</v>
      </c>
      <c r="B13" s="132" t="s">
        <v>716</v>
      </c>
      <c r="C13" s="130"/>
      <c r="D13" s="130"/>
      <c r="E13" s="130"/>
      <c r="F13" s="130"/>
      <c r="G13" s="130"/>
      <c r="H13" s="130"/>
      <c r="I13" s="130"/>
      <c r="J13" s="130"/>
      <c r="K13" s="130"/>
      <c r="L13" s="130"/>
      <c r="M13" s="130"/>
      <c r="N13" s="130">
        <v>0</v>
      </c>
      <c r="O13" s="130">
        <v>0</v>
      </c>
      <c r="P13" s="134"/>
      <c r="Q13" s="134"/>
      <c r="R13" s="134"/>
      <c r="S13" s="134"/>
      <c r="T13" s="134"/>
      <c r="U13" s="134"/>
      <c r="V13" s="134"/>
      <c r="W13" s="134"/>
      <c r="X13" s="135"/>
      <c r="Y13" s="135"/>
      <c r="Z13" s="135"/>
      <c r="AA13" s="135"/>
      <c r="AB13" s="135"/>
      <c r="AC13" s="135"/>
      <c r="AD13" s="135"/>
      <c r="AE13" s="135"/>
      <c r="AF13" s="133" t="s">
        <v>710</v>
      </c>
      <c r="AG13" s="327" t="s">
        <v>710</v>
      </c>
    </row>
    <row r="14" spans="1:33">
      <c r="A14" s="1733">
        <v>13</v>
      </c>
      <c r="B14" s="132" t="s">
        <v>653</v>
      </c>
      <c r="C14" s="133">
        <v>0</v>
      </c>
      <c r="D14" s="133">
        <v>0</v>
      </c>
      <c r="E14" s="133">
        <v>0</v>
      </c>
      <c r="F14" s="133">
        <v>0</v>
      </c>
      <c r="G14" s="133">
        <v>0</v>
      </c>
      <c r="H14" s="133">
        <v>0</v>
      </c>
      <c r="I14" s="133">
        <v>0</v>
      </c>
      <c r="J14" s="133">
        <v>0</v>
      </c>
      <c r="K14" s="133">
        <v>0</v>
      </c>
      <c r="L14" s="133">
        <v>0</v>
      </c>
      <c r="M14" s="133">
        <v>0</v>
      </c>
      <c r="N14" s="130">
        <v>0</v>
      </c>
      <c r="O14" s="130">
        <v>0</v>
      </c>
      <c r="P14" s="134">
        <v>0</v>
      </c>
      <c r="Q14" s="134">
        <v>0</v>
      </c>
      <c r="R14" s="134">
        <v>0</v>
      </c>
      <c r="S14" s="134">
        <v>0</v>
      </c>
      <c r="T14" s="134">
        <v>0</v>
      </c>
      <c r="U14" s="134">
        <v>0</v>
      </c>
      <c r="V14" s="134">
        <v>0</v>
      </c>
      <c r="W14" s="134">
        <v>0</v>
      </c>
      <c r="X14" s="135">
        <v>0</v>
      </c>
      <c r="Y14" s="135">
        <v>0</v>
      </c>
      <c r="Z14" s="135">
        <v>0</v>
      </c>
      <c r="AA14" s="135">
        <v>0</v>
      </c>
      <c r="AB14" s="135">
        <v>0</v>
      </c>
      <c r="AC14" s="135">
        <v>0</v>
      </c>
      <c r="AD14" s="135">
        <v>0</v>
      </c>
      <c r="AE14" s="135">
        <v>0</v>
      </c>
      <c r="AF14" s="130">
        <v>4</v>
      </c>
      <c r="AG14" s="131">
        <v>4</v>
      </c>
    </row>
    <row r="15" spans="1:33">
      <c r="A15" s="1733">
        <v>14</v>
      </c>
      <c r="B15" s="132" t="s">
        <v>711</v>
      </c>
      <c r="C15" s="133"/>
      <c r="D15" s="133"/>
      <c r="E15" s="133"/>
      <c r="F15" s="133"/>
      <c r="G15" s="133"/>
      <c r="H15" s="133"/>
      <c r="I15" s="133"/>
      <c r="J15" s="133"/>
      <c r="K15" s="133"/>
      <c r="L15" s="133"/>
      <c r="M15" s="133"/>
      <c r="N15" s="133" t="s">
        <v>712</v>
      </c>
      <c r="O15" s="133" t="s">
        <v>712</v>
      </c>
      <c r="P15" s="134"/>
      <c r="Q15" s="134"/>
      <c r="R15" s="134"/>
      <c r="S15" s="134"/>
      <c r="T15" s="134"/>
      <c r="U15" s="134"/>
      <c r="V15" s="134"/>
      <c r="W15" s="134"/>
      <c r="X15" s="135"/>
      <c r="Y15" s="135"/>
      <c r="Z15" s="135"/>
      <c r="AA15" s="135"/>
      <c r="AB15" s="135"/>
      <c r="AC15" s="135"/>
      <c r="AD15" s="135"/>
      <c r="AE15" s="135"/>
      <c r="AF15" s="133" t="s">
        <v>713</v>
      </c>
      <c r="AG15" s="327" t="s">
        <v>714</v>
      </c>
    </row>
    <row r="16" spans="1:33">
      <c r="A16" s="1733">
        <v>15</v>
      </c>
      <c r="B16" s="132" t="s">
        <v>650</v>
      </c>
      <c r="C16" s="133">
        <v>0</v>
      </c>
      <c r="D16" s="133">
        <v>0</v>
      </c>
      <c r="E16" s="133">
        <v>0</v>
      </c>
      <c r="F16" s="133">
        <v>0</v>
      </c>
      <c r="G16" s="133">
        <v>0</v>
      </c>
      <c r="H16" s="133">
        <v>0</v>
      </c>
      <c r="I16" s="133">
        <v>0</v>
      </c>
      <c r="J16" s="133">
        <v>0</v>
      </c>
      <c r="K16" s="133">
        <v>0</v>
      </c>
      <c r="L16" s="133">
        <v>0</v>
      </c>
      <c r="M16" s="133">
        <v>0</v>
      </c>
      <c r="N16" s="130">
        <v>2</v>
      </c>
      <c r="O16" s="130">
        <v>2</v>
      </c>
      <c r="P16" s="134">
        <v>0</v>
      </c>
      <c r="Q16" s="134">
        <v>0</v>
      </c>
      <c r="R16" s="134">
        <v>0</v>
      </c>
      <c r="S16" s="134">
        <v>0</v>
      </c>
      <c r="T16" s="134">
        <v>0</v>
      </c>
      <c r="U16" s="134">
        <v>0</v>
      </c>
      <c r="V16" s="134">
        <v>0</v>
      </c>
      <c r="W16" s="134">
        <v>0</v>
      </c>
      <c r="X16" s="135">
        <v>0</v>
      </c>
      <c r="Y16" s="135">
        <v>0</v>
      </c>
      <c r="Z16" s="135">
        <v>0</v>
      </c>
      <c r="AA16" s="135">
        <v>0</v>
      </c>
      <c r="AB16" s="135">
        <v>0</v>
      </c>
      <c r="AC16" s="135">
        <v>0</v>
      </c>
      <c r="AD16" s="135">
        <v>0</v>
      </c>
      <c r="AE16" s="135">
        <v>0</v>
      </c>
      <c r="AF16" s="130">
        <v>4</v>
      </c>
      <c r="AG16" s="131">
        <v>6</v>
      </c>
    </row>
    <row r="17" spans="1:33">
      <c r="A17" s="1733">
        <v>16</v>
      </c>
      <c r="B17" s="132" t="s">
        <v>715</v>
      </c>
      <c r="C17" s="133"/>
      <c r="D17" s="133"/>
      <c r="E17" s="133"/>
      <c r="F17" s="133"/>
      <c r="G17" s="133"/>
      <c r="H17" s="133"/>
      <c r="I17" s="133"/>
      <c r="J17" s="133"/>
      <c r="K17" s="133"/>
      <c r="L17" s="133"/>
      <c r="M17" s="133"/>
      <c r="N17" s="133" t="s">
        <v>1063</v>
      </c>
      <c r="O17" s="133" t="s">
        <v>712</v>
      </c>
      <c r="P17" s="134"/>
      <c r="Q17" s="134"/>
      <c r="R17" s="134"/>
      <c r="S17" s="134"/>
      <c r="T17" s="134"/>
      <c r="U17" s="134"/>
      <c r="V17" s="134"/>
      <c r="W17" s="134"/>
      <c r="X17" s="135"/>
      <c r="Y17" s="135"/>
      <c r="Z17" s="135"/>
      <c r="AA17" s="135"/>
      <c r="AB17" s="135"/>
      <c r="AC17" s="135"/>
      <c r="AD17" s="135"/>
      <c r="AE17" s="135"/>
      <c r="AF17" s="133" t="s">
        <v>717</v>
      </c>
      <c r="AG17" s="327" t="s">
        <v>717</v>
      </c>
    </row>
    <row r="18" spans="1:33">
      <c r="A18" s="1733">
        <v>17</v>
      </c>
      <c r="B18" s="132" t="s">
        <v>651</v>
      </c>
      <c r="C18" s="133">
        <v>0</v>
      </c>
      <c r="D18" s="133">
        <v>0</v>
      </c>
      <c r="E18" s="133">
        <v>0</v>
      </c>
      <c r="F18" s="133">
        <v>0</v>
      </c>
      <c r="G18" s="133">
        <v>0</v>
      </c>
      <c r="H18" s="133">
        <v>0</v>
      </c>
      <c r="I18" s="133">
        <v>0</v>
      </c>
      <c r="J18" s="133">
        <v>0</v>
      </c>
      <c r="K18" s="133">
        <v>0</v>
      </c>
      <c r="L18" s="133">
        <v>0</v>
      </c>
      <c r="M18" s="133">
        <v>0</v>
      </c>
      <c r="N18" s="130">
        <v>1</v>
      </c>
      <c r="O18" s="130">
        <v>2</v>
      </c>
      <c r="P18" s="134">
        <v>0</v>
      </c>
      <c r="Q18" s="134">
        <v>0</v>
      </c>
      <c r="R18" s="134">
        <v>0</v>
      </c>
      <c r="S18" s="134">
        <v>0</v>
      </c>
      <c r="T18" s="134">
        <v>0</v>
      </c>
      <c r="U18" s="134">
        <v>0</v>
      </c>
      <c r="V18" s="134">
        <v>0</v>
      </c>
      <c r="W18" s="134">
        <v>0</v>
      </c>
      <c r="X18" s="135">
        <v>0</v>
      </c>
      <c r="Y18" s="135">
        <v>0</v>
      </c>
      <c r="Z18" s="135">
        <v>0</v>
      </c>
      <c r="AA18" s="135">
        <v>0</v>
      </c>
      <c r="AB18" s="135">
        <v>0</v>
      </c>
      <c r="AC18" s="135">
        <v>0</v>
      </c>
      <c r="AD18" s="135">
        <v>0</v>
      </c>
      <c r="AE18" s="135">
        <v>0</v>
      </c>
      <c r="AF18" s="130">
        <v>2</v>
      </c>
      <c r="AG18" s="131">
        <v>2</v>
      </c>
    </row>
    <row r="19" spans="1:33">
      <c r="A19" s="1733">
        <v>18</v>
      </c>
      <c r="B19" s="118" t="s">
        <v>43</v>
      </c>
      <c r="C19" s="124">
        <v>2</v>
      </c>
      <c r="D19" s="124">
        <v>2</v>
      </c>
      <c r="E19" s="124">
        <v>5</v>
      </c>
      <c r="F19" s="124">
        <v>5</v>
      </c>
      <c r="G19" s="124">
        <v>3</v>
      </c>
      <c r="H19" s="124">
        <v>3</v>
      </c>
      <c r="I19" s="124">
        <v>2</v>
      </c>
      <c r="J19" s="124">
        <v>2</v>
      </c>
      <c r="K19" s="124">
        <v>1</v>
      </c>
      <c r="L19" s="124">
        <v>3</v>
      </c>
      <c r="M19" s="124">
        <v>3</v>
      </c>
      <c r="N19" s="130">
        <v>2</v>
      </c>
      <c r="O19" s="130">
        <v>2</v>
      </c>
      <c r="P19" s="125">
        <v>2</v>
      </c>
      <c r="Q19" s="125">
        <v>2</v>
      </c>
      <c r="R19" s="125">
        <v>4</v>
      </c>
      <c r="S19" s="125">
        <v>5</v>
      </c>
      <c r="T19" s="125">
        <v>2</v>
      </c>
      <c r="U19" s="125">
        <v>3</v>
      </c>
      <c r="V19" s="125">
        <v>3</v>
      </c>
      <c r="W19" s="125">
        <v>3</v>
      </c>
      <c r="X19" s="122">
        <v>2</v>
      </c>
      <c r="Y19" s="122">
        <v>3</v>
      </c>
      <c r="Z19" s="122">
        <v>4</v>
      </c>
      <c r="AA19" s="122">
        <v>5</v>
      </c>
      <c r="AB19" s="122">
        <v>2</v>
      </c>
      <c r="AC19" s="122">
        <v>2</v>
      </c>
      <c r="AD19" s="122">
        <v>3</v>
      </c>
      <c r="AE19" s="122">
        <v>3</v>
      </c>
      <c r="AF19" s="124">
        <v>2</v>
      </c>
      <c r="AG19" s="131">
        <v>4</v>
      </c>
    </row>
    <row r="20" spans="1:33">
      <c r="A20" s="1733">
        <v>19</v>
      </c>
      <c r="B20" s="118" t="s">
        <v>44</v>
      </c>
      <c r="C20" s="124">
        <v>4</v>
      </c>
      <c r="D20" s="124">
        <v>5</v>
      </c>
      <c r="E20" s="124">
        <v>2</v>
      </c>
      <c r="F20" s="124">
        <v>2</v>
      </c>
      <c r="G20" s="124">
        <v>3</v>
      </c>
      <c r="H20" s="124">
        <v>4</v>
      </c>
      <c r="I20" s="124">
        <v>2</v>
      </c>
      <c r="J20" s="124">
        <v>2</v>
      </c>
      <c r="K20" s="124">
        <v>4</v>
      </c>
      <c r="L20" s="124">
        <v>3</v>
      </c>
      <c r="M20" s="124">
        <v>3</v>
      </c>
      <c r="N20" s="130">
        <v>2</v>
      </c>
      <c r="O20" s="130">
        <v>3</v>
      </c>
      <c r="P20" s="125">
        <v>4</v>
      </c>
      <c r="Q20" s="125">
        <v>5</v>
      </c>
      <c r="R20" s="125">
        <v>2</v>
      </c>
      <c r="S20" s="125">
        <v>2</v>
      </c>
      <c r="T20" s="125">
        <v>2</v>
      </c>
      <c r="U20" s="125">
        <v>2</v>
      </c>
      <c r="V20" s="125">
        <v>3</v>
      </c>
      <c r="W20" s="125">
        <v>3</v>
      </c>
      <c r="X20" s="122">
        <v>5</v>
      </c>
      <c r="Y20" s="122">
        <v>5</v>
      </c>
      <c r="Z20" s="122">
        <v>2</v>
      </c>
      <c r="AA20" s="122">
        <v>2</v>
      </c>
      <c r="AB20" s="122">
        <v>2</v>
      </c>
      <c r="AC20" s="122">
        <v>2</v>
      </c>
      <c r="AD20" s="122">
        <v>3</v>
      </c>
      <c r="AE20" s="122">
        <v>3</v>
      </c>
      <c r="AF20" s="124">
        <v>3</v>
      </c>
      <c r="AG20" s="131">
        <v>4</v>
      </c>
    </row>
    <row r="21" spans="1:33" ht="15.75" customHeight="1">
      <c r="A21" s="1733">
        <v>20</v>
      </c>
      <c r="B21" s="118" t="s">
        <v>45</v>
      </c>
      <c r="C21" s="124">
        <v>2</v>
      </c>
      <c r="D21" s="124">
        <v>2</v>
      </c>
      <c r="E21" s="124">
        <v>2</v>
      </c>
      <c r="F21" s="124">
        <v>2</v>
      </c>
      <c r="G21" s="124">
        <v>2</v>
      </c>
      <c r="H21" s="124">
        <v>2</v>
      </c>
      <c r="I21" s="124">
        <v>4</v>
      </c>
      <c r="J21" s="124">
        <v>5</v>
      </c>
      <c r="K21" s="124">
        <v>5</v>
      </c>
      <c r="L21" s="124">
        <v>3</v>
      </c>
      <c r="M21" s="124">
        <v>3</v>
      </c>
      <c r="N21" s="130">
        <v>1</v>
      </c>
      <c r="O21" s="130">
        <v>2</v>
      </c>
      <c r="P21" s="125">
        <v>2</v>
      </c>
      <c r="Q21" s="125">
        <v>2</v>
      </c>
      <c r="R21" s="125">
        <v>2</v>
      </c>
      <c r="S21" s="125">
        <v>2</v>
      </c>
      <c r="T21" s="125">
        <v>5</v>
      </c>
      <c r="U21" s="125">
        <v>5</v>
      </c>
      <c r="V21" s="125">
        <v>3</v>
      </c>
      <c r="W21" s="125">
        <v>3</v>
      </c>
      <c r="X21" s="122">
        <v>2</v>
      </c>
      <c r="Y21" s="122">
        <v>3</v>
      </c>
      <c r="Z21" s="122">
        <v>2</v>
      </c>
      <c r="AA21" s="122">
        <v>2</v>
      </c>
      <c r="AB21" s="122">
        <v>4</v>
      </c>
      <c r="AC21" s="122">
        <v>5</v>
      </c>
      <c r="AD21" s="122">
        <v>3</v>
      </c>
      <c r="AE21" s="122">
        <v>3</v>
      </c>
      <c r="AF21" s="124">
        <v>3</v>
      </c>
      <c r="AG21" s="131">
        <v>5</v>
      </c>
    </row>
    <row r="22" spans="1:33">
      <c r="A22" s="1733">
        <v>21</v>
      </c>
      <c r="B22" s="119" t="s">
        <v>46</v>
      </c>
      <c r="C22" s="136">
        <v>450</v>
      </c>
      <c r="D22" s="136">
        <v>585</v>
      </c>
      <c r="E22" s="136">
        <v>715</v>
      </c>
      <c r="F22" s="136">
        <v>750</v>
      </c>
      <c r="G22" s="136">
        <v>475</v>
      </c>
      <c r="H22" s="136">
        <v>610</v>
      </c>
      <c r="I22" s="136">
        <v>500</v>
      </c>
      <c r="J22" s="136">
        <v>650</v>
      </c>
      <c r="K22" s="136">
        <v>650</v>
      </c>
      <c r="L22" s="136">
        <v>585</v>
      </c>
      <c r="M22" s="136">
        <v>720</v>
      </c>
      <c r="N22" s="137">
        <v>350</v>
      </c>
      <c r="O22" s="137">
        <v>420</v>
      </c>
      <c r="P22" s="138">
        <v>1400</v>
      </c>
      <c r="Q22" s="138">
        <v>1820</v>
      </c>
      <c r="R22" s="138">
        <v>2000</v>
      </c>
      <c r="S22" s="138">
        <v>2250</v>
      </c>
      <c r="T22" s="138">
        <v>1700</v>
      </c>
      <c r="U22" s="138">
        <v>1950</v>
      </c>
      <c r="V22" s="138">
        <v>1950</v>
      </c>
      <c r="W22" s="138">
        <v>2400</v>
      </c>
      <c r="X22" s="139">
        <v>4290</v>
      </c>
      <c r="Y22" s="139">
        <v>4290</v>
      </c>
      <c r="Z22" s="139">
        <v>4500</v>
      </c>
      <c r="AA22" s="139">
        <v>6000</v>
      </c>
      <c r="AB22" s="139">
        <v>3500</v>
      </c>
      <c r="AC22" s="139">
        <v>4550</v>
      </c>
      <c r="AD22" s="139">
        <v>4550</v>
      </c>
      <c r="AE22" s="139">
        <v>5600</v>
      </c>
      <c r="AF22" s="136">
        <v>8000</v>
      </c>
      <c r="AG22" s="131">
        <v>10000</v>
      </c>
    </row>
    <row r="23" spans="1:33">
      <c r="A23" s="1733">
        <v>22</v>
      </c>
      <c r="B23" s="119" t="s">
        <v>47</v>
      </c>
      <c r="C23" s="136">
        <v>2.5</v>
      </c>
      <c r="D23" s="136">
        <v>4.5</v>
      </c>
      <c r="E23" s="136">
        <v>5.5</v>
      </c>
      <c r="F23" s="136">
        <v>5.5</v>
      </c>
      <c r="G23" s="136">
        <v>2.5</v>
      </c>
      <c r="H23" s="136">
        <v>5</v>
      </c>
      <c r="I23" s="136">
        <v>3</v>
      </c>
      <c r="J23" s="136">
        <v>5</v>
      </c>
      <c r="K23" s="136">
        <v>5</v>
      </c>
      <c r="L23" s="136">
        <v>4.5</v>
      </c>
      <c r="M23" s="136">
        <v>5.25</v>
      </c>
      <c r="N23" s="137">
        <v>3</v>
      </c>
      <c r="O23" s="137">
        <v>3.6</v>
      </c>
      <c r="P23" s="138">
        <v>7.8</v>
      </c>
      <c r="Q23" s="138">
        <v>14</v>
      </c>
      <c r="R23" s="138">
        <v>8.9</v>
      </c>
      <c r="S23" s="138">
        <v>16</v>
      </c>
      <c r="T23" s="138">
        <v>15</v>
      </c>
      <c r="U23" s="138">
        <v>15</v>
      </c>
      <c r="V23" s="138">
        <v>15</v>
      </c>
      <c r="W23" s="138">
        <v>17.5</v>
      </c>
      <c r="X23" s="139">
        <v>33</v>
      </c>
      <c r="Y23" s="139">
        <v>33</v>
      </c>
      <c r="Z23" s="139">
        <v>20.6</v>
      </c>
      <c r="AA23" s="139">
        <v>37</v>
      </c>
      <c r="AB23" s="139">
        <v>19.04</v>
      </c>
      <c r="AC23" s="139">
        <v>35</v>
      </c>
      <c r="AD23" s="139">
        <v>35</v>
      </c>
      <c r="AE23" s="139">
        <v>40</v>
      </c>
      <c r="AF23" s="136">
        <v>40</v>
      </c>
      <c r="AG23" s="131">
        <v>50</v>
      </c>
    </row>
    <row r="24" spans="1:33">
      <c r="A24" s="1733">
        <v>23</v>
      </c>
      <c r="B24" s="119" t="s">
        <v>48</v>
      </c>
      <c r="C24" s="136">
        <v>4500</v>
      </c>
      <c r="D24" s="136">
        <v>9000</v>
      </c>
      <c r="E24" s="136">
        <v>11000</v>
      </c>
      <c r="F24" s="136">
        <v>11000</v>
      </c>
      <c r="G24" s="136">
        <v>4500</v>
      </c>
      <c r="H24" s="136">
        <v>9000</v>
      </c>
      <c r="I24" s="136">
        <v>5000</v>
      </c>
      <c r="J24" s="136">
        <v>10000</v>
      </c>
      <c r="K24" s="136">
        <v>10000</v>
      </c>
      <c r="L24" s="136">
        <v>9000</v>
      </c>
      <c r="M24" s="136">
        <v>9000</v>
      </c>
      <c r="N24" s="137">
        <v>3500</v>
      </c>
      <c r="O24" s="137">
        <v>4200</v>
      </c>
      <c r="P24" s="138">
        <v>14000</v>
      </c>
      <c r="Q24" s="138">
        <v>28000</v>
      </c>
      <c r="R24" s="138">
        <v>16000</v>
      </c>
      <c r="S24" s="138">
        <v>32000</v>
      </c>
      <c r="T24" s="138">
        <v>30000</v>
      </c>
      <c r="U24" s="138">
        <v>30000</v>
      </c>
      <c r="V24" s="138">
        <v>30000</v>
      </c>
      <c r="W24" s="138">
        <v>30000</v>
      </c>
      <c r="X24" s="139">
        <v>66000</v>
      </c>
      <c r="Y24" s="139">
        <v>66000</v>
      </c>
      <c r="Z24" s="139">
        <v>37000</v>
      </c>
      <c r="AA24" s="139">
        <v>74000</v>
      </c>
      <c r="AB24" s="139">
        <v>35000</v>
      </c>
      <c r="AC24" s="139">
        <v>70000</v>
      </c>
      <c r="AD24" s="139">
        <v>70000</v>
      </c>
      <c r="AE24" s="139">
        <v>70000</v>
      </c>
      <c r="AF24" s="136">
        <v>100000</v>
      </c>
      <c r="AG24" s="131">
        <v>150000</v>
      </c>
    </row>
    <row r="25" spans="1:33">
      <c r="A25" s="1733">
        <v>24</v>
      </c>
      <c r="B25" s="119" t="s">
        <v>49</v>
      </c>
      <c r="C25" s="125">
        <v>5</v>
      </c>
      <c r="D25" s="125">
        <v>5</v>
      </c>
      <c r="E25" s="125">
        <v>10</v>
      </c>
      <c r="F25" s="125">
        <v>10</v>
      </c>
      <c r="G25" s="125">
        <v>5</v>
      </c>
      <c r="H25" s="125">
        <v>5</v>
      </c>
      <c r="I25" s="125">
        <v>5</v>
      </c>
      <c r="J25" s="125">
        <v>5</v>
      </c>
      <c r="K25" s="125">
        <v>5</v>
      </c>
      <c r="L25" s="125">
        <v>5</v>
      </c>
      <c r="M25" s="125">
        <v>5</v>
      </c>
      <c r="N25" s="134">
        <v>0</v>
      </c>
      <c r="O25" s="134">
        <v>0</v>
      </c>
      <c r="P25" s="122">
        <v>25</v>
      </c>
      <c r="Q25" s="122">
        <v>25</v>
      </c>
      <c r="R25" s="122">
        <v>30</v>
      </c>
      <c r="S25" s="122">
        <v>30</v>
      </c>
      <c r="T25" s="122">
        <v>25</v>
      </c>
      <c r="U25" s="122">
        <v>25</v>
      </c>
      <c r="V25" s="122">
        <v>25</v>
      </c>
      <c r="W25" s="122">
        <v>25</v>
      </c>
      <c r="X25" s="124">
        <v>40</v>
      </c>
      <c r="Y25" s="124">
        <v>40</v>
      </c>
      <c r="Z25" s="124">
        <v>45</v>
      </c>
      <c r="AA25" s="124">
        <v>45</v>
      </c>
      <c r="AB25" s="124">
        <v>40</v>
      </c>
      <c r="AC25" s="124">
        <v>40</v>
      </c>
      <c r="AD25" s="124">
        <v>40</v>
      </c>
      <c r="AE25" s="124">
        <v>40</v>
      </c>
      <c r="AF25" s="125">
        <v>40</v>
      </c>
      <c r="AG25" s="131">
        <v>40</v>
      </c>
    </row>
    <row r="26" spans="1:33">
      <c r="A26" s="1733">
        <v>25</v>
      </c>
      <c r="B26" s="119" t="s">
        <v>50</v>
      </c>
      <c r="C26" s="125">
        <v>80</v>
      </c>
      <c r="D26" s="125">
        <v>80</v>
      </c>
      <c r="E26" s="125">
        <v>120</v>
      </c>
      <c r="F26" s="125">
        <v>120</v>
      </c>
      <c r="G26" s="125">
        <v>80</v>
      </c>
      <c r="H26" s="125">
        <v>80</v>
      </c>
      <c r="I26" s="125">
        <v>100</v>
      </c>
      <c r="J26" s="125">
        <v>100</v>
      </c>
      <c r="K26" s="125">
        <v>100</v>
      </c>
      <c r="L26" s="125">
        <v>80</v>
      </c>
      <c r="M26" s="125">
        <v>80</v>
      </c>
      <c r="N26" s="134">
        <v>60</v>
      </c>
      <c r="O26" s="134">
        <v>60</v>
      </c>
      <c r="P26" s="122">
        <v>80</v>
      </c>
      <c r="Q26" s="122">
        <v>80</v>
      </c>
      <c r="R26" s="122">
        <v>120</v>
      </c>
      <c r="S26" s="122">
        <v>120</v>
      </c>
      <c r="T26" s="122">
        <v>100</v>
      </c>
      <c r="U26" s="122">
        <v>100</v>
      </c>
      <c r="V26" s="122">
        <v>100</v>
      </c>
      <c r="W26" s="122">
        <v>100</v>
      </c>
      <c r="X26" s="124">
        <v>80</v>
      </c>
      <c r="Y26" s="124">
        <v>80</v>
      </c>
      <c r="Z26" s="124">
        <v>120</v>
      </c>
      <c r="AA26" s="124">
        <v>120</v>
      </c>
      <c r="AB26" s="124">
        <v>100</v>
      </c>
      <c r="AC26" s="124">
        <v>100</v>
      </c>
      <c r="AD26" s="124">
        <v>100</v>
      </c>
      <c r="AE26" s="124">
        <v>100</v>
      </c>
      <c r="AF26" s="125">
        <v>150</v>
      </c>
      <c r="AG26" s="131">
        <v>150</v>
      </c>
    </row>
    <row r="27" spans="1:33" ht="15.75" customHeight="1">
      <c r="A27" s="1733">
        <v>26</v>
      </c>
      <c r="B27" s="519" t="s">
        <v>768</v>
      </c>
      <c r="C27" s="329">
        <v>510</v>
      </c>
      <c r="D27" s="329">
        <v>510</v>
      </c>
      <c r="E27" s="329">
        <v>490</v>
      </c>
      <c r="F27" s="329">
        <v>490</v>
      </c>
      <c r="G27" s="329">
        <v>510</v>
      </c>
      <c r="H27" s="329">
        <v>510</v>
      </c>
      <c r="I27" s="329">
        <v>500</v>
      </c>
      <c r="J27" s="329">
        <v>500</v>
      </c>
      <c r="K27" s="329">
        <v>500</v>
      </c>
      <c r="L27" s="329">
        <v>510</v>
      </c>
      <c r="M27" s="329">
        <v>510</v>
      </c>
      <c r="N27" s="330">
        <v>520</v>
      </c>
      <c r="O27" s="330">
        <v>520</v>
      </c>
      <c r="P27" s="122">
        <v>265</v>
      </c>
      <c r="Q27" s="122">
        <v>265</v>
      </c>
      <c r="R27" s="122">
        <v>235</v>
      </c>
      <c r="S27" s="122">
        <v>235</v>
      </c>
      <c r="T27" s="122">
        <v>250</v>
      </c>
      <c r="U27" s="122">
        <v>250</v>
      </c>
      <c r="V27" s="122">
        <v>250</v>
      </c>
      <c r="W27" s="122">
        <v>250</v>
      </c>
      <c r="X27" s="124">
        <v>70</v>
      </c>
      <c r="Y27" s="124">
        <v>70</v>
      </c>
      <c r="Z27" s="124">
        <v>30</v>
      </c>
      <c r="AA27" s="124">
        <v>30</v>
      </c>
      <c r="AB27" s="124">
        <v>50</v>
      </c>
      <c r="AC27" s="124">
        <v>50</v>
      </c>
      <c r="AD27" s="124">
        <v>50</v>
      </c>
      <c r="AE27" s="124">
        <v>50</v>
      </c>
      <c r="AF27" s="522">
        <v>20</v>
      </c>
      <c r="AG27" s="131">
        <v>20</v>
      </c>
    </row>
    <row r="28" spans="1:33" ht="30">
      <c r="A28" s="1733">
        <v>27</v>
      </c>
      <c r="B28" s="520" t="s">
        <v>769</v>
      </c>
      <c r="C28" s="328">
        <v>52</v>
      </c>
      <c r="D28" s="122">
        <v>55</v>
      </c>
      <c r="E28" s="122">
        <v>45</v>
      </c>
      <c r="F28" s="122">
        <v>45</v>
      </c>
      <c r="G28" s="122">
        <v>50</v>
      </c>
      <c r="H28" s="122">
        <v>50</v>
      </c>
      <c r="I28" s="122">
        <v>47.5</v>
      </c>
      <c r="J28" s="122">
        <v>47.5</v>
      </c>
      <c r="K28" s="122">
        <v>47.5</v>
      </c>
      <c r="L28" s="122">
        <v>50</v>
      </c>
      <c r="M28" s="122">
        <v>50</v>
      </c>
      <c r="N28" s="135">
        <v>53</v>
      </c>
      <c r="O28" s="135">
        <v>65.650000000000006</v>
      </c>
      <c r="P28" s="124">
        <v>25</v>
      </c>
      <c r="Q28" s="124">
        <v>25</v>
      </c>
      <c r="R28" s="124">
        <v>20</v>
      </c>
      <c r="S28" s="124">
        <v>20</v>
      </c>
      <c r="T28" s="124">
        <v>22.5</v>
      </c>
      <c r="U28" s="124">
        <v>22.5</v>
      </c>
      <c r="V28" s="124">
        <v>25</v>
      </c>
      <c r="W28" s="124">
        <v>25</v>
      </c>
      <c r="X28" s="125">
        <v>10</v>
      </c>
      <c r="Y28" s="125">
        <v>10</v>
      </c>
      <c r="Z28" s="125">
        <v>8</v>
      </c>
      <c r="AA28" s="125">
        <v>8</v>
      </c>
      <c r="AB28" s="125">
        <v>9</v>
      </c>
      <c r="AC28" s="125">
        <v>9</v>
      </c>
      <c r="AD28" s="125">
        <v>10</v>
      </c>
      <c r="AE28" s="125">
        <v>10</v>
      </c>
      <c r="AF28" s="122">
        <v>8</v>
      </c>
      <c r="AG28" s="131">
        <v>8</v>
      </c>
    </row>
    <row r="29" spans="1:33" ht="30">
      <c r="A29" s="1733">
        <v>28</v>
      </c>
      <c r="B29" s="520" t="s">
        <v>770</v>
      </c>
      <c r="C29" s="122">
        <v>55</v>
      </c>
      <c r="D29" s="122">
        <v>55</v>
      </c>
      <c r="E29" s="122">
        <v>45</v>
      </c>
      <c r="F29" s="122">
        <v>45</v>
      </c>
      <c r="G29" s="122">
        <v>55</v>
      </c>
      <c r="H29" s="122">
        <v>55</v>
      </c>
      <c r="I29" s="122">
        <v>47.5</v>
      </c>
      <c r="J29" s="122">
        <v>47.5</v>
      </c>
      <c r="K29" s="122">
        <v>47.5</v>
      </c>
      <c r="L29" s="122">
        <v>55</v>
      </c>
      <c r="M29" s="122">
        <v>55</v>
      </c>
      <c r="N29" s="135">
        <v>82.5</v>
      </c>
      <c r="O29" s="135">
        <v>82.5</v>
      </c>
      <c r="P29" s="124">
        <v>25</v>
      </c>
      <c r="Q29" s="124">
        <v>25</v>
      </c>
      <c r="R29" s="124">
        <v>20</v>
      </c>
      <c r="S29" s="124">
        <v>20</v>
      </c>
      <c r="T29" s="124">
        <v>22.5</v>
      </c>
      <c r="U29" s="124">
        <v>22.5</v>
      </c>
      <c r="V29" s="124">
        <v>25</v>
      </c>
      <c r="W29" s="124">
        <v>25</v>
      </c>
      <c r="X29" s="125">
        <v>10</v>
      </c>
      <c r="Y29" s="125">
        <v>10</v>
      </c>
      <c r="Z29" s="125">
        <v>8</v>
      </c>
      <c r="AA29" s="125">
        <v>8</v>
      </c>
      <c r="AB29" s="125">
        <v>9</v>
      </c>
      <c r="AC29" s="125">
        <v>9</v>
      </c>
      <c r="AD29" s="125">
        <v>10</v>
      </c>
      <c r="AE29" s="125">
        <v>10</v>
      </c>
      <c r="AF29" s="122">
        <v>9</v>
      </c>
      <c r="AG29" s="131">
        <v>9</v>
      </c>
    </row>
    <row r="30" spans="1:33">
      <c r="A30" s="1733">
        <v>29</v>
      </c>
      <c r="B30" s="520" t="s">
        <v>53</v>
      </c>
      <c r="C30" s="122">
        <v>12</v>
      </c>
      <c r="D30" s="122">
        <v>16.2</v>
      </c>
      <c r="E30" s="122">
        <v>8</v>
      </c>
      <c r="F30" s="122">
        <v>8</v>
      </c>
      <c r="G30" s="122">
        <v>12</v>
      </c>
      <c r="H30" s="122">
        <v>12</v>
      </c>
      <c r="I30" s="122">
        <v>10</v>
      </c>
      <c r="J30" s="122">
        <v>10</v>
      </c>
      <c r="K30" s="122">
        <v>10</v>
      </c>
      <c r="L30" s="122">
        <v>12</v>
      </c>
      <c r="M30" s="122">
        <v>12</v>
      </c>
      <c r="N30" s="135">
        <v>13</v>
      </c>
      <c r="O30" s="135">
        <v>15</v>
      </c>
      <c r="P30" s="124">
        <v>5</v>
      </c>
      <c r="Q30" s="124">
        <v>5</v>
      </c>
      <c r="R30" s="124">
        <v>4</v>
      </c>
      <c r="S30" s="124">
        <v>4</v>
      </c>
      <c r="T30" s="124">
        <v>5</v>
      </c>
      <c r="U30" s="124">
        <v>5</v>
      </c>
      <c r="V30" s="124">
        <v>5</v>
      </c>
      <c r="W30" s="124">
        <v>5</v>
      </c>
      <c r="X30" s="125">
        <v>2.5</v>
      </c>
      <c r="Y30" s="125">
        <v>2.5</v>
      </c>
      <c r="Z30" s="125">
        <v>1.5</v>
      </c>
      <c r="AA30" s="125">
        <v>1.5</v>
      </c>
      <c r="AB30" s="125">
        <v>2</v>
      </c>
      <c r="AC30" s="125">
        <v>2</v>
      </c>
      <c r="AD30" s="125">
        <v>2</v>
      </c>
      <c r="AE30" s="125">
        <v>2</v>
      </c>
      <c r="AF30" s="122">
        <v>3</v>
      </c>
      <c r="AG30" s="131">
        <v>3</v>
      </c>
    </row>
    <row r="31" spans="1:33">
      <c r="A31" s="1733">
        <v>30</v>
      </c>
      <c r="B31" s="520" t="s">
        <v>771</v>
      </c>
      <c r="C31" s="122">
        <v>55</v>
      </c>
      <c r="D31" s="122">
        <v>60</v>
      </c>
      <c r="E31" s="122">
        <v>50</v>
      </c>
      <c r="F31" s="122">
        <v>50</v>
      </c>
      <c r="G31" s="122">
        <v>55</v>
      </c>
      <c r="H31" s="122">
        <v>55</v>
      </c>
      <c r="I31" s="122">
        <v>52.5</v>
      </c>
      <c r="J31" s="122">
        <v>52.5</v>
      </c>
      <c r="K31" s="122">
        <v>52.5</v>
      </c>
      <c r="L31" s="122">
        <v>55</v>
      </c>
      <c r="M31" s="122">
        <v>55</v>
      </c>
      <c r="N31" s="135">
        <v>70</v>
      </c>
      <c r="O31" s="135">
        <v>85</v>
      </c>
      <c r="P31" s="124">
        <v>40</v>
      </c>
      <c r="Q31" s="124">
        <v>40</v>
      </c>
      <c r="R31" s="124">
        <v>35</v>
      </c>
      <c r="S31" s="124">
        <v>35</v>
      </c>
      <c r="T31" s="124">
        <v>37.5</v>
      </c>
      <c r="U31" s="124">
        <v>37.5</v>
      </c>
      <c r="V31" s="124">
        <v>40</v>
      </c>
      <c r="W31" s="124">
        <v>40</v>
      </c>
      <c r="X31" s="125">
        <v>30</v>
      </c>
      <c r="Y31" s="125">
        <v>30</v>
      </c>
      <c r="Z31" s="125">
        <v>25</v>
      </c>
      <c r="AA31" s="125">
        <v>25</v>
      </c>
      <c r="AB31" s="125">
        <v>27.5</v>
      </c>
      <c r="AC31" s="125">
        <v>27.5</v>
      </c>
      <c r="AD31" s="125">
        <v>30</v>
      </c>
      <c r="AE31" s="125">
        <v>30</v>
      </c>
      <c r="AF31" s="122">
        <v>18</v>
      </c>
      <c r="AG31" s="131">
        <v>20</v>
      </c>
    </row>
    <row r="32" spans="1:33" ht="30">
      <c r="A32" s="1733">
        <v>31</v>
      </c>
      <c r="B32" s="520" t="s">
        <v>772</v>
      </c>
      <c r="C32" s="122">
        <v>90</v>
      </c>
      <c r="D32" s="122">
        <f>110</f>
        <v>110</v>
      </c>
      <c r="E32" s="122">
        <v>75</v>
      </c>
      <c r="F32" s="122">
        <v>75</v>
      </c>
      <c r="G32" s="122">
        <v>80</v>
      </c>
      <c r="H32" s="122">
        <v>80</v>
      </c>
      <c r="I32" s="122">
        <v>77.5</v>
      </c>
      <c r="J32" s="122">
        <v>77.5</v>
      </c>
      <c r="K32" s="122">
        <v>77.5</v>
      </c>
      <c r="L32" s="122">
        <v>85</v>
      </c>
      <c r="M32" s="122">
        <v>85</v>
      </c>
      <c r="N32" s="135">
        <v>90</v>
      </c>
      <c r="O32" s="135">
        <v>110</v>
      </c>
      <c r="P32" s="124">
        <v>60</v>
      </c>
      <c r="Q32" s="124">
        <v>60</v>
      </c>
      <c r="R32" s="124">
        <v>55</v>
      </c>
      <c r="S32" s="124">
        <v>55</v>
      </c>
      <c r="T32" s="124">
        <v>57.5</v>
      </c>
      <c r="U32" s="124">
        <v>57.5</v>
      </c>
      <c r="V32" s="124">
        <v>60</v>
      </c>
      <c r="W32" s="124">
        <v>60</v>
      </c>
      <c r="X32" s="125">
        <v>45</v>
      </c>
      <c r="Y32" s="125">
        <v>45</v>
      </c>
      <c r="Z32" s="125">
        <v>40</v>
      </c>
      <c r="AA32" s="125">
        <v>40</v>
      </c>
      <c r="AB32" s="125">
        <v>42.5</v>
      </c>
      <c r="AC32" s="125">
        <v>42.5</v>
      </c>
      <c r="AD32" s="125">
        <v>45</v>
      </c>
      <c r="AE32" s="125">
        <v>45</v>
      </c>
      <c r="AF32" s="122">
        <v>30</v>
      </c>
      <c r="AG32" s="131">
        <v>35</v>
      </c>
    </row>
    <row r="33" spans="1:33" ht="15.75" customHeight="1">
      <c r="A33" s="1733">
        <v>32</v>
      </c>
      <c r="B33" s="140" t="s">
        <v>56</v>
      </c>
      <c r="C33" s="122">
        <v>0.5</v>
      </c>
      <c r="D33" s="122">
        <v>0.5</v>
      </c>
      <c r="E33" s="122">
        <v>0.7</v>
      </c>
      <c r="F33" s="122">
        <v>0.7</v>
      </c>
      <c r="G33" s="122">
        <v>0.5</v>
      </c>
      <c r="H33" s="122">
        <v>0.5</v>
      </c>
      <c r="I33" s="122">
        <v>0.6</v>
      </c>
      <c r="J33" s="122">
        <v>0.6</v>
      </c>
      <c r="K33" s="122">
        <v>0.6</v>
      </c>
      <c r="L33" s="122">
        <v>0.75</v>
      </c>
      <c r="M33" s="122">
        <v>0.75</v>
      </c>
      <c r="N33" s="135">
        <v>0.5</v>
      </c>
      <c r="O33" s="135">
        <v>0.5</v>
      </c>
      <c r="P33" s="124">
        <v>1.5</v>
      </c>
      <c r="Q33" s="124">
        <v>1.5</v>
      </c>
      <c r="R33" s="124">
        <v>2.1</v>
      </c>
      <c r="S33" s="124">
        <v>2.1</v>
      </c>
      <c r="T33" s="124">
        <v>1.8</v>
      </c>
      <c r="U33" s="124">
        <v>1.8</v>
      </c>
      <c r="V33" s="124">
        <v>2.7</v>
      </c>
      <c r="W33" s="124">
        <v>2.7</v>
      </c>
      <c r="X33" s="125">
        <v>4.5</v>
      </c>
      <c r="Y33" s="125">
        <v>4.5</v>
      </c>
      <c r="Z33" s="125">
        <v>6.3</v>
      </c>
      <c r="AA33" s="125">
        <v>6.3</v>
      </c>
      <c r="AB33" s="125">
        <v>5.4</v>
      </c>
      <c r="AC33" s="125">
        <v>5.4</v>
      </c>
      <c r="AD33" s="125">
        <v>8.1</v>
      </c>
      <c r="AE33" s="125">
        <v>8.1</v>
      </c>
      <c r="AF33" s="122">
        <v>18</v>
      </c>
      <c r="AG33" s="131">
        <v>25</v>
      </c>
    </row>
    <row r="34" spans="1:33">
      <c r="A34" s="1733">
        <v>33</v>
      </c>
      <c r="B34" s="141" t="s">
        <v>57</v>
      </c>
      <c r="C34" s="124">
        <v>4.5</v>
      </c>
      <c r="D34" s="124">
        <v>4.5</v>
      </c>
      <c r="E34" s="124">
        <v>5</v>
      </c>
      <c r="F34" s="124">
        <v>5</v>
      </c>
      <c r="G34" s="124">
        <v>4.5</v>
      </c>
      <c r="H34" s="124">
        <v>4.5</v>
      </c>
      <c r="I34" s="124">
        <v>5.5</v>
      </c>
      <c r="J34" s="124">
        <v>5.5</v>
      </c>
      <c r="K34" s="124">
        <v>6.75</v>
      </c>
      <c r="L34" s="124">
        <v>4.5</v>
      </c>
      <c r="M34" s="124">
        <v>4.5</v>
      </c>
      <c r="N34" s="130">
        <v>5.25</v>
      </c>
      <c r="O34" s="130">
        <v>5.75</v>
      </c>
      <c r="P34" s="125">
        <v>6.75</v>
      </c>
      <c r="Q34" s="125">
        <v>6.75</v>
      </c>
      <c r="R34" s="125">
        <v>7.5</v>
      </c>
      <c r="S34" s="125">
        <v>7.5</v>
      </c>
      <c r="T34" s="125">
        <v>8.25</v>
      </c>
      <c r="U34" s="125">
        <v>8.25</v>
      </c>
      <c r="V34" s="125">
        <v>7.5</v>
      </c>
      <c r="W34" s="125">
        <v>7.5</v>
      </c>
      <c r="X34" s="122">
        <v>9</v>
      </c>
      <c r="Y34" s="122">
        <v>9</v>
      </c>
      <c r="Z34" s="122">
        <v>10</v>
      </c>
      <c r="AA34" s="122">
        <v>10</v>
      </c>
      <c r="AB34" s="122">
        <v>11</v>
      </c>
      <c r="AC34" s="122">
        <v>11</v>
      </c>
      <c r="AD34" s="122">
        <v>10</v>
      </c>
      <c r="AE34" s="122">
        <v>10</v>
      </c>
      <c r="AF34" s="124">
        <v>12</v>
      </c>
      <c r="AG34" s="131">
        <v>12</v>
      </c>
    </row>
    <row r="35" spans="1:33">
      <c r="A35" s="1733">
        <v>34</v>
      </c>
      <c r="B35" s="141" t="s">
        <v>58</v>
      </c>
      <c r="C35" s="124">
        <v>15</v>
      </c>
      <c r="D35" s="124">
        <v>15</v>
      </c>
      <c r="E35" s="124">
        <v>15</v>
      </c>
      <c r="F35" s="124">
        <v>15</v>
      </c>
      <c r="G35" s="124">
        <v>15</v>
      </c>
      <c r="H35" s="124">
        <v>15</v>
      </c>
      <c r="I35" s="124">
        <v>15</v>
      </c>
      <c r="J35" s="124">
        <v>15</v>
      </c>
      <c r="K35" s="124">
        <v>12.5</v>
      </c>
      <c r="L35" s="124">
        <v>15</v>
      </c>
      <c r="M35" s="124">
        <v>15</v>
      </c>
      <c r="N35" s="130">
        <v>15</v>
      </c>
      <c r="O35" s="130">
        <v>15</v>
      </c>
      <c r="P35" s="125">
        <v>20</v>
      </c>
      <c r="Q35" s="125">
        <v>20</v>
      </c>
      <c r="R35" s="125">
        <v>20</v>
      </c>
      <c r="S35" s="125">
        <v>20</v>
      </c>
      <c r="T35" s="125">
        <v>20</v>
      </c>
      <c r="U35" s="125">
        <v>20</v>
      </c>
      <c r="V35" s="125">
        <v>20</v>
      </c>
      <c r="W35" s="125">
        <v>20</v>
      </c>
      <c r="X35" s="122">
        <v>25</v>
      </c>
      <c r="Y35" s="122">
        <v>25</v>
      </c>
      <c r="Z35" s="122">
        <v>25</v>
      </c>
      <c r="AA35" s="122">
        <v>25</v>
      </c>
      <c r="AB35" s="122">
        <v>25</v>
      </c>
      <c r="AC35" s="122">
        <v>25</v>
      </c>
      <c r="AD35" s="122">
        <v>25</v>
      </c>
      <c r="AE35" s="122">
        <v>25</v>
      </c>
      <c r="AF35" s="124">
        <v>30</v>
      </c>
      <c r="AG35" s="131">
        <v>45</v>
      </c>
    </row>
    <row r="36" spans="1:33">
      <c r="A36" s="1733">
        <v>35</v>
      </c>
      <c r="B36" s="141" t="s">
        <v>59</v>
      </c>
      <c r="C36" s="124">
        <v>20</v>
      </c>
      <c r="D36" s="124">
        <v>20</v>
      </c>
      <c r="E36" s="124">
        <v>30</v>
      </c>
      <c r="F36" s="124">
        <v>30</v>
      </c>
      <c r="G36" s="124">
        <v>30</v>
      </c>
      <c r="H36" s="124">
        <v>30</v>
      </c>
      <c r="I36" s="124">
        <v>30</v>
      </c>
      <c r="J36" s="124">
        <v>30</v>
      </c>
      <c r="K36" s="124">
        <v>30</v>
      </c>
      <c r="L36" s="124">
        <v>30</v>
      </c>
      <c r="M36" s="124">
        <v>30</v>
      </c>
      <c r="N36" s="130">
        <v>20</v>
      </c>
      <c r="O36" s="130">
        <v>20</v>
      </c>
      <c r="P36" s="125">
        <v>80</v>
      </c>
      <c r="Q36" s="125">
        <v>80</v>
      </c>
      <c r="R36" s="125">
        <v>80</v>
      </c>
      <c r="S36" s="125">
        <v>80</v>
      </c>
      <c r="T36" s="125">
        <v>80</v>
      </c>
      <c r="U36" s="125">
        <v>80</v>
      </c>
      <c r="V36" s="125">
        <v>80</v>
      </c>
      <c r="W36" s="125">
        <v>80</v>
      </c>
      <c r="X36" s="122">
        <v>250</v>
      </c>
      <c r="Y36" s="122">
        <v>250</v>
      </c>
      <c r="Z36" s="122">
        <v>250</v>
      </c>
      <c r="AA36" s="122">
        <v>250</v>
      </c>
      <c r="AB36" s="122">
        <v>250</v>
      </c>
      <c r="AC36" s="122">
        <v>250</v>
      </c>
      <c r="AD36" s="122">
        <v>250</v>
      </c>
      <c r="AE36" s="122">
        <v>250</v>
      </c>
      <c r="AF36" s="124">
        <v>600</v>
      </c>
      <c r="AG36" s="131">
        <v>800</v>
      </c>
    </row>
    <row r="37" spans="1:33" ht="15.75" customHeight="1">
      <c r="A37" s="1733">
        <v>36</v>
      </c>
      <c r="B37" s="141" t="s">
        <v>60</v>
      </c>
      <c r="C37" s="124">
        <v>0</v>
      </c>
      <c r="D37" s="124">
        <v>0</v>
      </c>
      <c r="E37" s="124">
        <v>0</v>
      </c>
      <c r="F37" s="124">
        <v>0</v>
      </c>
      <c r="G37" s="124">
        <v>0</v>
      </c>
      <c r="H37" s="124">
        <v>0</v>
      </c>
      <c r="I37" s="124">
        <v>75</v>
      </c>
      <c r="J37" s="124">
        <v>50</v>
      </c>
      <c r="K37" s="124">
        <v>25</v>
      </c>
      <c r="L37" s="124">
        <v>0</v>
      </c>
      <c r="M37" s="124">
        <v>0</v>
      </c>
      <c r="N37" s="130"/>
      <c r="O37" s="130"/>
      <c r="P37" s="125">
        <v>0</v>
      </c>
      <c r="Q37" s="125">
        <v>0</v>
      </c>
      <c r="R37" s="125">
        <v>0</v>
      </c>
      <c r="S37" s="125">
        <v>0</v>
      </c>
      <c r="T37" s="125">
        <v>200</v>
      </c>
      <c r="U37" s="125">
        <v>200</v>
      </c>
      <c r="V37" s="125">
        <v>0</v>
      </c>
      <c r="W37" s="125">
        <v>0</v>
      </c>
      <c r="X37" s="122">
        <v>0</v>
      </c>
      <c r="Y37" s="122">
        <v>0</v>
      </c>
      <c r="Z37" s="122">
        <v>0</v>
      </c>
      <c r="AA37" s="122">
        <v>0</v>
      </c>
      <c r="AB37" s="122">
        <v>500</v>
      </c>
      <c r="AC37" s="122">
        <v>500</v>
      </c>
      <c r="AD37" s="122">
        <v>0</v>
      </c>
      <c r="AE37" s="122">
        <v>0</v>
      </c>
      <c r="AF37" s="124">
        <v>0</v>
      </c>
      <c r="AG37" s="131">
        <v>0</v>
      </c>
    </row>
    <row r="38" spans="1:33">
      <c r="A38" s="1733">
        <v>37</v>
      </c>
      <c r="B38" s="142" t="s">
        <v>62</v>
      </c>
      <c r="C38" s="125">
        <v>100</v>
      </c>
      <c r="D38" s="125">
        <v>150</v>
      </c>
      <c r="E38" s="125">
        <v>150</v>
      </c>
      <c r="F38" s="125">
        <v>150</v>
      </c>
      <c r="G38" s="125">
        <v>100</v>
      </c>
      <c r="H38" s="125">
        <v>150</v>
      </c>
      <c r="I38" s="125">
        <v>150</v>
      </c>
      <c r="J38" s="125">
        <v>175</v>
      </c>
      <c r="K38" s="125">
        <v>200</v>
      </c>
      <c r="L38" s="125">
        <v>150</v>
      </c>
      <c r="M38" s="125">
        <v>150</v>
      </c>
      <c r="N38" s="134">
        <v>120</v>
      </c>
      <c r="O38" s="134">
        <v>150</v>
      </c>
      <c r="P38" s="122">
        <v>200</v>
      </c>
      <c r="Q38" s="122">
        <v>300</v>
      </c>
      <c r="R38" s="122">
        <v>200</v>
      </c>
      <c r="S38" s="122">
        <v>300</v>
      </c>
      <c r="T38" s="122">
        <v>300</v>
      </c>
      <c r="U38" s="122">
        <v>350</v>
      </c>
      <c r="V38" s="122">
        <v>300</v>
      </c>
      <c r="W38" s="122">
        <v>300</v>
      </c>
      <c r="X38" s="124">
        <v>750</v>
      </c>
      <c r="Y38" s="124">
        <v>750</v>
      </c>
      <c r="Z38" s="124">
        <v>500</v>
      </c>
      <c r="AA38" s="124">
        <v>750</v>
      </c>
      <c r="AB38" s="124">
        <v>650</v>
      </c>
      <c r="AC38" s="124">
        <v>900</v>
      </c>
      <c r="AD38" s="124">
        <v>750</v>
      </c>
      <c r="AE38" s="124">
        <v>750</v>
      </c>
      <c r="AF38" s="125">
        <v>1000</v>
      </c>
      <c r="AG38" s="131">
        <v>1500</v>
      </c>
    </row>
    <row r="39" spans="1:33">
      <c r="A39" s="1733">
        <v>38</v>
      </c>
      <c r="B39" s="142" t="s">
        <v>63</v>
      </c>
      <c r="C39" s="125">
        <v>5</v>
      </c>
      <c r="D39" s="125">
        <v>5</v>
      </c>
      <c r="E39" s="125">
        <v>5</v>
      </c>
      <c r="F39" s="125">
        <v>5</v>
      </c>
      <c r="G39" s="125">
        <v>5</v>
      </c>
      <c r="H39" s="125">
        <v>5</v>
      </c>
      <c r="I39" s="125">
        <v>5.5</v>
      </c>
      <c r="J39" s="125">
        <v>5.5</v>
      </c>
      <c r="K39" s="125">
        <v>6</v>
      </c>
      <c r="L39" s="125">
        <v>5</v>
      </c>
      <c r="M39" s="125">
        <v>6</v>
      </c>
      <c r="N39" s="134">
        <v>3</v>
      </c>
      <c r="O39" s="134">
        <v>3.6</v>
      </c>
      <c r="P39" s="122">
        <v>10</v>
      </c>
      <c r="Q39" s="122">
        <v>10</v>
      </c>
      <c r="R39" s="122">
        <v>10</v>
      </c>
      <c r="S39" s="122">
        <v>10</v>
      </c>
      <c r="T39" s="122">
        <v>12</v>
      </c>
      <c r="U39" s="122">
        <v>15</v>
      </c>
      <c r="V39" s="122">
        <v>10</v>
      </c>
      <c r="W39" s="122">
        <v>12</v>
      </c>
      <c r="X39" s="124">
        <v>25</v>
      </c>
      <c r="Y39" s="124">
        <v>25</v>
      </c>
      <c r="Z39" s="124">
        <v>25</v>
      </c>
      <c r="AA39" s="124">
        <v>25</v>
      </c>
      <c r="AB39" s="124">
        <v>28</v>
      </c>
      <c r="AC39" s="124">
        <v>30</v>
      </c>
      <c r="AD39" s="124">
        <v>25</v>
      </c>
      <c r="AE39" s="124">
        <v>30</v>
      </c>
      <c r="AF39" s="125">
        <v>40</v>
      </c>
      <c r="AG39" s="131">
        <v>55</v>
      </c>
    </row>
    <row r="40" spans="1:33">
      <c r="A40" s="1733">
        <v>39</v>
      </c>
      <c r="B40" s="142" t="s">
        <v>64</v>
      </c>
      <c r="C40" s="125">
        <v>100</v>
      </c>
      <c r="D40" s="125">
        <v>100</v>
      </c>
      <c r="E40" s="125">
        <v>150</v>
      </c>
      <c r="F40" s="125">
        <v>150</v>
      </c>
      <c r="G40" s="125">
        <v>100</v>
      </c>
      <c r="H40" s="125">
        <v>100</v>
      </c>
      <c r="I40" s="125">
        <v>200</v>
      </c>
      <c r="J40" s="125">
        <v>200</v>
      </c>
      <c r="K40" s="125">
        <v>200</v>
      </c>
      <c r="L40" s="125">
        <v>100</v>
      </c>
      <c r="M40" s="125">
        <v>100</v>
      </c>
      <c r="N40" s="134">
        <v>100</v>
      </c>
      <c r="O40" s="134">
        <v>100</v>
      </c>
      <c r="P40" s="122">
        <v>100</v>
      </c>
      <c r="Q40" s="122">
        <v>100</v>
      </c>
      <c r="R40" s="122">
        <v>150</v>
      </c>
      <c r="S40" s="122">
        <v>150</v>
      </c>
      <c r="T40" s="122">
        <v>200</v>
      </c>
      <c r="U40" s="122">
        <v>200</v>
      </c>
      <c r="V40" s="122">
        <v>150</v>
      </c>
      <c r="W40" s="122">
        <v>150</v>
      </c>
      <c r="X40" s="124">
        <v>100</v>
      </c>
      <c r="Y40" s="124">
        <v>100</v>
      </c>
      <c r="Z40" s="124">
        <v>150</v>
      </c>
      <c r="AA40" s="124">
        <v>150</v>
      </c>
      <c r="AB40" s="124">
        <v>200</v>
      </c>
      <c r="AC40" s="124">
        <v>200</v>
      </c>
      <c r="AD40" s="124">
        <v>150</v>
      </c>
      <c r="AE40" s="124">
        <v>150</v>
      </c>
      <c r="AF40" s="125">
        <v>240</v>
      </c>
      <c r="AG40" s="131">
        <v>240</v>
      </c>
    </row>
    <row r="41" spans="1:33">
      <c r="A41" s="1733">
        <v>40</v>
      </c>
      <c r="B41" s="1737" t="s">
        <v>65</v>
      </c>
      <c r="C41" s="134">
        <v>100</v>
      </c>
      <c r="D41" s="134">
        <v>100</v>
      </c>
      <c r="E41" s="134">
        <v>150</v>
      </c>
      <c r="F41" s="134">
        <v>150</v>
      </c>
      <c r="G41" s="134">
        <v>100</v>
      </c>
      <c r="H41" s="134">
        <v>100</v>
      </c>
      <c r="I41" s="134">
        <v>200</v>
      </c>
      <c r="J41" s="134">
        <v>200</v>
      </c>
      <c r="K41" s="134">
        <v>200</v>
      </c>
      <c r="L41" s="134">
        <v>100</v>
      </c>
      <c r="M41" s="134">
        <v>100</v>
      </c>
      <c r="N41" s="134">
        <v>100</v>
      </c>
      <c r="O41" s="134">
        <v>100</v>
      </c>
      <c r="P41" s="135">
        <v>100</v>
      </c>
      <c r="Q41" s="135">
        <v>100</v>
      </c>
      <c r="R41" s="135">
        <v>150</v>
      </c>
      <c r="S41" s="135">
        <v>150</v>
      </c>
      <c r="T41" s="135">
        <v>200</v>
      </c>
      <c r="U41" s="135">
        <v>200</v>
      </c>
      <c r="V41" s="135">
        <v>150</v>
      </c>
      <c r="W41" s="135">
        <v>150</v>
      </c>
      <c r="X41" s="130">
        <v>100</v>
      </c>
      <c r="Y41" s="130">
        <v>100</v>
      </c>
      <c r="Z41" s="130">
        <v>150</v>
      </c>
      <c r="AA41" s="130">
        <v>150</v>
      </c>
      <c r="AB41" s="130">
        <v>200</v>
      </c>
      <c r="AC41" s="130">
        <v>200</v>
      </c>
      <c r="AD41" s="130">
        <v>150</v>
      </c>
      <c r="AE41" s="130">
        <v>150</v>
      </c>
      <c r="AF41" s="134">
        <v>240</v>
      </c>
      <c r="AG41" s="131">
        <v>240</v>
      </c>
    </row>
    <row r="42" spans="1:33" ht="15.75" customHeight="1">
      <c r="A42" s="1733">
        <v>41</v>
      </c>
      <c r="B42" s="1737" t="s">
        <v>66</v>
      </c>
      <c r="C42" s="134">
        <v>2000</v>
      </c>
      <c r="D42" s="134">
        <v>2000</v>
      </c>
      <c r="E42" s="134">
        <v>2500</v>
      </c>
      <c r="F42" s="134">
        <v>2500</v>
      </c>
      <c r="G42" s="134">
        <v>2000</v>
      </c>
      <c r="H42" s="134">
        <v>2000</v>
      </c>
      <c r="I42" s="134">
        <v>3000</v>
      </c>
      <c r="J42" s="134">
        <v>3000</v>
      </c>
      <c r="K42" s="134">
        <v>4000</v>
      </c>
      <c r="L42" s="134">
        <v>2000</v>
      </c>
      <c r="M42" s="134">
        <v>2000</v>
      </c>
      <c r="N42" s="134">
        <v>2250</v>
      </c>
      <c r="O42" s="134">
        <v>2750</v>
      </c>
      <c r="P42" s="135">
        <v>2500</v>
      </c>
      <c r="Q42" s="135">
        <v>2500</v>
      </c>
      <c r="R42" s="135">
        <v>3000</v>
      </c>
      <c r="S42" s="135">
        <v>3000</v>
      </c>
      <c r="T42" s="135">
        <v>3500</v>
      </c>
      <c r="U42" s="135">
        <v>3500</v>
      </c>
      <c r="V42" s="135">
        <v>3000</v>
      </c>
      <c r="W42" s="135">
        <v>3000</v>
      </c>
      <c r="X42" s="130">
        <v>3000</v>
      </c>
      <c r="Y42" s="130">
        <v>3000</v>
      </c>
      <c r="Z42" s="130">
        <v>3500</v>
      </c>
      <c r="AA42" s="130">
        <v>3500</v>
      </c>
      <c r="AB42" s="130">
        <v>4000</v>
      </c>
      <c r="AC42" s="130">
        <v>4000</v>
      </c>
      <c r="AD42" s="130">
        <v>3500</v>
      </c>
      <c r="AE42" s="130">
        <v>3500</v>
      </c>
      <c r="AF42" s="134">
        <v>4500</v>
      </c>
      <c r="AG42" s="131">
        <v>5000</v>
      </c>
    </row>
    <row r="43" spans="1:33" ht="15.75" customHeight="1">
      <c r="A43" s="1733">
        <v>42</v>
      </c>
      <c r="B43" s="1738" t="s">
        <v>655</v>
      </c>
      <c r="C43" s="134">
        <v>200</v>
      </c>
      <c r="D43" s="134">
        <v>200</v>
      </c>
      <c r="E43" s="134">
        <v>250</v>
      </c>
      <c r="F43" s="134">
        <v>250</v>
      </c>
      <c r="G43" s="134">
        <v>200</v>
      </c>
      <c r="H43" s="134">
        <v>200</v>
      </c>
      <c r="I43" s="134">
        <v>500</v>
      </c>
      <c r="J43" s="134">
        <v>500</v>
      </c>
      <c r="K43" s="134">
        <v>600</v>
      </c>
      <c r="L43" s="134">
        <v>200</v>
      </c>
      <c r="M43" s="134">
        <v>200</v>
      </c>
      <c r="N43" s="134">
        <v>225</v>
      </c>
      <c r="O43" s="134">
        <v>225</v>
      </c>
      <c r="P43" s="135">
        <v>250</v>
      </c>
      <c r="Q43" s="135">
        <v>250</v>
      </c>
      <c r="R43" s="135">
        <v>300</v>
      </c>
      <c r="S43" s="135">
        <v>300</v>
      </c>
      <c r="T43" s="135">
        <v>750</v>
      </c>
      <c r="U43" s="135">
        <v>750</v>
      </c>
      <c r="V43" s="135">
        <v>300</v>
      </c>
      <c r="W43" s="135">
        <v>300</v>
      </c>
      <c r="X43" s="130">
        <v>300</v>
      </c>
      <c r="Y43" s="130">
        <v>300</v>
      </c>
      <c r="Z43" s="130">
        <v>350</v>
      </c>
      <c r="AA43" s="130">
        <v>350</v>
      </c>
      <c r="AB43" s="130">
        <v>1000</v>
      </c>
      <c r="AC43" s="130">
        <v>1000</v>
      </c>
      <c r="AD43" s="130">
        <v>350</v>
      </c>
      <c r="AE43" s="130">
        <v>350</v>
      </c>
      <c r="AF43" s="134">
        <v>1750</v>
      </c>
      <c r="AG43" s="131">
        <v>1750</v>
      </c>
    </row>
    <row r="44" spans="1:33" ht="15.75" customHeight="1">
      <c r="B44" s="1735"/>
      <c r="C44" s="1735"/>
      <c r="D44" s="1735"/>
      <c r="E44" s="1735"/>
      <c r="F44" s="1736"/>
      <c r="G44" s="1736"/>
      <c r="H44" s="1736"/>
      <c r="I44" s="1736"/>
      <c r="J44" s="1736"/>
      <c r="K44" s="1736"/>
      <c r="L44" s="1736"/>
      <c r="M44" s="1736"/>
      <c r="N44" s="1736"/>
      <c r="O44" s="1736"/>
      <c r="P44" s="1736"/>
      <c r="Q44" s="1736"/>
      <c r="R44" s="1736"/>
      <c r="S44" s="1736"/>
      <c r="T44" s="1736"/>
      <c r="U44" s="1736"/>
      <c r="V44" s="1736"/>
      <c r="W44" s="1735"/>
      <c r="X44" s="1735"/>
      <c r="Y44" s="1735"/>
      <c r="Z44" s="1735"/>
      <c r="AA44" s="1735"/>
      <c r="AB44" s="1735"/>
      <c r="AC44" s="1735"/>
      <c r="AD44" s="1735"/>
      <c r="AE44" s="1735"/>
      <c r="AF44" s="1735"/>
    </row>
    <row r="45" spans="1:33" ht="21" customHeight="1">
      <c r="B45" s="144"/>
      <c r="C45" s="144"/>
      <c r="D45" s="144"/>
      <c r="E45" s="145"/>
      <c r="F45" s="1844" t="s">
        <v>887</v>
      </c>
      <c r="G45" s="1845"/>
      <c r="H45" s="1845"/>
      <c r="I45" s="1845"/>
      <c r="J45" s="1837" t="str">
        <f>HYPERLINK("mailto:bgo.eacy@gmail.com","EaCy")</f>
        <v>EaCy</v>
      </c>
      <c r="K45" s="1839" t="s">
        <v>886</v>
      </c>
      <c r="L45" s="1839"/>
      <c r="M45" s="1839"/>
      <c r="N45" s="1837" t="str">
        <f>HYPERLINK("http://eu1.battlestar-galactica.bigpoint.com/?lang=en","BSGO")</f>
        <v>BSGO</v>
      </c>
      <c r="O45" s="723"/>
      <c r="P45" s="724"/>
      <c r="Q45" s="724"/>
      <c r="R45" s="724"/>
      <c r="S45" s="724"/>
      <c r="T45" s="724"/>
      <c r="U45" s="724"/>
      <c r="V45" s="725"/>
      <c r="W45" s="146"/>
      <c r="X45" s="147"/>
      <c r="Y45" s="147"/>
      <c r="Z45" s="148"/>
      <c r="AA45" s="148"/>
      <c r="AB45" s="148"/>
      <c r="AC45" s="148"/>
      <c r="AD45" s="148"/>
      <c r="AE45" s="148"/>
      <c r="AF45" s="144"/>
    </row>
    <row r="46" spans="1:33" ht="21">
      <c r="B46" s="144"/>
      <c r="C46" s="144"/>
      <c r="D46" s="149"/>
      <c r="E46" s="145"/>
      <c r="F46" s="1846"/>
      <c r="G46" s="1845"/>
      <c r="H46" s="1845"/>
      <c r="I46" s="1845"/>
      <c r="J46" s="1838"/>
      <c r="K46" s="1840"/>
      <c r="L46" s="1840"/>
      <c r="M46" s="1840"/>
      <c r="N46" s="1838"/>
      <c r="O46" s="726"/>
      <c r="P46" s="727"/>
      <c r="Q46" s="727"/>
      <c r="R46" s="727"/>
      <c r="S46" s="727"/>
      <c r="T46" s="727"/>
      <c r="U46" s="727"/>
      <c r="V46" s="728"/>
      <c r="W46" s="146"/>
      <c r="X46" s="147"/>
      <c r="Y46" s="147"/>
      <c r="Z46" s="148"/>
      <c r="AA46" s="148"/>
      <c r="AB46" s="148"/>
      <c r="AC46" s="148"/>
      <c r="AD46" s="148"/>
      <c r="AE46" s="148"/>
      <c r="AF46" s="144"/>
    </row>
    <row r="47" spans="1:33" hidden="1">
      <c r="B47" s="144"/>
      <c r="C47" s="144"/>
      <c r="D47" s="144"/>
      <c r="E47" s="144"/>
      <c r="F47" s="143"/>
      <c r="G47" s="143"/>
      <c r="H47" s="143"/>
      <c r="I47" s="143"/>
      <c r="J47" s="143"/>
      <c r="K47" s="143"/>
      <c r="L47" s="143"/>
      <c r="M47" s="143"/>
      <c r="N47" s="150"/>
      <c r="O47" s="150"/>
      <c r="P47" s="143"/>
      <c r="Q47" s="143"/>
      <c r="R47" s="143"/>
      <c r="S47" s="143"/>
      <c r="T47" s="143"/>
      <c r="U47" s="143"/>
      <c r="V47" s="143"/>
      <c r="W47" s="144"/>
      <c r="X47" s="144"/>
      <c r="Y47" s="144"/>
      <c r="Z47" s="144"/>
      <c r="AA47" s="144"/>
      <c r="AB47" s="144"/>
      <c r="AC47" s="144"/>
      <c r="AD47" s="144"/>
      <c r="AE47" s="144"/>
      <c r="AF47" s="144"/>
    </row>
    <row r="48" spans="1:33" ht="31.5" hidden="1">
      <c r="B48" s="112" t="s">
        <v>368</v>
      </c>
      <c r="C48" s="164">
        <v>1</v>
      </c>
      <c r="D48" s="1627" t="s">
        <v>1166</v>
      </c>
      <c r="F48" s="112" t="s">
        <v>368</v>
      </c>
      <c r="G48" s="144"/>
      <c r="H48" s="110" t="s">
        <v>533</v>
      </c>
      <c r="I48" s="144"/>
      <c r="J48" s="111" t="s">
        <v>501</v>
      </c>
      <c r="K48" s="144"/>
      <c r="L48" s="108" t="s">
        <v>526</v>
      </c>
      <c r="M48" s="144"/>
      <c r="N48" s="1629" t="str">
        <f>IF(calculateur2!$D$2=1,'Ships Table'!F48,IF(calculateur2!$D$2=2,'Ships Table'!H48,IF(calculateur2!$D$2=3,'Ships Table'!J48,'Ships Table'!L48)))</f>
        <v>Viper MK-II / Raider</v>
      </c>
      <c r="O48" s="1630"/>
      <c r="P48" s="1627" t="s">
        <v>1167</v>
      </c>
      <c r="R48" s="1627" t="s">
        <v>1167</v>
      </c>
      <c r="S48" s="144" t="str">
        <f>IF(calculateur2!$H$7=401,'Ships Table'!P48,'Ships Table'!R48)</f>
        <v>Base</v>
      </c>
      <c r="T48" s="144"/>
      <c r="U48" s="144"/>
      <c r="V48" s="144"/>
      <c r="W48" s="144"/>
      <c r="X48" s="144"/>
      <c r="Y48" s="144"/>
      <c r="Z48" s="144"/>
      <c r="AA48" s="144"/>
      <c r="AB48" s="144"/>
      <c r="AC48" s="144"/>
      <c r="AD48" s="144"/>
      <c r="AE48" s="144"/>
      <c r="AF48" s="144"/>
    </row>
    <row r="49" spans="2:32" ht="31.5" hidden="1">
      <c r="B49" s="109" t="s">
        <v>383</v>
      </c>
      <c r="C49" s="164">
        <v>2</v>
      </c>
      <c r="D49" s="1628" t="s">
        <v>721</v>
      </c>
      <c r="F49" s="109" t="s">
        <v>383</v>
      </c>
      <c r="G49" s="144"/>
      <c r="H49" s="110" t="s">
        <v>536</v>
      </c>
      <c r="I49" s="144"/>
      <c r="J49" s="111" t="s">
        <v>575</v>
      </c>
      <c r="K49" s="144"/>
      <c r="L49" s="108" t="s">
        <v>526</v>
      </c>
      <c r="M49" s="144"/>
      <c r="N49" s="1629" t="str">
        <f>IF(calculateur2!$D$2=1,'Ships Table'!F49,IF(calculateur2!$D$2=2,'Ships Table'!H49,IF(calculateur2!$D$2=3,'Ships Table'!J49,'Ships Table'!L49)))</f>
        <v>Rhino / Marauder</v>
      </c>
      <c r="O49" s="1630"/>
      <c r="P49" s="1627" t="s">
        <v>1168</v>
      </c>
      <c r="Q49" s="144"/>
      <c r="R49" s="1627" t="s">
        <v>1168</v>
      </c>
      <c r="S49" s="144" t="str">
        <f>IF(calculateur2!$H$7=401,'Ships Table'!P49,'Ships Table'!R49)</f>
        <v>Avancé</v>
      </c>
      <c r="T49" s="144"/>
      <c r="U49" s="144"/>
      <c r="V49" s="144"/>
      <c r="W49" s="144"/>
      <c r="X49" s="144"/>
      <c r="Y49" s="144"/>
      <c r="Z49" s="144"/>
      <c r="AA49" s="144"/>
      <c r="AB49" s="144"/>
      <c r="AC49" s="144"/>
      <c r="AD49" s="144"/>
      <c r="AE49" s="144"/>
      <c r="AF49" s="144"/>
    </row>
    <row r="50" spans="2:32" ht="31.5" hidden="1">
      <c r="B50" s="109" t="s">
        <v>377</v>
      </c>
      <c r="C50" s="164">
        <v>3</v>
      </c>
      <c r="D50" s="1628" t="s">
        <v>722</v>
      </c>
      <c r="F50" s="109" t="s">
        <v>377</v>
      </c>
      <c r="G50" s="144"/>
      <c r="H50" s="110" t="s">
        <v>538</v>
      </c>
      <c r="I50" s="144"/>
      <c r="J50" s="111" t="s">
        <v>578</v>
      </c>
      <c r="K50" s="144"/>
      <c r="L50" s="108" t="s">
        <v>526</v>
      </c>
      <c r="M50" s="144"/>
      <c r="N50" s="1629" t="str">
        <f>IF(calculateur2!$D$2=1,'Ships Table'!F50,IF(calculateur2!$D$2=2,'Ships Table'!H50,IF(calculateur2!$D$2=3,'Ships Table'!J50,'Ships Table'!L50)))</f>
        <v>Viper MK-III / Raider MK-II</v>
      </c>
      <c r="O50" s="1630"/>
      <c r="P50" s="1627" t="s">
        <v>656</v>
      </c>
      <c r="Q50" s="144"/>
      <c r="R50" s="1627" t="s">
        <v>1168</v>
      </c>
      <c r="S50" s="144" t="str">
        <f>IF(calculateur2!$H$7=401,'Ships Table'!P50,'Ships Table'!R50)</f>
        <v>Avancé</v>
      </c>
      <c r="T50" s="144"/>
      <c r="U50" s="144"/>
      <c r="V50" s="144"/>
      <c r="W50" s="144"/>
      <c r="X50" s="144"/>
      <c r="Y50" s="144"/>
      <c r="Z50" s="144"/>
      <c r="AA50" s="144"/>
      <c r="AB50" s="144"/>
      <c r="AC50" s="144"/>
      <c r="AD50" s="144"/>
      <c r="AE50" s="144"/>
      <c r="AF50" s="144"/>
    </row>
    <row r="51" spans="2:32" ht="31.5" hidden="1">
      <c r="B51" s="109" t="s">
        <v>649</v>
      </c>
      <c r="C51" s="164">
        <v>4</v>
      </c>
      <c r="D51" s="1628" t="s">
        <v>112</v>
      </c>
      <c r="F51" s="109" t="s">
        <v>649</v>
      </c>
      <c r="G51" s="144"/>
      <c r="H51" s="110" t="s">
        <v>453</v>
      </c>
      <c r="I51" s="144"/>
      <c r="J51" s="111" t="s">
        <v>580</v>
      </c>
      <c r="K51" s="144"/>
      <c r="L51" s="108" t="s">
        <v>526</v>
      </c>
      <c r="M51" s="144"/>
      <c r="N51" s="1629" t="str">
        <f>IF(calculateur2!$D$2=1,'Ships Table'!F51,IF(calculateur2!$D$2=2,'Ships Table'!H51,IF(calculateur2!$D$2=3,'Ships Table'!J51,'Ships Table'!L51)))</f>
        <v xml:space="preserve">Raptor/Heavy </v>
      </c>
      <c r="O51" s="1630"/>
      <c r="P51" s="144"/>
      <c r="Q51" s="144"/>
      <c r="R51" s="144"/>
      <c r="S51" s="144"/>
      <c r="T51" s="144"/>
      <c r="U51" s="144"/>
      <c r="V51" s="144"/>
      <c r="W51" s="144"/>
      <c r="X51" s="144"/>
      <c r="Y51" s="144"/>
      <c r="Z51" s="144"/>
      <c r="AA51" s="144"/>
      <c r="AB51" s="144"/>
      <c r="AC51" s="144"/>
      <c r="AD51" s="144"/>
      <c r="AE51" s="144"/>
      <c r="AF51" s="144"/>
    </row>
    <row r="52" spans="2:32" ht="31.5" hidden="1">
      <c r="B52" s="109" t="s">
        <v>365</v>
      </c>
      <c r="C52" s="164">
        <v>5</v>
      </c>
      <c r="F52" s="109" t="s">
        <v>365</v>
      </c>
      <c r="G52" s="144"/>
      <c r="H52" s="110" t="s">
        <v>453</v>
      </c>
      <c r="I52" s="144"/>
      <c r="J52" s="111" t="s">
        <v>580</v>
      </c>
      <c r="K52" s="144"/>
      <c r="L52" s="108" t="s">
        <v>526</v>
      </c>
      <c r="M52" s="144"/>
      <c r="N52" s="1629" t="str">
        <f>IF(calculateur2!$D$2=1,'Ships Table'!F52,IF(calculateur2!$D$2=2,'Ships Table'!H52,IF(calculateur2!$D$2=3,'Ships Table'!J52,'Ships Table'!L52)))</f>
        <v>Viper MK-VII / War Raider</v>
      </c>
      <c r="O52" s="1630"/>
      <c r="P52" s="144"/>
      <c r="Q52" s="144"/>
      <c r="R52" s="144"/>
      <c r="S52" s="144"/>
      <c r="T52" s="144"/>
      <c r="U52" s="144"/>
      <c r="V52" s="144"/>
      <c r="W52" s="144"/>
      <c r="X52" s="144"/>
      <c r="Y52" s="144"/>
      <c r="Z52" s="144"/>
      <c r="AA52" s="144"/>
      <c r="AB52" s="144"/>
      <c r="AC52" s="144"/>
      <c r="AD52" s="144"/>
      <c r="AE52" s="144"/>
      <c r="AF52" s="144"/>
    </row>
    <row r="53" spans="2:32" ht="45" hidden="1">
      <c r="B53" s="163" t="s">
        <v>756</v>
      </c>
      <c r="C53" s="164">
        <v>6</v>
      </c>
      <c r="F53" s="163" t="s">
        <v>756</v>
      </c>
      <c r="G53" s="144"/>
      <c r="H53" s="110" t="s">
        <v>453</v>
      </c>
      <c r="I53" s="144"/>
      <c r="J53" s="111" t="s">
        <v>580</v>
      </c>
      <c r="K53" s="144"/>
      <c r="L53" s="108" t="s">
        <v>526</v>
      </c>
      <c r="M53" s="144"/>
      <c r="N53" s="1629" t="str">
        <f>IF(calculateur2!$D$2=1,'Ships Table'!F53,IF(calculateur2!$D$2=2,'Ships Table'!H53,IF(calculateur2!$D$2=3,'Ships Table'!J53,'Ships Table'!L53)))</f>
        <v>Raven MK IV-R/A / Malefactor R</v>
      </c>
      <c r="O53" s="1630"/>
      <c r="P53" s="144"/>
      <c r="Q53" s="144"/>
      <c r="R53" s="144"/>
      <c r="S53" s="144"/>
      <c r="T53" s="144"/>
      <c r="U53" s="144"/>
      <c r="V53" s="144"/>
      <c r="W53" s="144"/>
      <c r="X53" s="144"/>
      <c r="Y53" s="144"/>
      <c r="Z53" s="144"/>
      <c r="AA53" s="144"/>
      <c r="AB53" s="144"/>
      <c r="AC53" s="144"/>
      <c r="AD53" s="144"/>
      <c r="AE53" s="144"/>
      <c r="AF53" s="144"/>
    </row>
    <row r="54" spans="2:32" ht="15.75" hidden="1">
      <c r="B54" s="110" t="s">
        <v>533</v>
      </c>
      <c r="C54" s="164">
        <v>7</v>
      </c>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row>
    <row r="55" spans="2:32" ht="15.75" hidden="1">
      <c r="B55" s="110" t="s">
        <v>536</v>
      </c>
      <c r="C55" s="164">
        <v>8</v>
      </c>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row>
    <row r="56" spans="2:32" ht="15.75" hidden="1">
      <c r="B56" s="110" t="s">
        <v>538</v>
      </c>
      <c r="C56" s="164">
        <v>9</v>
      </c>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row>
    <row r="57" spans="2:32" ht="15.75" hidden="1">
      <c r="B57" s="110" t="s">
        <v>453</v>
      </c>
      <c r="C57" s="164">
        <v>10</v>
      </c>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row>
    <row r="58" spans="2:32" ht="15.75" hidden="1">
      <c r="B58" s="111" t="s">
        <v>501</v>
      </c>
      <c r="C58" s="164">
        <v>11</v>
      </c>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row>
    <row r="59" spans="2:32" ht="15.75" hidden="1">
      <c r="B59" s="111" t="s">
        <v>575</v>
      </c>
      <c r="C59" s="164">
        <v>12</v>
      </c>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row>
    <row r="60" spans="2:32" ht="15.75" hidden="1">
      <c r="B60" s="111" t="s">
        <v>578</v>
      </c>
      <c r="C60" s="164">
        <v>13</v>
      </c>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row>
    <row r="61" spans="2:32" ht="15.75" hidden="1">
      <c r="B61" s="111" t="s">
        <v>580</v>
      </c>
      <c r="C61" s="164">
        <v>14</v>
      </c>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row>
    <row r="62" spans="2:32" ht="15.75" hidden="1">
      <c r="B62" s="108" t="s">
        <v>526</v>
      </c>
      <c r="C62" s="164">
        <v>15</v>
      </c>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row>
    <row r="63" spans="2:32" hidden="1">
      <c r="B63" s="144"/>
      <c r="C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row>
    <row r="64" spans="2:32" hidden="1">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row>
    <row r="65" spans="2:32" hidden="1">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row>
    <row r="66" spans="2:32">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row>
    <row r="67" spans="2:32">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row>
  </sheetData>
  <sheetProtection selectLockedCells="1"/>
  <mergeCells count="9">
    <mergeCell ref="X1:AE1"/>
    <mergeCell ref="AF1:AG1"/>
    <mergeCell ref="N45:N46"/>
    <mergeCell ref="K45:M46"/>
    <mergeCell ref="B3:B5"/>
    <mergeCell ref="F45:I46"/>
    <mergeCell ref="J45:J46"/>
    <mergeCell ref="C1:O1"/>
    <mergeCell ref="P1:W1"/>
  </mergeCells>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sheetPr codeName="Feuil3"/>
  <dimension ref="A1:FC137"/>
  <sheetViews>
    <sheetView showGridLines="0" topLeftCell="I1" zoomScaleNormal="100" workbookViewId="0">
      <selection activeCell="A98" sqref="A98:XFD137"/>
    </sheetView>
  </sheetViews>
  <sheetFormatPr baseColWidth="10" defaultColWidth="8.7109375" defaultRowHeight="15" customHeight="1"/>
  <cols>
    <col min="1" max="1" width="8.7109375" style="368"/>
    <col min="2" max="2" width="8.7109375" style="173" hidden="1" customWidth="1"/>
    <col min="3" max="3" width="8.7109375" style="1752" hidden="1" customWidth="1"/>
    <col min="4" max="4" width="42.140625" style="92" customWidth="1"/>
    <col min="5" max="5" width="41.7109375" style="92" bestFit="1" customWidth="1"/>
    <col min="6" max="6" width="41.42578125" style="92" bestFit="1" customWidth="1"/>
    <col min="7" max="7" width="26.140625" style="92" bestFit="1" customWidth="1"/>
    <col min="8" max="8" width="23" style="92" bestFit="1" customWidth="1"/>
    <col min="9" max="9" width="42.85546875" style="92" bestFit="1" customWidth="1"/>
    <col min="10" max="14" width="12.7109375" style="92" customWidth="1"/>
    <col min="15" max="15" width="20.140625" style="92" bestFit="1" customWidth="1"/>
    <col min="16" max="16" width="12.7109375" style="92" customWidth="1"/>
    <col min="17" max="17" width="17.42578125" style="1635" bestFit="1" customWidth="1"/>
    <col min="18" max="18" width="14.7109375" style="92" bestFit="1" customWidth="1"/>
    <col min="19" max="19" width="14.7109375" style="92" customWidth="1"/>
    <col min="20" max="20" width="12.28515625" style="92" hidden="1" customWidth="1"/>
    <col min="21" max="28" width="12.140625" style="92" hidden="1" customWidth="1"/>
    <col min="29" max="29" width="16.28515625" style="92" hidden="1" customWidth="1"/>
    <col min="30" max="30" width="15.7109375" style="92" hidden="1" customWidth="1"/>
    <col min="31" max="35" width="12.140625" style="92" hidden="1" customWidth="1"/>
    <col min="36" max="38" width="9.5703125" style="92" hidden="1" customWidth="1"/>
    <col min="39" max="52" width="12.7109375" style="92" hidden="1" customWidth="1"/>
    <col min="53" max="53" width="15.7109375" style="92" hidden="1" customWidth="1"/>
    <col min="54" max="56" width="12.7109375" style="92" hidden="1" customWidth="1"/>
    <col min="57" max="57" width="16.85546875" style="92" hidden="1" customWidth="1"/>
    <col min="58" max="135" width="12.7109375" style="92" hidden="1" customWidth="1"/>
    <col min="136" max="137" width="8.7109375" hidden="1" customWidth="1"/>
    <col min="138" max="149" width="0" hidden="1" customWidth="1"/>
  </cols>
  <sheetData>
    <row r="1" spans="2:135" s="1750" customFormat="1" ht="15" customHeight="1">
      <c r="B1" s="1752"/>
      <c r="C1" s="1752">
        <v>1</v>
      </c>
      <c r="D1" s="1753">
        <v>2</v>
      </c>
      <c r="E1" s="1753">
        <v>3</v>
      </c>
      <c r="F1" s="1753">
        <v>4</v>
      </c>
      <c r="G1" s="1753">
        <v>5</v>
      </c>
      <c r="H1" s="1753">
        <v>6</v>
      </c>
      <c r="I1" s="1753">
        <v>7</v>
      </c>
      <c r="J1" s="1753">
        <v>8</v>
      </c>
      <c r="K1" s="1753">
        <v>9</v>
      </c>
      <c r="L1" s="1753">
        <v>10</v>
      </c>
      <c r="M1" s="1753">
        <v>11</v>
      </c>
      <c r="N1" s="1753">
        <v>12</v>
      </c>
      <c r="O1" s="1753">
        <v>14</v>
      </c>
      <c r="P1" s="1753">
        <v>15</v>
      </c>
      <c r="Q1" s="1754">
        <v>16</v>
      </c>
      <c r="R1" s="1753">
        <v>17</v>
      </c>
      <c r="S1" s="1753">
        <v>18</v>
      </c>
      <c r="T1" s="1753"/>
      <c r="U1" s="1753">
        <f>(V1*U2)/V2</f>
        <v>0.5</v>
      </c>
      <c r="V1" s="1753">
        <v>5</v>
      </c>
      <c r="W1" s="1753"/>
      <c r="X1" s="1753"/>
      <c r="Y1" s="1753"/>
      <c r="Z1" s="1753"/>
      <c r="AA1" s="1753"/>
      <c r="AB1" s="1753"/>
      <c r="AC1" s="1753"/>
      <c r="AD1" s="1753"/>
      <c r="AE1" s="1753"/>
      <c r="AF1" s="1753"/>
      <c r="AG1" s="1753"/>
      <c r="AH1" s="1753"/>
      <c r="AI1" s="1753"/>
      <c r="AJ1" s="1753"/>
      <c r="AK1" s="1753"/>
      <c r="AL1" s="1753"/>
      <c r="AM1" s="1753"/>
      <c r="AN1" s="1753"/>
      <c r="AO1" s="1753"/>
      <c r="AP1" s="1753"/>
      <c r="AQ1" s="1753"/>
      <c r="AR1" s="1753"/>
      <c r="AS1" s="1753"/>
      <c r="AT1" s="1753"/>
      <c r="AU1" s="1753"/>
      <c r="AV1" s="1753"/>
      <c r="AW1" s="1753"/>
      <c r="AX1" s="1753"/>
      <c r="AY1" s="1753"/>
      <c r="AZ1" s="1753"/>
      <c r="BA1" s="1753"/>
      <c r="BB1" s="1753"/>
      <c r="BC1" s="1753"/>
      <c r="BD1" s="1753"/>
      <c r="BE1" s="1753"/>
      <c r="BF1" s="1753"/>
      <c r="BG1" s="1753"/>
      <c r="BH1" s="1753"/>
      <c r="BI1" s="1753"/>
      <c r="BJ1" s="1753"/>
      <c r="BK1" s="1753"/>
      <c r="BL1" s="1753"/>
      <c r="BM1" s="1753"/>
      <c r="BN1" s="1753"/>
      <c r="BO1" s="1753"/>
      <c r="BP1" s="1753"/>
      <c r="BQ1" s="1753"/>
      <c r="BR1" s="1753"/>
      <c r="BS1" s="1753"/>
      <c r="BT1" s="1753"/>
      <c r="BU1" s="1753"/>
      <c r="BV1" s="1753"/>
      <c r="BW1" s="1753"/>
      <c r="BX1" s="1753"/>
      <c r="BY1" s="1753"/>
      <c r="BZ1" s="1753"/>
      <c r="CA1" s="1753"/>
      <c r="CB1" s="1753"/>
      <c r="CC1" s="1753"/>
      <c r="CD1" s="1753"/>
      <c r="CE1" s="1753"/>
      <c r="CF1" s="1753"/>
      <c r="CG1" s="1753"/>
      <c r="CH1" s="1753"/>
      <c r="CI1" s="1753"/>
      <c r="CJ1" s="1753"/>
      <c r="CK1" s="1753"/>
      <c r="CL1" s="1753"/>
      <c r="CM1" s="1753"/>
      <c r="CN1" s="1753"/>
      <c r="CO1" s="1753"/>
      <c r="CP1" s="1753"/>
      <c r="CQ1" s="1753"/>
      <c r="CR1" s="1753"/>
      <c r="CS1" s="1753"/>
      <c r="CT1" s="1753"/>
      <c r="CU1" s="1753"/>
      <c r="CV1" s="1753"/>
      <c r="CW1" s="1753"/>
      <c r="CX1" s="1753"/>
      <c r="CY1" s="1753"/>
      <c r="CZ1" s="1753"/>
      <c r="DA1" s="1753"/>
      <c r="DB1" s="1753"/>
      <c r="DC1" s="1753"/>
      <c r="DD1" s="1753"/>
      <c r="DE1" s="1753"/>
      <c r="DF1" s="1753"/>
      <c r="DG1" s="1753"/>
      <c r="DH1" s="1753"/>
      <c r="DI1" s="1753"/>
      <c r="DJ1" s="1753"/>
      <c r="DK1" s="1753"/>
      <c r="DL1" s="1753"/>
      <c r="DM1" s="1753"/>
      <c r="DN1" s="1753"/>
      <c r="DO1" s="1753"/>
      <c r="DP1" s="1753"/>
      <c r="DQ1" s="1753"/>
      <c r="DR1" s="1753"/>
      <c r="DS1" s="1753"/>
      <c r="DT1" s="1753"/>
      <c r="DU1" s="1753"/>
      <c r="DV1" s="1753"/>
      <c r="DW1" s="1753"/>
      <c r="DX1" s="1753"/>
      <c r="DY1" s="1753"/>
      <c r="DZ1" s="1753"/>
      <c r="EA1" s="1753"/>
      <c r="EB1" s="1753"/>
      <c r="EC1" s="1753"/>
      <c r="ED1" s="1753"/>
      <c r="EE1" s="1753"/>
    </row>
    <row r="2" spans="2:135" ht="24" thickBot="1">
      <c r="D2" s="2514" t="s">
        <v>67</v>
      </c>
      <c r="E2" s="2522" t="s">
        <v>68</v>
      </c>
      <c r="F2" s="2523"/>
      <c r="G2" s="2524" t="s">
        <v>69</v>
      </c>
      <c r="H2" s="2525"/>
      <c r="I2" s="2525"/>
      <c r="J2" s="2525"/>
      <c r="K2" s="2525"/>
      <c r="L2" s="2524"/>
      <c r="M2" s="2526">
        <v>2</v>
      </c>
      <c r="N2" s="2508">
        <v>15</v>
      </c>
      <c r="O2" s="1774"/>
      <c r="P2" s="1775"/>
      <c r="Q2" s="1776"/>
      <c r="R2" s="456"/>
      <c r="S2" s="456"/>
      <c r="U2" s="92">
        <v>10</v>
      </c>
      <c r="V2" s="92">
        <v>100</v>
      </c>
      <c r="AJ2" s="1544"/>
      <c r="BA2" s="10" t="s">
        <v>70</v>
      </c>
      <c r="BO2" s="10" t="s">
        <v>70</v>
      </c>
      <c r="CC2" s="10" t="s">
        <v>70</v>
      </c>
      <c r="CQ2" s="10" t="s">
        <v>70</v>
      </c>
      <c r="DE2" s="10" t="s">
        <v>70</v>
      </c>
      <c r="EE2"/>
    </row>
    <row r="3" spans="2:135" ht="15.75" customHeight="1" thickBot="1">
      <c r="D3" s="2515"/>
      <c r="E3" s="2522"/>
      <c r="F3" s="2523"/>
      <c r="G3" s="2524"/>
      <c r="H3" s="2525"/>
      <c r="I3" s="2525"/>
      <c r="J3" s="2525"/>
      <c r="K3" s="2525"/>
      <c r="L3" s="2524"/>
      <c r="M3" s="2527"/>
      <c r="N3" s="2508"/>
      <c r="O3" s="1777"/>
      <c r="P3" s="1778"/>
      <c r="Q3" s="1776"/>
      <c r="R3" s="456"/>
      <c r="S3" s="456"/>
      <c r="AL3" s="2505" t="s">
        <v>71</v>
      </c>
      <c r="AM3" s="2506"/>
      <c r="AN3" s="2506"/>
      <c r="AO3" s="2506"/>
      <c r="AP3" s="2506"/>
      <c r="AQ3" s="2506"/>
      <c r="AR3" s="2506"/>
      <c r="AS3" s="2506"/>
      <c r="AT3" s="2506"/>
      <c r="AU3" s="2506"/>
      <c r="AV3" s="2506"/>
      <c r="AW3" s="2507"/>
      <c r="BA3" s="10" t="s">
        <v>72</v>
      </c>
      <c r="BB3" s="2505" t="s">
        <v>73</v>
      </c>
      <c r="BC3" s="2506"/>
      <c r="BD3" s="2506"/>
      <c r="BE3" s="2506"/>
      <c r="BF3" s="2506"/>
      <c r="BG3" s="2506"/>
      <c r="BH3" s="2506"/>
      <c r="BI3" s="2506"/>
      <c r="BJ3" s="2506"/>
      <c r="BK3" s="2506"/>
      <c r="BL3" s="2506"/>
      <c r="BM3" s="2507"/>
      <c r="BN3" s="169"/>
      <c r="BO3" s="10" t="s">
        <v>72</v>
      </c>
      <c r="BP3" s="2505" t="s">
        <v>74</v>
      </c>
      <c r="BQ3" s="2506"/>
      <c r="BR3" s="2506"/>
      <c r="BS3" s="2506"/>
      <c r="BT3" s="2506"/>
      <c r="BU3" s="2506"/>
      <c r="BV3" s="2506"/>
      <c r="BW3" s="2506"/>
      <c r="BX3" s="2506"/>
      <c r="BY3" s="2506"/>
      <c r="BZ3" s="2506"/>
      <c r="CA3" s="2507"/>
      <c r="CC3" s="10" t="s">
        <v>72</v>
      </c>
      <c r="CD3" s="2505" t="s">
        <v>75</v>
      </c>
      <c r="CE3" s="2506"/>
      <c r="CF3" s="2506"/>
      <c r="CG3" s="2506"/>
      <c r="CH3" s="2506"/>
      <c r="CI3" s="2506"/>
      <c r="CJ3" s="2506"/>
      <c r="CK3" s="2506"/>
      <c r="CL3" s="2506"/>
      <c r="CM3" s="2506"/>
      <c r="CN3" s="2506"/>
      <c r="CO3" s="2507"/>
      <c r="CQ3" s="10" t="s">
        <v>72</v>
      </c>
      <c r="CR3" s="2505" t="s">
        <v>76</v>
      </c>
      <c r="CS3" s="2506"/>
      <c r="CT3" s="2506"/>
      <c r="CU3" s="2506"/>
      <c r="CV3" s="2506"/>
      <c r="CW3" s="2506"/>
      <c r="CX3" s="2506"/>
      <c r="CY3" s="2506"/>
      <c r="CZ3" s="2506"/>
      <c r="DA3" s="2506"/>
      <c r="DB3" s="2506"/>
      <c r="DC3" s="2507"/>
      <c r="DE3" s="10" t="s">
        <v>72</v>
      </c>
      <c r="DF3" s="2505" t="s">
        <v>77</v>
      </c>
      <c r="DG3" s="2506"/>
      <c r="DH3" s="2506"/>
      <c r="DI3" s="2506"/>
      <c r="DJ3" s="2506"/>
      <c r="DK3" s="2506"/>
      <c r="DL3" s="2506"/>
      <c r="DM3" s="2506"/>
      <c r="DN3" s="2506"/>
      <c r="DO3" s="2506"/>
      <c r="DP3" s="2506"/>
      <c r="DQ3" s="2507"/>
      <c r="DS3" s="2067" t="s">
        <v>78</v>
      </c>
      <c r="DT3" s="2067"/>
      <c r="DU3" s="2067"/>
      <c r="DV3" s="2067"/>
      <c r="DW3" s="2067"/>
      <c r="DX3" s="2067"/>
      <c r="DY3" s="2068">
        <f>AL4</f>
        <v>15</v>
      </c>
      <c r="DZ3" s="2068"/>
      <c r="EA3" s="2068"/>
      <c r="EB3" s="2068"/>
      <c r="EC3" s="2068"/>
      <c r="ED3" s="2068"/>
      <c r="EE3"/>
    </row>
    <row r="4" spans="2:135" ht="45">
      <c r="D4" s="2516"/>
      <c r="E4" s="1779" t="s">
        <v>79</v>
      </c>
      <c r="F4" s="1780" t="s">
        <v>80</v>
      </c>
      <c r="G4" s="1780" t="s">
        <v>81</v>
      </c>
      <c r="H4" s="1780" t="s">
        <v>82</v>
      </c>
      <c r="I4" s="1780" t="s">
        <v>83</v>
      </c>
      <c r="J4" s="1780" t="s">
        <v>84</v>
      </c>
      <c r="K4" s="1780" t="s">
        <v>85</v>
      </c>
      <c r="L4" s="1781" t="s">
        <v>967</v>
      </c>
      <c r="M4" s="1780" t="s">
        <v>87</v>
      </c>
      <c r="N4" s="1780" t="s">
        <v>72</v>
      </c>
      <c r="O4" s="1780" t="s">
        <v>88</v>
      </c>
      <c r="P4" s="1780" t="s">
        <v>89</v>
      </c>
      <c r="Q4" s="1782" t="s">
        <v>48</v>
      </c>
      <c r="R4" s="847" t="s">
        <v>1121</v>
      </c>
      <c r="S4" s="847" t="s">
        <v>1122</v>
      </c>
      <c r="T4" s="194"/>
      <c r="U4" s="564" t="s">
        <v>79</v>
      </c>
      <c r="V4" s="565" t="s">
        <v>80</v>
      </c>
      <c r="W4" s="565" t="s">
        <v>81</v>
      </c>
      <c r="X4" s="566" t="s">
        <v>82</v>
      </c>
      <c r="Y4" s="565" t="s">
        <v>83</v>
      </c>
      <c r="Z4" s="565" t="s">
        <v>84</v>
      </c>
      <c r="AA4" s="565" t="s">
        <v>85</v>
      </c>
      <c r="AB4" s="744" t="s">
        <v>967</v>
      </c>
      <c r="AC4" s="565" t="s">
        <v>87</v>
      </c>
      <c r="AD4" s="565" t="s">
        <v>72</v>
      </c>
      <c r="AE4" s="565" t="s">
        <v>88</v>
      </c>
      <c r="AF4" s="565" t="s">
        <v>89</v>
      </c>
      <c r="AG4" s="848" t="s">
        <v>48</v>
      </c>
      <c r="AH4" s="847" t="s">
        <v>1121</v>
      </c>
      <c r="AI4" s="847" t="s">
        <v>1122</v>
      </c>
      <c r="AJ4" s="170" t="s">
        <v>90</v>
      </c>
      <c r="AK4" s="621"/>
      <c r="AL4" s="574">
        <v>15</v>
      </c>
      <c r="AM4" s="562" t="s">
        <v>79</v>
      </c>
      <c r="AN4" s="562" t="s">
        <v>80</v>
      </c>
      <c r="AO4" s="562" t="s">
        <v>81</v>
      </c>
      <c r="AP4" s="562" t="s">
        <v>83</v>
      </c>
      <c r="AQ4" s="562" t="s">
        <v>84</v>
      </c>
      <c r="AR4" s="562" t="s">
        <v>85</v>
      </c>
      <c r="AS4" s="562" t="s">
        <v>86</v>
      </c>
      <c r="AT4" s="562" t="s">
        <v>87</v>
      </c>
      <c r="AU4" s="562" t="s">
        <v>72</v>
      </c>
      <c r="AV4" s="562" t="s">
        <v>88</v>
      </c>
      <c r="AW4" s="582" t="s">
        <v>89</v>
      </c>
      <c r="AX4" s="562" t="s">
        <v>48</v>
      </c>
      <c r="AY4" s="1548" t="s">
        <v>1123</v>
      </c>
      <c r="AZ4" s="1548" t="s">
        <v>1124</v>
      </c>
      <c r="BB4" s="587" t="s">
        <v>91</v>
      </c>
      <c r="BC4" s="562" t="s">
        <v>79</v>
      </c>
      <c r="BD4" s="562" t="s">
        <v>80</v>
      </c>
      <c r="BE4" s="562" t="s">
        <v>81</v>
      </c>
      <c r="BF4" s="562" t="s">
        <v>83</v>
      </c>
      <c r="BG4" s="562" t="s">
        <v>84</v>
      </c>
      <c r="BH4" s="562" t="s">
        <v>85</v>
      </c>
      <c r="BI4" s="562" t="s">
        <v>86</v>
      </c>
      <c r="BJ4" s="562" t="s">
        <v>87</v>
      </c>
      <c r="BK4" s="562" t="s">
        <v>72</v>
      </c>
      <c r="BL4" s="562" t="s">
        <v>88</v>
      </c>
      <c r="BM4" s="594" t="s">
        <v>89</v>
      </c>
      <c r="BN4" s="562" t="s">
        <v>48</v>
      </c>
      <c r="BO4" s="170"/>
      <c r="BP4" s="587" t="s">
        <v>91</v>
      </c>
      <c r="BQ4" s="562" t="s">
        <v>79</v>
      </c>
      <c r="BR4" s="562" t="s">
        <v>80</v>
      </c>
      <c r="BS4" s="562" t="s">
        <v>81</v>
      </c>
      <c r="BT4" s="562" t="s">
        <v>83</v>
      </c>
      <c r="BU4" s="562" t="s">
        <v>84</v>
      </c>
      <c r="BV4" s="562" t="s">
        <v>85</v>
      </c>
      <c r="BW4" s="562" t="s">
        <v>86</v>
      </c>
      <c r="BX4" s="562" t="s">
        <v>87</v>
      </c>
      <c r="BY4" s="562" t="s">
        <v>72</v>
      </c>
      <c r="BZ4" s="562" t="s">
        <v>88</v>
      </c>
      <c r="CA4" s="582" t="s">
        <v>89</v>
      </c>
      <c r="CB4" s="562" t="s">
        <v>48</v>
      </c>
      <c r="CD4" s="587" t="s">
        <v>91</v>
      </c>
      <c r="CE4" s="562" t="s">
        <v>79</v>
      </c>
      <c r="CF4" s="562" t="s">
        <v>80</v>
      </c>
      <c r="CG4" s="562" t="s">
        <v>81</v>
      </c>
      <c r="CH4" s="562" t="s">
        <v>83</v>
      </c>
      <c r="CI4" s="562" t="s">
        <v>84</v>
      </c>
      <c r="CJ4" s="562" t="s">
        <v>85</v>
      </c>
      <c r="CK4" s="562" t="s">
        <v>86</v>
      </c>
      <c r="CL4" s="562" t="s">
        <v>87</v>
      </c>
      <c r="CM4" s="562" t="s">
        <v>72</v>
      </c>
      <c r="CN4" s="562" t="s">
        <v>88</v>
      </c>
      <c r="CO4" s="582" t="s">
        <v>89</v>
      </c>
      <c r="CP4" s="562" t="s">
        <v>48</v>
      </c>
      <c r="CR4" s="587" t="s">
        <v>91</v>
      </c>
      <c r="CS4" s="562" t="s">
        <v>79</v>
      </c>
      <c r="CT4" s="562" t="s">
        <v>80</v>
      </c>
      <c r="CU4" s="562" t="s">
        <v>81</v>
      </c>
      <c r="CV4" s="562" t="s">
        <v>83</v>
      </c>
      <c r="CW4" s="562" t="s">
        <v>84</v>
      </c>
      <c r="CX4" s="562" t="s">
        <v>85</v>
      </c>
      <c r="CY4" s="562" t="s">
        <v>86</v>
      </c>
      <c r="CZ4" s="562" t="s">
        <v>87</v>
      </c>
      <c r="DA4" s="562" t="s">
        <v>72</v>
      </c>
      <c r="DB4" s="562" t="s">
        <v>88</v>
      </c>
      <c r="DC4" s="582" t="s">
        <v>89</v>
      </c>
      <c r="DD4" s="562" t="s">
        <v>48</v>
      </c>
      <c r="DF4" s="587" t="s">
        <v>91</v>
      </c>
      <c r="DG4" s="562" t="s">
        <v>79</v>
      </c>
      <c r="DH4" s="562" t="s">
        <v>80</v>
      </c>
      <c r="DI4" s="562" t="s">
        <v>81</v>
      </c>
      <c r="DJ4" s="562" t="s">
        <v>83</v>
      </c>
      <c r="DK4" s="562" t="s">
        <v>84</v>
      </c>
      <c r="DL4" s="562" t="s">
        <v>85</v>
      </c>
      <c r="DM4" s="562" t="s">
        <v>86</v>
      </c>
      <c r="DN4" s="562" t="s">
        <v>87</v>
      </c>
      <c r="DO4" s="562" t="s">
        <v>72</v>
      </c>
      <c r="DP4" s="562" t="s">
        <v>88</v>
      </c>
      <c r="DQ4" s="575" t="s">
        <v>89</v>
      </c>
      <c r="DR4" s="170" t="s">
        <v>48</v>
      </c>
      <c r="DT4" s="170" t="s">
        <v>79</v>
      </c>
      <c r="DU4" s="170" t="s">
        <v>80</v>
      </c>
      <c r="DV4" s="170" t="s">
        <v>81</v>
      </c>
      <c r="DW4" s="170" t="s">
        <v>83</v>
      </c>
      <c r="DX4" s="170" t="s">
        <v>84</v>
      </c>
      <c r="DY4" s="170" t="s">
        <v>85</v>
      </c>
      <c r="DZ4" s="170" t="s">
        <v>86</v>
      </c>
      <c r="EA4" s="170" t="s">
        <v>87</v>
      </c>
      <c r="EB4" s="170" t="s">
        <v>72</v>
      </c>
      <c r="EC4" s="170" t="s">
        <v>88</v>
      </c>
      <c r="ED4" s="170" t="s">
        <v>89</v>
      </c>
      <c r="EE4" s="170" t="s">
        <v>48</v>
      </c>
    </row>
    <row r="5" spans="2:135" ht="26.25">
      <c r="C5" s="1752" t="s">
        <v>671</v>
      </c>
      <c r="D5" s="2520" t="s">
        <v>92</v>
      </c>
      <c r="E5" s="2520"/>
      <c r="F5" s="2520"/>
      <c r="G5" s="2520"/>
      <c r="H5" s="2520"/>
      <c r="I5" s="2520"/>
      <c r="J5" s="2520"/>
      <c r="K5" s="2520"/>
      <c r="L5" s="2520"/>
      <c r="M5" s="2520"/>
      <c r="N5" s="2520"/>
      <c r="O5" s="2520"/>
      <c r="P5" s="2520"/>
      <c r="Q5" s="2520"/>
      <c r="R5" s="2520"/>
      <c r="S5" s="2520"/>
      <c r="T5" s="316"/>
      <c r="U5" s="567"/>
      <c r="V5" s="551"/>
      <c r="W5" s="551"/>
      <c r="X5" s="563"/>
      <c r="Y5" s="551"/>
      <c r="Z5" s="551"/>
      <c r="AA5" s="551"/>
      <c r="AB5" s="551"/>
      <c r="AC5" s="551"/>
      <c r="AD5" s="551"/>
      <c r="AE5" s="551"/>
      <c r="AF5" s="551"/>
      <c r="AG5" s="849"/>
      <c r="AH5" s="1537"/>
      <c r="AI5" s="1537"/>
      <c r="AJ5" s="96"/>
      <c r="AK5" s="96"/>
      <c r="AL5" s="576"/>
      <c r="AM5" s="572"/>
      <c r="AN5" s="572"/>
      <c r="AO5" s="572"/>
      <c r="AP5" s="572"/>
      <c r="AQ5" s="572"/>
      <c r="AR5" s="572"/>
      <c r="AS5" s="572"/>
      <c r="AT5" s="572"/>
      <c r="AU5" s="572"/>
      <c r="AV5" s="572"/>
      <c r="AW5" s="583"/>
      <c r="AX5" s="572"/>
      <c r="AY5" s="572"/>
      <c r="AZ5" s="572"/>
      <c r="BA5" s="156"/>
      <c r="BB5" s="588"/>
      <c r="BC5" s="572"/>
      <c r="BD5" s="572"/>
      <c r="BE5" s="572"/>
      <c r="BF5" s="572"/>
      <c r="BG5" s="572"/>
      <c r="BH5" s="572"/>
      <c r="BI5" s="572"/>
      <c r="BJ5" s="572"/>
      <c r="BK5" s="572"/>
      <c r="BL5" s="572"/>
      <c r="BM5" s="595"/>
      <c r="BN5" s="572"/>
      <c r="BO5" s="96"/>
      <c r="BP5" s="588"/>
      <c r="BQ5" s="572"/>
      <c r="BR5" s="572"/>
      <c r="BS5" s="572"/>
      <c r="BT5" s="572"/>
      <c r="BU5" s="572"/>
      <c r="BV5" s="572"/>
      <c r="BW5" s="572"/>
      <c r="BX5" s="572"/>
      <c r="BY5" s="572"/>
      <c r="BZ5" s="572"/>
      <c r="CA5" s="583"/>
      <c r="CB5" s="572"/>
      <c r="CC5" s="156"/>
      <c r="CD5" s="588"/>
      <c r="CE5" s="572"/>
      <c r="CF5" s="572"/>
      <c r="CG5" s="572"/>
      <c r="CH5" s="572"/>
      <c r="CI5" s="572"/>
      <c r="CJ5" s="572"/>
      <c r="CK5" s="572"/>
      <c r="CL5" s="572"/>
      <c r="CM5" s="572"/>
      <c r="CN5" s="572"/>
      <c r="CO5" s="583"/>
      <c r="CP5" s="572"/>
      <c r="CQ5" s="156"/>
      <c r="CR5" s="588"/>
      <c r="CS5" s="572"/>
      <c r="CT5" s="572"/>
      <c r="CU5" s="572"/>
      <c r="CV5" s="572"/>
      <c r="CW5" s="572"/>
      <c r="CX5" s="572"/>
      <c r="CY5" s="572"/>
      <c r="CZ5" s="572"/>
      <c r="DA5" s="572"/>
      <c r="DB5" s="572"/>
      <c r="DC5" s="583"/>
      <c r="DD5" s="572"/>
      <c r="DE5" s="156"/>
      <c r="DF5" s="588"/>
      <c r="DG5" s="572"/>
      <c r="DH5" s="572"/>
      <c r="DI5" s="572"/>
      <c r="DJ5" s="572"/>
      <c r="DK5" s="572"/>
      <c r="DL5" s="572"/>
      <c r="DM5" s="572"/>
      <c r="DN5" s="572"/>
      <c r="DO5" s="572"/>
      <c r="DP5" s="572"/>
      <c r="DQ5" s="577"/>
      <c r="DR5" s="96"/>
      <c r="DS5" s="156"/>
      <c r="DT5" s="96"/>
      <c r="DU5" s="96"/>
      <c r="DV5" s="96"/>
      <c r="DW5" s="96"/>
      <c r="DX5" s="96"/>
      <c r="DY5" s="96"/>
      <c r="DZ5" s="96"/>
      <c r="EA5" s="96"/>
      <c r="EB5" s="96"/>
      <c r="EC5" s="96"/>
      <c r="ED5" s="96"/>
      <c r="EE5" s="96"/>
    </row>
    <row r="6" spans="2:135" ht="15" customHeight="1">
      <c r="C6" s="1752">
        <v>101</v>
      </c>
      <c r="D6" s="318"/>
      <c r="E6" s="331"/>
      <c r="F6" s="331"/>
      <c r="G6" s="331"/>
      <c r="H6" s="331"/>
      <c r="I6" s="331"/>
      <c r="J6" s="331"/>
      <c r="K6" s="331"/>
      <c r="L6" s="331"/>
      <c r="M6" s="331"/>
      <c r="N6" s="331"/>
      <c r="O6" s="331"/>
      <c r="P6" s="331"/>
      <c r="Q6" s="1636"/>
      <c r="R6" s="1637">
        <f>IF((AM6&lt;10),SUM((AH6+(ROUNDUP((AM6*AY6),2)))),SUM((AH6+(ROUNDUP(((9*AY6)+EF6),2)))))</f>
        <v>0</v>
      </c>
      <c r="S6" s="1637">
        <f>IF((AN6&lt;10),SUM((AI6+(ROUNDUP((AN6*AZ6),2)))),SUM((AI6+(ROUNDUP(((9*AZ6)+EG6),2)))))</f>
        <v>0</v>
      </c>
      <c r="T6" s="316"/>
      <c r="U6" s="567"/>
      <c r="V6" s="551"/>
      <c r="W6" s="551"/>
      <c r="X6" s="563"/>
      <c r="Y6" s="551"/>
      <c r="Z6" s="551"/>
      <c r="AA6" s="551"/>
      <c r="AB6" s="551"/>
      <c r="AC6" s="551"/>
      <c r="AD6" s="551"/>
      <c r="AE6" s="551"/>
      <c r="AF6" s="551"/>
      <c r="AG6" s="849"/>
      <c r="AH6" s="1537"/>
      <c r="AI6" s="1537"/>
      <c r="AJ6" s="96"/>
      <c r="AK6" s="96"/>
      <c r="AL6" s="576"/>
      <c r="AM6" s="572"/>
      <c r="AN6" s="572"/>
      <c r="AO6" s="572"/>
      <c r="AP6" s="572"/>
      <c r="AQ6" s="572"/>
      <c r="AR6" s="572"/>
      <c r="AS6" s="572"/>
      <c r="AT6" s="572"/>
      <c r="AU6" s="572"/>
      <c r="AV6" s="572"/>
      <c r="AW6" s="583"/>
      <c r="AX6" s="572"/>
      <c r="AY6" s="572"/>
      <c r="AZ6" s="572"/>
      <c r="BA6" s="156"/>
      <c r="BB6" s="588"/>
      <c r="BC6" s="572"/>
      <c r="BD6" s="572"/>
      <c r="BE6" s="572"/>
      <c r="BF6" s="572"/>
      <c r="BG6" s="572"/>
      <c r="BH6" s="572"/>
      <c r="BI6" s="572"/>
      <c r="BJ6" s="572"/>
      <c r="BK6" s="572"/>
      <c r="BL6" s="572"/>
      <c r="BM6" s="595"/>
      <c r="BN6" s="572"/>
      <c r="BO6" s="96"/>
      <c r="BP6" s="588"/>
      <c r="BQ6" s="572"/>
      <c r="BR6" s="572"/>
      <c r="BS6" s="572"/>
      <c r="BT6" s="572"/>
      <c r="BU6" s="572"/>
      <c r="BV6" s="572"/>
      <c r="BW6" s="572"/>
      <c r="BX6" s="572"/>
      <c r="BY6" s="572"/>
      <c r="BZ6" s="572"/>
      <c r="CA6" s="583"/>
      <c r="CB6" s="572"/>
      <c r="CC6" s="156"/>
      <c r="CD6" s="588"/>
      <c r="CE6" s="572"/>
      <c r="CF6" s="572"/>
      <c r="CG6" s="572"/>
      <c r="CH6" s="572"/>
      <c r="CI6" s="572"/>
      <c r="CJ6" s="572"/>
      <c r="CK6" s="572"/>
      <c r="CL6" s="572"/>
      <c r="CM6" s="572"/>
      <c r="CN6" s="572"/>
      <c r="CO6" s="583"/>
      <c r="CP6" s="572"/>
      <c r="CQ6" s="156"/>
      <c r="CR6" s="588"/>
      <c r="CS6" s="572"/>
      <c r="CT6" s="572"/>
      <c r="CU6" s="572"/>
      <c r="CV6" s="572"/>
      <c r="CW6" s="572"/>
      <c r="CX6" s="572"/>
      <c r="CY6" s="572"/>
      <c r="CZ6" s="572"/>
      <c r="DA6" s="572"/>
      <c r="DB6" s="572"/>
      <c r="DC6" s="583"/>
      <c r="DD6" s="572"/>
      <c r="DE6" s="156"/>
      <c r="DF6" s="588"/>
      <c r="DG6" s="572"/>
      <c r="DH6" s="572"/>
      <c r="DI6" s="572"/>
      <c r="DJ6" s="572"/>
      <c r="DK6" s="572"/>
      <c r="DL6" s="572"/>
      <c r="DM6" s="572"/>
      <c r="DN6" s="572"/>
      <c r="DO6" s="572"/>
      <c r="DP6" s="572"/>
      <c r="DQ6" s="577"/>
      <c r="DR6" s="96"/>
      <c r="DS6" s="156"/>
      <c r="DT6" s="96"/>
      <c r="DU6" s="96"/>
      <c r="DV6" s="96"/>
      <c r="DW6" s="96"/>
      <c r="DX6" s="96"/>
      <c r="DY6" s="96"/>
      <c r="DZ6" s="96"/>
      <c r="EA6" s="96"/>
      <c r="EB6" s="96"/>
      <c r="EC6" s="96"/>
      <c r="ED6" s="96"/>
      <c r="EE6" s="96"/>
    </row>
    <row r="7" spans="2:135" s="368" customFormat="1" ht="15" customHeight="1">
      <c r="B7" s="173"/>
      <c r="C7" s="1752">
        <v>102</v>
      </c>
      <c r="D7" s="1082" t="s">
        <v>1036</v>
      </c>
      <c r="E7" s="319">
        <f t="shared" ref="E7" si="0">IF((AL7&lt;10),SUM((U7+(ROUNDUP((AL7*AM7),2)))),SUM((U7+(ROUNDUP(((9*AM7)+DT7),2)))))</f>
        <v>67</v>
      </c>
      <c r="F7" s="319">
        <f t="shared" ref="F7" si="1">IF((AL7&lt;10),SUM((V7+(ROUNDUP((AL7*AN7),2)))),SUM((V7+(ROUNDUP(((9*AN7)+DU7),2)))))</f>
        <v>103.34</v>
      </c>
      <c r="G7" s="319">
        <f t="shared" ref="G7" si="2">W7</f>
        <v>35</v>
      </c>
      <c r="H7" s="320">
        <f>X7</f>
        <v>1</v>
      </c>
      <c r="I7" s="319">
        <f t="shared" ref="I7" si="3">Y7</f>
        <v>100</v>
      </c>
      <c r="J7" s="319">
        <f t="shared" ref="J7" si="4">IF((AL7&lt;10),SUM((Z7+(ROUNDUP((AL7*AQ7),2)))),SUM((Z7+(ROUNDUP(((9*AQ7)+DX7),2)))))</f>
        <v>1500</v>
      </c>
      <c r="K7" s="319">
        <f t="shared" ref="K7" si="5">IF((AL7&lt;10),SUM((AA7+(ROUNDUP((AL7*AR7),2)))),SUM((AA7+(ROUNDUP(((9*AR7)+DY7),2)))))</f>
        <v>1000</v>
      </c>
      <c r="L7" s="319">
        <f t="shared" ref="L7" si="6">AB7</f>
        <v>100</v>
      </c>
      <c r="M7" s="319">
        <f t="shared" ref="M7" si="7">IF((AL7&lt;10),SUM((AC7+(ROUNDUP((AL7*AT7),2)))),SUM((AC7+(ROUNDUP(((9*AT7)+EA7),2)))))</f>
        <v>150</v>
      </c>
      <c r="N7" s="319">
        <f t="shared" ref="N7" si="8">IF((AL7&lt;10),SUM((AD7+(ROUNDUP((AL7*AU7),2)))),SUM((AD7+(ROUNDUP(((9*AU7)+EB7),2)))))</f>
        <v>2</v>
      </c>
      <c r="O7" s="319">
        <f t="shared" ref="O7" si="9">IF((AL7&lt;10),SUM((AE7+(ROUNDUP((AL7*AV7),2)))),SUM((AE7+(ROUNDUP(((9*AV7)+EC7),2)))))</f>
        <v>6</v>
      </c>
      <c r="P7" s="319">
        <f t="shared" ref="P7" si="10">AF7</f>
        <v>30</v>
      </c>
      <c r="Q7" s="1637">
        <f>IF((AL7&lt;10),SUM((AG7+(ROUNDUP((AL7*AX7),2)))),SUM((AG7+(ROUNDUP(((9*AX7)+EE7),2)))))</f>
        <v>2750</v>
      </c>
      <c r="R7" s="1637">
        <f>IF((AM7&lt;10),SUM((AH7+(ROUNDUP((AM7*AY7),2)))),SUM((AH7+(ROUNDUP(((9*AY7)+EF7),2)))))</f>
        <v>1</v>
      </c>
      <c r="S7" s="1637">
        <f>IF((AN7&lt;10),SUM((AI7+(ROUNDUP((AN7*AZ7),2)))),SUM((AI7+(ROUNDUP(((9*AZ7)+EG7),2)))))</f>
        <v>1</v>
      </c>
      <c r="T7" s="316"/>
      <c r="U7" s="567">
        <v>65</v>
      </c>
      <c r="V7" s="950">
        <v>100</v>
      </c>
      <c r="W7" s="950">
        <v>35</v>
      </c>
      <c r="X7" s="563">
        <v>1</v>
      </c>
      <c r="Y7" s="950">
        <v>100</v>
      </c>
      <c r="Z7" s="950">
        <v>1500</v>
      </c>
      <c r="AA7" s="950">
        <v>1000</v>
      </c>
      <c r="AB7" s="950">
        <v>100</v>
      </c>
      <c r="AC7" s="950">
        <v>150</v>
      </c>
      <c r="AD7" s="950">
        <v>2</v>
      </c>
      <c r="AE7" s="950">
        <v>6</v>
      </c>
      <c r="AF7" s="950">
        <v>30</v>
      </c>
      <c r="AG7" s="849">
        <v>2500</v>
      </c>
      <c r="AH7" s="1537">
        <v>1</v>
      </c>
      <c r="AI7" s="1537">
        <v>1</v>
      </c>
      <c r="AJ7" s="96"/>
      <c r="AK7" s="96"/>
      <c r="AL7" s="576">
        <f>$M$2-1</f>
        <v>1</v>
      </c>
      <c r="AM7" s="572">
        <f>18/9</f>
        <v>2</v>
      </c>
      <c r="AN7" s="572">
        <f>30/9</f>
        <v>3.3333333333333335</v>
      </c>
      <c r="AO7" s="572"/>
      <c r="AP7" s="572"/>
      <c r="AQ7" s="572"/>
      <c r="AR7" s="572"/>
      <c r="AS7" s="572"/>
      <c r="AT7" s="572"/>
      <c r="AU7" s="572"/>
      <c r="AV7" s="572"/>
      <c r="AW7" s="583"/>
      <c r="AX7" s="572">
        <f>SUM(250)</f>
        <v>250</v>
      </c>
      <c r="AY7" s="572"/>
      <c r="AZ7" s="572"/>
      <c r="BA7" s="156"/>
      <c r="BB7" s="588"/>
      <c r="BC7" s="572"/>
      <c r="BD7" s="572"/>
      <c r="BE7" s="572"/>
      <c r="BF7" s="572"/>
      <c r="BG7" s="572"/>
      <c r="BH7" s="572"/>
      <c r="BI7" s="572"/>
      <c r="BJ7" s="572"/>
      <c r="BK7" s="572"/>
      <c r="BL7" s="572"/>
      <c r="BM7" s="595"/>
      <c r="BN7" s="572"/>
      <c r="BO7" s="96"/>
      <c r="BP7" s="588"/>
      <c r="BQ7" s="572"/>
      <c r="BR7" s="572"/>
      <c r="BS7" s="572"/>
      <c r="BT7" s="572"/>
      <c r="BU7" s="572"/>
      <c r="BV7" s="572"/>
      <c r="BW7" s="572"/>
      <c r="BX7" s="572"/>
      <c r="BY7" s="572"/>
      <c r="BZ7" s="572"/>
      <c r="CA7" s="583"/>
      <c r="CB7" s="572"/>
      <c r="CC7" s="156"/>
      <c r="CD7" s="588"/>
      <c r="CE7" s="572"/>
      <c r="CF7" s="572"/>
      <c r="CG7" s="572"/>
      <c r="CH7" s="572"/>
      <c r="CI7" s="572"/>
      <c r="CJ7" s="572"/>
      <c r="CK7" s="572"/>
      <c r="CL7" s="572"/>
      <c r="CM7" s="572"/>
      <c r="CN7" s="572"/>
      <c r="CO7" s="583"/>
      <c r="CP7" s="572"/>
      <c r="CQ7" s="156"/>
      <c r="CR7" s="588"/>
      <c r="CS7" s="572"/>
      <c r="CT7" s="572"/>
      <c r="CU7" s="572"/>
      <c r="CV7" s="572"/>
      <c r="CW7" s="572"/>
      <c r="CX7" s="572"/>
      <c r="CY7" s="572"/>
      <c r="CZ7" s="572"/>
      <c r="DA7" s="572"/>
      <c r="DB7" s="572"/>
      <c r="DC7" s="583"/>
      <c r="DD7" s="572"/>
      <c r="DE7" s="156"/>
      <c r="DF7" s="588"/>
      <c r="DG7" s="572"/>
      <c r="DH7" s="572"/>
      <c r="DI7" s="572"/>
      <c r="DJ7" s="572"/>
      <c r="DK7" s="572"/>
      <c r="DL7" s="572"/>
      <c r="DM7" s="572"/>
      <c r="DN7" s="572"/>
      <c r="DO7" s="572"/>
      <c r="DP7" s="572"/>
      <c r="DQ7" s="577"/>
      <c r="DR7" s="96"/>
      <c r="DS7" s="156"/>
      <c r="DT7" s="96"/>
      <c r="DU7" s="96"/>
      <c r="DV7" s="96"/>
      <c r="DW7" s="96"/>
      <c r="DX7" s="96"/>
      <c r="DY7" s="96"/>
      <c r="DZ7" s="96"/>
      <c r="EA7" s="96"/>
      <c r="EB7" s="96"/>
      <c r="EC7" s="96"/>
      <c r="ED7" s="96"/>
      <c r="EE7" s="96"/>
    </row>
    <row r="8" spans="2:135">
      <c r="C8" s="1752">
        <v>103</v>
      </c>
      <c r="D8" s="1115" t="s">
        <v>1067</v>
      </c>
      <c r="E8" s="319">
        <f t="shared" ref="E8:E25" si="11">IF((AL8&lt;10),SUM((U8+(ROUNDUP((AL8*AM8),2)))),SUM((U8+(ROUNDUP(((9*AM8)+DT8),2)))))</f>
        <v>1.1200000000000001</v>
      </c>
      <c r="F8" s="319">
        <f t="shared" ref="F8:F25" si="12">IF((AL8&lt;10),SUM((V8+(ROUNDUP((AL8*AN8),2)))),SUM((V8+(ROUNDUP(((9*AN8)+DU8),2)))))</f>
        <v>11.120000000000001</v>
      </c>
      <c r="G8" s="319">
        <f t="shared" ref="G8:G25" si="13">W8</f>
        <v>5</v>
      </c>
      <c r="H8" s="320">
        <f>X8</f>
        <v>1</v>
      </c>
      <c r="I8" s="319">
        <f t="shared" ref="I8:I25" si="14">Y8</f>
        <v>0</v>
      </c>
      <c r="J8" s="319">
        <f t="shared" ref="J8:J25" si="15">IF((AL8&lt;10),SUM((Z8+(ROUNDUP((AL8*AQ8),2)))),SUM((Z8+(ROUNDUP(((9*AQ8)+DX8),2)))))</f>
        <v>600</v>
      </c>
      <c r="K8" s="319">
        <f t="shared" ref="K8:K17" si="16">IF((AL8&lt;10),SUM((AA8+(ROUNDUP((AL8*AR8),2)))),SUM((AA8+(ROUNDUP(((9*AR8)+DY8),2)))))</f>
        <v>261.12</v>
      </c>
      <c r="L8" s="319">
        <f t="shared" ref="L8:L17" si="17">AB8</f>
        <v>400</v>
      </c>
      <c r="M8" s="319">
        <f t="shared" ref="M8:M25" si="18">IF((AL8&lt;10),SUM((AC8+(ROUNDUP((AL8*AT8),2)))),SUM((AC8+(ROUNDUP(((9*AT8)+EA8),2)))))</f>
        <v>100</v>
      </c>
      <c r="N8" s="319">
        <f t="shared" ref="N8:N20" si="19">IF((AL8&lt;10),SUM((AD8+(ROUNDUP((AL8*AU8),2)))),SUM((AD8+(ROUNDUP(((9*AU8)+EB8),2)))))</f>
        <v>0.4</v>
      </c>
      <c r="O8" s="319">
        <f t="shared" ref="O8:O23" si="20">IF((AL8&lt;10),SUM((AE8+(ROUNDUP((AL8*AV8),2)))),SUM((AE8+(ROUNDUP(((9*AV8)+EC8),2)))))</f>
        <v>1</v>
      </c>
      <c r="P8" s="319">
        <f t="shared" ref="P8:P23" si="21">AF8</f>
        <v>75</v>
      </c>
      <c r="Q8" s="1637">
        <f>IF((AL8&lt;10),SUM((AG8+(ROUNDUP((AL8*AX8),2)))),SUM((AG8+(ROUNDUP(((9*AX8)+EE8),2)))))</f>
        <v>2777.7799999999997</v>
      </c>
      <c r="R8" s="1637">
        <f t="shared" ref="R8:R25" si="22">IF((AM8&lt;10),SUM((AH8+(ROUNDUP((AM8*AY8),2)))),SUM((AH8+(ROUNDUP(((9*AY8)+EF8),2)))))</f>
        <v>1</v>
      </c>
      <c r="S8" s="1637">
        <f t="shared" ref="S8:S25" si="23">IF((AN8&lt;10),SUM((AI8+(ROUNDUP((AN8*AZ8),2)))),SUM((AI8+(ROUNDUP(((9*AZ8)+EG8),2)))))</f>
        <v>1</v>
      </c>
      <c r="T8" s="190"/>
      <c r="U8" s="568">
        <v>1</v>
      </c>
      <c r="V8" s="563">
        <v>10</v>
      </c>
      <c r="W8" s="563">
        <v>5</v>
      </c>
      <c r="X8" s="563">
        <v>1</v>
      </c>
      <c r="Y8" s="563">
        <v>0</v>
      </c>
      <c r="Z8" s="563">
        <v>600</v>
      </c>
      <c r="AA8" s="563">
        <v>250</v>
      </c>
      <c r="AB8" s="563">
        <v>400</v>
      </c>
      <c r="AC8" s="563">
        <v>100</v>
      </c>
      <c r="AD8" s="563">
        <v>0.4</v>
      </c>
      <c r="AE8" s="563">
        <v>1</v>
      </c>
      <c r="AF8" s="563">
        <v>75</v>
      </c>
      <c r="AG8" s="850">
        <v>2500</v>
      </c>
      <c r="AH8" s="563">
        <v>1</v>
      </c>
      <c r="AI8" s="1537">
        <v>1</v>
      </c>
      <c r="AJ8" s="96">
        <v>0</v>
      </c>
      <c r="AK8" s="96"/>
      <c r="AL8" s="576">
        <f>$M$2-1</f>
        <v>1</v>
      </c>
      <c r="AM8" s="572">
        <f t="shared" ref="AM8:AM17" si="24">SUM((U8/9))</f>
        <v>0.1111111111111111</v>
      </c>
      <c r="AN8" s="572">
        <f t="shared" ref="AN8:AN17" si="25">SUM((V8/9))</f>
        <v>1.1111111111111112</v>
      </c>
      <c r="AO8" s="572"/>
      <c r="AP8" s="572"/>
      <c r="AQ8" s="572"/>
      <c r="AR8" s="572">
        <f>SUM((100/9))</f>
        <v>11.111111111111111</v>
      </c>
      <c r="AS8" s="572"/>
      <c r="AT8" s="572"/>
      <c r="AU8" s="572"/>
      <c r="AV8" s="572"/>
      <c r="AW8" s="583"/>
      <c r="AX8" s="572">
        <f t="shared" ref="AX8:AX24" si="26">SUM((AG8/9))</f>
        <v>277.77777777777777</v>
      </c>
      <c r="AY8" s="572"/>
      <c r="AZ8" s="572"/>
      <c r="BA8" s="96"/>
      <c r="BB8" s="589"/>
      <c r="BC8" s="572">
        <f t="shared" ref="BC8:BC17" si="27">SUM(((AM8*0.9)*1))</f>
        <v>9.9999999999999992E-2</v>
      </c>
      <c r="BD8" s="572">
        <f t="shared" ref="BD8:BD17" si="28">SUM(((AN8*0.9)*1))</f>
        <v>1</v>
      </c>
      <c r="BE8" s="572">
        <f t="shared" ref="BE8:BE17" si="29">SUM(((AO8*0.9)*1))</f>
        <v>0</v>
      </c>
      <c r="BF8" s="572">
        <f t="shared" ref="BF8:BF17" si="30">SUM(((AP8*0.9)*1))</f>
        <v>0</v>
      </c>
      <c r="BG8" s="572">
        <f t="shared" ref="BG8:BG17" si="31">SUM(((AQ8*0.9)*1))</f>
        <v>0</v>
      </c>
      <c r="BH8" s="572">
        <f t="shared" ref="BH8:BH17" si="32">SUM(((AR8*0.9)*1))</f>
        <v>10</v>
      </c>
      <c r="BI8" s="572">
        <f t="shared" ref="BI8:BI17" si="33">SUM(((AS8*0.9)*1))</f>
        <v>0</v>
      </c>
      <c r="BJ8" s="572">
        <f t="shared" ref="BJ8:BJ17" si="34">SUM(((AT8*0.9)*1))</f>
        <v>0</v>
      </c>
      <c r="BK8" s="572">
        <f t="shared" ref="BK8:BK17" si="35">SUM(((AU8*0.9)*1))</f>
        <v>0</v>
      </c>
      <c r="BL8" s="572">
        <f t="shared" ref="BL8:BL17" si="36">SUM(((AV8*0.9)*1))</f>
        <v>0</v>
      </c>
      <c r="BM8" s="583">
        <f t="shared" ref="BM8:BM17" si="37">SUM(((AW8*0.9)*1))</f>
        <v>0</v>
      </c>
      <c r="BN8" s="572">
        <f t="shared" ref="BN8:BN17" si="38">SUM(((AX8*0.9)*1))</f>
        <v>250</v>
      </c>
      <c r="BO8" s="96"/>
      <c r="BP8" s="589"/>
      <c r="BQ8" s="572">
        <f t="shared" ref="BQ8:BQ17" si="39">SUM(((AM8*0.9)*0.9))</f>
        <v>0.09</v>
      </c>
      <c r="BR8" s="572">
        <f t="shared" ref="BR8:BR17" si="40">SUM(((AN8*0.9)*0.9))</f>
        <v>0.9</v>
      </c>
      <c r="BS8" s="572">
        <f t="shared" ref="BS8:BS17" si="41">SUM(((AO8*0.9)*0.9))</f>
        <v>0</v>
      </c>
      <c r="BT8" s="572">
        <f t="shared" ref="BT8:BT17" si="42">SUM(((AP8*0.9)*0.9))</f>
        <v>0</v>
      </c>
      <c r="BU8" s="572">
        <f t="shared" ref="BU8:BU17" si="43">SUM(((AQ8*0.9)*0.9))</f>
        <v>0</v>
      </c>
      <c r="BV8" s="572">
        <f t="shared" ref="BV8:BV17" si="44">SUM(((AR8*0.9)*0.9))</f>
        <v>9</v>
      </c>
      <c r="BW8" s="572">
        <f t="shared" ref="BW8:BW17" si="45">SUM(((AS8*0.9)*0.9))</f>
        <v>0</v>
      </c>
      <c r="BX8" s="572">
        <f t="shared" ref="BX8:BX17" si="46">SUM(((AT8*0.9)*0.9))</f>
        <v>0</v>
      </c>
      <c r="BY8" s="572">
        <f t="shared" ref="BY8:BY17" si="47">SUM(((AU8*0.9)*0.9))</f>
        <v>0</v>
      </c>
      <c r="BZ8" s="572">
        <f t="shared" ref="BZ8:BZ17" si="48">SUM(((AV8*0.9)*0.9))</f>
        <v>0</v>
      </c>
      <c r="CA8" s="583">
        <f t="shared" ref="CA8:CA17" si="49">SUM(((AW8*0.9)*0.9))</f>
        <v>0</v>
      </c>
      <c r="CB8" s="572">
        <f t="shared" ref="CB8:CB17" si="50">SUM(((AX8*0.9)*0.9))</f>
        <v>225</v>
      </c>
      <c r="CC8" s="96"/>
      <c r="CD8" s="589"/>
      <c r="CE8" s="572">
        <f t="shared" ref="CE8:CE17" si="51">SUM(((AM8*0.9)*0.8))</f>
        <v>0.08</v>
      </c>
      <c r="CF8" s="572">
        <f t="shared" ref="CF8:CF17" si="52">SUM(((AN8*0.9)*0.8))</f>
        <v>0.8</v>
      </c>
      <c r="CG8" s="572">
        <f t="shared" ref="CG8:CG17" si="53">SUM(((AO8*0.9)*0.8))</f>
        <v>0</v>
      </c>
      <c r="CH8" s="572">
        <f t="shared" ref="CH8:CH17" si="54">SUM(((AP8*0.9)*0.8))</f>
        <v>0</v>
      </c>
      <c r="CI8" s="572">
        <f t="shared" ref="CI8:CI17" si="55">SUM(((AQ8*0.9)*0.8))</f>
        <v>0</v>
      </c>
      <c r="CJ8" s="572">
        <f t="shared" ref="CJ8:CJ17" si="56">SUM(((AR8*0.9)*0.8))</f>
        <v>8</v>
      </c>
      <c r="CK8" s="572">
        <f t="shared" ref="CK8:CK17" si="57">SUM(((AS8*0.9)*0.8))</f>
        <v>0</v>
      </c>
      <c r="CL8" s="572">
        <f t="shared" ref="CL8:CL17" si="58">SUM(((AT8*0.9)*0.8))</f>
        <v>0</v>
      </c>
      <c r="CM8" s="572">
        <f t="shared" ref="CM8:CM17" si="59">SUM(((AU8*0.9)*0.8))</f>
        <v>0</v>
      </c>
      <c r="CN8" s="572">
        <f t="shared" ref="CN8:CN17" si="60">SUM(((AV8*0.9)*0.8))</f>
        <v>0</v>
      </c>
      <c r="CO8" s="583">
        <f t="shared" ref="CO8:CO17" si="61">SUM(((AW8*0.9)*0.8))</f>
        <v>0</v>
      </c>
      <c r="CP8" s="572">
        <f t="shared" ref="CP8:CP17" si="62">SUM(((AX8*0.9)*0.8))</f>
        <v>200</v>
      </c>
      <c r="CQ8" s="96"/>
      <c r="CR8" s="589"/>
      <c r="CS8" s="572">
        <f t="shared" ref="CS8:CS17" si="63">SUM(((AM8*0.9)*0.7))</f>
        <v>6.9999999999999993E-2</v>
      </c>
      <c r="CT8" s="572">
        <f t="shared" ref="CT8:CT17" si="64">SUM(((AN8*0.9)*0.7))</f>
        <v>0.7</v>
      </c>
      <c r="CU8" s="572">
        <f t="shared" ref="CU8:CU17" si="65">SUM(((AO8*0.9)*0.7))</f>
        <v>0</v>
      </c>
      <c r="CV8" s="572">
        <f t="shared" ref="CV8:CV17" si="66">SUM(((AP8*0.9)*0.7))</f>
        <v>0</v>
      </c>
      <c r="CW8" s="572">
        <f t="shared" ref="CW8:CW17" si="67">SUM(((AQ8*0.9)*0.7))</f>
        <v>0</v>
      </c>
      <c r="CX8" s="572">
        <f t="shared" ref="CX8:CX17" si="68">SUM(((AR8*0.9)*0.7))</f>
        <v>7</v>
      </c>
      <c r="CY8" s="572">
        <f t="shared" ref="CY8:CY17" si="69">SUM(((AS8*0.9)*0.7))</f>
        <v>0</v>
      </c>
      <c r="CZ8" s="572">
        <f t="shared" ref="CZ8:CZ17" si="70">SUM(((AT8*0.9)*0.7))</f>
        <v>0</v>
      </c>
      <c r="DA8" s="572">
        <f t="shared" ref="DA8:DA17" si="71">SUM(((AU8*0.9)*0.7))</f>
        <v>0</v>
      </c>
      <c r="DB8" s="572">
        <f t="shared" ref="DB8:DB17" si="72">SUM(((AV8*0.9)*0.7))</f>
        <v>0</v>
      </c>
      <c r="DC8" s="583">
        <f t="shared" ref="DC8:DC17" si="73">SUM(((AW8*0.9)*0.7))</f>
        <v>0</v>
      </c>
      <c r="DD8" s="572">
        <f t="shared" ref="DD8:DD17" si="74">SUM(((AX8*0.9)*0.7))</f>
        <v>175</v>
      </c>
      <c r="DE8" s="96"/>
      <c r="DF8" s="589"/>
      <c r="DG8" s="572">
        <f t="shared" ref="DG8:DG17" si="75">SUM(((AM8*0.9)*0.6))</f>
        <v>5.9999999999999991E-2</v>
      </c>
      <c r="DH8" s="572">
        <f t="shared" ref="DH8:DH17" si="76">SUM(((AN8*0.9)*0.6))</f>
        <v>0.6</v>
      </c>
      <c r="DI8" s="572">
        <f t="shared" ref="DI8:DI17" si="77">SUM(((AO8*0.9)*0.6))</f>
        <v>0</v>
      </c>
      <c r="DJ8" s="572">
        <f t="shared" ref="DJ8:DJ17" si="78">SUM(((AP8*0.9)*0.6))</f>
        <v>0</v>
      </c>
      <c r="DK8" s="572">
        <f t="shared" ref="DK8:DK17" si="79">SUM(((AQ8*0.9)*0.6))</f>
        <v>0</v>
      </c>
      <c r="DL8" s="572">
        <f t="shared" ref="DL8:DL17" si="80">SUM(((AR8*0.9)*0.6))</f>
        <v>6</v>
      </c>
      <c r="DM8" s="572">
        <f t="shared" ref="DM8:DM17" si="81">SUM(((AS8*0.9)*0.6))</f>
        <v>0</v>
      </c>
      <c r="DN8" s="572">
        <f t="shared" ref="DN8:DN17" si="82">SUM(((AT8*0.9)*0.6))</f>
        <v>0</v>
      </c>
      <c r="DO8" s="572">
        <f t="shared" ref="DO8:DO17" si="83">SUM(((AU8*0.9)*0.6))</f>
        <v>0</v>
      </c>
      <c r="DP8" s="572">
        <f t="shared" ref="DP8:DP17" si="84">SUM(((AV8*0.9)*0.6))</f>
        <v>0</v>
      </c>
      <c r="DQ8" s="577">
        <f t="shared" ref="DQ8:DQ17" si="85">SUM(((AW8*0.9)*0.6))</f>
        <v>0</v>
      </c>
      <c r="DR8" s="96">
        <f t="shared" ref="DR8:DR17" si="86">SUM(((AX8*0.9)*0.6))</f>
        <v>150</v>
      </c>
      <c r="DS8" s="96"/>
      <c r="DT8" s="96" t="e">
        <f t="shared" ref="DT8:DT23" si="87">CHOOSE((AL8-9),BC8,(BC8+BQ8),((BC8+BQ8)+CE8),(((BC8+BQ8)+CE8)+CS8),((((BC8+BQ8)+CE8)+CS8)+DG8),)</f>
        <v>#VALUE!</v>
      </c>
      <c r="DU8" s="96" t="e">
        <f t="shared" ref="DU8:DU23" si="88">CHOOSE((AL8-9),BD8,(BD8+BR8),((BD8+BR8)+CF8),(((BD8+BR8)+CF8)+CT8),((((BD8+BR8)+CF8)+CT8)+DH8),)</f>
        <v>#VALUE!</v>
      </c>
      <c r="DV8" s="96" t="e">
        <f t="shared" ref="DV8:DV23" si="89">CHOOSE((AL8-9),BE8,(BE8+BS8),((BE8+BS8)+CG8),(((BE8+BS8)+CG8)+CU8),((((BE8+BS8)+CG8)+CU8)+DI8),)</f>
        <v>#VALUE!</v>
      </c>
      <c r="DW8" s="96" t="e">
        <f t="shared" ref="DW8:DW23" si="90">CHOOSE((AL8-9),BF8,(BF8+BT8),((BF8+BT8)+CH8),(((BF8+BT8)+CH8)+CV8),((((BF8+BT8)+CH8)+CV8)+DJ8),)</f>
        <v>#VALUE!</v>
      </c>
      <c r="DX8" s="96" t="e">
        <f t="shared" ref="DX8:DX23" si="91">CHOOSE((AL8-9),BG8,(BG8+BU8),((BG8+BU8)+CI8),(((BG8+BU8)+CI8)+CW8),((((BG8+BU8)+CI8)+CW8)+DK8),)</f>
        <v>#VALUE!</v>
      </c>
      <c r="DY8" s="96" t="e">
        <f t="shared" ref="DY8:DY23" si="92">CHOOSE((AL8-9),BH8,(BH8+BV8),((BH8+BV8)+CJ8),(((BH8+BV8)+CJ8)+CX8),((((BH8+BV8)+CJ8)+CX8)+DL8),)</f>
        <v>#VALUE!</v>
      </c>
      <c r="DZ8" s="96" t="e">
        <f t="shared" ref="DZ8:DZ23" si="93">CHOOSE((AL8-9),BI8,(BI8+BW8),((BI8+BW8)+CK8),(((BI8+BW8)+CK8)+CY8),((((BI8+BW8)+CK8)+CY8)+DM8),)</f>
        <v>#VALUE!</v>
      </c>
      <c r="EA8" s="96" t="e">
        <f t="shared" ref="EA8:EA23" si="94">CHOOSE((AL8-9),BJ8,(BJ8+BX8),((BJ8+BX8)+CL8),(((BJ8+BX8)+CL8)+CZ8),((((BJ8+BX8)+CL8)+CZ8)+DN8),)</f>
        <v>#VALUE!</v>
      </c>
      <c r="EB8" s="96" t="e">
        <f t="shared" ref="EB8:EB23" si="95">CHOOSE((AL8-9),BK8,(BK8+BY8),((BK8+BY8)+CM8),(((BK8+BY8)+CM8)+DA8),((((BK8+BY8)+CM8)+DA8)+DO8),)</f>
        <v>#VALUE!</v>
      </c>
      <c r="EC8" s="96" t="e">
        <f t="shared" ref="EC8:EC23" si="96">CHOOSE((AL8-9),BL8,(BL8+BZ8),((BL8+BZ8)+CN8),(((BL8+BZ8)+CN8)+DB8),((((BL8+BZ8)+CN8)+DB8)+DP8),)</f>
        <v>#VALUE!</v>
      </c>
      <c r="ED8" s="96" t="e">
        <f t="shared" ref="ED8:ED23" si="97">CHOOSE((AL8-9),BM8,(BM8+CA8),((BM8+CA8)+CO8),(((BM8+CA8)+CO8)+DC8),((((BM8+CA8)+CO8)+DC8)+DQ8),)</f>
        <v>#VALUE!</v>
      </c>
      <c r="EE8" s="96" t="e">
        <f t="shared" ref="EE8:EE23" si="98">CHOOSE((AL8-9),BN8,(BN8+CB8),((BN8+CB8)+CP8),(((BN8+CB8)+CP8)+DD8),((((BN8+CB8)+CP8)+DD8)+DR8),)</f>
        <v>#VALUE!</v>
      </c>
    </row>
    <row r="9" spans="2:135">
      <c r="C9" s="1752">
        <v>104</v>
      </c>
      <c r="D9" s="1115" t="s">
        <v>1068</v>
      </c>
      <c r="E9" s="319">
        <f t="shared" si="11"/>
        <v>1.1200000000000001</v>
      </c>
      <c r="F9" s="319">
        <f t="shared" si="12"/>
        <v>11.120000000000001</v>
      </c>
      <c r="G9" s="319">
        <f t="shared" si="13"/>
        <v>5</v>
      </c>
      <c r="H9" s="320">
        <f t="shared" ref="H9:H25" si="99">X9</f>
        <v>1</v>
      </c>
      <c r="I9" s="319">
        <f t="shared" si="14"/>
        <v>0</v>
      </c>
      <c r="J9" s="319">
        <f t="shared" si="15"/>
        <v>600</v>
      </c>
      <c r="K9" s="319">
        <f t="shared" si="16"/>
        <v>250</v>
      </c>
      <c r="L9" s="319">
        <f t="shared" si="17"/>
        <v>400</v>
      </c>
      <c r="M9" s="319">
        <f t="shared" si="18"/>
        <v>105.56</v>
      </c>
      <c r="N9" s="319">
        <f t="shared" si="19"/>
        <v>0.4</v>
      </c>
      <c r="O9" s="319">
        <f t="shared" si="20"/>
        <v>1</v>
      </c>
      <c r="P9" s="319">
        <f t="shared" si="21"/>
        <v>75</v>
      </c>
      <c r="Q9" s="1637">
        <f t="shared" ref="Q9:Q23" si="100">IF((AL9&lt;10),SUM((AG9+(ROUNDUP((AL9*AX9),2)))),SUM((AG9+(ROUNDUP(((9*AX9)+EE9),2)))))</f>
        <v>2777.7799999999997</v>
      </c>
      <c r="R9" s="1637">
        <f t="shared" si="22"/>
        <v>1</v>
      </c>
      <c r="S9" s="1637">
        <f t="shared" si="23"/>
        <v>1</v>
      </c>
      <c r="T9" s="190"/>
      <c r="U9" s="568">
        <v>1</v>
      </c>
      <c r="V9" s="563">
        <v>10</v>
      </c>
      <c r="W9" s="563">
        <v>5</v>
      </c>
      <c r="X9" s="563">
        <v>1</v>
      </c>
      <c r="Y9" s="563">
        <v>0</v>
      </c>
      <c r="Z9" s="563">
        <v>600</v>
      </c>
      <c r="AA9" s="563">
        <v>250</v>
      </c>
      <c r="AB9" s="563">
        <v>400</v>
      </c>
      <c r="AC9" s="563">
        <v>100</v>
      </c>
      <c r="AD9" s="563">
        <v>0.4</v>
      </c>
      <c r="AE9" s="563">
        <v>1</v>
      </c>
      <c r="AF9" s="563">
        <v>75</v>
      </c>
      <c r="AG9" s="850">
        <v>2500</v>
      </c>
      <c r="AH9" s="563">
        <v>1</v>
      </c>
      <c r="AI9" s="1537">
        <v>1</v>
      </c>
      <c r="AJ9" s="96">
        <v>1</v>
      </c>
      <c r="AK9" s="96"/>
      <c r="AL9" s="576">
        <f t="shared" ref="AL9:AL81" si="101">$M$2-1</f>
        <v>1</v>
      </c>
      <c r="AM9" s="572">
        <f t="shared" si="24"/>
        <v>0.1111111111111111</v>
      </c>
      <c r="AN9" s="572">
        <f t="shared" si="25"/>
        <v>1.1111111111111112</v>
      </c>
      <c r="AO9" s="572"/>
      <c r="AP9" s="572"/>
      <c r="AQ9" s="572"/>
      <c r="AR9" s="572"/>
      <c r="AS9" s="572"/>
      <c r="AT9" s="572">
        <f>SUM((AC9/18))</f>
        <v>5.5555555555555554</v>
      </c>
      <c r="AU9" s="572"/>
      <c r="AV9" s="572"/>
      <c r="AW9" s="583"/>
      <c r="AX9" s="572">
        <f t="shared" si="26"/>
        <v>277.77777777777777</v>
      </c>
      <c r="AY9" s="572"/>
      <c r="AZ9" s="572"/>
      <c r="BA9" s="96"/>
      <c r="BB9" s="576"/>
      <c r="BC9" s="572">
        <f t="shared" si="27"/>
        <v>9.9999999999999992E-2</v>
      </c>
      <c r="BD9" s="572">
        <f t="shared" si="28"/>
        <v>1</v>
      </c>
      <c r="BE9" s="572">
        <f t="shared" si="29"/>
        <v>0</v>
      </c>
      <c r="BF9" s="572">
        <f t="shared" si="30"/>
        <v>0</v>
      </c>
      <c r="BG9" s="572">
        <f t="shared" si="31"/>
        <v>0</v>
      </c>
      <c r="BH9" s="572">
        <f t="shared" si="32"/>
        <v>0</v>
      </c>
      <c r="BI9" s="572">
        <f t="shared" si="33"/>
        <v>0</v>
      </c>
      <c r="BJ9" s="572">
        <f t="shared" si="34"/>
        <v>5</v>
      </c>
      <c r="BK9" s="572">
        <f t="shared" si="35"/>
        <v>0</v>
      </c>
      <c r="BL9" s="572">
        <f t="shared" si="36"/>
        <v>0</v>
      </c>
      <c r="BM9" s="583">
        <f t="shared" si="37"/>
        <v>0</v>
      </c>
      <c r="BN9" s="572">
        <f t="shared" si="38"/>
        <v>250</v>
      </c>
      <c r="BO9" s="96"/>
      <c r="BP9" s="576"/>
      <c r="BQ9" s="572">
        <f t="shared" si="39"/>
        <v>0.09</v>
      </c>
      <c r="BR9" s="572">
        <f t="shared" si="40"/>
        <v>0.9</v>
      </c>
      <c r="BS9" s="572">
        <f t="shared" si="41"/>
        <v>0</v>
      </c>
      <c r="BT9" s="572">
        <f t="shared" si="42"/>
        <v>0</v>
      </c>
      <c r="BU9" s="572">
        <f t="shared" si="43"/>
        <v>0</v>
      </c>
      <c r="BV9" s="572">
        <f t="shared" si="44"/>
        <v>0</v>
      </c>
      <c r="BW9" s="572">
        <f t="shared" si="45"/>
        <v>0</v>
      </c>
      <c r="BX9" s="572">
        <f t="shared" si="46"/>
        <v>4.5</v>
      </c>
      <c r="BY9" s="572">
        <f t="shared" si="47"/>
        <v>0</v>
      </c>
      <c r="BZ9" s="572">
        <f t="shared" si="48"/>
        <v>0</v>
      </c>
      <c r="CA9" s="583">
        <f t="shared" si="49"/>
        <v>0</v>
      </c>
      <c r="CB9" s="572">
        <f t="shared" si="50"/>
        <v>225</v>
      </c>
      <c r="CC9" s="96"/>
      <c r="CD9" s="589"/>
      <c r="CE9" s="572">
        <f t="shared" si="51"/>
        <v>0.08</v>
      </c>
      <c r="CF9" s="572">
        <f t="shared" si="52"/>
        <v>0.8</v>
      </c>
      <c r="CG9" s="572">
        <f t="shared" si="53"/>
        <v>0</v>
      </c>
      <c r="CH9" s="572">
        <f t="shared" si="54"/>
        <v>0</v>
      </c>
      <c r="CI9" s="572">
        <f t="shared" si="55"/>
        <v>0</v>
      </c>
      <c r="CJ9" s="572">
        <f t="shared" si="56"/>
        <v>0</v>
      </c>
      <c r="CK9" s="572">
        <f t="shared" si="57"/>
        <v>0</v>
      </c>
      <c r="CL9" s="572">
        <f t="shared" si="58"/>
        <v>4</v>
      </c>
      <c r="CM9" s="572">
        <f t="shared" si="59"/>
        <v>0</v>
      </c>
      <c r="CN9" s="572">
        <f t="shared" si="60"/>
        <v>0</v>
      </c>
      <c r="CO9" s="583">
        <f t="shared" si="61"/>
        <v>0</v>
      </c>
      <c r="CP9" s="572">
        <f t="shared" si="62"/>
        <v>200</v>
      </c>
      <c r="CQ9" s="96"/>
      <c r="CR9" s="589"/>
      <c r="CS9" s="572">
        <f t="shared" si="63"/>
        <v>6.9999999999999993E-2</v>
      </c>
      <c r="CT9" s="572">
        <f t="shared" si="64"/>
        <v>0.7</v>
      </c>
      <c r="CU9" s="572">
        <f t="shared" si="65"/>
        <v>0</v>
      </c>
      <c r="CV9" s="572">
        <f t="shared" si="66"/>
        <v>0</v>
      </c>
      <c r="CW9" s="572">
        <f t="shared" si="67"/>
        <v>0</v>
      </c>
      <c r="CX9" s="572">
        <f t="shared" si="68"/>
        <v>0</v>
      </c>
      <c r="CY9" s="572">
        <f t="shared" si="69"/>
        <v>0</v>
      </c>
      <c r="CZ9" s="572">
        <f t="shared" si="70"/>
        <v>3.5</v>
      </c>
      <c r="DA9" s="572">
        <f t="shared" si="71"/>
        <v>0</v>
      </c>
      <c r="DB9" s="572">
        <f t="shared" si="72"/>
        <v>0</v>
      </c>
      <c r="DC9" s="583">
        <f t="shared" si="73"/>
        <v>0</v>
      </c>
      <c r="DD9" s="572">
        <f t="shared" si="74"/>
        <v>175</v>
      </c>
      <c r="DE9" s="96"/>
      <c r="DF9" s="576"/>
      <c r="DG9" s="572">
        <f t="shared" si="75"/>
        <v>5.9999999999999991E-2</v>
      </c>
      <c r="DH9" s="572">
        <f t="shared" si="76"/>
        <v>0.6</v>
      </c>
      <c r="DI9" s="572">
        <f t="shared" si="77"/>
        <v>0</v>
      </c>
      <c r="DJ9" s="572">
        <f t="shared" si="78"/>
        <v>0</v>
      </c>
      <c r="DK9" s="572">
        <f t="shared" si="79"/>
        <v>0</v>
      </c>
      <c r="DL9" s="572">
        <f t="shared" si="80"/>
        <v>0</v>
      </c>
      <c r="DM9" s="572">
        <f t="shared" si="81"/>
        <v>0</v>
      </c>
      <c r="DN9" s="572">
        <f t="shared" si="82"/>
        <v>3</v>
      </c>
      <c r="DO9" s="572">
        <f t="shared" si="83"/>
        <v>0</v>
      </c>
      <c r="DP9" s="572">
        <f t="shared" si="84"/>
        <v>0</v>
      </c>
      <c r="DQ9" s="577">
        <f t="shared" si="85"/>
        <v>0</v>
      </c>
      <c r="DR9" s="96">
        <f t="shared" si="86"/>
        <v>150</v>
      </c>
      <c r="DS9" s="96"/>
      <c r="DT9" s="96" t="e">
        <f t="shared" si="87"/>
        <v>#VALUE!</v>
      </c>
      <c r="DU9" s="96" t="e">
        <f t="shared" si="88"/>
        <v>#VALUE!</v>
      </c>
      <c r="DV9" s="96" t="e">
        <f t="shared" si="89"/>
        <v>#VALUE!</v>
      </c>
      <c r="DW9" s="96" t="e">
        <f t="shared" si="90"/>
        <v>#VALUE!</v>
      </c>
      <c r="DX9" s="96" t="e">
        <f t="shared" si="91"/>
        <v>#VALUE!</v>
      </c>
      <c r="DY9" s="96" t="e">
        <f t="shared" si="92"/>
        <v>#VALUE!</v>
      </c>
      <c r="DZ9" s="96" t="e">
        <f t="shared" si="93"/>
        <v>#VALUE!</v>
      </c>
      <c r="EA9" s="96" t="e">
        <f t="shared" si="94"/>
        <v>#VALUE!</v>
      </c>
      <c r="EB9" s="96" t="e">
        <f t="shared" si="95"/>
        <v>#VALUE!</v>
      </c>
      <c r="EC9" s="96" t="e">
        <f t="shared" si="96"/>
        <v>#VALUE!</v>
      </c>
      <c r="ED9" s="96" t="e">
        <f t="shared" si="97"/>
        <v>#VALUE!</v>
      </c>
      <c r="EE9" s="96" t="e">
        <f t="shared" si="98"/>
        <v>#VALUE!</v>
      </c>
    </row>
    <row r="10" spans="2:135">
      <c r="C10" s="1752">
        <v>105</v>
      </c>
      <c r="D10" s="1115" t="s">
        <v>812</v>
      </c>
      <c r="E10" s="319">
        <f>IF((AL10&lt;10),SUM((U10+(ROUNDUP((AL10*AM10),2)))),SUM((U10+(ROUNDUP(((9*AM10)+DT10),2)))))</f>
        <v>1.1200000000000001</v>
      </c>
      <c r="F10" s="319">
        <f t="shared" si="12"/>
        <v>11.120000000000001</v>
      </c>
      <c r="G10" s="319">
        <f t="shared" si="13"/>
        <v>5</v>
      </c>
      <c r="H10" s="320">
        <f t="shared" si="99"/>
        <v>1</v>
      </c>
      <c r="I10" s="319">
        <f t="shared" si="14"/>
        <v>0</v>
      </c>
      <c r="J10" s="319">
        <f t="shared" si="15"/>
        <v>900</v>
      </c>
      <c r="K10" s="319">
        <f t="shared" si="16"/>
        <v>200</v>
      </c>
      <c r="L10" s="319">
        <f t="shared" si="17"/>
        <v>400</v>
      </c>
      <c r="M10" s="319">
        <f t="shared" si="18"/>
        <v>105.56</v>
      </c>
      <c r="N10" s="319">
        <f t="shared" si="19"/>
        <v>0.4</v>
      </c>
      <c r="O10" s="319">
        <f t="shared" si="20"/>
        <v>1</v>
      </c>
      <c r="P10" s="319">
        <f t="shared" si="21"/>
        <v>75</v>
      </c>
      <c r="Q10" s="1637">
        <f t="shared" si="100"/>
        <v>2777.7799999999997</v>
      </c>
      <c r="R10" s="1637">
        <f t="shared" si="22"/>
        <v>1</v>
      </c>
      <c r="S10" s="1637">
        <f t="shared" si="23"/>
        <v>1</v>
      </c>
      <c r="T10" s="190"/>
      <c r="U10" s="568">
        <v>1</v>
      </c>
      <c r="V10" s="563">
        <v>10</v>
      </c>
      <c r="W10" s="563">
        <v>5</v>
      </c>
      <c r="X10" s="563">
        <v>1</v>
      </c>
      <c r="Y10" s="563">
        <v>0</v>
      </c>
      <c r="Z10" s="563">
        <v>900</v>
      </c>
      <c r="AA10" s="563">
        <v>200</v>
      </c>
      <c r="AB10" s="563">
        <v>400</v>
      </c>
      <c r="AC10" s="563">
        <v>100</v>
      </c>
      <c r="AD10" s="563">
        <v>0.4</v>
      </c>
      <c r="AE10" s="563">
        <v>1</v>
      </c>
      <c r="AF10" s="563">
        <v>75</v>
      </c>
      <c r="AG10" s="850">
        <v>2500</v>
      </c>
      <c r="AH10" s="563">
        <v>1</v>
      </c>
      <c r="AI10" s="1537">
        <v>1</v>
      </c>
      <c r="AJ10" s="96">
        <v>2</v>
      </c>
      <c r="AK10" s="96"/>
      <c r="AL10" s="576">
        <f t="shared" si="101"/>
        <v>1</v>
      </c>
      <c r="AM10" s="572">
        <f t="shared" si="24"/>
        <v>0.1111111111111111</v>
      </c>
      <c r="AN10" s="572">
        <f t="shared" si="25"/>
        <v>1.1111111111111112</v>
      </c>
      <c r="AO10" s="572"/>
      <c r="AP10" s="572"/>
      <c r="AQ10" s="572"/>
      <c r="AR10" s="572"/>
      <c r="AS10" s="572"/>
      <c r="AT10" s="572">
        <f>SUM((AC10/18))</f>
        <v>5.5555555555555554</v>
      </c>
      <c r="AU10" s="572"/>
      <c r="AV10" s="572"/>
      <c r="AW10" s="583"/>
      <c r="AX10" s="572">
        <f t="shared" si="26"/>
        <v>277.77777777777777</v>
      </c>
      <c r="AY10" s="572"/>
      <c r="AZ10" s="572"/>
      <c r="BA10" s="96"/>
      <c r="BB10" s="576"/>
      <c r="BC10" s="572">
        <f t="shared" si="27"/>
        <v>9.9999999999999992E-2</v>
      </c>
      <c r="BD10" s="572">
        <f t="shared" si="28"/>
        <v>1</v>
      </c>
      <c r="BE10" s="572">
        <f t="shared" si="29"/>
        <v>0</v>
      </c>
      <c r="BF10" s="572">
        <f t="shared" si="30"/>
        <v>0</v>
      </c>
      <c r="BG10" s="572">
        <f t="shared" si="31"/>
        <v>0</v>
      </c>
      <c r="BH10" s="572">
        <f t="shared" si="32"/>
        <v>0</v>
      </c>
      <c r="BI10" s="572">
        <f t="shared" si="33"/>
        <v>0</v>
      </c>
      <c r="BJ10" s="572">
        <f t="shared" si="34"/>
        <v>5</v>
      </c>
      <c r="BK10" s="572">
        <f t="shared" si="35"/>
        <v>0</v>
      </c>
      <c r="BL10" s="572">
        <f t="shared" si="36"/>
        <v>0</v>
      </c>
      <c r="BM10" s="583">
        <f t="shared" si="37"/>
        <v>0</v>
      </c>
      <c r="BN10" s="572">
        <f t="shared" si="38"/>
        <v>250</v>
      </c>
      <c r="BO10" s="96"/>
      <c r="BP10" s="576"/>
      <c r="BQ10" s="572">
        <f t="shared" si="39"/>
        <v>0.09</v>
      </c>
      <c r="BR10" s="572">
        <f t="shared" si="40"/>
        <v>0.9</v>
      </c>
      <c r="BS10" s="572">
        <f t="shared" si="41"/>
        <v>0</v>
      </c>
      <c r="BT10" s="572">
        <f t="shared" si="42"/>
        <v>0</v>
      </c>
      <c r="BU10" s="572">
        <f t="shared" si="43"/>
        <v>0</v>
      </c>
      <c r="BV10" s="572">
        <f t="shared" si="44"/>
        <v>0</v>
      </c>
      <c r="BW10" s="572">
        <f t="shared" si="45"/>
        <v>0</v>
      </c>
      <c r="BX10" s="572">
        <f t="shared" si="46"/>
        <v>4.5</v>
      </c>
      <c r="BY10" s="572">
        <f t="shared" si="47"/>
        <v>0</v>
      </c>
      <c r="BZ10" s="572">
        <f t="shared" si="48"/>
        <v>0</v>
      </c>
      <c r="CA10" s="583">
        <f t="shared" si="49"/>
        <v>0</v>
      </c>
      <c r="CB10" s="572">
        <f t="shared" si="50"/>
        <v>225</v>
      </c>
      <c r="CC10" s="96"/>
      <c r="CD10" s="589"/>
      <c r="CE10" s="572">
        <f t="shared" si="51"/>
        <v>0.08</v>
      </c>
      <c r="CF10" s="572">
        <f t="shared" si="52"/>
        <v>0.8</v>
      </c>
      <c r="CG10" s="572">
        <f t="shared" si="53"/>
        <v>0</v>
      </c>
      <c r="CH10" s="572">
        <f t="shared" si="54"/>
        <v>0</v>
      </c>
      <c r="CI10" s="572">
        <f t="shared" si="55"/>
        <v>0</v>
      </c>
      <c r="CJ10" s="572">
        <f t="shared" si="56"/>
        <v>0</v>
      </c>
      <c r="CK10" s="572">
        <f t="shared" si="57"/>
        <v>0</v>
      </c>
      <c r="CL10" s="572">
        <f t="shared" si="58"/>
        <v>4</v>
      </c>
      <c r="CM10" s="572">
        <f t="shared" si="59"/>
        <v>0</v>
      </c>
      <c r="CN10" s="572">
        <f t="shared" si="60"/>
        <v>0</v>
      </c>
      <c r="CO10" s="583">
        <f t="shared" si="61"/>
        <v>0</v>
      </c>
      <c r="CP10" s="572">
        <f t="shared" si="62"/>
        <v>200</v>
      </c>
      <c r="CQ10" s="96"/>
      <c r="CR10" s="589"/>
      <c r="CS10" s="572">
        <f t="shared" si="63"/>
        <v>6.9999999999999993E-2</v>
      </c>
      <c r="CT10" s="572">
        <f t="shared" si="64"/>
        <v>0.7</v>
      </c>
      <c r="CU10" s="572">
        <f t="shared" si="65"/>
        <v>0</v>
      </c>
      <c r="CV10" s="572">
        <f t="shared" si="66"/>
        <v>0</v>
      </c>
      <c r="CW10" s="572">
        <f t="shared" si="67"/>
        <v>0</v>
      </c>
      <c r="CX10" s="572">
        <f t="shared" si="68"/>
        <v>0</v>
      </c>
      <c r="CY10" s="572">
        <f t="shared" si="69"/>
        <v>0</v>
      </c>
      <c r="CZ10" s="572">
        <f t="shared" si="70"/>
        <v>3.5</v>
      </c>
      <c r="DA10" s="572">
        <f t="shared" si="71"/>
        <v>0</v>
      </c>
      <c r="DB10" s="572">
        <f t="shared" si="72"/>
        <v>0</v>
      </c>
      <c r="DC10" s="583">
        <f t="shared" si="73"/>
        <v>0</v>
      </c>
      <c r="DD10" s="572">
        <f t="shared" si="74"/>
        <v>175</v>
      </c>
      <c r="DE10" s="96"/>
      <c r="DF10" s="576"/>
      <c r="DG10" s="572">
        <f t="shared" si="75"/>
        <v>5.9999999999999991E-2</v>
      </c>
      <c r="DH10" s="572">
        <f t="shared" si="76"/>
        <v>0.6</v>
      </c>
      <c r="DI10" s="572">
        <f t="shared" si="77"/>
        <v>0</v>
      </c>
      <c r="DJ10" s="572">
        <f t="shared" si="78"/>
        <v>0</v>
      </c>
      <c r="DK10" s="572">
        <f t="shared" si="79"/>
        <v>0</v>
      </c>
      <c r="DL10" s="572">
        <f t="shared" si="80"/>
        <v>0</v>
      </c>
      <c r="DM10" s="572">
        <f t="shared" si="81"/>
        <v>0</v>
      </c>
      <c r="DN10" s="572">
        <f t="shared" si="82"/>
        <v>3</v>
      </c>
      <c r="DO10" s="572">
        <f t="shared" si="83"/>
        <v>0</v>
      </c>
      <c r="DP10" s="572">
        <f t="shared" si="84"/>
        <v>0</v>
      </c>
      <c r="DQ10" s="577">
        <f t="shared" si="85"/>
        <v>0</v>
      </c>
      <c r="DR10" s="96">
        <f t="shared" si="86"/>
        <v>150</v>
      </c>
      <c r="DS10" s="96"/>
      <c r="DT10" s="96" t="e">
        <f t="shared" si="87"/>
        <v>#VALUE!</v>
      </c>
      <c r="DU10" s="96" t="e">
        <f t="shared" si="88"/>
        <v>#VALUE!</v>
      </c>
      <c r="DV10" s="96" t="e">
        <f t="shared" si="89"/>
        <v>#VALUE!</v>
      </c>
      <c r="DW10" s="96" t="e">
        <f t="shared" si="90"/>
        <v>#VALUE!</v>
      </c>
      <c r="DX10" s="96" t="e">
        <f t="shared" si="91"/>
        <v>#VALUE!</v>
      </c>
      <c r="DY10" s="96" t="e">
        <f t="shared" si="92"/>
        <v>#VALUE!</v>
      </c>
      <c r="DZ10" s="96" t="e">
        <f t="shared" si="93"/>
        <v>#VALUE!</v>
      </c>
      <c r="EA10" s="96" t="e">
        <f t="shared" si="94"/>
        <v>#VALUE!</v>
      </c>
      <c r="EB10" s="96" t="e">
        <f t="shared" si="95"/>
        <v>#VALUE!</v>
      </c>
      <c r="EC10" s="96" t="e">
        <f t="shared" si="96"/>
        <v>#VALUE!</v>
      </c>
      <c r="ED10" s="96" t="e">
        <f t="shared" si="97"/>
        <v>#VALUE!</v>
      </c>
      <c r="EE10" s="96" t="e">
        <f t="shared" si="98"/>
        <v>#VALUE!</v>
      </c>
    </row>
    <row r="11" spans="2:135" s="368" customFormat="1">
      <c r="B11" s="173"/>
      <c r="C11" s="1752">
        <v>106</v>
      </c>
      <c r="D11" s="1115" t="s">
        <v>990</v>
      </c>
      <c r="E11" s="319">
        <f>E12*(1+5/100)</f>
        <v>1.1760000000000002</v>
      </c>
      <c r="F11" s="319">
        <f>F12*(1+5/100)</f>
        <v>11.676000000000002</v>
      </c>
      <c r="G11" s="319">
        <f>G12</f>
        <v>5</v>
      </c>
      <c r="H11" s="320">
        <f>H12</f>
        <v>1</v>
      </c>
      <c r="I11" s="319">
        <f>I12</f>
        <v>0</v>
      </c>
      <c r="J11" s="319">
        <f>J12</f>
        <v>750</v>
      </c>
      <c r="K11" s="319">
        <f t="shared" si="16"/>
        <v>350</v>
      </c>
      <c r="L11" s="319">
        <f t="shared" si="17"/>
        <v>400</v>
      </c>
      <c r="M11" s="319">
        <f t="shared" si="18"/>
        <v>100</v>
      </c>
      <c r="N11" s="319">
        <f t="shared" si="19"/>
        <v>0.5</v>
      </c>
      <c r="O11" s="319">
        <f t="shared" si="20"/>
        <v>1</v>
      </c>
      <c r="P11" s="319">
        <f t="shared" si="21"/>
        <v>75</v>
      </c>
      <c r="Q11" s="1637">
        <f t="shared" si="100"/>
        <v>2500</v>
      </c>
      <c r="R11" s="1637">
        <f t="shared" si="22"/>
        <v>1</v>
      </c>
      <c r="S11" s="1637">
        <f t="shared" si="23"/>
        <v>1</v>
      </c>
      <c r="T11" s="190"/>
      <c r="U11" s="568">
        <f>U10*(1+5/100)</f>
        <v>1.05</v>
      </c>
      <c r="V11" s="563">
        <f>V10*(1+5/100)</f>
        <v>10.5</v>
      </c>
      <c r="W11" s="563">
        <v>5</v>
      </c>
      <c r="X11" s="563">
        <v>1</v>
      </c>
      <c r="Y11" s="563">
        <v>0</v>
      </c>
      <c r="Z11" s="563">
        <v>750</v>
      </c>
      <c r="AA11" s="563">
        <v>350</v>
      </c>
      <c r="AB11" s="563">
        <v>400</v>
      </c>
      <c r="AC11" s="563">
        <v>100</v>
      </c>
      <c r="AD11" s="563">
        <v>0.5</v>
      </c>
      <c r="AE11" s="563">
        <v>1</v>
      </c>
      <c r="AF11" s="563">
        <v>75</v>
      </c>
      <c r="AG11" s="850">
        <v>2500</v>
      </c>
      <c r="AH11" s="563">
        <v>1</v>
      </c>
      <c r="AI11" s="1537">
        <v>1</v>
      </c>
      <c r="AJ11" s="96"/>
      <c r="AK11" s="96"/>
      <c r="AL11" s="576"/>
      <c r="AM11" s="572"/>
      <c r="AN11" s="572"/>
      <c r="AO11" s="572"/>
      <c r="AP11" s="572"/>
      <c r="AQ11" s="572"/>
      <c r="AR11" s="572">
        <f>SUM(100/9)</f>
        <v>11.111111111111111</v>
      </c>
      <c r="AS11" s="572"/>
      <c r="AT11" s="572"/>
      <c r="AU11" s="572"/>
      <c r="AV11" s="572"/>
      <c r="AW11" s="583"/>
      <c r="AX11" s="572">
        <f t="shared" si="26"/>
        <v>277.77777777777777</v>
      </c>
      <c r="AY11" s="572"/>
      <c r="AZ11" s="572"/>
      <c r="BA11" s="96"/>
      <c r="BB11" s="576"/>
      <c r="BC11" s="572"/>
      <c r="BD11" s="572"/>
      <c r="BE11" s="572">
        <v>0</v>
      </c>
      <c r="BF11" s="572">
        <v>0</v>
      </c>
      <c r="BG11" s="572">
        <v>0</v>
      </c>
      <c r="BH11" s="572">
        <v>10</v>
      </c>
      <c r="BI11" s="572">
        <v>0</v>
      </c>
      <c r="BJ11" s="572">
        <v>0</v>
      </c>
      <c r="BK11" s="572">
        <v>0</v>
      </c>
      <c r="BL11" s="572">
        <v>0</v>
      </c>
      <c r="BM11" s="583">
        <v>0</v>
      </c>
      <c r="BN11" s="572">
        <v>250</v>
      </c>
      <c r="BO11" s="96"/>
      <c r="BP11" s="576"/>
      <c r="BQ11" s="572"/>
      <c r="BR11" s="572"/>
      <c r="BS11" s="572"/>
      <c r="BT11" s="572"/>
      <c r="BU11" s="572"/>
      <c r="BV11" s="572">
        <f>BV8</f>
        <v>9</v>
      </c>
      <c r="BW11" s="572"/>
      <c r="BX11" s="572"/>
      <c r="BY11" s="572"/>
      <c r="BZ11" s="572"/>
      <c r="CA11" s="583"/>
      <c r="CB11" s="572">
        <f t="shared" si="50"/>
        <v>225</v>
      </c>
      <c r="CC11" s="96"/>
      <c r="CD11" s="589"/>
      <c r="CE11" s="572"/>
      <c r="CF11" s="572"/>
      <c r="CG11" s="572"/>
      <c r="CH11" s="572"/>
      <c r="CI11" s="572"/>
      <c r="CJ11" s="572">
        <f>CJ8</f>
        <v>8</v>
      </c>
      <c r="CK11" s="572"/>
      <c r="CL11" s="572"/>
      <c r="CM11" s="572"/>
      <c r="CN11" s="572"/>
      <c r="CO11" s="583"/>
      <c r="CP11" s="572">
        <f t="shared" si="62"/>
        <v>200</v>
      </c>
      <c r="CQ11" s="96"/>
      <c r="CR11" s="589"/>
      <c r="CS11" s="572"/>
      <c r="CT11" s="572"/>
      <c r="CU11" s="572"/>
      <c r="CV11" s="572"/>
      <c r="CW11" s="572"/>
      <c r="CX11" s="572">
        <f>CX8</f>
        <v>7</v>
      </c>
      <c r="CY11" s="572"/>
      <c r="CZ11" s="572"/>
      <c r="DA11" s="572"/>
      <c r="DB11" s="572"/>
      <c r="DC11" s="583"/>
      <c r="DD11" s="572">
        <f t="shared" si="74"/>
        <v>175</v>
      </c>
      <c r="DE11" s="96"/>
      <c r="DF11" s="576"/>
      <c r="DG11" s="572"/>
      <c r="DH11" s="572"/>
      <c r="DI11" s="572"/>
      <c r="DJ11" s="572"/>
      <c r="DK11" s="572"/>
      <c r="DL11" s="572">
        <f>DL8</f>
        <v>6</v>
      </c>
      <c r="DM11" s="572"/>
      <c r="DN11" s="572"/>
      <c r="DO11" s="572"/>
      <c r="DP11" s="572"/>
      <c r="DQ11" s="577"/>
      <c r="DR11" s="96">
        <f t="shared" si="86"/>
        <v>150</v>
      </c>
      <c r="DS11" s="96"/>
      <c r="DT11" s="96"/>
      <c r="DU11" s="96"/>
      <c r="DV11" s="96"/>
      <c r="DW11" s="96"/>
      <c r="DX11" s="96"/>
      <c r="DY11" s="96" t="e">
        <f>DY8</f>
        <v>#VALUE!</v>
      </c>
      <c r="DZ11" s="96"/>
      <c r="EA11" s="96"/>
      <c r="EB11" s="96"/>
      <c r="EC11" s="96"/>
      <c r="ED11" s="96"/>
      <c r="EE11" s="96" t="e">
        <f t="shared" si="98"/>
        <v>#VALUE!</v>
      </c>
    </row>
    <row r="12" spans="2:135">
      <c r="C12" s="1752">
        <v>107</v>
      </c>
      <c r="D12" s="1115" t="s">
        <v>1072</v>
      </c>
      <c r="E12" s="319">
        <f t="shared" si="11"/>
        <v>1.1200000000000001</v>
      </c>
      <c r="F12" s="319">
        <f t="shared" si="12"/>
        <v>11.120000000000001</v>
      </c>
      <c r="G12" s="319">
        <f t="shared" si="13"/>
        <v>5</v>
      </c>
      <c r="H12" s="320">
        <f t="shared" si="99"/>
        <v>1</v>
      </c>
      <c r="I12" s="319">
        <f t="shared" si="14"/>
        <v>0</v>
      </c>
      <c r="J12" s="319">
        <f t="shared" si="15"/>
        <v>750</v>
      </c>
      <c r="K12" s="319">
        <f t="shared" si="16"/>
        <v>316.67</v>
      </c>
      <c r="L12" s="319">
        <f t="shared" si="17"/>
        <v>400</v>
      </c>
      <c r="M12" s="319">
        <f t="shared" si="18"/>
        <v>100</v>
      </c>
      <c r="N12" s="319">
        <f t="shared" si="19"/>
        <v>0.5</v>
      </c>
      <c r="O12" s="319">
        <f t="shared" si="20"/>
        <v>1</v>
      </c>
      <c r="P12" s="319">
        <f t="shared" si="21"/>
        <v>75</v>
      </c>
      <c r="Q12" s="1637">
        <f t="shared" si="100"/>
        <v>2777.7799999999997</v>
      </c>
      <c r="R12" s="1637">
        <f t="shared" si="22"/>
        <v>1</v>
      </c>
      <c r="S12" s="1637">
        <f t="shared" si="23"/>
        <v>1</v>
      </c>
      <c r="T12" s="190"/>
      <c r="U12" s="568">
        <v>1</v>
      </c>
      <c r="V12" s="563">
        <v>10</v>
      </c>
      <c r="W12" s="563">
        <v>5</v>
      </c>
      <c r="X12" s="563">
        <v>1</v>
      </c>
      <c r="Y12" s="563">
        <v>0</v>
      </c>
      <c r="Z12" s="563">
        <v>750</v>
      </c>
      <c r="AA12" s="563">
        <v>300</v>
      </c>
      <c r="AB12" s="563">
        <v>400</v>
      </c>
      <c r="AC12" s="563">
        <v>100</v>
      </c>
      <c r="AD12" s="563">
        <v>0.5</v>
      </c>
      <c r="AE12" s="563">
        <v>1</v>
      </c>
      <c r="AF12" s="563">
        <v>75</v>
      </c>
      <c r="AG12" s="850">
        <v>2500</v>
      </c>
      <c r="AH12" s="563">
        <v>1</v>
      </c>
      <c r="AI12" s="1537">
        <v>1</v>
      </c>
      <c r="AJ12" s="96">
        <v>3</v>
      </c>
      <c r="AK12" s="96"/>
      <c r="AL12" s="576">
        <f t="shared" si="101"/>
        <v>1</v>
      </c>
      <c r="AM12" s="572">
        <f t="shared" si="24"/>
        <v>0.1111111111111111</v>
      </c>
      <c r="AN12" s="572">
        <f t="shared" si="25"/>
        <v>1.1111111111111112</v>
      </c>
      <c r="AO12" s="572"/>
      <c r="AP12" s="572"/>
      <c r="AQ12" s="572"/>
      <c r="AR12" s="572">
        <f>SUM((AR8*1.5))</f>
        <v>16.666666666666664</v>
      </c>
      <c r="AS12" s="572"/>
      <c r="AT12" s="572"/>
      <c r="AU12" s="572"/>
      <c r="AV12" s="572"/>
      <c r="AW12" s="583"/>
      <c r="AX12" s="572">
        <f t="shared" si="26"/>
        <v>277.77777777777777</v>
      </c>
      <c r="AY12" s="572"/>
      <c r="AZ12" s="572"/>
      <c r="BA12" s="96"/>
      <c r="BB12" s="576"/>
      <c r="BC12" s="572">
        <f t="shared" si="27"/>
        <v>9.9999999999999992E-2</v>
      </c>
      <c r="BD12" s="572">
        <f t="shared" si="28"/>
        <v>1</v>
      </c>
      <c r="BE12" s="572">
        <f t="shared" si="29"/>
        <v>0</v>
      </c>
      <c r="BF12" s="572">
        <f t="shared" si="30"/>
        <v>0</v>
      </c>
      <c r="BG12" s="572">
        <f t="shared" si="31"/>
        <v>0</v>
      </c>
      <c r="BH12" s="572">
        <f t="shared" si="32"/>
        <v>14.999999999999998</v>
      </c>
      <c r="BI12" s="572">
        <f t="shared" si="33"/>
        <v>0</v>
      </c>
      <c r="BJ12" s="572">
        <f t="shared" si="34"/>
        <v>0</v>
      </c>
      <c r="BK12" s="572">
        <f t="shared" si="35"/>
        <v>0</v>
      </c>
      <c r="BL12" s="572">
        <f t="shared" si="36"/>
        <v>0</v>
      </c>
      <c r="BM12" s="583">
        <f t="shared" si="37"/>
        <v>0</v>
      </c>
      <c r="BN12" s="572">
        <f t="shared" si="38"/>
        <v>250</v>
      </c>
      <c r="BO12" s="96"/>
      <c r="BP12" s="576"/>
      <c r="BQ12" s="572">
        <f t="shared" si="39"/>
        <v>0.09</v>
      </c>
      <c r="BR12" s="572">
        <f t="shared" si="40"/>
        <v>0.9</v>
      </c>
      <c r="BS12" s="572">
        <f t="shared" si="41"/>
        <v>0</v>
      </c>
      <c r="BT12" s="572">
        <f t="shared" si="42"/>
        <v>0</v>
      </c>
      <c r="BU12" s="572">
        <f t="shared" si="43"/>
        <v>0</v>
      </c>
      <c r="BV12" s="572">
        <f t="shared" si="44"/>
        <v>13.499999999999998</v>
      </c>
      <c r="BW12" s="572">
        <f t="shared" si="45"/>
        <v>0</v>
      </c>
      <c r="BX12" s="572">
        <f t="shared" si="46"/>
        <v>0</v>
      </c>
      <c r="BY12" s="572">
        <f t="shared" si="47"/>
        <v>0</v>
      </c>
      <c r="BZ12" s="572">
        <f t="shared" si="48"/>
        <v>0</v>
      </c>
      <c r="CA12" s="583">
        <f t="shared" si="49"/>
        <v>0</v>
      </c>
      <c r="CB12" s="572">
        <f t="shared" si="50"/>
        <v>225</v>
      </c>
      <c r="CC12" s="96"/>
      <c r="CD12" s="589"/>
      <c r="CE12" s="572">
        <f t="shared" si="51"/>
        <v>0.08</v>
      </c>
      <c r="CF12" s="572">
        <f t="shared" si="52"/>
        <v>0.8</v>
      </c>
      <c r="CG12" s="572">
        <f t="shared" si="53"/>
        <v>0</v>
      </c>
      <c r="CH12" s="572">
        <f t="shared" si="54"/>
        <v>0</v>
      </c>
      <c r="CI12" s="572">
        <f t="shared" si="55"/>
        <v>0</v>
      </c>
      <c r="CJ12" s="572">
        <f t="shared" si="56"/>
        <v>12</v>
      </c>
      <c r="CK12" s="572">
        <f t="shared" si="57"/>
        <v>0</v>
      </c>
      <c r="CL12" s="572">
        <f t="shared" si="58"/>
        <v>0</v>
      </c>
      <c r="CM12" s="572">
        <f t="shared" si="59"/>
        <v>0</v>
      </c>
      <c r="CN12" s="572">
        <f t="shared" si="60"/>
        <v>0</v>
      </c>
      <c r="CO12" s="583">
        <f t="shared" si="61"/>
        <v>0</v>
      </c>
      <c r="CP12" s="572">
        <f t="shared" si="62"/>
        <v>200</v>
      </c>
      <c r="CQ12" s="96"/>
      <c r="CR12" s="576"/>
      <c r="CS12" s="572">
        <f t="shared" si="63"/>
        <v>6.9999999999999993E-2</v>
      </c>
      <c r="CT12" s="572">
        <f t="shared" si="64"/>
        <v>0.7</v>
      </c>
      <c r="CU12" s="572">
        <f t="shared" si="65"/>
        <v>0</v>
      </c>
      <c r="CV12" s="572">
        <f t="shared" si="66"/>
        <v>0</v>
      </c>
      <c r="CW12" s="572">
        <f t="shared" si="67"/>
        <v>0</v>
      </c>
      <c r="CX12" s="572">
        <f t="shared" si="68"/>
        <v>10.499999999999998</v>
      </c>
      <c r="CY12" s="572">
        <f t="shared" si="69"/>
        <v>0</v>
      </c>
      <c r="CZ12" s="572">
        <f t="shared" si="70"/>
        <v>0</v>
      </c>
      <c r="DA12" s="572">
        <f t="shared" si="71"/>
        <v>0</v>
      </c>
      <c r="DB12" s="572">
        <f t="shared" si="72"/>
        <v>0</v>
      </c>
      <c r="DC12" s="583">
        <f t="shared" si="73"/>
        <v>0</v>
      </c>
      <c r="DD12" s="572">
        <f t="shared" si="74"/>
        <v>175</v>
      </c>
      <c r="DE12" s="96"/>
      <c r="DF12" s="576"/>
      <c r="DG12" s="572">
        <f t="shared" si="75"/>
        <v>5.9999999999999991E-2</v>
      </c>
      <c r="DH12" s="572">
        <f t="shared" si="76"/>
        <v>0.6</v>
      </c>
      <c r="DI12" s="572">
        <f t="shared" si="77"/>
        <v>0</v>
      </c>
      <c r="DJ12" s="572">
        <f t="shared" si="78"/>
        <v>0</v>
      </c>
      <c r="DK12" s="572">
        <f t="shared" si="79"/>
        <v>0</v>
      </c>
      <c r="DL12" s="572">
        <f t="shared" si="80"/>
        <v>8.9999999999999982</v>
      </c>
      <c r="DM12" s="572">
        <f t="shared" si="81"/>
        <v>0</v>
      </c>
      <c r="DN12" s="572">
        <f t="shared" si="82"/>
        <v>0</v>
      </c>
      <c r="DO12" s="572">
        <f t="shared" si="83"/>
        <v>0</v>
      </c>
      <c r="DP12" s="572">
        <f t="shared" si="84"/>
        <v>0</v>
      </c>
      <c r="DQ12" s="577">
        <f t="shared" si="85"/>
        <v>0</v>
      </c>
      <c r="DR12" s="96">
        <f t="shared" si="86"/>
        <v>150</v>
      </c>
      <c r="DS12" s="96"/>
      <c r="DT12" s="96" t="e">
        <f t="shared" si="87"/>
        <v>#VALUE!</v>
      </c>
      <c r="DU12" s="96" t="e">
        <f t="shared" si="88"/>
        <v>#VALUE!</v>
      </c>
      <c r="DV12" s="96" t="e">
        <f t="shared" si="89"/>
        <v>#VALUE!</v>
      </c>
      <c r="DW12" s="96" t="e">
        <f t="shared" si="90"/>
        <v>#VALUE!</v>
      </c>
      <c r="DX12" s="96" t="e">
        <f t="shared" si="91"/>
        <v>#VALUE!</v>
      </c>
      <c r="DY12" s="96" t="e">
        <f t="shared" si="92"/>
        <v>#VALUE!</v>
      </c>
      <c r="DZ12" s="96" t="e">
        <f t="shared" si="93"/>
        <v>#VALUE!</v>
      </c>
      <c r="EA12" s="96" t="e">
        <f t="shared" si="94"/>
        <v>#VALUE!</v>
      </c>
      <c r="EB12" s="96" t="e">
        <f t="shared" si="95"/>
        <v>#VALUE!</v>
      </c>
      <c r="EC12" s="96" t="e">
        <f t="shared" si="96"/>
        <v>#VALUE!</v>
      </c>
      <c r="ED12" s="96" t="e">
        <f t="shared" si="97"/>
        <v>#VALUE!</v>
      </c>
      <c r="EE12" s="96" t="e">
        <f t="shared" si="98"/>
        <v>#VALUE!</v>
      </c>
    </row>
    <row r="13" spans="2:135">
      <c r="C13" s="1752">
        <v>108</v>
      </c>
      <c r="D13" s="1115" t="s">
        <v>1069</v>
      </c>
      <c r="E13" s="319">
        <f t="shared" si="11"/>
        <v>1.1200000000000001</v>
      </c>
      <c r="F13" s="319">
        <f t="shared" si="12"/>
        <v>11.120000000000001</v>
      </c>
      <c r="G13" s="319">
        <f t="shared" si="13"/>
        <v>5</v>
      </c>
      <c r="H13" s="320">
        <f t="shared" si="99"/>
        <v>1</v>
      </c>
      <c r="I13" s="319">
        <f t="shared" si="14"/>
        <v>0</v>
      </c>
      <c r="J13" s="319">
        <f t="shared" si="15"/>
        <v>750</v>
      </c>
      <c r="K13" s="319">
        <f t="shared" si="16"/>
        <v>300</v>
      </c>
      <c r="L13" s="319">
        <f t="shared" si="17"/>
        <v>400</v>
      </c>
      <c r="M13" s="319">
        <f t="shared" si="18"/>
        <v>105.56</v>
      </c>
      <c r="N13" s="319">
        <f t="shared" si="19"/>
        <v>0.5</v>
      </c>
      <c r="O13" s="319">
        <f t="shared" si="20"/>
        <v>1</v>
      </c>
      <c r="P13" s="319">
        <f t="shared" si="21"/>
        <v>75</v>
      </c>
      <c r="Q13" s="1637">
        <f t="shared" si="100"/>
        <v>2777.7799999999997</v>
      </c>
      <c r="R13" s="1637">
        <f t="shared" si="22"/>
        <v>1</v>
      </c>
      <c r="S13" s="1637">
        <f t="shared" si="23"/>
        <v>1</v>
      </c>
      <c r="T13" s="190"/>
      <c r="U13" s="568">
        <v>1</v>
      </c>
      <c r="V13" s="563">
        <v>10</v>
      </c>
      <c r="W13" s="563">
        <v>5</v>
      </c>
      <c r="X13" s="563">
        <v>1</v>
      </c>
      <c r="Y13" s="563">
        <v>0</v>
      </c>
      <c r="Z13" s="563">
        <v>750</v>
      </c>
      <c r="AA13" s="563">
        <v>300</v>
      </c>
      <c r="AB13" s="563">
        <v>400</v>
      </c>
      <c r="AC13" s="563">
        <v>100</v>
      </c>
      <c r="AD13" s="563">
        <v>0.5</v>
      </c>
      <c r="AE13" s="563">
        <v>1</v>
      </c>
      <c r="AF13" s="563">
        <v>75</v>
      </c>
      <c r="AG13" s="850">
        <v>2500</v>
      </c>
      <c r="AH13" s="563">
        <v>1</v>
      </c>
      <c r="AI13" s="1537">
        <v>1</v>
      </c>
      <c r="AJ13" s="96">
        <v>4</v>
      </c>
      <c r="AK13" s="96"/>
      <c r="AL13" s="576">
        <f t="shared" si="101"/>
        <v>1</v>
      </c>
      <c r="AM13" s="572">
        <f t="shared" si="24"/>
        <v>0.1111111111111111</v>
      </c>
      <c r="AN13" s="572">
        <f t="shared" si="25"/>
        <v>1.1111111111111112</v>
      </c>
      <c r="AO13" s="572"/>
      <c r="AP13" s="572"/>
      <c r="AQ13" s="572"/>
      <c r="AR13" s="572"/>
      <c r="AS13" s="572"/>
      <c r="AT13" s="572">
        <f>SUM((AC13/18))</f>
        <v>5.5555555555555554</v>
      </c>
      <c r="AU13" s="572"/>
      <c r="AV13" s="572"/>
      <c r="AW13" s="583"/>
      <c r="AX13" s="572">
        <f t="shared" si="26"/>
        <v>277.77777777777777</v>
      </c>
      <c r="AY13" s="572"/>
      <c r="AZ13" s="572"/>
      <c r="BA13" s="96"/>
      <c r="BB13" s="576"/>
      <c r="BC13" s="572">
        <f t="shared" si="27"/>
        <v>9.9999999999999992E-2</v>
      </c>
      <c r="BD13" s="572">
        <f t="shared" si="28"/>
        <v>1</v>
      </c>
      <c r="BE13" s="572">
        <f t="shared" si="29"/>
        <v>0</v>
      </c>
      <c r="BF13" s="572">
        <f t="shared" si="30"/>
        <v>0</v>
      </c>
      <c r="BG13" s="572">
        <f t="shared" si="31"/>
        <v>0</v>
      </c>
      <c r="BH13" s="572">
        <f t="shared" si="32"/>
        <v>0</v>
      </c>
      <c r="BI13" s="572">
        <f t="shared" si="33"/>
        <v>0</v>
      </c>
      <c r="BJ13" s="572">
        <f t="shared" si="34"/>
        <v>5</v>
      </c>
      <c r="BK13" s="572">
        <f t="shared" si="35"/>
        <v>0</v>
      </c>
      <c r="BL13" s="572">
        <f t="shared" si="36"/>
        <v>0</v>
      </c>
      <c r="BM13" s="583">
        <f t="shared" si="37"/>
        <v>0</v>
      </c>
      <c r="BN13" s="572">
        <f t="shared" si="38"/>
        <v>250</v>
      </c>
      <c r="BO13" s="96"/>
      <c r="BP13" s="576"/>
      <c r="BQ13" s="572">
        <f t="shared" si="39"/>
        <v>0.09</v>
      </c>
      <c r="BR13" s="572">
        <f t="shared" si="40"/>
        <v>0.9</v>
      </c>
      <c r="BS13" s="572">
        <f t="shared" si="41"/>
        <v>0</v>
      </c>
      <c r="BT13" s="572">
        <f t="shared" si="42"/>
        <v>0</v>
      </c>
      <c r="BU13" s="572">
        <f t="shared" si="43"/>
        <v>0</v>
      </c>
      <c r="BV13" s="572">
        <f t="shared" si="44"/>
        <v>0</v>
      </c>
      <c r="BW13" s="572">
        <f t="shared" si="45"/>
        <v>0</v>
      </c>
      <c r="BX13" s="572">
        <f t="shared" si="46"/>
        <v>4.5</v>
      </c>
      <c r="BY13" s="572">
        <f t="shared" si="47"/>
        <v>0</v>
      </c>
      <c r="BZ13" s="572">
        <f t="shared" si="48"/>
        <v>0</v>
      </c>
      <c r="CA13" s="583">
        <f t="shared" si="49"/>
        <v>0</v>
      </c>
      <c r="CB13" s="572">
        <f t="shared" si="50"/>
        <v>225</v>
      </c>
      <c r="CC13" s="96"/>
      <c r="CD13" s="576"/>
      <c r="CE13" s="572">
        <f t="shared" si="51"/>
        <v>0.08</v>
      </c>
      <c r="CF13" s="572">
        <f t="shared" si="52"/>
        <v>0.8</v>
      </c>
      <c r="CG13" s="572">
        <f t="shared" si="53"/>
        <v>0</v>
      </c>
      <c r="CH13" s="572">
        <f t="shared" si="54"/>
        <v>0</v>
      </c>
      <c r="CI13" s="572">
        <f t="shared" si="55"/>
        <v>0</v>
      </c>
      <c r="CJ13" s="572">
        <f t="shared" si="56"/>
        <v>0</v>
      </c>
      <c r="CK13" s="572">
        <f t="shared" si="57"/>
        <v>0</v>
      </c>
      <c r="CL13" s="572">
        <f t="shared" si="58"/>
        <v>4</v>
      </c>
      <c r="CM13" s="572">
        <f t="shared" si="59"/>
        <v>0</v>
      </c>
      <c r="CN13" s="572">
        <f t="shared" si="60"/>
        <v>0</v>
      </c>
      <c r="CO13" s="583">
        <f t="shared" si="61"/>
        <v>0</v>
      </c>
      <c r="CP13" s="572">
        <f t="shared" si="62"/>
        <v>200</v>
      </c>
      <c r="CQ13" s="96"/>
      <c r="CR13" s="576"/>
      <c r="CS13" s="572">
        <f t="shared" si="63"/>
        <v>6.9999999999999993E-2</v>
      </c>
      <c r="CT13" s="572">
        <f t="shared" si="64"/>
        <v>0.7</v>
      </c>
      <c r="CU13" s="572">
        <f t="shared" si="65"/>
        <v>0</v>
      </c>
      <c r="CV13" s="572">
        <f t="shared" si="66"/>
        <v>0</v>
      </c>
      <c r="CW13" s="572">
        <f t="shared" si="67"/>
        <v>0</v>
      </c>
      <c r="CX13" s="572">
        <f t="shared" si="68"/>
        <v>0</v>
      </c>
      <c r="CY13" s="572">
        <f t="shared" si="69"/>
        <v>0</v>
      </c>
      <c r="CZ13" s="572">
        <f t="shared" si="70"/>
        <v>3.5</v>
      </c>
      <c r="DA13" s="572">
        <f t="shared" si="71"/>
        <v>0</v>
      </c>
      <c r="DB13" s="572">
        <f t="shared" si="72"/>
        <v>0</v>
      </c>
      <c r="DC13" s="583">
        <f t="shared" si="73"/>
        <v>0</v>
      </c>
      <c r="DD13" s="572">
        <f t="shared" si="74"/>
        <v>175</v>
      </c>
      <c r="DE13" s="96"/>
      <c r="DF13" s="576"/>
      <c r="DG13" s="572">
        <f t="shared" si="75"/>
        <v>5.9999999999999991E-2</v>
      </c>
      <c r="DH13" s="572">
        <f t="shared" si="76"/>
        <v>0.6</v>
      </c>
      <c r="DI13" s="572">
        <f t="shared" si="77"/>
        <v>0</v>
      </c>
      <c r="DJ13" s="572">
        <f t="shared" si="78"/>
        <v>0</v>
      </c>
      <c r="DK13" s="572">
        <f t="shared" si="79"/>
        <v>0</v>
      </c>
      <c r="DL13" s="572">
        <f t="shared" si="80"/>
        <v>0</v>
      </c>
      <c r="DM13" s="572">
        <f t="shared" si="81"/>
        <v>0</v>
      </c>
      <c r="DN13" s="572">
        <f t="shared" si="82"/>
        <v>3</v>
      </c>
      <c r="DO13" s="572">
        <f t="shared" si="83"/>
        <v>0</v>
      </c>
      <c r="DP13" s="572">
        <f t="shared" si="84"/>
        <v>0</v>
      </c>
      <c r="DQ13" s="577">
        <f t="shared" si="85"/>
        <v>0</v>
      </c>
      <c r="DR13" s="96">
        <f t="shared" si="86"/>
        <v>150</v>
      </c>
      <c r="DS13" s="96"/>
      <c r="DT13" s="96" t="e">
        <f t="shared" si="87"/>
        <v>#VALUE!</v>
      </c>
      <c r="DU13" s="96" t="e">
        <f t="shared" si="88"/>
        <v>#VALUE!</v>
      </c>
      <c r="DV13" s="96" t="e">
        <f t="shared" si="89"/>
        <v>#VALUE!</v>
      </c>
      <c r="DW13" s="96" t="e">
        <f t="shared" si="90"/>
        <v>#VALUE!</v>
      </c>
      <c r="DX13" s="96" t="e">
        <f t="shared" si="91"/>
        <v>#VALUE!</v>
      </c>
      <c r="DY13" s="96" t="e">
        <f t="shared" si="92"/>
        <v>#VALUE!</v>
      </c>
      <c r="DZ13" s="96" t="e">
        <f t="shared" si="93"/>
        <v>#VALUE!</v>
      </c>
      <c r="EA13" s="96" t="e">
        <f t="shared" si="94"/>
        <v>#VALUE!</v>
      </c>
      <c r="EB13" s="96" t="e">
        <f t="shared" si="95"/>
        <v>#VALUE!</v>
      </c>
      <c r="EC13" s="96" t="e">
        <f t="shared" si="96"/>
        <v>#VALUE!</v>
      </c>
      <c r="ED13" s="96" t="e">
        <f t="shared" si="97"/>
        <v>#VALUE!</v>
      </c>
      <c r="EE13" s="96" t="e">
        <f t="shared" si="98"/>
        <v>#VALUE!</v>
      </c>
    </row>
    <row r="14" spans="2:135">
      <c r="C14" s="1752">
        <v>109</v>
      </c>
      <c r="D14" s="1115" t="s">
        <v>1070</v>
      </c>
      <c r="E14" s="319">
        <f t="shared" si="11"/>
        <v>1.1200000000000001</v>
      </c>
      <c r="F14" s="319">
        <f t="shared" si="12"/>
        <v>11.120000000000001</v>
      </c>
      <c r="G14" s="319">
        <f t="shared" si="13"/>
        <v>5</v>
      </c>
      <c r="H14" s="320">
        <f t="shared" si="99"/>
        <v>1</v>
      </c>
      <c r="I14" s="319">
        <f t="shared" si="14"/>
        <v>0</v>
      </c>
      <c r="J14" s="319">
        <f t="shared" si="15"/>
        <v>900</v>
      </c>
      <c r="K14" s="319">
        <f t="shared" si="16"/>
        <v>372.23</v>
      </c>
      <c r="L14" s="319">
        <f t="shared" si="17"/>
        <v>400</v>
      </c>
      <c r="M14" s="319">
        <f t="shared" si="18"/>
        <v>100</v>
      </c>
      <c r="N14" s="319">
        <f t="shared" si="19"/>
        <v>0.6</v>
      </c>
      <c r="O14" s="319">
        <f t="shared" si="20"/>
        <v>1</v>
      </c>
      <c r="P14" s="319">
        <f t="shared" si="21"/>
        <v>75</v>
      </c>
      <c r="Q14" s="1637">
        <f t="shared" si="100"/>
        <v>2777.7799999999997</v>
      </c>
      <c r="R14" s="1637">
        <f t="shared" si="22"/>
        <v>1</v>
      </c>
      <c r="S14" s="1637">
        <f t="shared" si="23"/>
        <v>1</v>
      </c>
      <c r="T14" s="190"/>
      <c r="U14" s="568">
        <v>1</v>
      </c>
      <c r="V14" s="563">
        <v>10</v>
      </c>
      <c r="W14" s="563">
        <v>5</v>
      </c>
      <c r="X14" s="563">
        <v>1</v>
      </c>
      <c r="Y14" s="563">
        <v>0</v>
      </c>
      <c r="Z14" s="563">
        <v>900</v>
      </c>
      <c r="AA14" s="563">
        <v>350</v>
      </c>
      <c r="AB14" s="563">
        <v>400</v>
      </c>
      <c r="AC14" s="563">
        <v>100</v>
      </c>
      <c r="AD14" s="563">
        <v>0.6</v>
      </c>
      <c r="AE14" s="563">
        <v>1</v>
      </c>
      <c r="AF14" s="563">
        <v>75</v>
      </c>
      <c r="AG14" s="850">
        <v>2500</v>
      </c>
      <c r="AH14" s="563">
        <v>1</v>
      </c>
      <c r="AI14" s="1537">
        <v>1</v>
      </c>
      <c r="AJ14" s="96">
        <v>5</v>
      </c>
      <c r="AK14" s="96"/>
      <c r="AL14" s="576">
        <f t="shared" si="101"/>
        <v>1</v>
      </c>
      <c r="AM14" s="572">
        <f t="shared" si="24"/>
        <v>0.1111111111111111</v>
      </c>
      <c r="AN14" s="572">
        <f t="shared" si="25"/>
        <v>1.1111111111111112</v>
      </c>
      <c r="AO14" s="572"/>
      <c r="AP14" s="572"/>
      <c r="AQ14" s="572"/>
      <c r="AR14" s="572">
        <f>SUM((AR8*2))</f>
        <v>22.222222222222221</v>
      </c>
      <c r="AS14" s="572"/>
      <c r="AT14" s="572"/>
      <c r="AU14" s="572"/>
      <c r="AV14" s="572"/>
      <c r="AW14" s="583"/>
      <c r="AX14" s="572">
        <f t="shared" si="26"/>
        <v>277.77777777777777</v>
      </c>
      <c r="AY14" s="572"/>
      <c r="AZ14" s="572"/>
      <c r="BA14" s="96"/>
      <c r="BB14" s="576"/>
      <c r="BC14" s="572">
        <f t="shared" si="27"/>
        <v>9.9999999999999992E-2</v>
      </c>
      <c r="BD14" s="572">
        <f t="shared" si="28"/>
        <v>1</v>
      </c>
      <c r="BE14" s="572">
        <f t="shared" si="29"/>
        <v>0</v>
      </c>
      <c r="BF14" s="572">
        <f t="shared" si="30"/>
        <v>0</v>
      </c>
      <c r="BG14" s="572">
        <f t="shared" si="31"/>
        <v>0</v>
      </c>
      <c r="BH14" s="572">
        <f t="shared" si="32"/>
        <v>20</v>
      </c>
      <c r="BI14" s="572">
        <f t="shared" si="33"/>
        <v>0</v>
      </c>
      <c r="BJ14" s="572">
        <f t="shared" si="34"/>
        <v>0</v>
      </c>
      <c r="BK14" s="572">
        <f t="shared" si="35"/>
        <v>0</v>
      </c>
      <c r="BL14" s="572">
        <f t="shared" si="36"/>
        <v>0</v>
      </c>
      <c r="BM14" s="583">
        <f t="shared" si="37"/>
        <v>0</v>
      </c>
      <c r="BN14" s="572">
        <f t="shared" si="38"/>
        <v>250</v>
      </c>
      <c r="BO14" s="96"/>
      <c r="BP14" s="576"/>
      <c r="BQ14" s="572">
        <f t="shared" si="39"/>
        <v>0.09</v>
      </c>
      <c r="BR14" s="572">
        <f t="shared" si="40"/>
        <v>0.9</v>
      </c>
      <c r="BS14" s="572">
        <f t="shared" si="41"/>
        <v>0</v>
      </c>
      <c r="BT14" s="572">
        <f t="shared" si="42"/>
        <v>0</v>
      </c>
      <c r="BU14" s="572">
        <f t="shared" si="43"/>
        <v>0</v>
      </c>
      <c r="BV14" s="572">
        <f t="shared" si="44"/>
        <v>18</v>
      </c>
      <c r="BW14" s="572">
        <f t="shared" si="45"/>
        <v>0</v>
      </c>
      <c r="BX14" s="572">
        <f t="shared" si="46"/>
        <v>0</v>
      </c>
      <c r="BY14" s="572">
        <f t="shared" si="47"/>
        <v>0</v>
      </c>
      <c r="BZ14" s="572">
        <f t="shared" si="48"/>
        <v>0</v>
      </c>
      <c r="CA14" s="583">
        <f t="shared" si="49"/>
        <v>0</v>
      </c>
      <c r="CB14" s="572">
        <f t="shared" si="50"/>
        <v>225</v>
      </c>
      <c r="CC14" s="96"/>
      <c r="CD14" s="576"/>
      <c r="CE14" s="572">
        <f t="shared" si="51"/>
        <v>0.08</v>
      </c>
      <c r="CF14" s="572">
        <f t="shared" si="52"/>
        <v>0.8</v>
      </c>
      <c r="CG14" s="572">
        <f t="shared" si="53"/>
        <v>0</v>
      </c>
      <c r="CH14" s="572">
        <f t="shared" si="54"/>
        <v>0</v>
      </c>
      <c r="CI14" s="572">
        <f t="shared" si="55"/>
        <v>0</v>
      </c>
      <c r="CJ14" s="572">
        <f t="shared" si="56"/>
        <v>16</v>
      </c>
      <c r="CK14" s="572">
        <f t="shared" si="57"/>
        <v>0</v>
      </c>
      <c r="CL14" s="572">
        <f t="shared" si="58"/>
        <v>0</v>
      </c>
      <c r="CM14" s="572">
        <f t="shared" si="59"/>
        <v>0</v>
      </c>
      <c r="CN14" s="572">
        <f t="shared" si="60"/>
        <v>0</v>
      </c>
      <c r="CO14" s="583">
        <f t="shared" si="61"/>
        <v>0</v>
      </c>
      <c r="CP14" s="572">
        <f t="shared" si="62"/>
        <v>200</v>
      </c>
      <c r="CQ14" s="96"/>
      <c r="CR14" s="576"/>
      <c r="CS14" s="572">
        <f t="shared" si="63"/>
        <v>6.9999999999999993E-2</v>
      </c>
      <c r="CT14" s="572">
        <f t="shared" si="64"/>
        <v>0.7</v>
      </c>
      <c r="CU14" s="572">
        <f t="shared" si="65"/>
        <v>0</v>
      </c>
      <c r="CV14" s="572">
        <f t="shared" si="66"/>
        <v>0</v>
      </c>
      <c r="CW14" s="572">
        <f t="shared" si="67"/>
        <v>0</v>
      </c>
      <c r="CX14" s="572">
        <f t="shared" si="68"/>
        <v>14</v>
      </c>
      <c r="CY14" s="572">
        <f t="shared" si="69"/>
        <v>0</v>
      </c>
      <c r="CZ14" s="572">
        <f t="shared" si="70"/>
        <v>0</v>
      </c>
      <c r="DA14" s="572">
        <f t="shared" si="71"/>
        <v>0</v>
      </c>
      <c r="DB14" s="572">
        <f t="shared" si="72"/>
        <v>0</v>
      </c>
      <c r="DC14" s="583">
        <f t="shared" si="73"/>
        <v>0</v>
      </c>
      <c r="DD14" s="572">
        <f t="shared" si="74"/>
        <v>175</v>
      </c>
      <c r="DE14" s="96"/>
      <c r="DF14" s="576"/>
      <c r="DG14" s="572">
        <f t="shared" si="75"/>
        <v>5.9999999999999991E-2</v>
      </c>
      <c r="DH14" s="572">
        <f t="shared" si="76"/>
        <v>0.6</v>
      </c>
      <c r="DI14" s="572">
        <f t="shared" si="77"/>
        <v>0</v>
      </c>
      <c r="DJ14" s="572">
        <f t="shared" si="78"/>
        <v>0</v>
      </c>
      <c r="DK14" s="572">
        <f t="shared" si="79"/>
        <v>0</v>
      </c>
      <c r="DL14" s="572">
        <f t="shared" si="80"/>
        <v>12</v>
      </c>
      <c r="DM14" s="572">
        <f t="shared" si="81"/>
        <v>0</v>
      </c>
      <c r="DN14" s="572">
        <f t="shared" si="82"/>
        <v>0</v>
      </c>
      <c r="DO14" s="572">
        <f t="shared" si="83"/>
        <v>0</v>
      </c>
      <c r="DP14" s="572">
        <f t="shared" si="84"/>
        <v>0</v>
      </c>
      <c r="DQ14" s="577">
        <f t="shared" si="85"/>
        <v>0</v>
      </c>
      <c r="DR14" s="96">
        <f t="shared" si="86"/>
        <v>150</v>
      </c>
      <c r="DS14" s="96"/>
      <c r="DT14" s="96" t="e">
        <f t="shared" si="87"/>
        <v>#VALUE!</v>
      </c>
      <c r="DU14" s="96" t="e">
        <f t="shared" si="88"/>
        <v>#VALUE!</v>
      </c>
      <c r="DV14" s="96" t="e">
        <f t="shared" si="89"/>
        <v>#VALUE!</v>
      </c>
      <c r="DW14" s="96" t="e">
        <f t="shared" si="90"/>
        <v>#VALUE!</v>
      </c>
      <c r="DX14" s="96" t="e">
        <f t="shared" si="91"/>
        <v>#VALUE!</v>
      </c>
      <c r="DY14" s="96" t="e">
        <f t="shared" si="92"/>
        <v>#VALUE!</v>
      </c>
      <c r="DZ14" s="96" t="e">
        <f t="shared" si="93"/>
        <v>#VALUE!</v>
      </c>
      <c r="EA14" s="96" t="e">
        <f t="shared" si="94"/>
        <v>#VALUE!</v>
      </c>
      <c r="EB14" s="96" t="e">
        <f t="shared" si="95"/>
        <v>#VALUE!</v>
      </c>
      <c r="EC14" s="96" t="e">
        <f t="shared" si="96"/>
        <v>#VALUE!</v>
      </c>
      <c r="ED14" s="96" t="e">
        <f t="shared" si="97"/>
        <v>#VALUE!</v>
      </c>
      <c r="EE14" s="96" t="e">
        <f t="shared" si="98"/>
        <v>#VALUE!</v>
      </c>
    </row>
    <row r="15" spans="2:135">
      <c r="C15" s="1752">
        <v>110</v>
      </c>
      <c r="D15" s="1115" t="s">
        <v>1071</v>
      </c>
      <c r="E15" s="319">
        <f t="shared" si="11"/>
        <v>1.1200000000000001</v>
      </c>
      <c r="F15" s="319">
        <f t="shared" si="12"/>
        <v>11.120000000000001</v>
      </c>
      <c r="G15" s="319">
        <f t="shared" si="13"/>
        <v>5</v>
      </c>
      <c r="H15" s="320">
        <f t="shared" si="99"/>
        <v>1</v>
      </c>
      <c r="I15" s="319">
        <f t="shared" si="14"/>
        <v>0</v>
      </c>
      <c r="J15" s="319">
        <f t="shared" si="15"/>
        <v>900</v>
      </c>
      <c r="K15" s="319">
        <f t="shared" si="16"/>
        <v>350</v>
      </c>
      <c r="L15" s="319">
        <f t="shared" si="17"/>
        <v>400</v>
      </c>
      <c r="M15" s="319">
        <f t="shared" si="18"/>
        <v>105.56</v>
      </c>
      <c r="N15" s="319">
        <f t="shared" si="19"/>
        <v>0.6</v>
      </c>
      <c r="O15" s="319">
        <f t="shared" si="20"/>
        <v>1</v>
      </c>
      <c r="P15" s="319">
        <f t="shared" si="21"/>
        <v>75</v>
      </c>
      <c r="Q15" s="1637">
        <f t="shared" si="100"/>
        <v>2777.7799999999997</v>
      </c>
      <c r="R15" s="1637">
        <f t="shared" si="22"/>
        <v>1</v>
      </c>
      <c r="S15" s="1637">
        <f t="shared" si="23"/>
        <v>1</v>
      </c>
      <c r="T15" s="190"/>
      <c r="U15" s="568">
        <v>1</v>
      </c>
      <c r="V15" s="563">
        <v>10</v>
      </c>
      <c r="W15" s="563">
        <v>5</v>
      </c>
      <c r="X15" s="563">
        <v>1</v>
      </c>
      <c r="Y15" s="563">
        <v>0</v>
      </c>
      <c r="Z15" s="563">
        <v>900</v>
      </c>
      <c r="AA15" s="563">
        <v>350</v>
      </c>
      <c r="AB15" s="563">
        <v>400</v>
      </c>
      <c r="AC15" s="563">
        <v>100</v>
      </c>
      <c r="AD15" s="563">
        <v>0.6</v>
      </c>
      <c r="AE15" s="563">
        <v>1</v>
      </c>
      <c r="AF15" s="563">
        <v>75</v>
      </c>
      <c r="AG15" s="850">
        <v>2500</v>
      </c>
      <c r="AH15" s="563">
        <v>1</v>
      </c>
      <c r="AI15" s="1537">
        <v>1</v>
      </c>
      <c r="AJ15" s="96">
        <v>6</v>
      </c>
      <c r="AK15" s="96"/>
      <c r="AL15" s="576">
        <f t="shared" si="101"/>
        <v>1</v>
      </c>
      <c r="AM15" s="572">
        <f t="shared" si="24"/>
        <v>0.1111111111111111</v>
      </c>
      <c r="AN15" s="572">
        <f t="shared" si="25"/>
        <v>1.1111111111111112</v>
      </c>
      <c r="AO15" s="572"/>
      <c r="AP15" s="572"/>
      <c r="AQ15" s="572"/>
      <c r="AR15" s="572"/>
      <c r="AS15" s="572"/>
      <c r="AT15" s="572">
        <f>SUM((AC15/18))</f>
        <v>5.5555555555555554</v>
      </c>
      <c r="AU15" s="572"/>
      <c r="AV15" s="572"/>
      <c r="AW15" s="583"/>
      <c r="AX15" s="572">
        <f t="shared" si="26"/>
        <v>277.77777777777777</v>
      </c>
      <c r="AY15" s="572"/>
      <c r="AZ15" s="572"/>
      <c r="BA15" s="96">
        <v>20.454545454545499</v>
      </c>
      <c r="BB15" s="576"/>
      <c r="BC15" s="572">
        <f t="shared" si="27"/>
        <v>9.9999999999999992E-2</v>
      </c>
      <c r="BD15" s="572">
        <f t="shared" si="28"/>
        <v>1</v>
      </c>
      <c r="BE15" s="572">
        <f t="shared" si="29"/>
        <v>0</v>
      </c>
      <c r="BF15" s="572">
        <f t="shared" si="30"/>
        <v>0</v>
      </c>
      <c r="BG15" s="572">
        <f t="shared" si="31"/>
        <v>0</v>
      </c>
      <c r="BH15" s="572">
        <f t="shared" si="32"/>
        <v>0</v>
      </c>
      <c r="BI15" s="572">
        <f t="shared" si="33"/>
        <v>0</v>
      </c>
      <c r="BJ15" s="572">
        <f t="shared" si="34"/>
        <v>5</v>
      </c>
      <c r="BK15" s="572">
        <f t="shared" si="35"/>
        <v>0</v>
      </c>
      <c r="BL15" s="572">
        <f t="shared" si="36"/>
        <v>0</v>
      </c>
      <c r="BM15" s="583">
        <f t="shared" si="37"/>
        <v>0</v>
      </c>
      <c r="BN15" s="572">
        <f t="shared" si="38"/>
        <v>250</v>
      </c>
      <c r="BO15" s="96"/>
      <c r="BP15" s="576"/>
      <c r="BQ15" s="572">
        <f t="shared" si="39"/>
        <v>0.09</v>
      </c>
      <c r="BR15" s="572">
        <f t="shared" si="40"/>
        <v>0.9</v>
      </c>
      <c r="BS15" s="572">
        <f t="shared" si="41"/>
        <v>0</v>
      </c>
      <c r="BT15" s="572">
        <f t="shared" si="42"/>
        <v>0</v>
      </c>
      <c r="BU15" s="572">
        <f t="shared" si="43"/>
        <v>0</v>
      </c>
      <c r="BV15" s="572">
        <f t="shared" si="44"/>
        <v>0</v>
      </c>
      <c r="BW15" s="572">
        <f t="shared" si="45"/>
        <v>0</v>
      </c>
      <c r="BX15" s="572">
        <f t="shared" si="46"/>
        <v>4.5</v>
      </c>
      <c r="BY15" s="572">
        <f t="shared" si="47"/>
        <v>0</v>
      </c>
      <c r="BZ15" s="572">
        <f t="shared" si="48"/>
        <v>0</v>
      </c>
      <c r="CA15" s="583">
        <f t="shared" si="49"/>
        <v>0</v>
      </c>
      <c r="CB15" s="572">
        <f t="shared" si="50"/>
        <v>225</v>
      </c>
      <c r="CC15" s="96"/>
      <c r="CD15" s="576"/>
      <c r="CE15" s="572">
        <f t="shared" si="51"/>
        <v>0.08</v>
      </c>
      <c r="CF15" s="572">
        <f t="shared" si="52"/>
        <v>0.8</v>
      </c>
      <c r="CG15" s="572">
        <f t="shared" si="53"/>
        <v>0</v>
      </c>
      <c r="CH15" s="572">
        <f t="shared" si="54"/>
        <v>0</v>
      </c>
      <c r="CI15" s="572">
        <f t="shared" si="55"/>
        <v>0</v>
      </c>
      <c r="CJ15" s="572">
        <f t="shared" si="56"/>
        <v>0</v>
      </c>
      <c r="CK15" s="572">
        <f t="shared" si="57"/>
        <v>0</v>
      </c>
      <c r="CL15" s="572">
        <f t="shared" si="58"/>
        <v>4</v>
      </c>
      <c r="CM15" s="572">
        <f t="shared" si="59"/>
        <v>0</v>
      </c>
      <c r="CN15" s="572">
        <f t="shared" si="60"/>
        <v>0</v>
      </c>
      <c r="CO15" s="583">
        <f t="shared" si="61"/>
        <v>0</v>
      </c>
      <c r="CP15" s="572">
        <f t="shared" si="62"/>
        <v>200</v>
      </c>
      <c r="CQ15" s="96"/>
      <c r="CR15" s="576"/>
      <c r="CS15" s="572">
        <f t="shared" si="63"/>
        <v>6.9999999999999993E-2</v>
      </c>
      <c r="CT15" s="572">
        <f t="shared" si="64"/>
        <v>0.7</v>
      </c>
      <c r="CU15" s="572">
        <f t="shared" si="65"/>
        <v>0</v>
      </c>
      <c r="CV15" s="572">
        <f t="shared" si="66"/>
        <v>0</v>
      </c>
      <c r="CW15" s="572">
        <f t="shared" si="67"/>
        <v>0</v>
      </c>
      <c r="CX15" s="572">
        <f t="shared" si="68"/>
        <v>0</v>
      </c>
      <c r="CY15" s="572">
        <f t="shared" si="69"/>
        <v>0</v>
      </c>
      <c r="CZ15" s="572">
        <f t="shared" si="70"/>
        <v>3.5</v>
      </c>
      <c r="DA15" s="572">
        <f t="shared" si="71"/>
        <v>0</v>
      </c>
      <c r="DB15" s="572">
        <f t="shared" si="72"/>
        <v>0</v>
      </c>
      <c r="DC15" s="583">
        <f t="shared" si="73"/>
        <v>0</v>
      </c>
      <c r="DD15" s="572">
        <f t="shared" si="74"/>
        <v>175</v>
      </c>
      <c r="DE15" s="96"/>
      <c r="DF15" s="576"/>
      <c r="DG15" s="572">
        <f t="shared" si="75"/>
        <v>5.9999999999999991E-2</v>
      </c>
      <c r="DH15" s="572">
        <f t="shared" si="76"/>
        <v>0.6</v>
      </c>
      <c r="DI15" s="572">
        <f t="shared" si="77"/>
        <v>0</v>
      </c>
      <c r="DJ15" s="572">
        <f t="shared" si="78"/>
        <v>0</v>
      </c>
      <c r="DK15" s="572">
        <f t="shared" si="79"/>
        <v>0</v>
      </c>
      <c r="DL15" s="572">
        <f t="shared" si="80"/>
        <v>0</v>
      </c>
      <c r="DM15" s="572">
        <f t="shared" si="81"/>
        <v>0</v>
      </c>
      <c r="DN15" s="572">
        <f t="shared" si="82"/>
        <v>3</v>
      </c>
      <c r="DO15" s="572">
        <f t="shared" si="83"/>
        <v>0</v>
      </c>
      <c r="DP15" s="572">
        <f t="shared" si="84"/>
        <v>0</v>
      </c>
      <c r="DQ15" s="577">
        <f t="shared" si="85"/>
        <v>0</v>
      </c>
      <c r="DR15" s="96">
        <f t="shared" si="86"/>
        <v>150</v>
      </c>
      <c r="DS15" s="96"/>
      <c r="DT15" s="96" t="e">
        <f t="shared" si="87"/>
        <v>#VALUE!</v>
      </c>
      <c r="DU15" s="96" t="e">
        <f t="shared" si="88"/>
        <v>#VALUE!</v>
      </c>
      <c r="DV15" s="96" t="e">
        <f t="shared" si="89"/>
        <v>#VALUE!</v>
      </c>
      <c r="DW15" s="96" t="e">
        <f t="shared" si="90"/>
        <v>#VALUE!</v>
      </c>
      <c r="DX15" s="96" t="e">
        <f t="shared" si="91"/>
        <v>#VALUE!</v>
      </c>
      <c r="DY15" s="96" t="e">
        <f t="shared" si="92"/>
        <v>#VALUE!</v>
      </c>
      <c r="DZ15" s="96" t="e">
        <f t="shared" si="93"/>
        <v>#VALUE!</v>
      </c>
      <c r="EA15" s="96" t="e">
        <f t="shared" si="94"/>
        <v>#VALUE!</v>
      </c>
      <c r="EB15" s="96" t="e">
        <f t="shared" si="95"/>
        <v>#VALUE!</v>
      </c>
      <c r="EC15" s="96" t="e">
        <f t="shared" si="96"/>
        <v>#VALUE!</v>
      </c>
      <c r="ED15" s="96" t="e">
        <f t="shared" si="97"/>
        <v>#VALUE!</v>
      </c>
      <c r="EE15" s="96" t="e">
        <f t="shared" si="98"/>
        <v>#VALUE!</v>
      </c>
    </row>
    <row r="16" spans="2:135">
      <c r="C16" s="1752">
        <v>111</v>
      </c>
      <c r="D16" s="1115" t="s">
        <v>813</v>
      </c>
      <c r="E16" s="319">
        <f t="shared" si="11"/>
        <v>1.1200000000000001</v>
      </c>
      <c r="F16" s="319">
        <f t="shared" si="12"/>
        <v>4.45</v>
      </c>
      <c r="G16" s="319">
        <f t="shared" si="13"/>
        <v>5</v>
      </c>
      <c r="H16" s="320">
        <f t="shared" si="99"/>
        <v>5</v>
      </c>
      <c r="I16" s="319">
        <f t="shared" si="14"/>
        <v>0</v>
      </c>
      <c r="J16" s="319">
        <f t="shared" si="15"/>
        <v>600</v>
      </c>
      <c r="K16" s="319">
        <f t="shared" si="16"/>
        <v>261.12</v>
      </c>
      <c r="L16" s="319">
        <f t="shared" si="17"/>
        <v>400</v>
      </c>
      <c r="M16" s="319">
        <f t="shared" si="18"/>
        <v>100</v>
      </c>
      <c r="N16" s="319">
        <f t="shared" si="19"/>
        <v>0.5</v>
      </c>
      <c r="O16" s="319">
        <f t="shared" si="20"/>
        <v>2</v>
      </c>
      <c r="P16" s="319">
        <f t="shared" si="21"/>
        <v>75</v>
      </c>
      <c r="Q16" s="1637">
        <f t="shared" si="100"/>
        <v>2777.7799999999997</v>
      </c>
      <c r="R16" s="1637">
        <f t="shared" si="22"/>
        <v>1</v>
      </c>
      <c r="S16" s="1637">
        <f t="shared" si="23"/>
        <v>1</v>
      </c>
      <c r="T16" s="190"/>
      <c r="U16" s="568">
        <v>1</v>
      </c>
      <c r="V16" s="563">
        <v>4</v>
      </c>
      <c r="W16" s="563">
        <v>5</v>
      </c>
      <c r="X16" s="563">
        <v>5</v>
      </c>
      <c r="Y16" s="563">
        <v>0</v>
      </c>
      <c r="Z16" s="563">
        <v>600</v>
      </c>
      <c r="AA16" s="563">
        <v>250</v>
      </c>
      <c r="AB16" s="563">
        <v>400</v>
      </c>
      <c r="AC16" s="563">
        <v>100</v>
      </c>
      <c r="AD16" s="563">
        <v>0.5</v>
      </c>
      <c r="AE16" s="563">
        <v>2</v>
      </c>
      <c r="AF16" s="563">
        <v>75</v>
      </c>
      <c r="AG16" s="850">
        <v>2500</v>
      </c>
      <c r="AH16" s="563">
        <v>1</v>
      </c>
      <c r="AI16" s="1537">
        <v>1</v>
      </c>
      <c r="AJ16" s="96">
        <v>7</v>
      </c>
      <c r="AK16" s="96"/>
      <c r="AL16" s="576">
        <f t="shared" si="101"/>
        <v>1</v>
      </c>
      <c r="AM16" s="572">
        <f t="shared" si="24"/>
        <v>0.1111111111111111</v>
      </c>
      <c r="AN16" s="572">
        <f t="shared" si="25"/>
        <v>0.44444444444444442</v>
      </c>
      <c r="AO16" s="572"/>
      <c r="AP16" s="572"/>
      <c r="AQ16" s="572"/>
      <c r="AR16" s="572">
        <f>SUM((100/9))</f>
        <v>11.111111111111111</v>
      </c>
      <c r="AS16" s="572"/>
      <c r="AT16" s="572"/>
      <c r="AU16" s="572"/>
      <c r="AV16" s="572"/>
      <c r="AW16" s="583"/>
      <c r="AX16" s="572">
        <f t="shared" si="26"/>
        <v>277.77777777777777</v>
      </c>
      <c r="AY16" s="572"/>
      <c r="AZ16" s="572"/>
      <c r="BA16" s="96"/>
      <c r="BB16" s="576"/>
      <c r="BC16" s="572">
        <f t="shared" si="27"/>
        <v>9.9999999999999992E-2</v>
      </c>
      <c r="BD16" s="572">
        <f t="shared" si="28"/>
        <v>0.39999999999999997</v>
      </c>
      <c r="BE16" s="572">
        <f t="shared" si="29"/>
        <v>0</v>
      </c>
      <c r="BF16" s="572">
        <f t="shared" si="30"/>
        <v>0</v>
      </c>
      <c r="BG16" s="572">
        <f t="shared" si="31"/>
        <v>0</v>
      </c>
      <c r="BH16" s="572">
        <f t="shared" si="32"/>
        <v>10</v>
      </c>
      <c r="BI16" s="572">
        <f t="shared" si="33"/>
        <v>0</v>
      </c>
      <c r="BJ16" s="572">
        <f t="shared" si="34"/>
        <v>0</v>
      </c>
      <c r="BK16" s="572">
        <f t="shared" si="35"/>
        <v>0</v>
      </c>
      <c r="BL16" s="572">
        <f t="shared" si="36"/>
        <v>0</v>
      </c>
      <c r="BM16" s="583">
        <f t="shared" si="37"/>
        <v>0</v>
      </c>
      <c r="BN16" s="572">
        <f t="shared" si="38"/>
        <v>250</v>
      </c>
      <c r="BO16" s="96"/>
      <c r="BP16" s="576"/>
      <c r="BQ16" s="572">
        <f t="shared" si="39"/>
        <v>0.09</v>
      </c>
      <c r="BR16" s="572">
        <f t="shared" si="40"/>
        <v>0.36</v>
      </c>
      <c r="BS16" s="572">
        <f t="shared" si="41"/>
        <v>0</v>
      </c>
      <c r="BT16" s="572">
        <f t="shared" si="42"/>
        <v>0</v>
      </c>
      <c r="BU16" s="572">
        <f t="shared" si="43"/>
        <v>0</v>
      </c>
      <c r="BV16" s="572">
        <f t="shared" si="44"/>
        <v>9</v>
      </c>
      <c r="BW16" s="572">
        <f t="shared" si="45"/>
        <v>0</v>
      </c>
      <c r="BX16" s="572">
        <f t="shared" si="46"/>
        <v>0</v>
      </c>
      <c r="BY16" s="572">
        <f t="shared" si="47"/>
        <v>0</v>
      </c>
      <c r="BZ16" s="572">
        <f t="shared" si="48"/>
        <v>0</v>
      </c>
      <c r="CA16" s="583">
        <f t="shared" si="49"/>
        <v>0</v>
      </c>
      <c r="CB16" s="572">
        <f t="shared" si="50"/>
        <v>225</v>
      </c>
      <c r="CC16" s="96"/>
      <c r="CD16" s="576"/>
      <c r="CE16" s="572">
        <f t="shared" si="51"/>
        <v>0.08</v>
      </c>
      <c r="CF16" s="572">
        <f t="shared" si="52"/>
        <v>0.32</v>
      </c>
      <c r="CG16" s="572">
        <f t="shared" si="53"/>
        <v>0</v>
      </c>
      <c r="CH16" s="572">
        <f t="shared" si="54"/>
        <v>0</v>
      </c>
      <c r="CI16" s="572">
        <f t="shared" si="55"/>
        <v>0</v>
      </c>
      <c r="CJ16" s="572">
        <f t="shared" si="56"/>
        <v>8</v>
      </c>
      <c r="CK16" s="572">
        <f t="shared" si="57"/>
        <v>0</v>
      </c>
      <c r="CL16" s="572">
        <f t="shared" si="58"/>
        <v>0</v>
      </c>
      <c r="CM16" s="572">
        <f t="shared" si="59"/>
        <v>0</v>
      </c>
      <c r="CN16" s="572">
        <f t="shared" si="60"/>
        <v>0</v>
      </c>
      <c r="CO16" s="583">
        <f t="shared" si="61"/>
        <v>0</v>
      </c>
      <c r="CP16" s="572">
        <f t="shared" si="62"/>
        <v>200</v>
      </c>
      <c r="CQ16" s="96"/>
      <c r="CR16" s="576"/>
      <c r="CS16" s="572">
        <f t="shared" si="63"/>
        <v>6.9999999999999993E-2</v>
      </c>
      <c r="CT16" s="572">
        <f t="shared" si="64"/>
        <v>0.27999999999999997</v>
      </c>
      <c r="CU16" s="572">
        <f t="shared" si="65"/>
        <v>0</v>
      </c>
      <c r="CV16" s="572">
        <f t="shared" si="66"/>
        <v>0</v>
      </c>
      <c r="CW16" s="572">
        <f t="shared" si="67"/>
        <v>0</v>
      </c>
      <c r="CX16" s="572">
        <f t="shared" si="68"/>
        <v>7</v>
      </c>
      <c r="CY16" s="572">
        <f t="shared" si="69"/>
        <v>0</v>
      </c>
      <c r="CZ16" s="572">
        <f t="shared" si="70"/>
        <v>0</v>
      </c>
      <c r="DA16" s="572">
        <f t="shared" si="71"/>
        <v>0</v>
      </c>
      <c r="DB16" s="572">
        <f t="shared" si="72"/>
        <v>0</v>
      </c>
      <c r="DC16" s="583">
        <f t="shared" si="73"/>
        <v>0</v>
      </c>
      <c r="DD16" s="572">
        <f t="shared" si="74"/>
        <v>175</v>
      </c>
      <c r="DE16" s="96"/>
      <c r="DF16" s="576"/>
      <c r="DG16" s="572">
        <f t="shared" si="75"/>
        <v>5.9999999999999991E-2</v>
      </c>
      <c r="DH16" s="572">
        <f t="shared" si="76"/>
        <v>0.23999999999999996</v>
      </c>
      <c r="DI16" s="572">
        <f t="shared" si="77"/>
        <v>0</v>
      </c>
      <c r="DJ16" s="572">
        <f t="shared" si="78"/>
        <v>0</v>
      </c>
      <c r="DK16" s="572">
        <f t="shared" si="79"/>
        <v>0</v>
      </c>
      <c r="DL16" s="572">
        <f t="shared" si="80"/>
        <v>6</v>
      </c>
      <c r="DM16" s="572">
        <f t="shared" si="81"/>
        <v>0</v>
      </c>
      <c r="DN16" s="572">
        <f t="shared" si="82"/>
        <v>0</v>
      </c>
      <c r="DO16" s="572">
        <f t="shared" si="83"/>
        <v>0</v>
      </c>
      <c r="DP16" s="572">
        <f t="shared" si="84"/>
        <v>0</v>
      </c>
      <c r="DQ16" s="577">
        <f t="shared" si="85"/>
        <v>0</v>
      </c>
      <c r="DR16" s="96">
        <f t="shared" si="86"/>
        <v>150</v>
      </c>
      <c r="DS16" s="96"/>
      <c r="DT16" s="96" t="e">
        <f t="shared" si="87"/>
        <v>#VALUE!</v>
      </c>
      <c r="DU16" s="96" t="e">
        <f t="shared" si="88"/>
        <v>#VALUE!</v>
      </c>
      <c r="DV16" s="96" t="e">
        <f t="shared" si="89"/>
        <v>#VALUE!</v>
      </c>
      <c r="DW16" s="96" t="e">
        <f t="shared" si="90"/>
        <v>#VALUE!</v>
      </c>
      <c r="DX16" s="96" t="e">
        <f t="shared" si="91"/>
        <v>#VALUE!</v>
      </c>
      <c r="DY16" s="96" t="e">
        <f t="shared" si="92"/>
        <v>#VALUE!</v>
      </c>
      <c r="DZ16" s="96" t="e">
        <f t="shared" si="93"/>
        <v>#VALUE!</v>
      </c>
      <c r="EA16" s="96" t="e">
        <f t="shared" si="94"/>
        <v>#VALUE!</v>
      </c>
      <c r="EB16" s="96" t="e">
        <f t="shared" si="95"/>
        <v>#VALUE!</v>
      </c>
      <c r="EC16" s="96" t="e">
        <f t="shared" si="96"/>
        <v>#VALUE!</v>
      </c>
      <c r="ED16" s="96" t="e">
        <f t="shared" si="97"/>
        <v>#VALUE!</v>
      </c>
      <c r="EE16" s="96" t="e">
        <f t="shared" si="98"/>
        <v>#VALUE!</v>
      </c>
    </row>
    <row r="17" spans="1:135">
      <c r="C17" s="1752">
        <v>112</v>
      </c>
      <c r="D17" s="1115" t="s">
        <v>1066</v>
      </c>
      <c r="E17" s="319">
        <f t="shared" si="11"/>
        <v>1.1200000000000001</v>
      </c>
      <c r="F17" s="319">
        <f t="shared" si="12"/>
        <v>4.45</v>
      </c>
      <c r="G17" s="319">
        <f t="shared" si="13"/>
        <v>5</v>
      </c>
      <c r="H17" s="320">
        <f t="shared" si="99"/>
        <v>7.5</v>
      </c>
      <c r="I17" s="319">
        <f t="shared" si="14"/>
        <v>0</v>
      </c>
      <c r="J17" s="319">
        <f t="shared" si="15"/>
        <v>600</v>
      </c>
      <c r="K17" s="319">
        <f t="shared" si="16"/>
        <v>261.12</v>
      </c>
      <c r="L17" s="319">
        <f t="shared" si="17"/>
        <v>400</v>
      </c>
      <c r="M17" s="319">
        <f t="shared" si="18"/>
        <v>100</v>
      </c>
      <c r="N17" s="319">
        <f t="shared" si="19"/>
        <v>0.5</v>
      </c>
      <c r="O17" s="319">
        <f t="shared" si="20"/>
        <v>2</v>
      </c>
      <c r="P17" s="319">
        <f t="shared" si="21"/>
        <v>75</v>
      </c>
      <c r="Q17" s="1637">
        <f t="shared" si="100"/>
        <v>2777.7799999999997</v>
      </c>
      <c r="R17" s="1637">
        <f t="shared" si="22"/>
        <v>1</v>
      </c>
      <c r="S17" s="1637">
        <f t="shared" si="23"/>
        <v>1</v>
      </c>
      <c r="T17" s="190"/>
      <c r="U17" s="568">
        <v>1</v>
      </c>
      <c r="V17" s="563">
        <v>4</v>
      </c>
      <c r="W17" s="563">
        <v>5</v>
      </c>
      <c r="X17" s="563">
        <v>7.5</v>
      </c>
      <c r="Y17" s="563">
        <v>0</v>
      </c>
      <c r="Z17" s="563">
        <v>600</v>
      </c>
      <c r="AA17" s="563">
        <v>250</v>
      </c>
      <c r="AB17" s="563">
        <v>400</v>
      </c>
      <c r="AC17" s="563">
        <v>100</v>
      </c>
      <c r="AD17" s="563">
        <v>0.5</v>
      </c>
      <c r="AE17" s="563">
        <v>2</v>
      </c>
      <c r="AF17" s="563">
        <v>75</v>
      </c>
      <c r="AG17" s="850">
        <v>2500</v>
      </c>
      <c r="AH17" s="563">
        <v>1</v>
      </c>
      <c r="AI17" s="1537">
        <v>1</v>
      </c>
      <c r="AJ17" s="96">
        <v>8</v>
      </c>
      <c r="AK17" s="96"/>
      <c r="AL17" s="576">
        <f t="shared" si="101"/>
        <v>1</v>
      </c>
      <c r="AM17" s="572">
        <f t="shared" si="24"/>
        <v>0.1111111111111111</v>
      </c>
      <c r="AN17" s="572">
        <f t="shared" si="25"/>
        <v>0.44444444444444442</v>
      </c>
      <c r="AO17" s="572"/>
      <c r="AP17" s="572"/>
      <c r="AQ17" s="572"/>
      <c r="AR17" s="572">
        <f>SUM((100/9))</f>
        <v>11.111111111111111</v>
      </c>
      <c r="AS17" s="572"/>
      <c r="AT17" s="572"/>
      <c r="AU17" s="572"/>
      <c r="AV17" s="572"/>
      <c r="AW17" s="583"/>
      <c r="AX17" s="572">
        <f t="shared" si="26"/>
        <v>277.77777777777777</v>
      </c>
      <c r="AY17" s="572"/>
      <c r="AZ17" s="572"/>
      <c r="BA17" s="96"/>
      <c r="BB17" s="576"/>
      <c r="BC17" s="572">
        <f t="shared" si="27"/>
        <v>9.9999999999999992E-2</v>
      </c>
      <c r="BD17" s="572">
        <f t="shared" si="28"/>
        <v>0.39999999999999997</v>
      </c>
      <c r="BE17" s="572">
        <f t="shared" si="29"/>
        <v>0</v>
      </c>
      <c r="BF17" s="572">
        <f t="shared" si="30"/>
        <v>0</v>
      </c>
      <c r="BG17" s="572">
        <f t="shared" si="31"/>
        <v>0</v>
      </c>
      <c r="BH17" s="572">
        <f t="shared" si="32"/>
        <v>10</v>
      </c>
      <c r="BI17" s="572">
        <f t="shared" si="33"/>
        <v>0</v>
      </c>
      <c r="BJ17" s="572">
        <f t="shared" si="34"/>
        <v>0</v>
      </c>
      <c r="BK17" s="572">
        <f t="shared" si="35"/>
        <v>0</v>
      </c>
      <c r="BL17" s="572">
        <f t="shared" si="36"/>
        <v>0</v>
      </c>
      <c r="BM17" s="583">
        <f t="shared" si="37"/>
        <v>0</v>
      </c>
      <c r="BN17" s="572">
        <f t="shared" si="38"/>
        <v>250</v>
      </c>
      <c r="BO17" s="96"/>
      <c r="BP17" s="576"/>
      <c r="BQ17" s="572">
        <f t="shared" si="39"/>
        <v>0.09</v>
      </c>
      <c r="BR17" s="572">
        <f t="shared" si="40"/>
        <v>0.36</v>
      </c>
      <c r="BS17" s="572">
        <f t="shared" si="41"/>
        <v>0</v>
      </c>
      <c r="BT17" s="572">
        <f t="shared" si="42"/>
        <v>0</v>
      </c>
      <c r="BU17" s="572">
        <f t="shared" si="43"/>
        <v>0</v>
      </c>
      <c r="BV17" s="572">
        <f t="shared" si="44"/>
        <v>9</v>
      </c>
      <c r="BW17" s="572">
        <f t="shared" si="45"/>
        <v>0</v>
      </c>
      <c r="BX17" s="572">
        <f t="shared" si="46"/>
        <v>0</v>
      </c>
      <c r="BY17" s="572">
        <f t="shared" si="47"/>
        <v>0</v>
      </c>
      <c r="BZ17" s="572">
        <f t="shared" si="48"/>
        <v>0</v>
      </c>
      <c r="CA17" s="583">
        <f t="shared" si="49"/>
        <v>0</v>
      </c>
      <c r="CB17" s="572">
        <f t="shared" si="50"/>
        <v>225</v>
      </c>
      <c r="CC17" s="96"/>
      <c r="CD17" s="576"/>
      <c r="CE17" s="572">
        <f t="shared" si="51"/>
        <v>0.08</v>
      </c>
      <c r="CF17" s="572">
        <f t="shared" si="52"/>
        <v>0.32</v>
      </c>
      <c r="CG17" s="572">
        <f t="shared" si="53"/>
        <v>0</v>
      </c>
      <c r="CH17" s="572">
        <f t="shared" si="54"/>
        <v>0</v>
      </c>
      <c r="CI17" s="572">
        <f t="shared" si="55"/>
        <v>0</v>
      </c>
      <c r="CJ17" s="572">
        <f t="shared" si="56"/>
        <v>8</v>
      </c>
      <c r="CK17" s="572">
        <f t="shared" si="57"/>
        <v>0</v>
      </c>
      <c r="CL17" s="572">
        <f t="shared" si="58"/>
        <v>0</v>
      </c>
      <c r="CM17" s="572">
        <f t="shared" si="59"/>
        <v>0</v>
      </c>
      <c r="CN17" s="572">
        <f t="shared" si="60"/>
        <v>0</v>
      </c>
      <c r="CO17" s="583">
        <f t="shared" si="61"/>
        <v>0</v>
      </c>
      <c r="CP17" s="572">
        <f t="shared" si="62"/>
        <v>200</v>
      </c>
      <c r="CQ17" s="96"/>
      <c r="CR17" s="576"/>
      <c r="CS17" s="572">
        <f t="shared" si="63"/>
        <v>6.9999999999999993E-2</v>
      </c>
      <c r="CT17" s="572">
        <f t="shared" si="64"/>
        <v>0.27999999999999997</v>
      </c>
      <c r="CU17" s="572">
        <f t="shared" si="65"/>
        <v>0</v>
      </c>
      <c r="CV17" s="572">
        <f t="shared" si="66"/>
        <v>0</v>
      </c>
      <c r="CW17" s="572">
        <f t="shared" si="67"/>
        <v>0</v>
      </c>
      <c r="CX17" s="572">
        <f t="shared" si="68"/>
        <v>7</v>
      </c>
      <c r="CY17" s="572">
        <f t="shared" si="69"/>
        <v>0</v>
      </c>
      <c r="CZ17" s="572">
        <f t="shared" si="70"/>
        <v>0</v>
      </c>
      <c r="DA17" s="572">
        <f t="shared" si="71"/>
        <v>0</v>
      </c>
      <c r="DB17" s="572">
        <f t="shared" si="72"/>
        <v>0</v>
      </c>
      <c r="DC17" s="583">
        <f t="shared" si="73"/>
        <v>0</v>
      </c>
      <c r="DD17" s="572">
        <f t="shared" si="74"/>
        <v>175</v>
      </c>
      <c r="DE17" s="96"/>
      <c r="DF17" s="576"/>
      <c r="DG17" s="572">
        <f t="shared" si="75"/>
        <v>5.9999999999999991E-2</v>
      </c>
      <c r="DH17" s="572">
        <f t="shared" si="76"/>
        <v>0.23999999999999996</v>
      </c>
      <c r="DI17" s="572">
        <f t="shared" si="77"/>
        <v>0</v>
      </c>
      <c r="DJ17" s="572">
        <f t="shared" si="78"/>
        <v>0</v>
      </c>
      <c r="DK17" s="572">
        <f t="shared" si="79"/>
        <v>0</v>
      </c>
      <c r="DL17" s="572">
        <f t="shared" si="80"/>
        <v>6</v>
      </c>
      <c r="DM17" s="572">
        <f t="shared" si="81"/>
        <v>0</v>
      </c>
      <c r="DN17" s="572">
        <f t="shared" si="82"/>
        <v>0</v>
      </c>
      <c r="DO17" s="572">
        <f t="shared" si="83"/>
        <v>0</v>
      </c>
      <c r="DP17" s="572">
        <f t="shared" si="84"/>
        <v>0</v>
      </c>
      <c r="DQ17" s="577">
        <f t="shared" si="85"/>
        <v>0</v>
      </c>
      <c r="DR17" s="96">
        <f t="shared" si="86"/>
        <v>150</v>
      </c>
      <c r="DS17" s="96"/>
      <c r="DT17" s="96" t="e">
        <f t="shared" si="87"/>
        <v>#VALUE!</v>
      </c>
      <c r="DU17" s="96" t="e">
        <f t="shared" si="88"/>
        <v>#VALUE!</v>
      </c>
      <c r="DV17" s="96" t="e">
        <f t="shared" si="89"/>
        <v>#VALUE!</v>
      </c>
      <c r="DW17" s="96" t="e">
        <f t="shared" si="90"/>
        <v>#VALUE!</v>
      </c>
      <c r="DX17" s="96" t="e">
        <f t="shared" si="91"/>
        <v>#VALUE!</v>
      </c>
      <c r="DY17" s="96" t="e">
        <f t="shared" si="92"/>
        <v>#VALUE!</v>
      </c>
      <c r="DZ17" s="96" t="e">
        <f t="shared" si="93"/>
        <v>#VALUE!</v>
      </c>
      <c r="EA17" s="96" t="e">
        <f t="shared" si="94"/>
        <v>#VALUE!</v>
      </c>
      <c r="EB17" s="96" t="e">
        <f t="shared" si="95"/>
        <v>#VALUE!</v>
      </c>
      <c r="EC17" s="96" t="e">
        <f t="shared" si="96"/>
        <v>#VALUE!</v>
      </c>
      <c r="ED17" s="96" t="e">
        <f t="shared" si="97"/>
        <v>#VALUE!</v>
      </c>
      <c r="EE17" s="96" t="e">
        <f t="shared" si="98"/>
        <v>#VALUE!</v>
      </c>
    </row>
    <row r="18" spans="1:135">
      <c r="C18" s="1752">
        <v>113</v>
      </c>
      <c r="D18" s="1115" t="s">
        <v>846</v>
      </c>
      <c r="E18" s="319">
        <f t="shared" si="11"/>
        <v>125</v>
      </c>
      <c r="F18" s="319">
        <f t="shared" si="12"/>
        <v>250</v>
      </c>
      <c r="G18" s="319">
        <f t="shared" si="13"/>
        <v>40</v>
      </c>
      <c r="H18" s="320">
        <f t="shared" si="99"/>
        <v>0</v>
      </c>
      <c r="I18" s="319">
        <f t="shared" si="14"/>
        <v>200</v>
      </c>
      <c r="J18" s="319">
        <f t="shared" si="15"/>
        <v>694.34</v>
      </c>
      <c r="K18" s="319"/>
      <c r="L18" s="319"/>
      <c r="M18" s="319">
        <f t="shared" si="18"/>
        <v>100</v>
      </c>
      <c r="N18" s="319">
        <f t="shared" si="19"/>
        <v>20</v>
      </c>
      <c r="O18" s="319">
        <f t="shared" si="20"/>
        <v>28.33</v>
      </c>
      <c r="P18" s="319">
        <f t="shared" si="21"/>
        <v>75</v>
      </c>
      <c r="Q18" s="1637">
        <f t="shared" si="100"/>
        <v>2777.7799999999997</v>
      </c>
      <c r="R18" s="1637">
        <f t="shared" si="22"/>
        <v>1</v>
      </c>
      <c r="S18" s="1637">
        <f t="shared" si="23"/>
        <v>1</v>
      </c>
      <c r="T18" s="190"/>
      <c r="U18" s="568">
        <v>125</v>
      </c>
      <c r="V18" s="563">
        <v>250</v>
      </c>
      <c r="W18" s="563">
        <v>40</v>
      </c>
      <c r="X18" s="563">
        <v>0</v>
      </c>
      <c r="Y18" s="563">
        <v>200</v>
      </c>
      <c r="Z18" s="563">
        <v>680</v>
      </c>
      <c r="AA18" s="563" t="s">
        <v>93</v>
      </c>
      <c r="AB18" s="563" t="s">
        <v>93</v>
      </c>
      <c r="AC18" s="563">
        <v>100</v>
      </c>
      <c r="AD18" s="563">
        <v>20</v>
      </c>
      <c r="AE18" s="563">
        <v>30</v>
      </c>
      <c r="AF18" s="563">
        <v>75</v>
      </c>
      <c r="AG18" s="850">
        <v>2500</v>
      </c>
      <c r="AH18" s="563">
        <v>1</v>
      </c>
      <c r="AI18" s="1537">
        <v>1</v>
      </c>
      <c r="AJ18" s="96">
        <v>9</v>
      </c>
      <c r="AK18" s="96"/>
      <c r="AL18" s="576">
        <f t="shared" si="101"/>
        <v>1</v>
      </c>
      <c r="AM18" s="572"/>
      <c r="AN18" s="572"/>
      <c r="AO18" s="572"/>
      <c r="AP18" s="572"/>
      <c r="AQ18" s="572">
        <f>SUM((129/9))</f>
        <v>14.333333333333334</v>
      </c>
      <c r="AR18" s="572"/>
      <c r="AS18" s="572"/>
      <c r="AT18" s="572"/>
      <c r="AU18" s="572"/>
      <c r="AV18" s="572">
        <f>SUM((-AE18/18))</f>
        <v>-1.6666666666666667</v>
      </c>
      <c r="AW18" s="583"/>
      <c r="AX18" s="572">
        <f t="shared" si="26"/>
        <v>277.77777777777777</v>
      </c>
      <c r="AY18" s="572"/>
      <c r="AZ18" s="572"/>
      <c r="BA18" s="96"/>
      <c r="BB18" s="590">
        <v>2.33</v>
      </c>
      <c r="BC18" s="572">
        <f t="shared" ref="BC18:BJ23" si="102">SUM(((AM18*0.9)*1))</f>
        <v>0</v>
      </c>
      <c r="BD18" s="572">
        <f t="shared" si="102"/>
        <v>0</v>
      </c>
      <c r="BE18" s="572">
        <f t="shared" si="102"/>
        <v>0</v>
      </c>
      <c r="BF18" s="572">
        <f t="shared" si="102"/>
        <v>0</v>
      </c>
      <c r="BG18" s="572">
        <f t="shared" si="102"/>
        <v>12.9</v>
      </c>
      <c r="BH18" s="572">
        <f t="shared" si="102"/>
        <v>0</v>
      </c>
      <c r="BI18" s="572">
        <f t="shared" si="102"/>
        <v>0</v>
      </c>
      <c r="BJ18" s="572">
        <f t="shared" si="102"/>
        <v>0</v>
      </c>
      <c r="BK18" s="586">
        <f>SUM(ROUND((AU18/BB18),2))</f>
        <v>0</v>
      </c>
      <c r="BL18" s="586">
        <f t="shared" ref="BL18:BL23" si="103">SUM(ROUND((AV18/BB18),2))</f>
        <v>-0.72</v>
      </c>
      <c r="BM18" s="583">
        <f t="shared" ref="BM18:BN24" si="104">SUM(((AW18*0.9)*1))</f>
        <v>0</v>
      </c>
      <c r="BN18" s="572">
        <f t="shared" si="104"/>
        <v>250</v>
      </c>
      <c r="BO18" s="96"/>
      <c r="BP18" s="590">
        <v>2.84</v>
      </c>
      <c r="BQ18" s="572">
        <f t="shared" ref="BQ18:BX23" si="105">SUM(((AM18*0.9)*0.9))</f>
        <v>0</v>
      </c>
      <c r="BR18" s="572">
        <f t="shared" si="105"/>
        <v>0</v>
      </c>
      <c r="BS18" s="572">
        <f t="shared" si="105"/>
        <v>0</v>
      </c>
      <c r="BT18" s="572">
        <f t="shared" si="105"/>
        <v>0</v>
      </c>
      <c r="BU18" s="572">
        <f t="shared" si="105"/>
        <v>11.610000000000001</v>
      </c>
      <c r="BV18" s="572">
        <f t="shared" si="105"/>
        <v>0</v>
      </c>
      <c r="BW18" s="572">
        <f t="shared" si="105"/>
        <v>0</v>
      </c>
      <c r="BX18" s="572">
        <f t="shared" si="105"/>
        <v>0</v>
      </c>
      <c r="BY18" s="586">
        <f>SUM(ROUND((AU18/BP18),2))</f>
        <v>0</v>
      </c>
      <c r="BZ18" s="586">
        <f t="shared" ref="BZ18:BZ23" si="106">SUM(ROUND((AV18/BP18),2))</f>
        <v>-0.59</v>
      </c>
      <c r="CA18" s="583">
        <f t="shared" ref="CA18:CB24" si="107">SUM(((AW18*0.9)*0.9))</f>
        <v>0</v>
      </c>
      <c r="CB18" s="572">
        <f t="shared" si="107"/>
        <v>225</v>
      </c>
      <c r="CC18" s="96"/>
      <c r="CD18" s="590">
        <v>3.45</v>
      </c>
      <c r="CE18" s="572">
        <f t="shared" ref="CE18:CL23" si="108">SUM(((AM18*0.9)*0.8))</f>
        <v>0</v>
      </c>
      <c r="CF18" s="572">
        <f t="shared" si="108"/>
        <v>0</v>
      </c>
      <c r="CG18" s="572">
        <f t="shared" si="108"/>
        <v>0</v>
      </c>
      <c r="CH18" s="572">
        <f t="shared" si="108"/>
        <v>0</v>
      </c>
      <c r="CI18" s="572">
        <f t="shared" si="108"/>
        <v>10.32</v>
      </c>
      <c r="CJ18" s="572">
        <f t="shared" si="108"/>
        <v>0</v>
      </c>
      <c r="CK18" s="572">
        <f t="shared" si="108"/>
        <v>0</v>
      </c>
      <c r="CL18" s="572">
        <f t="shared" si="108"/>
        <v>0</v>
      </c>
      <c r="CM18" s="586">
        <f>SUM(ROUND((AU18/CD18),2))</f>
        <v>0</v>
      </c>
      <c r="CN18" s="586">
        <f t="shared" ref="CN18:CN23" si="109">SUM(ROUND((AV18/CD18),2))</f>
        <v>-0.48</v>
      </c>
      <c r="CO18" s="583">
        <f t="shared" ref="CO18:CP24" si="110">SUM(((AW18*0.9)*0.8))</f>
        <v>0</v>
      </c>
      <c r="CP18" s="572">
        <f t="shared" si="110"/>
        <v>200</v>
      </c>
      <c r="CQ18" s="96"/>
      <c r="CR18" s="590">
        <v>4.2300000000000004</v>
      </c>
      <c r="CS18" s="572">
        <f t="shared" ref="CS18:CZ23" si="111">SUM(((AM18*0.9)*0.7))</f>
        <v>0</v>
      </c>
      <c r="CT18" s="572">
        <f t="shared" si="111"/>
        <v>0</v>
      </c>
      <c r="CU18" s="572">
        <f t="shared" si="111"/>
        <v>0</v>
      </c>
      <c r="CV18" s="572">
        <f t="shared" si="111"/>
        <v>0</v>
      </c>
      <c r="CW18" s="572">
        <f t="shared" si="111"/>
        <v>9.0299999999999994</v>
      </c>
      <c r="CX18" s="572">
        <f t="shared" si="111"/>
        <v>0</v>
      </c>
      <c r="CY18" s="572">
        <f t="shared" si="111"/>
        <v>0</v>
      </c>
      <c r="CZ18" s="572">
        <f t="shared" si="111"/>
        <v>0</v>
      </c>
      <c r="DA18" s="586">
        <f>SUM(ROUND((AU18/CR18),2))</f>
        <v>0</v>
      </c>
      <c r="DB18" s="586">
        <f t="shared" ref="DB18:DB23" si="112">SUM(ROUND((AV18/CR18),2))</f>
        <v>-0.39</v>
      </c>
      <c r="DC18" s="583">
        <f t="shared" ref="DC18:DD24" si="113">SUM(((AW18*0.9)*0.7))</f>
        <v>0</v>
      </c>
      <c r="DD18" s="572">
        <f t="shared" si="113"/>
        <v>175</v>
      </c>
      <c r="DE18" s="96"/>
      <c r="DF18" s="590">
        <v>5.2</v>
      </c>
      <c r="DG18" s="572">
        <f t="shared" ref="DG18:DN23" si="114">SUM(((AM18*0.9)*0.6))</f>
        <v>0</v>
      </c>
      <c r="DH18" s="572">
        <f t="shared" si="114"/>
        <v>0</v>
      </c>
      <c r="DI18" s="572">
        <f t="shared" si="114"/>
        <v>0</v>
      </c>
      <c r="DJ18" s="572">
        <f t="shared" si="114"/>
        <v>0</v>
      </c>
      <c r="DK18" s="572">
        <f t="shared" si="114"/>
        <v>7.74</v>
      </c>
      <c r="DL18" s="572">
        <f t="shared" si="114"/>
        <v>0</v>
      </c>
      <c r="DM18" s="572">
        <f t="shared" si="114"/>
        <v>0</v>
      </c>
      <c r="DN18" s="572">
        <f t="shared" si="114"/>
        <v>0</v>
      </c>
      <c r="DO18" s="586">
        <f>SUM(ROUND((AU18/DF18),2))</f>
        <v>0</v>
      </c>
      <c r="DP18" s="586">
        <f t="shared" ref="DP18:DP23" si="115">SUM(ROUND((AV18/DF18),2))</f>
        <v>-0.32</v>
      </c>
      <c r="DQ18" s="577">
        <f t="shared" ref="DQ18:DR24" si="116">SUM(((AW18*0.9)*0.6))</f>
        <v>0</v>
      </c>
      <c r="DR18" s="96">
        <f t="shared" si="116"/>
        <v>150</v>
      </c>
      <c r="DS18" s="96"/>
      <c r="DT18" s="96" t="e">
        <f t="shared" si="87"/>
        <v>#VALUE!</v>
      </c>
      <c r="DU18" s="96" t="e">
        <f t="shared" si="88"/>
        <v>#VALUE!</v>
      </c>
      <c r="DV18" s="96" t="e">
        <f t="shared" si="89"/>
        <v>#VALUE!</v>
      </c>
      <c r="DW18" s="96" t="e">
        <f t="shared" si="90"/>
        <v>#VALUE!</v>
      </c>
      <c r="DX18" s="96" t="e">
        <f t="shared" si="91"/>
        <v>#VALUE!</v>
      </c>
      <c r="DY18" s="96" t="e">
        <f t="shared" si="92"/>
        <v>#VALUE!</v>
      </c>
      <c r="DZ18" s="96" t="e">
        <f t="shared" si="93"/>
        <v>#VALUE!</v>
      </c>
      <c r="EA18" s="96" t="e">
        <f t="shared" si="94"/>
        <v>#VALUE!</v>
      </c>
      <c r="EB18" s="96" t="e">
        <f t="shared" si="95"/>
        <v>#VALUE!</v>
      </c>
      <c r="EC18" s="96" t="e">
        <f t="shared" si="96"/>
        <v>#VALUE!</v>
      </c>
      <c r="ED18" s="96" t="e">
        <f t="shared" si="97"/>
        <v>#VALUE!</v>
      </c>
      <c r="EE18" s="96" t="e">
        <f t="shared" si="98"/>
        <v>#VALUE!</v>
      </c>
    </row>
    <row r="19" spans="1:135">
      <c r="C19" s="1752">
        <v>114</v>
      </c>
      <c r="D19" s="1115" t="s">
        <v>1074</v>
      </c>
      <c r="E19" s="319">
        <f t="shared" si="11"/>
        <v>25</v>
      </c>
      <c r="F19" s="319">
        <f t="shared" si="12"/>
        <v>50</v>
      </c>
      <c r="G19" s="319">
        <f t="shared" si="13"/>
        <v>15</v>
      </c>
      <c r="H19" s="320">
        <f t="shared" si="99"/>
        <v>0</v>
      </c>
      <c r="I19" s="319">
        <f t="shared" si="14"/>
        <v>200</v>
      </c>
      <c r="J19" s="319">
        <f t="shared" si="15"/>
        <v>1027.78</v>
      </c>
      <c r="K19" s="319"/>
      <c r="L19" s="319"/>
      <c r="M19" s="319">
        <f t="shared" si="18"/>
        <v>100</v>
      </c>
      <c r="N19" s="319">
        <f t="shared" si="19"/>
        <v>10.8</v>
      </c>
      <c r="O19" s="319">
        <f t="shared" si="20"/>
        <v>20.399999999999999</v>
      </c>
      <c r="P19" s="319">
        <f t="shared" si="21"/>
        <v>75</v>
      </c>
      <c r="Q19" s="1637">
        <f t="shared" si="100"/>
        <v>2777.7799999999997</v>
      </c>
      <c r="R19" s="1637">
        <f t="shared" si="22"/>
        <v>1</v>
      </c>
      <c r="S19" s="1637">
        <f t="shared" si="23"/>
        <v>1</v>
      </c>
      <c r="T19" s="190"/>
      <c r="U19" s="568">
        <v>25</v>
      </c>
      <c r="V19" s="563">
        <v>50</v>
      </c>
      <c r="W19" s="563">
        <v>15</v>
      </c>
      <c r="X19" s="563">
        <v>0</v>
      </c>
      <c r="Y19" s="563">
        <v>200</v>
      </c>
      <c r="Z19" s="563">
        <v>1000</v>
      </c>
      <c r="AA19" s="563" t="s">
        <v>93</v>
      </c>
      <c r="AB19" s="563" t="s">
        <v>93</v>
      </c>
      <c r="AC19" s="563">
        <v>100</v>
      </c>
      <c r="AD19" s="563">
        <v>10</v>
      </c>
      <c r="AE19" s="563">
        <v>20</v>
      </c>
      <c r="AF19" s="563">
        <v>75</v>
      </c>
      <c r="AG19" s="850">
        <v>2500</v>
      </c>
      <c r="AH19" s="563">
        <v>1</v>
      </c>
      <c r="AI19" s="1537">
        <v>1</v>
      </c>
      <c r="AJ19" s="96">
        <v>10</v>
      </c>
      <c r="AK19" s="96"/>
      <c r="AL19" s="576">
        <f t="shared" si="101"/>
        <v>1</v>
      </c>
      <c r="AM19" s="572"/>
      <c r="AN19" s="572"/>
      <c r="AO19" s="572"/>
      <c r="AP19" s="572"/>
      <c r="AQ19" s="572">
        <f>SUM((250/9))</f>
        <v>27.777777777777779</v>
      </c>
      <c r="AR19" s="572"/>
      <c r="AS19" s="572"/>
      <c r="AT19" s="572"/>
      <c r="AU19" s="572">
        <v>0.8</v>
      </c>
      <c r="AV19" s="572">
        <v>0.4</v>
      </c>
      <c r="AW19" s="583"/>
      <c r="AX19" s="572">
        <f t="shared" si="26"/>
        <v>277.77777777777777</v>
      </c>
      <c r="AY19" s="572"/>
      <c r="AZ19" s="572"/>
      <c r="BA19" s="96"/>
      <c r="BB19" s="590">
        <v>2.33</v>
      </c>
      <c r="BC19" s="572">
        <f t="shared" si="102"/>
        <v>0</v>
      </c>
      <c r="BD19" s="572">
        <f t="shared" si="102"/>
        <v>0</v>
      </c>
      <c r="BE19" s="572">
        <f t="shared" si="102"/>
        <v>0</v>
      </c>
      <c r="BF19" s="572">
        <f t="shared" si="102"/>
        <v>0</v>
      </c>
      <c r="BG19" s="572">
        <f t="shared" si="102"/>
        <v>25</v>
      </c>
      <c r="BH19" s="572">
        <f t="shared" si="102"/>
        <v>0</v>
      </c>
      <c r="BI19" s="572">
        <f t="shared" si="102"/>
        <v>0</v>
      </c>
      <c r="BJ19" s="572">
        <f t="shared" si="102"/>
        <v>0</v>
      </c>
      <c r="BK19" s="586">
        <f>SUM(ROUND((AU19/BB19),2))</f>
        <v>0.34</v>
      </c>
      <c r="BL19" s="586">
        <f t="shared" si="103"/>
        <v>0.17</v>
      </c>
      <c r="BM19" s="583">
        <f t="shared" si="104"/>
        <v>0</v>
      </c>
      <c r="BN19" s="572">
        <f t="shared" si="104"/>
        <v>250</v>
      </c>
      <c r="BO19" s="96"/>
      <c r="BP19" s="590">
        <v>2.84</v>
      </c>
      <c r="BQ19" s="572">
        <f t="shared" si="105"/>
        <v>0</v>
      </c>
      <c r="BR19" s="572">
        <f t="shared" si="105"/>
        <v>0</v>
      </c>
      <c r="BS19" s="572">
        <f t="shared" si="105"/>
        <v>0</v>
      </c>
      <c r="BT19" s="572">
        <f t="shared" si="105"/>
        <v>0</v>
      </c>
      <c r="BU19" s="572">
        <f t="shared" si="105"/>
        <v>22.5</v>
      </c>
      <c r="BV19" s="572">
        <f t="shared" si="105"/>
        <v>0</v>
      </c>
      <c r="BW19" s="572">
        <f t="shared" si="105"/>
        <v>0</v>
      </c>
      <c r="BX19" s="572">
        <f t="shared" si="105"/>
        <v>0</v>
      </c>
      <c r="BY19" s="586">
        <f>SUM(ROUND((AU19/BP19),2))</f>
        <v>0.28000000000000003</v>
      </c>
      <c r="BZ19" s="586">
        <f t="shared" si="106"/>
        <v>0.14000000000000001</v>
      </c>
      <c r="CA19" s="583">
        <f t="shared" si="107"/>
        <v>0</v>
      </c>
      <c r="CB19" s="572">
        <f t="shared" si="107"/>
        <v>225</v>
      </c>
      <c r="CC19" s="96"/>
      <c r="CD19" s="590">
        <v>3.45</v>
      </c>
      <c r="CE19" s="572">
        <f t="shared" si="108"/>
        <v>0</v>
      </c>
      <c r="CF19" s="572">
        <f t="shared" si="108"/>
        <v>0</v>
      </c>
      <c r="CG19" s="572">
        <f t="shared" si="108"/>
        <v>0</v>
      </c>
      <c r="CH19" s="572">
        <f t="shared" si="108"/>
        <v>0</v>
      </c>
      <c r="CI19" s="572">
        <f t="shared" si="108"/>
        <v>20</v>
      </c>
      <c r="CJ19" s="572">
        <f t="shared" si="108"/>
        <v>0</v>
      </c>
      <c r="CK19" s="572">
        <f t="shared" si="108"/>
        <v>0</v>
      </c>
      <c r="CL19" s="572">
        <f t="shared" si="108"/>
        <v>0</v>
      </c>
      <c r="CM19" s="586">
        <f>SUM(ROUND((AU19/CD19),2))</f>
        <v>0.23</v>
      </c>
      <c r="CN19" s="586">
        <f t="shared" si="109"/>
        <v>0.12</v>
      </c>
      <c r="CO19" s="583">
        <f t="shared" si="110"/>
        <v>0</v>
      </c>
      <c r="CP19" s="572">
        <f t="shared" si="110"/>
        <v>200</v>
      </c>
      <c r="CQ19" s="96"/>
      <c r="CR19" s="590">
        <v>4.2300000000000004</v>
      </c>
      <c r="CS19" s="572">
        <f t="shared" si="111"/>
        <v>0</v>
      </c>
      <c r="CT19" s="572">
        <f t="shared" si="111"/>
        <v>0</v>
      </c>
      <c r="CU19" s="572">
        <f t="shared" si="111"/>
        <v>0</v>
      </c>
      <c r="CV19" s="572">
        <f t="shared" si="111"/>
        <v>0</v>
      </c>
      <c r="CW19" s="572">
        <f t="shared" si="111"/>
        <v>17.5</v>
      </c>
      <c r="CX19" s="572">
        <f t="shared" si="111"/>
        <v>0</v>
      </c>
      <c r="CY19" s="572">
        <f t="shared" si="111"/>
        <v>0</v>
      </c>
      <c r="CZ19" s="572">
        <f t="shared" si="111"/>
        <v>0</v>
      </c>
      <c r="DA19" s="586">
        <f>SUM(ROUND((AU19/CR19),2))</f>
        <v>0.19</v>
      </c>
      <c r="DB19" s="586">
        <f t="shared" si="112"/>
        <v>0.09</v>
      </c>
      <c r="DC19" s="583">
        <f t="shared" si="113"/>
        <v>0</v>
      </c>
      <c r="DD19" s="572">
        <f t="shared" si="113"/>
        <v>175</v>
      </c>
      <c r="DE19" s="96"/>
      <c r="DF19" s="590">
        <v>5.2</v>
      </c>
      <c r="DG19" s="572">
        <f t="shared" si="114"/>
        <v>0</v>
      </c>
      <c r="DH19" s="572">
        <f t="shared" si="114"/>
        <v>0</v>
      </c>
      <c r="DI19" s="572">
        <f t="shared" si="114"/>
        <v>0</v>
      </c>
      <c r="DJ19" s="572">
        <f t="shared" si="114"/>
        <v>0</v>
      </c>
      <c r="DK19" s="572">
        <f t="shared" si="114"/>
        <v>15</v>
      </c>
      <c r="DL19" s="572">
        <f t="shared" si="114"/>
        <v>0</v>
      </c>
      <c r="DM19" s="572">
        <f t="shared" si="114"/>
        <v>0</v>
      </c>
      <c r="DN19" s="572">
        <f t="shared" si="114"/>
        <v>0</v>
      </c>
      <c r="DO19" s="586">
        <f>SUM(ROUND((AU19/DF19),2))</f>
        <v>0.15</v>
      </c>
      <c r="DP19" s="586">
        <f t="shared" si="115"/>
        <v>0.08</v>
      </c>
      <c r="DQ19" s="577">
        <f t="shared" si="116"/>
        <v>0</v>
      </c>
      <c r="DR19" s="96">
        <f t="shared" si="116"/>
        <v>150</v>
      </c>
      <c r="DS19" s="96"/>
      <c r="DT19" s="96" t="e">
        <f t="shared" si="87"/>
        <v>#VALUE!</v>
      </c>
      <c r="DU19" s="96" t="e">
        <f t="shared" si="88"/>
        <v>#VALUE!</v>
      </c>
      <c r="DV19" s="96" t="e">
        <f t="shared" si="89"/>
        <v>#VALUE!</v>
      </c>
      <c r="DW19" s="96" t="e">
        <f t="shared" si="90"/>
        <v>#VALUE!</v>
      </c>
      <c r="DX19" s="96" t="e">
        <f t="shared" si="91"/>
        <v>#VALUE!</v>
      </c>
      <c r="DY19" s="96" t="e">
        <f t="shared" si="92"/>
        <v>#VALUE!</v>
      </c>
      <c r="DZ19" s="96" t="e">
        <f t="shared" si="93"/>
        <v>#VALUE!</v>
      </c>
      <c r="EA19" s="96" t="e">
        <f t="shared" si="94"/>
        <v>#VALUE!</v>
      </c>
      <c r="EB19" s="96" t="e">
        <f t="shared" si="95"/>
        <v>#VALUE!</v>
      </c>
      <c r="EC19" s="96" t="e">
        <f t="shared" si="96"/>
        <v>#VALUE!</v>
      </c>
      <c r="ED19" s="96" t="e">
        <f t="shared" si="97"/>
        <v>#VALUE!</v>
      </c>
      <c r="EE19" s="96" t="e">
        <f t="shared" si="98"/>
        <v>#VALUE!</v>
      </c>
    </row>
    <row r="20" spans="1:135">
      <c r="C20" s="1752">
        <v>115</v>
      </c>
      <c r="D20" s="1115" t="s">
        <v>1073</v>
      </c>
      <c r="E20" s="319">
        <f t="shared" si="11"/>
        <v>25</v>
      </c>
      <c r="F20" s="319">
        <f t="shared" si="12"/>
        <v>50</v>
      </c>
      <c r="G20" s="319">
        <f t="shared" si="13"/>
        <v>15</v>
      </c>
      <c r="H20" s="320">
        <f t="shared" si="99"/>
        <v>0</v>
      </c>
      <c r="I20" s="319">
        <f t="shared" si="14"/>
        <v>200</v>
      </c>
      <c r="J20" s="319">
        <f t="shared" si="15"/>
        <v>1000</v>
      </c>
      <c r="K20" s="319"/>
      <c r="L20" s="319"/>
      <c r="M20" s="319">
        <f t="shared" si="18"/>
        <v>105.56</v>
      </c>
      <c r="N20" s="319">
        <f t="shared" si="19"/>
        <v>9.44</v>
      </c>
      <c r="O20" s="319">
        <f t="shared" si="20"/>
        <v>18.88</v>
      </c>
      <c r="P20" s="319">
        <f t="shared" si="21"/>
        <v>75</v>
      </c>
      <c r="Q20" s="1637">
        <f t="shared" si="100"/>
        <v>2777.7799999999997</v>
      </c>
      <c r="R20" s="1637">
        <f t="shared" si="22"/>
        <v>1</v>
      </c>
      <c r="S20" s="1637">
        <f t="shared" si="23"/>
        <v>1</v>
      </c>
      <c r="T20" s="190"/>
      <c r="U20" s="568">
        <v>25</v>
      </c>
      <c r="V20" s="563">
        <v>50</v>
      </c>
      <c r="W20" s="563">
        <v>15</v>
      </c>
      <c r="X20" s="563">
        <v>0</v>
      </c>
      <c r="Y20" s="563">
        <v>200</v>
      </c>
      <c r="Z20" s="563">
        <v>1000</v>
      </c>
      <c r="AA20" s="563" t="s">
        <v>93</v>
      </c>
      <c r="AB20" s="563" t="s">
        <v>93</v>
      </c>
      <c r="AC20" s="563">
        <v>100</v>
      </c>
      <c r="AD20" s="563">
        <v>10</v>
      </c>
      <c r="AE20" s="563">
        <v>20</v>
      </c>
      <c r="AF20" s="563">
        <v>75</v>
      </c>
      <c r="AG20" s="850">
        <v>2500</v>
      </c>
      <c r="AH20" s="563">
        <v>1</v>
      </c>
      <c r="AI20" s="1537">
        <v>1</v>
      </c>
      <c r="AJ20" s="96">
        <v>11</v>
      </c>
      <c r="AK20" s="96"/>
      <c r="AL20" s="576">
        <f t="shared" si="101"/>
        <v>1</v>
      </c>
      <c r="AM20" s="572"/>
      <c r="AN20" s="572"/>
      <c r="AO20" s="572"/>
      <c r="AP20" s="572"/>
      <c r="AQ20" s="572"/>
      <c r="AR20" s="572"/>
      <c r="AS20" s="572"/>
      <c r="AT20" s="572">
        <f>SUM((AC20/18))</f>
        <v>5.5555555555555554</v>
      </c>
      <c r="AU20" s="572">
        <f>SUM((-AD20/18))</f>
        <v>-0.55555555555555558</v>
      </c>
      <c r="AV20" s="572">
        <f>SUM((-AE20/18))</f>
        <v>-1.1111111111111112</v>
      </c>
      <c r="AW20" s="583"/>
      <c r="AX20" s="572">
        <f t="shared" si="26"/>
        <v>277.77777777777777</v>
      </c>
      <c r="AY20" s="572"/>
      <c r="AZ20" s="572"/>
      <c r="BA20" s="96"/>
      <c r="BB20" s="590">
        <v>2.33</v>
      </c>
      <c r="BC20" s="572">
        <f t="shared" si="102"/>
        <v>0</v>
      </c>
      <c r="BD20" s="572">
        <f t="shared" si="102"/>
        <v>0</v>
      </c>
      <c r="BE20" s="572">
        <f t="shared" si="102"/>
        <v>0</v>
      </c>
      <c r="BF20" s="572">
        <f t="shared" si="102"/>
        <v>0</v>
      </c>
      <c r="BG20" s="572">
        <f t="shared" si="102"/>
        <v>0</v>
      </c>
      <c r="BH20" s="572">
        <f t="shared" si="102"/>
        <v>0</v>
      </c>
      <c r="BI20" s="572">
        <f t="shared" si="102"/>
        <v>0</v>
      </c>
      <c r="BJ20" s="572">
        <f t="shared" si="102"/>
        <v>5</v>
      </c>
      <c r="BK20" s="586">
        <f>SUM(ROUND((AU20/BB20),2))</f>
        <v>-0.24</v>
      </c>
      <c r="BL20" s="586">
        <f t="shared" si="103"/>
        <v>-0.48</v>
      </c>
      <c r="BM20" s="583">
        <f t="shared" si="104"/>
        <v>0</v>
      </c>
      <c r="BN20" s="572">
        <f t="shared" si="104"/>
        <v>250</v>
      </c>
      <c r="BO20" s="96"/>
      <c r="BP20" s="590">
        <v>2.84</v>
      </c>
      <c r="BQ20" s="572">
        <f t="shared" si="105"/>
        <v>0</v>
      </c>
      <c r="BR20" s="572">
        <f t="shared" si="105"/>
        <v>0</v>
      </c>
      <c r="BS20" s="572">
        <f t="shared" si="105"/>
        <v>0</v>
      </c>
      <c r="BT20" s="572">
        <f t="shared" si="105"/>
        <v>0</v>
      </c>
      <c r="BU20" s="572">
        <f t="shared" si="105"/>
        <v>0</v>
      </c>
      <c r="BV20" s="572">
        <f t="shared" si="105"/>
        <v>0</v>
      </c>
      <c r="BW20" s="572">
        <f t="shared" si="105"/>
        <v>0</v>
      </c>
      <c r="BX20" s="572">
        <f t="shared" si="105"/>
        <v>4.5</v>
      </c>
      <c r="BY20" s="586">
        <f>SUM(ROUND((AU20/BP20),2))</f>
        <v>-0.2</v>
      </c>
      <c r="BZ20" s="586">
        <f t="shared" si="106"/>
        <v>-0.39</v>
      </c>
      <c r="CA20" s="583">
        <f t="shared" si="107"/>
        <v>0</v>
      </c>
      <c r="CB20" s="572">
        <f t="shared" si="107"/>
        <v>225</v>
      </c>
      <c r="CC20" s="96"/>
      <c r="CD20" s="590">
        <v>3.45</v>
      </c>
      <c r="CE20" s="572">
        <f t="shared" si="108"/>
        <v>0</v>
      </c>
      <c r="CF20" s="572">
        <f t="shared" si="108"/>
        <v>0</v>
      </c>
      <c r="CG20" s="572">
        <f t="shared" si="108"/>
        <v>0</v>
      </c>
      <c r="CH20" s="572">
        <f t="shared" si="108"/>
        <v>0</v>
      </c>
      <c r="CI20" s="572">
        <f t="shared" si="108"/>
        <v>0</v>
      </c>
      <c r="CJ20" s="572">
        <f t="shared" si="108"/>
        <v>0</v>
      </c>
      <c r="CK20" s="572">
        <f t="shared" si="108"/>
        <v>0</v>
      </c>
      <c r="CL20" s="572">
        <f t="shared" si="108"/>
        <v>4</v>
      </c>
      <c r="CM20" s="586">
        <f>SUM(ROUND((AU20/CD20),2))</f>
        <v>-0.16</v>
      </c>
      <c r="CN20" s="586">
        <f t="shared" si="109"/>
        <v>-0.32</v>
      </c>
      <c r="CO20" s="583">
        <f t="shared" si="110"/>
        <v>0</v>
      </c>
      <c r="CP20" s="572">
        <f t="shared" si="110"/>
        <v>200</v>
      </c>
      <c r="CQ20" s="96"/>
      <c r="CR20" s="590">
        <v>4.2300000000000004</v>
      </c>
      <c r="CS20" s="572">
        <f t="shared" si="111"/>
        <v>0</v>
      </c>
      <c r="CT20" s="572">
        <f t="shared" si="111"/>
        <v>0</v>
      </c>
      <c r="CU20" s="572">
        <f t="shared" si="111"/>
        <v>0</v>
      </c>
      <c r="CV20" s="572">
        <f t="shared" si="111"/>
        <v>0</v>
      </c>
      <c r="CW20" s="572">
        <f t="shared" si="111"/>
        <v>0</v>
      </c>
      <c r="CX20" s="572">
        <f t="shared" si="111"/>
        <v>0</v>
      </c>
      <c r="CY20" s="572">
        <f t="shared" si="111"/>
        <v>0</v>
      </c>
      <c r="CZ20" s="572">
        <f t="shared" si="111"/>
        <v>3.5</v>
      </c>
      <c r="DA20" s="586">
        <f>SUM(ROUND((AU20/CR20),2))</f>
        <v>-0.13</v>
      </c>
      <c r="DB20" s="586">
        <f t="shared" si="112"/>
        <v>-0.26</v>
      </c>
      <c r="DC20" s="583">
        <f t="shared" si="113"/>
        <v>0</v>
      </c>
      <c r="DD20" s="572">
        <f t="shared" si="113"/>
        <v>175</v>
      </c>
      <c r="DE20" s="96"/>
      <c r="DF20" s="590">
        <v>5.2</v>
      </c>
      <c r="DG20" s="572">
        <f t="shared" si="114"/>
        <v>0</v>
      </c>
      <c r="DH20" s="572">
        <f t="shared" si="114"/>
        <v>0</v>
      </c>
      <c r="DI20" s="572">
        <f t="shared" si="114"/>
        <v>0</v>
      </c>
      <c r="DJ20" s="572">
        <f t="shared" si="114"/>
        <v>0</v>
      </c>
      <c r="DK20" s="572">
        <f t="shared" si="114"/>
        <v>0</v>
      </c>
      <c r="DL20" s="572">
        <f t="shared" si="114"/>
        <v>0</v>
      </c>
      <c r="DM20" s="572">
        <f t="shared" si="114"/>
        <v>0</v>
      </c>
      <c r="DN20" s="572">
        <f t="shared" si="114"/>
        <v>3</v>
      </c>
      <c r="DO20" s="586">
        <f>SUM(ROUND((AU20/DF20),2))</f>
        <v>-0.11</v>
      </c>
      <c r="DP20" s="586">
        <f t="shared" si="115"/>
        <v>-0.21</v>
      </c>
      <c r="DQ20" s="577">
        <f t="shared" si="116"/>
        <v>0</v>
      </c>
      <c r="DR20" s="96">
        <f t="shared" si="116"/>
        <v>150</v>
      </c>
      <c r="DS20" s="96"/>
      <c r="DT20" s="96" t="e">
        <f t="shared" si="87"/>
        <v>#VALUE!</v>
      </c>
      <c r="DU20" s="96" t="e">
        <f t="shared" si="88"/>
        <v>#VALUE!</v>
      </c>
      <c r="DV20" s="96" t="e">
        <f t="shared" si="89"/>
        <v>#VALUE!</v>
      </c>
      <c r="DW20" s="96" t="e">
        <f t="shared" si="90"/>
        <v>#VALUE!</v>
      </c>
      <c r="DX20" s="96" t="e">
        <f t="shared" si="91"/>
        <v>#VALUE!</v>
      </c>
      <c r="DY20" s="96" t="e">
        <f t="shared" si="92"/>
        <v>#VALUE!</v>
      </c>
      <c r="DZ20" s="96" t="e">
        <f t="shared" si="93"/>
        <v>#VALUE!</v>
      </c>
      <c r="EA20" s="96" t="e">
        <f t="shared" si="94"/>
        <v>#VALUE!</v>
      </c>
      <c r="EB20" s="96" t="e">
        <f t="shared" si="95"/>
        <v>#VALUE!</v>
      </c>
      <c r="EC20" s="96" t="e">
        <f t="shared" si="96"/>
        <v>#VALUE!</v>
      </c>
      <c r="ED20" s="96" t="e">
        <f t="shared" si="97"/>
        <v>#VALUE!</v>
      </c>
      <c r="EE20" s="96" t="e">
        <f t="shared" si="98"/>
        <v>#VALUE!</v>
      </c>
    </row>
    <row r="21" spans="1:135">
      <c r="C21" s="1752">
        <v>116</v>
      </c>
      <c r="D21" s="1115" t="s">
        <v>1075</v>
      </c>
      <c r="E21" s="319">
        <f t="shared" si="11"/>
        <v>25</v>
      </c>
      <c r="F21" s="319">
        <f t="shared" si="12"/>
        <v>50</v>
      </c>
      <c r="G21" s="319">
        <f t="shared" si="13"/>
        <v>15</v>
      </c>
      <c r="H21" s="320">
        <f t="shared" si="99"/>
        <v>0</v>
      </c>
      <c r="I21" s="319">
        <f t="shared" si="14"/>
        <v>200</v>
      </c>
      <c r="J21" s="319">
        <f t="shared" si="15"/>
        <v>1250</v>
      </c>
      <c r="K21" s="319"/>
      <c r="L21" s="319"/>
      <c r="M21" s="319">
        <f t="shared" si="18"/>
        <v>105.56</v>
      </c>
      <c r="N21" s="319">
        <f>IF((AL21&lt;10),SUM((AD21+(ROUNDDOWN((AL21*AU21),2)))),SUM((AD21+(ROUNDDOWN(((9*AU21)+EB21),2)))))</f>
        <v>8.56</v>
      </c>
      <c r="O21" s="319">
        <f t="shared" si="20"/>
        <v>18.88</v>
      </c>
      <c r="P21" s="319">
        <f t="shared" si="21"/>
        <v>75</v>
      </c>
      <c r="Q21" s="1637">
        <f t="shared" si="100"/>
        <v>2777.7799999999997</v>
      </c>
      <c r="R21" s="1637">
        <f t="shared" si="22"/>
        <v>1</v>
      </c>
      <c r="S21" s="1637">
        <f t="shared" si="23"/>
        <v>1</v>
      </c>
      <c r="T21" s="190"/>
      <c r="U21" s="568">
        <v>25</v>
      </c>
      <c r="V21" s="563">
        <v>50</v>
      </c>
      <c r="W21" s="563">
        <v>15</v>
      </c>
      <c r="X21" s="563">
        <v>0</v>
      </c>
      <c r="Y21" s="563">
        <v>200</v>
      </c>
      <c r="Z21" s="563">
        <v>1250</v>
      </c>
      <c r="AA21" s="563" t="s">
        <v>93</v>
      </c>
      <c r="AB21" s="563" t="s">
        <v>93</v>
      </c>
      <c r="AC21" s="563">
        <v>100</v>
      </c>
      <c r="AD21" s="563">
        <v>9</v>
      </c>
      <c r="AE21" s="563">
        <v>20</v>
      </c>
      <c r="AF21" s="563">
        <v>75</v>
      </c>
      <c r="AG21" s="850">
        <v>2500</v>
      </c>
      <c r="AH21" s="563">
        <v>1</v>
      </c>
      <c r="AI21" s="1537">
        <v>1</v>
      </c>
      <c r="AJ21" s="96">
        <v>12</v>
      </c>
      <c r="AK21" s="96"/>
      <c r="AL21" s="576">
        <f t="shared" si="101"/>
        <v>1</v>
      </c>
      <c r="AM21" s="572"/>
      <c r="AN21" s="572"/>
      <c r="AO21" s="572"/>
      <c r="AP21" s="572"/>
      <c r="AQ21" s="572"/>
      <c r="AR21" s="572"/>
      <c r="AS21" s="572"/>
      <c r="AT21" s="572">
        <f>SUM((AC21/18))</f>
        <v>5.5555555555555554</v>
      </c>
      <c r="AU21" s="572">
        <f>SUM((-4/9))</f>
        <v>-0.44444444444444442</v>
      </c>
      <c r="AV21" s="572">
        <f>SUM((-AE21/18))</f>
        <v>-1.1111111111111112</v>
      </c>
      <c r="AW21" s="583"/>
      <c r="AX21" s="572">
        <f t="shared" si="26"/>
        <v>277.77777777777777</v>
      </c>
      <c r="AY21" s="572"/>
      <c r="AZ21" s="572"/>
      <c r="BA21" s="96"/>
      <c r="BB21" s="590">
        <v>2.33</v>
      </c>
      <c r="BC21" s="572">
        <f t="shared" si="102"/>
        <v>0</v>
      </c>
      <c r="BD21" s="572">
        <f t="shared" si="102"/>
        <v>0</v>
      </c>
      <c r="BE21" s="572">
        <f t="shared" si="102"/>
        <v>0</v>
      </c>
      <c r="BF21" s="572">
        <f t="shared" si="102"/>
        <v>0</v>
      </c>
      <c r="BG21" s="572">
        <f t="shared" si="102"/>
        <v>0</v>
      </c>
      <c r="BH21" s="572">
        <f t="shared" si="102"/>
        <v>0</v>
      </c>
      <c r="BI21" s="572">
        <f t="shared" si="102"/>
        <v>0</v>
      </c>
      <c r="BJ21" s="572">
        <f t="shared" si="102"/>
        <v>5</v>
      </c>
      <c r="BK21" s="586">
        <f>SUM(ROUND((AU20/BB21),2))</f>
        <v>-0.24</v>
      </c>
      <c r="BL21" s="586">
        <f t="shared" si="103"/>
        <v>-0.48</v>
      </c>
      <c r="BM21" s="583">
        <f t="shared" si="104"/>
        <v>0</v>
      </c>
      <c r="BN21" s="572">
        <f t="shared" si="104"/>
        <v>250</v>
      </c>
      <c r="BO21" s="96"/>
      <c r="BP21" s="590">
        <v>2.84</v>
      </c>
      <c r="BQ21" s="572">
        <f t="shared" si="105"/>
        <v>0</v>
      </c>
      <c r="BR21" s="572">
        <f t="shared" si="105"/>
        <v>0</v>
      </c>
      <c r="BS21" s="572">
        <f t="shared" si="105"/>
        <v>0</v>
      </c>
      <c r="BT21" s="572">
        <f t="shared" si="105"/>
        <v>0</v>
      </c>
      <c r="BU21" s="572">
        <f t="shared" si="105"/>
        <v>0</v>
      </c>
      <c r="BV21" s="572">
        <f t="shared" si="105"/>
        <v>0</v>
      </c>
      <c r="BW21" s="572">
        <f t="shared" si="105"/>
        <v>0</v>
      </c>
      <c r="BX21" s="572">
        <f t="shared" si="105"/>
        <v>4.5</v>
      </c>
      <c r="BY21" s="586">
        <f>SUM(ROUND((AU20/BP21),2))</f>
        <v>-0.2</v>
      </c>
      <c r="BZ21" s="586">
        <f t="shared" si="106"/>
        <v>-0.39</v>
      </c>
      <c r="CA21" s="583">
        <f t="shared" si="107"/>
        <v>0</v>
      </c>
      <c r="CB21" s="572">
        <f t="shared" si="107"/>
        <v>225</v>
      </c>
      <c r="CC21" s="96"/>
      <c r="CD21" s="590">
        <v>3.45</v>
      </c>
      <c r="CE21" s="572">
        <f t="shared" si="108"/>
        <v>0</v>
      </c>
      <c r="CF21" s="572">
        <f t="shared" si="108"/>
        <v>0</v>
      </c>
      <c r="CG21" s="572">
        <f t="shared" si="108"/>
        <v>0</v>
      </c>
      <c r="CH21" s="572">
        <f t="shared" si="108"/>
        <v>0</v>
      </c>
      <c r="CI21" s="572">
        <f t="shared" si="108"/>
        <v>0</v>
      </c>
      <c r="CJ21" s="572">
        <f t="shared" si="108"/>
        <v>0</v>
      </c>
      <c r="CK21" s="572">
        <f t="shared" si="108"/>
        <v>0</v>
      </c>
      <c r="CL21" s="572">
        <f t="shared" si="108"/>
        <v>4</v>
      </c>
      <c r="CM21" s="586">
        <f>SUM(ROUND((AU20/CD21),2))</f>
        <v>-0.16</v>
      </c>
      <c r="CN21" s="586">
        <f t="shared" si="109"/>
        <v>-0.32</v>
      </c>
      <c r="CO21" s="583">
        <f t="shared" si="110"/>
        <v>0</v>
      </c>
      <c r="CP21" s="572">
        <f t="shared" si="110"/>
        <v>200</v>
      </c>
      <c r="CQ21" s="96"/>
      <c r="CR21" s="590">
        <v>4.2300000000000004</v>
      </c>
      <c r="CS21" s="572">
        <f t="shared" si="111"/>
        <v>0</v>
      </c>
      <c r="CT21" s="572">
        <f t="shared" si="111"/>
        <v>0</v>
      </c>
      <c r="CU21" s="572">
        <f t="shared" si="111"/>
        <v>0</v>
      </c>
      <c r="CV21" s="572">
        <f t="shared" si="111"/>
        <v>0</v>
      </c>
      <c r="CW21" s="572">
        <f t="shared" si="111"/>
        <v>0</v>
      </c>
      <c r="CX21" s="572">
        <f t="shared" si="111"/>
        <v>0</v>
      </c>
      <c r="CY21" s="572">
        <f t="shared" si="111"/>
        <v>0</v>
      </c>
      <c r="CZ21" s="572">
        <f t="shared" si="111"/>
        <v>3.5</v>
      </c>
      <c r="DA21" s="586">
        <f>SUM(ROUND((AU20/CR21),2))</f>
        <v>-0.13</v>
      </c>
      <c r="DB21" s="586">
        <f t="shared" si="112"/>
        <v>-0.26</v>
      </c>
      <c r="DC21" s="583">
        <f t="shared" si="113"/>
        <v>0</v>
      </c>
      <c r="DD21" s="572">
        <f t="shared" si="113"/>
        <v>175</v>
      </c>
      <c r="DE21" s="96"/>
      <c r="DF21" s="590">
        <v>5.2</v>
      </c>
      <c r="DG21" s="572">
        <f t="shared" si="114"/>
        <v>0</v>
      </c>
      <c r="DH21" s="572">
        <f t="shared" si="114"/>
        <v>0</v>
      </c>
      <c r="DI21" s="572">
        <f t="shared" si="114"/>
        <v>0</v>
      </c>
      <c r="DJ21" s="572">
        <f t="shared" si="114"/>
        <v>0</v>
      </c>
      <c r="DK21" s="572">
        <f t="shared" si="114"/>
        <v>0</v>
      </c>
      <c r="DL21" s="572">
        <f t="shared" si="114"/>
        <v>0</v>
      </c>
      <c r="DM21" s="572">
        <f t="shared" si="114"/>
        <v>0</v>
      </c>
      <c r="DN21" s="572">
        <f t="shared" si="114"/>
        <v>3</v>
      </c>
      <c r="DO21" s="586">
        <f>SUM(ROUND((AU20/DF21),2))</f>
        <v>-0.11</v>
      </c>
      <c r="DP21" s="586">
        <f t="shared" si="115"/>
        <v>-0.21</v>
      </c>
      <c r="DQ21" s="577">
        <f t="shared" si="116"/>
        <v>0</v>
      </c>
      <c r="DR21" s="96">
        <f t="shared" si="116"/>
        <v>150</v>
      </c>
      <c r="DS21" s="96"/>
      <c r="DT21" s="96" t="e">
        <f t="shared" si="87"/>
        <v>#VALUE!</v>
      </c>
      <c r="DU21" s="96" t="e">
        <f t="shared" si="88"/>
        <v>#VALUE!</v>
      </c>
      <c r="DV21" s="96" t="e">
        <f t="shared" si="89"/>
        <v>#VALUE!</v>
      </c>
      <c r="DW21" s="96" t="e">
        <f t="shared" si="90"/>
        <v>#VALUE!</v>
      </c>
      <c r="DX21" s="96" t="e">
        <f t="shared" si="91"/>
        <v>#VALUE!</v>
      </c>
      <c r="DY21" s="96" t="e">
        <f t="shared" si="92"/>
        <v>#VALUE!</v>
      </c>
      <c r="DZ21" s="96" t="e">
        <f t="shared" si="93"/>
        <v>#VALUE!</v>
      </c>
      <c r="EA21" s="96" t="e">
        <f t="shared" si="94"/>
        <v>#VALUE!</v>
      </c>
      <c r="EB21" s="96" t="e">
        <f t="shared" si="95"/>
        <v>#VALUE!</v>
      </c>
      <c r="EC21" s="96" t="e">
        <f t="shared" si="96"/>
        <v>#VALUE!</v>
      </c>
      <c r="ED21" s="96" t="e">
        <f t="shared" si="97"/>
        <v>#VALUE!</v>
      </c>
      <c r="EE21" s="96" t="e">
        <f t="shared" si="98"/>
        <v>#VALUE!</v>
      </c>
    </row>
    <row r="22" spans="1:135">
      <c r="C22" s="1752">
        <v>117</v>
      </c>
      <c r="D22" s="1115" t="s">
        <v>1076</v>
      </c>
      <c r="E22" s="319">
        <f t="shared" si="11"/>
        <v>25</v>
      </c>
      <c r="F22" s="319">
        <f t="shared" si="12"/>
        <v>50</v>
      </c>
      <c r="G22" s="319">
        <f t="shared" si="13"/>
        <v>15</v>
      </c>
      <c r="H22" s="320">
        <f t="shared" si="99"/>
        <v>0</v>
      </c>
      <c r="I22" s="319">
        <f t="shared" si="14"/>
        <v>200</v>
      </c>
      <c r="J22" s="319">
        <f t="shared" si="15"/>
        <v>1286.1199999999999</v>
      </c>
      <c r="K22" s="319"/>
      <c r="L22" s="319"/>
      <c r="M22" s="319">
        <f t="shared" si="18"/>
        <v>100</v>
      </c>
      <c r="N22" s="319">
        <f>IF((AL22&lt;10),SUM((AD22+(ROUNDUP((AL22*AU22),2)))),SUM((AD22+(ROUNDUP(((9*AU22)+EB22),2)))))</f>
        <v>11.33</v>
      </c>
      <c r="O22" s="319">
        <f t="shared" si="20"/>
        <v>18.88</v>
      </c>
      <c r="P22" s="319">
        <f t="shared" si="21"/>
        <v>75</v>
      </c>
      <c r="Q22" s="1637">
        <f t="shared" si="100"/>
        <v>2777.7799999999997</v>
      </c>
      <c r="R22" s="1637">
        <f t="shared" si="22"/>
        <v>1</v>
      </c>
      <c r="S22" s="1637">
        <f t="shared" si="23"/>
        <v>1</v>
      </c>
      <c r="T22" s="190"/>
      <c r="U22" s="568">
        <v>25</v>
      </c>
      <c r="V22" s="563">
        <v>50</v>
      </c>
      <c r="W22" s="563">
        <v>15</v>
      </c>
      <c r="X22" s="563">
        <v>0</v>
      </c>
      <c r="Y22" s="563">
        <v>200</v>
      </c>
      <c r="Z22" s="563">
        <v>1250</v>
      </c>
      <c r="AA22" s="563" t="s">
        <v>93</v>
      </c>
      <c r="AB22" s="563" t="s">
        <v>93</v>
      </c>
      <c r="AC22" s="563">
        <v>100</v>
      </c>
      <c r="AD22" s="563">
        <v>12</v>
      </c>
      <c r="AE22" s="563">
        <v>20</v>
      </c>
      <c r="AF22" s="563">
        <v>75</v>
      </c>
      <c r="AG22" s="850">
        <v>2500</v>
      </c>
      <c r="AH22" s="563">
        <v>1</v>
      </c>
      <c r="AI22" s="1537">
        <v>1</v>
      </c>
      <c r="AJ22" s="96">
        <v>13</v>
      </c>
      <c r="AK22" s="96"/>
      <c r="AL22" s="576">
        <f t="shared" si="101"/>
        <v>1</v>
      </c>
      <c r="AM22" s="572"/>
      <c r="AN22" s="572"/>
      <c r="AO22" s="572"/>
      <c r="AP22" s="572"/>
      <c r="AQ22" s="572">
        <f>SUM((325/9))</f>
        <v>36.111111111111114</v>
      </c>
      <c r="AR22" s="572"/>
      <c r="AS22" s="572"/>
      <c r="AT22" s="572"/>
      <c r="AU22" s="572">
        <f>SUM((-AD22/18))</f>
        <v>-0.66666666666666663</v>
      </c>
      <c r="AV22" s="572">
        <f>SUM((-AE22/18))</f>
        <v>-1.1111111111111112</v>
      </c>
      <c r="AW22" s="583"/>
      <c r="AX22" s="572">
        <f t="shared" si="26"/>
        <v>277.77777777777777</v>
      </c>
      <c r="AY22" s="572"/>
      <c r="AZ22" s="572"/>
      <c r="BA22" s="96"/>
      <c r="BB22" s="590">
        <v>2.33</v>
      </c>
      <c r="BC22" s="572">
        <f t="shared" si="102"/>
        <v>0</v>
      </c>
      <c r="BD22" s="572">
        <f t="shared" si="102"/>
        <v>0</v>
      </c>
      <c r="BE22" s="572">
        <f t="shared" si="102"/>
        <v>0</v>
      </c>
      <c r="BF22" s="572">
        <f t="shared" si="102"/>
        <v>0</v>
      </c>
      <c r="BG22" s="572">
        <f t="shared" si="102"/>
        <v>32.500000000000007</v>
      </c>
      <c r="BH22" s="572">
        <f t="shared" si="102"/>
        <v>0</v>
      </c>
      <c r="BI22" s="572">
        <f t="shared" si="102"/>
        <v>0</v>
      </c>
      <c r="BJ22" s="572">
        <f t="shared" si="102"/>
        <v>0</v>
      </c>
      <c r="BK22" s="586">
        <f>SUM(ROUND((AU22/BB22),2))</f>
        <v>-0.28999999999999998</v>
      </c>
      <c r="BL22" s="586">
        <f t="shared" si="103"/>
        <v>-0.48</v>
      </c>
      <c r="BM22" s="583">
        <f t="shared" si="104"/>
        <v>0</v>
      </c>
      <c r="BN22" s="572">
        <f t="shared" si="104"/>
        <v>250</v>
      </c>
      <c r="BO22" s="96"/>
      <c r="BP22" s="590">
        <v>2.84</v>
      </c>
      <c r="BQ22" s="572">
        <f t="shared" si="105"/>
        <v>0</v>
      </c>
      <c r="BR22" s="572">
        <f t="shared" si="105"/>
        <v>0</v>
      </c>
      <c r="BS22" s="572">
        <f t="shared" si="105"/>
        <v>0</v>
      </c>
      <c r="BT22" s="572">
        <f t="shared" si="105"/>
        <v>0</v>
      </c>
      <c r="BU22" s="572">
        <f t="shared" si="105"/>
        <v>29.250000000000007</v>
      </c>
      <c r="BV22" s="572">
        <f t="shared" si="105"/>
        <v>0</v>
      </c>
      <c r="BW22" s="572">
        <f t="shared" si="105"/>
        <v>0</v>
      </c>
      <c r="BX22" s="572">
        <f t="shared" si="105"/>
        <v>0</v>
      </c>
      <c r="BY22" s="586">
        <f>SUM(ROUND((AU22/BP22),2))</f>
        <v>-0.23</v>
      </c>
      <c r="BZ22" s="586">
        <f t="shared" si="106"/>
        <v>-0.39</v>
      </c>
      <c r="CA22" s="583">
        <f t="shared" si="107"/>
        <v>0</v>
      </c>
      <c r="CB22" s="572">
        <f t="shared" si="107"/>
        <v>225</v>
      </c>
      <c r="CC22" s="96"/>
      <c r="CD22" s="590">
        <v>3.45</v>
      </c>
      <c r="CE22" s="572">
        <f t="shared" si="108"/>
        <v>0</v>
      </c>
      <c r="CF22" s="572">
        <f t="shared" si="108"/>
        <v>0</v>
      </c>
      <c r="CG22" s="572">
        <f t="shared" si="108"/>
        <v>0</v>
      </c>
      <c r="CH22" s="572">
        <f t="shared" si="108"/>
        <v>0</v>
      </c>
      <c r="CI22" s="572">
        <f t="shared" si="108"/>
        <v>26.000000000000007</v>
      </c>
      <c r="CJ22" s="572">
        <f t="shared" si="108"/>
        <v>0</v>
      </c>
      <c r="CK22" s="572">
        <f t="shared" si="108"/>
        <v>0</v>
      </c>
      <c r="CL22" s="572">
        <f t="shared" si="108"/>
        <v>0</v>
      </c>
      <c r="CM22" s="586">
        <f>SUM(ROUND((AU22/CD22),2))</f>
        <v>-0.19</v>
      </c>
      <c r="CN22" s="586">
        <f t="shared" si="109"/>
        <v>-0.32</v>
      </c>
      <c r="CO22" s="583">
        <f t="shared" si="110"/>
        <v>0</v>
      </c>
      <c r="CP22" s="572">
        <f t="shared" si="110"/>
        <v>200</v>
      </c>
      <c r="CQ22" s="96"/>
      <c r="CR22" s="590">
        <v>4.2300000000000004</v>
      </c>
      <c r="CS22" s="572">
        <f t="shared" si="111"/>
        <v>0</v>
      </c>
      <c r="CT22" s="572">
        <f t="shared" si="111"/>
        <v>0</v>
      </c>
      <c r="CU22" s="572">
        <f t="shared" si="111"/>
        <v>0</v>
      </c>
      <c r="CV22" s="572">
        <f t="shared" si="111"/>
        <v>0</v>
      </c>
      <c r="CW22" s="572">
        <f t="shared" si="111"/>
        <v>22.750000000000004</v>
      </c>
      <c r="CX22" s="572">
        <f t="shared" si="111"/>
        <v>0</v>
      </c>
      <c r="CY22" s="572">
        <f t="shared" si="111"/>
        <v>0</v>
      </c>
      <c r="CZ22" s="572">
        <f t="shared" si="111"/>
        <v>0</v>
      </c>
      <c r="DA22" s="586">
        <f>SUM(ROUND((AU22/CR22),2))</f>
        <v>-0.16</v>
      </c>
      <c r="DB22" s="586">
        <f t="shared" si="112"/>
        <v>-0.26</v>
      </c>
      <c r="DC22" s="583">
        <f t="shared" si="113"/>
        <v>0</v>
      </c>
      <c r="DD22" s="572">
        <f t="shared" si="113"/>
        <v>175</v>
      </c>
      <c r="DE22" s="96"/>
      <c r="DF22" s="590">
        <v>5.2</v>
      </c>
      <c r="DG22" s="572">
        <f t="shared" si="114"/>
        <v>0</v>
      </c>
      <c r="DH22" s="572">
        <f t="shared" si="114"/>
        <v>0</v>
      </c>
      <c r="DI22" s="572">
        <f t="shared" si="114"/>
        <v>0</v>
      </c>
      <c r="DJ22" s="572">
        <f t="shared" si="114"/>
        <v>0</v>
      </c>
      <c r="DK22" s="572">
        <f t="shared" si="114"/>
        <v>19.500000000000004</v>
      </c>
      <c r="DL22" s="572">
        <f t="shared" si="114"/>
        <v>0</v>
      </c>
      <c r="DM22" s="572">
        <f t="shared" si="114"/>
        <v>0</v>
      </c>
      <c r="DN22" s="572">
        <f t="shared" si="114"/>
        <v>0</v>
      </c>
      <c r="DO22" s="586">
        <f>SUM(ROUND((AU22/DF22),2))</f>
        <v>-0.13</v>
      </c>
      <c r="DP22" s="586">
        <f t="shared" si="115"/>
        <v>-0.21</v>
      </c>
      <c r="DQ22" s="577">
        <f t="shared" si="116"/>
        <v>0</v>
      </c>
      <c r="DR22" s="96">
        <f t="shared" si="116"/>
        <v>150</v>
      </c>
      <c r="DS22" s="96"/>
      <c r="DT22" s="96" t="e">
        <f t="shared" si="87"/>
        <v>#VALUE!</v>
      </c>
      <c r="DU22" s="96" t="e">
        <f t="shared" si="88"/>
        <v>#VALUE!</v>
      </c>
      <c r="DV22" s="96" t="e">
        <f t="shared" si="89"/>
        <v>#VALUE!</v>
      </c>
      <c r="DW22" s="96" t="e">
        <f t="shared" si="90"/>
        <v>#VALUE!</v>
      </c>
      <c r="DX22" s="96" t="e">
        <f t="shared" si="91"/>
        <v>#VALUE!</v>
      </c>
      <c r="DY22" s="96" t="e">
        <f t="shared" si="92"/>
        <v>#VALUE!</v>
      </c>
      <c r="DZ22" s="96" t="e">
        <f t="shared" si="93"/>
        <v>#VALUE!</v>
      </c>
      <c r="EA22" s="96" t="e">
        <f t="shared" si="94"/>
        <v>#VALUE!</v>
      </c>
      <c r="EB22" s="96" t="e">
        <f t="shared" si="95"/>
        <v>#VALUE!</v>
      </c>
      <c r="EC22" s="96" t="e">
        <f t="shared" si="96"/>
        <v>#VALUE!</v>
      </c>
      <c r="ED22" s="96" t="e">
        <f t="shared" si="97"/>
        <v>#VALUE!</v>
      </c>
      <c r="EE22" s="96" t="e">
        <f t="shared" si="98"/>
        <v>#VALUE!</v>
      </c>
    </row>
    <row r="23" spans="1:135">
      <c r="C23" s="1752">
        <v>118</v>
      </c>
      <c r="D23" s="1115" t="s">
        <v>1077</v>
      </c>
      <c r="E23" s="319">
        <f t="shared" si="11"/>
        <v>25</v>
      </c>
      <c r="F23" s="319">
        <f t="shared" si="12"/>
        <v>50</v>
      </c>
      <c r="G23" s="319">
        <f t="shared" si="13"/>
        <v>15</v>
      </c>
      <c r="H23" s="320">
        <f t="shared" si="99"/>
        <v>0</v>
      </c>
      <c r="I23" s="319">
        <f t="shared" si="14"/>
        <v>200</v>
      </c>
      <c r="J23" s="319">
        <f t="shared" si="15"/>
        <v>1250</v>
      </c>
      <c r="K23" s="319"/>
      <c r="L23" s="319"/>
      <c r="M23" s="319">
        <f t="shared" si="18"/>
        <v>105.56</v>
      </c>
      <c r="N23" s="319">
        <f>IF((AL23&lt;10),SUM((AD23+(ROUNDUP((AL23*AU23),2)))),SUM((AD23+(ROUNDUP(((9*AU23)+EB23),2)))))</f>
        <v>11.33</v>
      </c>
      <c r="O23" s="319">
        <f t="shared" si="20"/>
        <v>18.88</v>
      </c>
      <c r="P23" s="1121">
        <f t="shared" si="21"/>
        <v>75</v>
      </c>
      <c r="Q23" s="1638">
        <f t="shared" si="100"/>
        <v>2777.7799999999997</v>
      </c>
      <c r="R23" s="1637">
        <f t="shared" si="22"/>
        <v>1</v>
      </c>
      <c r="S23" s="1637">
        <f t="shared" si="23"/>
        <v>1</v>
      </c>
      <c r="T23" s="194"/>
      <c r="U23" s="568">
        <v>25</v>
      </c>
      <c r="V23" s="563">
        <v>50</v>
      </c>
      <c r="W23" s="563">
        <v>15</v>
      </c>
      <c r="X23" s="563">
        <v>0</v>
      </c>
      <c r="Y23" s="563">
        <v>200</v>
      </c>
      <c r="Z23" s="563">
        <v>1250</v>
      </c>
      <c r="AA23" s="563" t="s">
        <v>93</v>
      </c>
      <c r="AB23" s="563" t="s">
        <v>93</v>
      </c>
      <c r="AC23" s="563">
        <v>100</v>
      </c>
      <c r="AD23" s="563">
        <v>12</v>
      </c>
      <c r="AE23" s="563">
        <v>20</v>
      </c>
      <c r="AF23" s="563">
        <v>75</v>
      </c>
      <c r="AG23" s="850">
        <v>2500</v>
      </c>
      <c r="AH23" s="563">
        <v>1</v>
      </c>
      <c r="AI23" s="1537">
        <v>1</v>
      </c>
      <c r="AJ23" s="96">
        <v>14</v>
      </c>
      <c r="AK23" s="96"/>
      <c r="AL23" s="576">
        <f t="shared" si="101"/>
        <v>1</v>
      </c>
      <c r="AM23" s="572"/>
      <c r="AN23" s="572"/>
      <c r="AO23" s="572"/>
      <c r="AP23" s="572"/>
      <c r="AQ23" s="572"/>
      <c r="AR23" s="572"/>
      <c r="AS23" s="572"/>
      <c r="AT23" s="572">
        <f>SUM((AC23/18))</f>
        <v>5.5555555555555554</v>
      </c>
      <c r="AU23" s="572">
        <f>SUM((-AD23/18))</f>
        <v>-0.66666666666666663</v>
      </c>
      <c r="AV23" s="572">
        <f>SUM((-AE23/18))</f>
        <v>-1.1111111111111112</v>
      </c>
      <c r="AW23" s="583"/>
      <c r="AX23" s="572">
        <f t="shared" si="26"/>
        <v>277.77777777777777</v>
      </c>
      <c r="AY23" s="572"/>
      <c r="AZ23" s="572"/>
      <c r="BA23" s="96"/>
      <c r="BB23" s="590">
        <v>2.33</v>
      </c>
      <c r="BC23" s="572">
        <f t="shared" si="102"/>
        <v>0</v>
      </c>
      <c r="BD23" s="572">
        <f t="shared" si="102"/>
        <v>0</v>
      </c>
      <c r="BE23" s="572">
        <f t="shared" si="102"/>
        <v>0</v>
      </c>
      <c r="BF23" s="572">
        <f t="shared" si="102"/>
        <v>0</v>
      </c>
      <c r="BG23" s="572">
        <f t="shared" si="102"/>
        <v>0</v>
      </c>
      <c r="BH23" s="572">
        <f t="shared" si="102"/>
        <v>0</v>
      </c>
      <c r="BI23" s="572">
        <f t="shared" si="102"/>
        <v>0</v>
      </c>
      <c r="BJ23" s="572">
        <f t="shared" si="102"/>
        <v>5</v>
      </c>
      <c r="BK23" s="586">
        <f>SUM(ROUND((AU23/BB23),2))</f>
        <v>-0.28999999999999998</v>
      </c>
      <c r="BL23" s="586">
        <f t="shared" si="103"/>
        <v>-0.48</v>
      </c>
      <c r="BM23" s="596">
        <f t="shared" si="104"/>
        <v>0</v>
      </c>
      <c r="BN23" s="572">
        <f t="shared" si="104"/>
        <v>250</v>
      </c>
      <c r="BO23" s="96"/>
      <c r="BP23" s="590">
        <v>2.84</v>
      </c>
      <c r="BQ23" s="572">
        <f t="shared" si="105"/>
        <v>0</v>
      </c>
      <c r="BR23" s="572">
        <f t="shared" si="105"/>
        <v>0</v>
      </c>
      <c r="BS23" s="572">
        <f t="shared" si="105"/>
        <v>0</v>
      </c>
      <c r="BT23" s="572">
        <f t="shared" si="105"/>
        <v>0</v>
      </c>
      <c r="BU23" s="572">
        <f t="shared" si="105"/>
        <v>0</v>
      </c>
      <c r="BV23" s="572">
        <f t="shared" si="105"/>
        <v>0</v>
      </c>
      <c r="BW23" s="572">
        <f t="shared" si="105"/>
        <v>0</v>
      </c>
      <c r="BX23" s="572">
        <f t="shared" si="105"/>
        <v>4.5</v>
      </c>
      <c r="BY23" s="586">
        <f>SUM(ROUND((AU23/BP23),2))</f>
        <v>-0.23</v>
      </c>
      <c r="BZ23" s="586">
        <f t="shared" si="106"/>
        <v>-0.39</v>
      </c>
      <c r="CA23" s="583">
        <f t="shared" si="107"/>
        <v>0</v>
      </c>
      <c r="CB23" s="572">
        <f t="shared" si="107"/>
        <v>225</v>
      </c>
      <c r="CC23" s="96"/>
      <c r="CD23" s="590">
        <v>3.45</v>
      </c>
      <c r="CE23" s="572">
        <f t="shared" si="108"/>
        <v>0</v>
      </c>
      <c r="CF23" s="572">
        <f t="shared" si="108"/>
        <v>0</v>
      </c>
      <c r="CG23" s="572">
        <f t="shared" si="108"/>
        <v>0</v>
      </c>
      <c r="CH23" s="572">
        <f t="shared" si="108"/>
        <v>0</v>
      </c>
      <c r="CI23" s="572">
        <f t="shared" si="108"/>
        <v>0</v>
      </c>
      <c r="CJ23" s="572">
        <f t="shared" si="108"/>
        <v>0</v>
      </c>
      <c r="CK23" s="572">
        <f t="shared" si="108"/>
        <v>0</v>
      </c>
      <c r="CL23" s="572">
        <f t="shared" si="108"/>
        <v>4</v>
      </c>
      <c r="CM23" s="586">
        <f>SUM(ROUND((AU23/CD23),2))</f>
        <v>-0.19</v>
      </c>
      <c r="CN23" s="586">
        <f t="shared" si="109"/>
        <v>-0.32</v>
      </c>
      <c r="CO23" s="583">
        <f t="shared" si="110"/>
        <v>0</v>
      </c>
      <c r="CP23" s="572">
        <f t="shared" si="110"/>
        <v>200</v>
      </c>
      <c r="CQ23" s="96"/>
      <c r="CR23" s="590">
        <v>4.2300000000000004</v>
      </c>
      <c r="CS23" s="572">
        <f t="shared" si="111"/>
        <v>0</v>
      </c>
      <c r="CT23" s="572">
        <f t="shared" si="111"/>
        <v>0</v>
      </c>
      <c r="CU23" s="572">
        <f t="shared" si="111"/>
        <v>0</v>
      </c>
      <c r="CV23" s="572">
        <f t="shared" si="111"/>
        <v>0</v>
      </c>
      <c r="CW23" s="572">
        <f t="shared" si="111"/>
        <v>0</v>
      </c>
      <c r="CX23" s="572">
        <f t="shared" si="111"/>
        <v>0</v>
      </c>
      <c r="CY23" s="572">
        <f t="shared" si="111"/>
        <v>0</v>
      </c>
      <c r="CZ23" s="572">
        <f t="shared" si="111"/>
        <v>3.5</v>
      </c>
      <c r="DA23" s="586">
        <f>SUM(ROUND((AU23/CR23),2))</f>
        <v>-0.16</v>
      </c>
      <c r="DB23" s="586">
        <f t="shared" si="112"/>
        <v>-0.26</v>
      </c>
      <c r="DC23" s="583">
        <f t="shared" si="113"/>
        <v>0</v>
      </c>
      <c r="DD23" s="572">
        <f t="shared" si="113"/>
        <v>175</v>
      </c>
      <c r="DE23" s="96"/>
      <c r="DF23" s="590">
        <v>5.2</v>
      </c>
      <c r="DG23" s="572">
        <f t="shared" si="114"/>
        <v>0</v>
      </c>
      <c r="DH23" s="572">
        <f t="shared" si="114"/>
        <v>0</v>
      </c>
      <c r="DI23" s="572">
        <f t="shared" si="114"/>
        <v>0</v>
      </c>
      <c r="DJ23" s="572">
        <f t="shared" si="114"/>
        <v>0</v>
      </c>
      <c r="DK23" s="572">
        <f t="shared" si="114"/>
        <v>0</v>
      </c>
      <c r="DL23" s="572">
        <f t="shared" si="114"/>
        <v>0</v>
      </c>
      <c r="DM23" s="572">
        <f t="shared" si="114"/>
        <v>0</v>
      </c>
      <c r="DN23" s="572">
        <f t="shared" si="114"/>
        <v>3</v>
      </c>
      <c r="DO23" s="586">
        <f>SUM(ROUND((AU23/DF23),2))</f>
        <v>-0.13</v>
      </c>
      <c r="DP23" s="586">
        <f t="shared" si="115"/>
        <v>-0.21</v>
      </c>
      <c r="DQ23" s="577">
        <f t="shared" si="116"/>
        <v>0</v>
      </c>
      <c r="DR23" s="96">
        <f t="shared" si="116"/>
        <v>150</v>
      </c>
      <c r="DS23" s="96"/>
      <c r="DT23" s="96" t="e">
        <f t="shared" si="87"/>
        <v>#VALUE!</v>
      </c>
      <c r="DU23" s="96" t="e">
        <f t="shared" si="88"/>
        <v>#VALUE!</v>
      </c>
      <c r="DV23" s="96" t="e">
        <f t="shared" si="89"/>
        <v>#VALUE!</v>
      </c>
      <c r="DW23" s="96" t="e">
        <f t="shared" si="90"/>
        <v>#VALUE!</v>
      </c>
      <c r="DX23" s="96" t="e">
        <f t="shared" si="91"/>
        <v>#VALUE!</v>
      </c>
      <c r="DY23" s="96" t="e">
        <f t="shared" si="92"/>
        <v>#VALUE!</v>
      </c>
      <c r="DZ23" s="96" t="e">
        <f t="shared" si="93"/>
        <v>#VALUE!</v>
      </c>
      <c r="EA23" s="96" t="e">
        <f t="shared" si="94"/>
        <v>#VALUE!</v>
      </c>
      <c r="EB23" s="96" t="e">
        <f t="shared" si="95"/>
        <v>#VALUE!</v>
      </c>
      <c r="EC23" s="96" t="e">
        <f t="shared" si="96"/>
        <v>#VALUE!</v>
      </c>
      <c r="ED23" s="96" t="e">
        <f t="shared" si="97"/>
        <v>#VALUE!</v>
      </c>
      <c r="EE23" s="96" t="e">
        <f t="shared" si="98"/>
        <v>#VALUE!</v>
      </c>
    </row>
    <row r="24" spans="1:135" s="368" customFormat="1">
      <c r="B24" s="173"/>
      <c r="C24" s="1752">
        <v>119</v>
      </c>
      <c r="D24" s="1115" t="s">
        <v>1119</v>
      </c>
      <c r="E24" s="319">
        <f t="shared" si="11"/>
        <v>500</v>
      </c>
      <c r="F24" s="319">
        <f t="shared" si="12"/>
        <v>900</v>
      </c>
      <c r="G24" s="319">
        <f t="shared" si="13"/>
        <v>35</v>
      </c>
      <c r="H24" s="320">
        <f t="shared" si="99"/>
        <v>0</v>
      </c>
      <c r="I24" s="319">
        <f t="shared" si="14"/>
        <v>600</v>
      </c>
      <c r="J24" s="319">
        <f t="shared" si="15"/>
        <v>1080</v>
      </c>
      <c r="K24" s="319"/>
      <c r="L24" s="319"/>
      <c r="M24" s="319">
        <f t="shared" si="18"/>
        <v>100</v>
      </c>
      <c r="N24" s="319">
        <f t="shared" ref="N24:N25" si="117">IF((AL24&lt;10),SUM((AD24+(ROUNDUP((AL24*AU24),2)))),SUM((AD24+(ROUNDUP(((9*AU24)+EB24),2)))))</f>
        <v>120</v>
      </c>
      <c r="O24" s="319">
        <f t="shared" ref="O24:O25" si="118">IF((AL24&lt;10),SUM((AE24+(ROUNDUP((AL24*AV24),2)))),SUM((AE24+(ROUNDUP(((9*AV24)+EC24),2)))))</f>
        <v>45</v>
      </c>
      <c r="P24" s="1121">
        <f t="shared" ref="P24:P25" si="119">AF24</f>
        <v>75</v>
      </c>
      <c r="Q24" s="1638">
        <f t="shared" ref="Q24:Q25" si="120">IF((AL24&lt;10),SUM((AG24+(ROUNDUP((AL24*AX24),2)))),SUM((AG24+(ROUNDUP(((9*AX24)+EE24),2)))))</f>
        <v>2500</v>
      </c>
      <c r="R24" s="1637">
        <f t="shared" si="22"/>
        <v>40</v>
      </c>
      <c r="S24" s="1637">
        <f t="shared" si="23"/>
        <v>60</v>
      </c>
      <c r="T24" s="194"/>
      <c r="U24" s="568">
        <v>500</v>
      </c>
      <c r="V24" s="563">
        <v>900</v>
      </c>
      <c r="W24" s="563">
        <v>35</v>
      </c>
      <c r="X24" s="563">
        <v>0</v>
      </c>
      <c r="Y24" s="563">
        <v>600</v>
      </c>
      <c r="Z24" s="563">
        <v>1080</v>
      </c>
      <c r="AA24" s="563" t="s">
        <v>93</v>
      </c>
      <c r="AB24" s="563" t="s">
        <v>93</v>
      </c>
      <c r="AC24" s="563">
        <v>100</v>
      </c>
      <c r="AD24" s="563">
        <v>120</v>
      </c>
      <c r="AE24" s="563">
        <v>45</v>
      </c>
      <c r="AF24" s="563">
        <v>75</v>
      </c>
      <c r="AG24" s="850">
        <v>2500</v>
      </c>
      <c r="AH24" s="563">
        <v>40</v>
      </c>
      <c r="AI24" s="563">
        <v>60</v>
      </c>
      <c r="AJ24" s="96"/>
      <c r="AK24" s="96"/>
      <c r="AL24" s="576"/>
      <c r="AM24" s="572"/>
      <c r="AN24" s="572"/>
      <c r="AO24" s="572"/>
      <c r="AP24" s="572"/>
      <c r="AQ24" s="572"/>
      <c r="AR24" s="572"/>
      <c r="AS24" s="572"/>
      <c r="AT24" s="572"/>
      <c r="AU24" s="572"/>
      <c r="AV24" s="572">
        <f>SUM((-AE24/18))</f>
        <v>-2.5</v>
      </c>
      <c r="AW24" s="583"/>
      <c r="AX24" s="572">
        <f t="shared" si="26"/>
        <v>277.77777777777777</v>
      </c>
      <c r="AY24" s="572"/>
      <c r="AZ24" s="572"/>
      <c r="BA24" s="96"/>
      <c r="BB24" s="590"/>
      <c r="BC24" s="572"/>
      <c r="BD24" s="572"/>
      <c r="BE24" s="572"/>
      <c r="BF24" s="572"/>
      <c r="BG24" s="572"/>
      <c r="BH24" s="572"/>
      <c r="BI24" s="572"/>
      <c r="BJ24" s="572"/>
      <c r="BK24" s="586"/>
      <c r="BL24" s="586"/>
      <c r="BM24" s="596"/>
      <c r="BN24" s="572">
        <f t="shared" si="104"/>
        <v>250</v>
      </c>
      <c r="BO24" s="96"/>
      <c r="BP24" s="590"/>
      <c r="BQ24" s="572"/>
      <c r="BR24" s="572"/>
      <c r="BS24" s="572"/>
      <c r="BT24" s="572"/>
      <c r="BU24" s="572"/>
      <c r="BV24" s="572"/>
      <c r="BW24" s="572"/>
      <c r="BX24" s="572"/>
      <c r="BY24" s="586"/>
      <c r="BZ24" s="586"/>
      <c r="CA24" s="583"/>
      <c r="CB24" s="572">
        <f t="shared" si="107"/>
        <v>225</v>
      </c>
      <c r="CC24" s="96"/>
      <c r="CD24" s="590"/>
      <c r="CE24" s="572"/>
      <c r="CF24" s="572"/>
      <c r="CG24" s="572"/>
      <c r="CH24" s="572"/>
      <c r="CI24" s="572"/>
      <c r="CJ24" s="572"/>
      <c r="CK24" s="572"/>
      <c r="CL24" s="572"/>
      <c r="CM24" s="586"/>
      <c r="CN24" s="586"/>
      <c r="CO24" s="583"/>
      <c r="CP24" s="572">
        <f t="shared" si="110"/>
        <v>200</v>
      </c>
      <c r="CQ24" s="96"/>
      <c r="CR24" s="590"/>
      <c r="CS24" s="572"/>
      <c r="CT24" s="572"/>
      <c r="CU24" s="572"/>
      <c r="CV24" s="572"/>
      <c r="CW24" s="572"/>
      <c r="CX24" s="572"/>
      <c r="CY24" s="572"/>
      <c r="CZ24" s="572"/>
      <c r="DA24" s="586"/>
      <c r="DB24" s="586"/>
      <c r="DC24" s="583"/>
      <c r="DD24" s="572">
        <f t="shared" si="113"/>
        <v>175</v>
      </c>
      <c r="DE24" s="96"/>
      <c r="DF24" s="590"/>
      <c r="DG24" s="572"/>
      <c r="DH24" s="572"/>
      <c r="DI24" s="572"/>
      <c r="DJ24" s="572"/>
      <c r="DK24" s="572"/>
      <c r="DL24" s="572"/>
      <c r="DM24" s="572"/>
      <c r="DN24" s="572"/>
      <c r="DO24" s="586"/>
      <c r="DP24" s="586"/>
      <c r="DQ24" s="577"/>
      <c r="DR24" s="96">
        <f t="shared" si="116"/>
        <v>150</v>
      </c>
      <c r="DS24" s="96"/>
      <c r="DT24" s="96"/>
      <c r="DU24" s="96"/>
      <c r="DV24" s="96"/>
      <c r="DW24" s="96"/>
      <c r="DX24" s="96"/>
      <c r="DY24" s="96"/>
      <c r="DZ24" s="96"/>
      <c r="EA24" s="96"/>
      <c r="EB24" s="96"/>
      <c r="EC24" s="96"/>
      <c r="ED24" s="96"/>
      <c r="EE24" s="96"/>
    </row>
    <row r="25" spans="1:135" s="368" customFormat="1">
      <c r="B25" s="173"/>
      <c r="C25" s="1752">
        <v>120</v>
      </c>
      <c r="D25" s="1115" t="s">
        <v>1120</v>
      </c>
      <c r="E25" s="319">
        <f t="shared" si="11"/>
        <v>600</v>
      </c>
      <c r="F25" s="319">
        <f t="shared" si="12"/>
        <v>850</v>
      </c>
      <c r="G25" s="319">
        <f t="shared" si="13"/>
        <v>35</v>
      </c>
      <c r="H25" s="320">
        <f t="shared" si="99"/>
        <v>0</v>
      </c>
      <c r="I25" s="319">
        <f t="shared" si="14"/>
        <v>200</v>
      </c>
      <c r="J25" s="319">
        <f t="shared" si="15"/>
        <v>680</v>
      </c>
      <c r="K25" s="319"/>
      <c r="L25" s="319"/>
      <c r="M25" s="319">
        <f t="shared" si="18"/>
        <v>100</v>
      </c>
      <c r="N25" s="319">
        <f t="shared" si="117"/>
        <v>160</v>
      </c>
      <c r="O25" s="319">
        <f t="shared" si="118"/>
        <v>70</v>
      </c>
      <c r="P25" s="1121">
        <f t="shared" si="119"/>
        <v>75</v>
      </c>
      <c r="Q25" s="1638">
        <f t="shared" si="120"/>
        <v>2500</v>
      </c>
      <c r="R25" s="1637">
        <f t="shared" si="22"/>
        <v>80</v>
      </c>
      <c r="S25" s="1637">
        <f t="shared" si="23"/>
        <v>120</v>
      </c>
      <c r="T25" s="194"/>
      <c r="U25" s="568">
        <v>600</v>
      </c>
      <c r="V25" s="563">
        <v>850</v>
      </c>
      <c r="W25" s="563">
        <v>35</v>
      </c>
      <c r="X25" s="563">
        <v>0</v>
      </c>
      <c r="Y25" s="563">
        <v>200</v>
      </c>
      <c r="Z25" s="563">
        <v>680</v>
      </c>
      <c r="AA25" s="563" t="s">
        <v>93</v>
      </c>
      <c r="AB25" s="563" t="s">
        <v>93</v>
      </c>
      <c r="AC25" s="563">
        <v>100</v>
      </c>
      <c r="AD25" s="563">
        <v>160</v>
      </c>
      <c r="AE25" s="563">
        <v>70</v>
      </c>
      <c r="AF25" s="563">
        <v>75</v>
      </c>
      <c r="AG25" s="850">
        <v>2500</v>
      </c>
      <c r="AH25" s="563">
        <v>80</v>
      </c>
      <c r="AI25" s="563">
        <v>120</v>
      </c>
      <c r="AJ25" s="96"/>
      <c r="AK25" s="96"/>
      <c r="AL25" s="576"/>
      <c r="AM25" s="572"/>
      <c r="AN25" s="572"/>
      <c r="AO25" s="572"/>
      <c r="AP25" s="572"/>
      <c r="AQ25" s="572"/>
      <c r="AR25" s="572"/>
      <c r="AS25" s="572"/>
      <c r="AT25" s="572"/>
      <c r="AU25" s="572"/>
      <c r="AV25" s="572">
        <f>SUM((-AE25/18))</f>
        <v>-3.8888888888888888</v>
      </c>
      <c r="AW25" s="583"/>
      <c r="AX25" s="572"/>
      <c r="AY25" s="572"/>
      <c r="AZ25" s="572"/>
      <c r="BA25" s="96"/>
      <c r="BB25" s="590"/>
      <c r="BC25" s="572"/>
      <c r="BD25" s="572"/>
      <c r="BE25" s="572"/>
      <c r="BF25" s="572"/>
      <c r="BG25" s="572"/>
      <c r="BH25" s="572"/>
      <c r="BI25" s="572"/>
      <c r="BJ25" s="572"/>
      <c r="BK25" s="586"/>
      <c r="BL25" s="586"/>
      <c r="BM25" s="596"/>
      <c r="BN25" s="572"/>
      <c r="BO25" s="96"/>
      <c r="BP25" s="590"/>
      <c r="BQ25" s="572"/>
      <c r="BR25" s="572"/>
      <c r="BS25" s="572"/>
      <c r="BT25" s="572"/>
      <c r="BU25" s="572"/>
      <c r="BV25" s="572"/>
      <c r="BW25" s="572"/>
      <c r="BX25" s="572"/>
      <c r="BY25" s="586"/>
      <c r="BZ25" s="586"/>
      <c r="CA25" s="583"/>
      <c r="CB25" s="572"/>
      <c r="CC25" s="96"/>
      <c r="CD25" s="590"/>
      <c r="CE25" s="572"/>
      <c r="CF25" s="572"/>
      <c r="CG25" s="572"/>
      <c r="CH25" s="572"/>
      <c r="CI25" s="572"/>
      <c r="CJ25" s="572"/>
      <c r="CK25" s="572"/>
      <c r="CL25" s="572"/>
      <c r="CM25" s="586"/>
      <c r="CN25" s="586"/>
      <c r="CO25" s="583"/>
      <c r="CP25" s="572"/>
      <c r="CQ25" s="96"/>
      <c r="CR25" s="590"/>
      <c r="CS25" s="572"/>
      <c r="CT25" s="572"/>
      <c r="CU25" s="572"/>
      <c r="CV25" s="572"/>
      <c r="CW25" s="572"/>
      <c r="CX25" s="572"/>
      <c r="CY25" s="572"/>
      <c r="CZ25" s="572"/>
      <c r="DA25" s="586"/>
      <c r="DB25" s="586"/>
      <c r="DC25" s="583"/>
      <c r="DD25" s="572"/>
      <c r="DE25" s="96"/>
      <c r="DF25" s="590"/>
      <c r="DG25" s="572"/>
      <c r="DH25" s="572"/>
      <c r="DI25" s="572"/>
      <c r="DJ25" s="572"/>
      <c r="DK25" s="572"/>
      <c r="DL25" s="572"/>
      <c r="DM25" s="572"/>
      <c r="DN25" s="572"/>
      <c r="DO25" s="586"/>
      <c r="DP25" s="586"/>
      <c r="DQ25" s="577"/>
      <c r="DR25" s="96"/>
      <c r="DS25" s="96"/>
      <c r="DT25" s="96"/>
      <c r="DU25" s="96"/>
      <c r="DV25" s="96"/>
      <c r="DW25" s="96"/>
      <c r="DX25" s="96"/>
      <c r="DY25" s="96"/>
      <c r="DZ25" s="96"/>
      <c r="EA25" s="96"/>
      <c r="EB25" s="96"/>
      <c r="EC25" s="96"/>
      <c r="ED25" s="96"/>
      <c r="EE25" s="96"/>
    </row>
    <row r="26" spans="1:135" s="155" customFormat="1" ht="26.25">
      <c r="A26" s="367"/>
      <c r="B26" s="175"/>
      <c r="C26" s="467"/>
      <c r="D26" s="1783"/>
      <c r="E26" s="2510" t="s">
        <v>94</v>
      </c>
      <c r="F26" s="2510"/>
      <c r="G26" s="2510"/>
      <c r="H26" s="2510"/>
      <c r="I26" s="2510"/>
      <c r="J26" s="2510"/>
      <c r="K26" s="2510"/>
      <c r="L26" s="2510"/>
      <c r="M26" s="2510"/>
      <c r="N26" s="2510"/>
      <c r="O26" s="2510"/>
      <c r="P26" s="2510"/>
      <c r="Q26" s="2510"/>
      <c r="R26" s="2510"/>
      <c r="S26" s="321"/>
      <c r="T26" s="317"/>
      <c r="U26" s="568"/>
      <c r="V26" s="563"/>
      <c r="W26" s="563"/>
      <c r="X26" s="563"/>
      <c r="Y26" s="563"/>
      <c r="Z26" s="563"/>
      <c r="AA26" s="563"/>
      <c r="AB26" s="563"/>
      <c r="AC26" s="563"/>
      <c r="AD26" s="563"/>
      <c r="AE26" s="563"/>
      <c r="AF26" s="563"/>
      <c r="AG26" s="850"/>
      <c r="AH26" s="563"/>
      <c r="AI26" s="563"/>
      <c r="AJ26" s="152">
        <v>15</v>
      </c>
      <c r="AK26" s="152"/>
      <c r="AL26" s="576">
        <f t="shared" si="101"/>
        <v>1</v>
      </c>
      <c r="AM26" s="573"/>
      <c r="AN26" s="573"/>
      <c r="AO26" s="573"/>
      <c r="AP26" s="573"/>
      <c r="AQ26" s="573"/>
      <c r="AR26" s="573"/>
      <c r="AS26" s="573"/>
      <c r="AT26" s="573"/>
      <c r="AU26" s="573"/>
      <c r="AV26" s="573"/>
      <c r="AW26" s="584"/>
      <c r="AX26" s="573"/>
      <c r="AY26" s="573"/>
      <c r="AZ26" s="573"/>
      <c r="BA26" s="152"/>
      <c r="BB26" s="591"/>
      <c r="BC26" s="573"/>
      <c r="BD26" s="573"/>
      <c r="BE26" s="573"/>
      <c r="BF26" s="573"/>
      <c r="BG26" s="573"/>
      <c r="BH26" s="573"/>
      <c r="BI26" s="573"/>
      <c r="BJ26" s="573"/>
      <c r="BK26" s="573"/>
      <c r="BL26" s="573"/>
      <c r="BM26" s="597"/>
      <c r="BN26" s="573"/>
      <c r="BO26" s="152"/>
      <c r="BP26" s="591"/>
      <c r="BQ26" s="573"/>
      <c r="BR26" s="573"/>
      <c r="BS26" s="573"/>
      <c r="BT26" s="573"/>
      <c r="BU26" s="573"/>
      <c r="BV26" s="573"/>
      <c r="BW26" s="573"/>
      <c r="BX26" s="573"/>
      <c r="BY26" s="573"/>
      <c r="BZ26" s="573"/>
      <c r="CA26" s="584"/>
      <c r="CB26" s="573"/>
      <c r="CC26" s="152"/>
      <c r="CD26" s="578"/>
      <c r="CE26" s="573"/>
      <c r="CF26" s="573"/>
      <c r="CG26" s="573"/>
      <c r="CH26" s="573"/>
      <c r="CI26" s="573"/>
      <c r="CJ26" s="573"/>
      <c r="CK26" s="573"/>
      <c r="CL26" s="573"/>
      <c r="CM26" s="573"/>
      <c r="CN26" s="573"/>
      <c r="CO26" s="584"/>
      <c r="CP26" s="573"/>
      <c r="CQ26" s="152"/>
      <c r="CR26" s="578"/>
      <c r="CS26" s="573"/>
      <c r="CT26" s="573"/>
      <c r="CU26" s="573"/>
      <c r="CV26" s="573"/>
      <c r="CW26" s="573"/>
      <c r="CX26" s="573"/>
      <c r="CY26" s="573"/>
      <c r="CZ26" s="573"/>
      <c r="DA26" s="573"/>
      <c r="DB26" s="573"/>
      <c r="DC26" s="584"/>
      <c r="DD26" s="573"/>
      <c r="DE26" s="152"/>
      <c r="DF26" s="578"/>
      <c r="DG26" s="573"/>
      <c r="DH26" s="573"/>
      <c r="DI26" s="573"/>
      <c r="DJ26" s="573"/>
      <c r="DK26" s="573"/>
      <c r="DL26" s="573"/>
      <c r="DM26" s="573"/>
      <c r="DN26" s="573"/>
      <c r="DO26" s="573"/>
      <c r="DP26" s="573"/>
      <c r="DQ26" s="579"/>
      <c r="DR26" s="152"/>
      <c r="DS26" s="152"/>
      <c r="DT26" s="152"/>
      <c r="DU26" s="152"/>
      <c r="DV26" s="152"/>
      <c r="DW26" s="152"/>
      <c r="DX26" s="152"/>
      <c r="DY26" s="152"/>
      <c r="DZ26" s="152"/>
      <c r="EA26" s="152"/>
      <c r="EB26" s="152"/>
      <c r="EC26" s="152"/>
      <c r="ED26" s="152"/>
      <c r="EE26" s="152"/>
    </row>
    <row r="27" spans="1:135" s="155" customFormat="1" ht="15" customHeight="1">
      <c r="A27" s="367"/>
      <c r="B27" s="175"/>
      <c r="C27" s="1755">
        <v>201</v>
      </c>
      <c r="D27" s="321"/>
      <c r="E27" s="332"/>
      <c r="F27" s="332"/>
      <c r="G27" s="332"/>
      <c r="H27" s="333"/>
      <c r="I27" s="332"/>
      <c r="J27" s="332"/>
      <c r="K27" s="332"/>
      <c r="L27" s="332"/>
      <c r="M27" s="332"/>
      <c r="N27" s="332"/>
      <c r="O27" s="332"/>
      <c r="P27" s="332"/>
      <c r="Q27" s="1639"/>
      <c r="R27" s="1640">
        <f t="shared" ref="R27" si="121">IF((AM27&lt;10),SUM((AH27+(ROUNDUP((AM27*AY27),2)))),SUM((AH27+(ROUNDUP(((9*AY27)+EF27),2)))))</f>
        <v>0</v>
      </c>
      <c r="S27" s="1640"/>
      <c r="T27" s="317"/>
      <c r="U27" s="568"/>
      <c r="V27" s="563"/>
      <c r="W27" s="563"/>
      <c r="X27" s="563"/>
      <c r="Y27" s="563"/>
      <c r="Z27" s="563"/>
      <c r="AA27" s="563"/>
      <c r="AB27" s="563"/>
      <c r="AC27" s="563"/>
      <c r="AD27" s="563"/>
      <c r="AE27" s="563"/>
      <c r="AF27" s="563"/>
      <c r="AG27" s="850"/>
      <c r="AH27" s="563"/>
      <c r="AI27" s="563"/>
      <c r="AJ27" s="152"/>
      <c r="AK27" s="152"/>
      <c r="AL27" s="576">
        <f t="shared" si="101"/>
        <v>1</v>
      </c>
      <c r="AM27" s="573"/>
      <c r="AN27" s="573"/>
      <c r="AO27" s="573"/>
      <c r="AP27" s="573"/>
      <c r="AQ27" s="573"/>
      <c r="AR27" s="573"/>
      <c r="AS27" s="573"/>
      <c r="AT27" s="573"/>
      <c r="AU27" s="573"/>
      <c r="AV27" s="573"/>
      <c r="AW27" s="584"/>
      <c r="AX27" s="573"/>
      <c r="AY27" s="573"/>
      <c r="AZ27" s="573"/>
      <c r="BA27" s="152"/>
      <c r="BB27" s="591"/>
      <c r="BC27" s="573"/>
      <c r="BD27" s="573"/>
      <c r="BE27" s="573"/>
      <c r="BF27" s="573"/>
      <c r="BG27" s="573"/>
      <c r="BH27" s="573"/>
      <c r="BI27" s="573"/>
      <c r="BJ27" s="573"/>
      <c r="BK27" s="573"/>
      <c r="BL27" s="573"/>
      <c r="BM27" s="597"/>
      <c r="BN27" s="573"/>
      <c r="BO27" s="152"/>
      <c r="BP27" s="591"/>
      <c r="BQ27" s="573"/>
      <c r="BR27" s="573"/>
      <c r="BS27" s="573"/>
      <c r="BT27" s="573"/>
      <c r="BU27" s="573"/>
      <c r="BV27" s="573"/>
      <c r="BW27" s="573"/>
      <c r="BX27" s="573"/>
      <c r="BY27" s="573"/>
      <c r="BZ27" s="573"/>
      <c r="CA27" s="584"/>
      <c r="CB27" s="573"/>
      <c r="CC27" s="152"/>
      <c r="CD27" s="578"/>
      <c r="CE27" s="573"/>
      <c r="CF27" s="573"/>
      <c r="CG27" s="573"/>
      <c r="CH27" s="573"/>
      <c r="CI27" s="573"/>
      <c r="CJ27" s="573"/>
      <c r="CK27" s="573"/>
      <c r="CL27" s="573"/>
      <c r="CM27" s="573"/>
      <c r="CN27" s="573"/>
      <c r="CO27" s="584"/>
      <c r="CP27" s="573"/>
      <c r="CQ27" s="152"/>
      <c r="CR27" s="578"/>
      <c r="CS27" s="573"/>
      <c r="CT27" s="573"/>
      <c r="CU27" s="573"/>
      <c r="CV27" s="573"/>
      <c r="CW27" s="573"/>
      <c r="CX27" s="573"/>
      <c r="CY27" s="573"/>
      <c r="CZ27" s="573"/>
      <c r="DA27" s="573"/>
      <c r="DB27" s="573"/>
      <c r="DC27" s="584"/>
      <c r="DD27" s="573"/>
      <c r="DE27" s="152"/>
      <c r="DF27" s="578"/>
      <c r="DG27" s="573"/>
      <c r="DH27" s="573"/>
      <c r="DI27" s="573"/>
      <c r="DJ27" s="573"/>
      <c r="DK27" s="573"/>
      <c r="DL27" s="573"/>
      <c r="DM27" s="573"/>
      <c r="DN27" s="573"/>
      <c r="DO27" s="573"/>
      <c r="DP27" s="573"/>
      <c r="DQ27" s="579"/>
      <c r="DR27" s="152"/>
      <c r="DS27" s="152"/>
      <c r="DT27" s="152"/>
      <c r="DU27" s="152"/>
      <c r="DV27" s="152"/>
      <c r="DW27" s="152"/>
      <c r="DX27" s="152"/>
      <c r="DY27" s="152"/>
      <c r="DZ27" s="152"/>
      <c r="EA27" s="152"/>
      <c r="EB27" s="152"/>
      <c r="EC27" s="152"/>
      <c r="ED27" s="152"/>
      <c r="EE27" s="152"/>
    </row>
    <row r="28" spans="1:135">
      <c r="C28" s="1752">
        <v>202</v>
      </c>
      <c r="D28" s="1116" t="s">
        <v>95</v>
      </c>
      <c r="E28" s="322">
        <f t="shared" ref="E28:E42" si="122">IF((AL28&lt;10),SUM((U28+(ROUNDUP((AL28*AM28),2)))),SUM((U28+(ROUNDUP(((9*AM28)+DT28),2)))))</f>
        <v>11.120000000000001</v>
      </c>
      <c r="F28" s="322">
        <f t="shared" ref="F28:F42" si="123">IF((AL28&lt;10),SUM((V28+(ROUNDUP((AL28*AN28),2)))),SUM((V28+(ROUNDUP(((9*AN28)+DU28),2)))))</f>
        <v>27.78</v>
      </c>
      <c r="G28" s="322">
        <f t="shared" ref="G28:G42" si="124">W28</f>
        <v>15</v>
      </c>
      <c r="H28" s="323">
        <f>X28</f>
        <v>1</v>
      </c>
      <c r="I28" s="322">
        <f t="shared" ref="I28:I42" si="125">Y28</f>
        <v>0</v>
      </c>
      <c r="J28" s="322">
        <f t="shared" ref="J28:J42" si="126">IF((AL28&lt;10),SUM((Z28+(ROUNDUP((AL28*AQ28),2)))),SUM((Z28+(ROUNDUP(((9*AQ28)+DX28),2)))))</f>
        <v>900</v>
      </c>
      <c r="K28" s="322">
        <f t="shared" ref="K28:K37" si="127">IF((AL28&lt;10),SUM((AA28+(ROUNDUP((AL28*AR28),2)))),SUM((AA28+(ROUNDUP(((9*AR28)+DY28),2)))))</f>
        <v>372.23</v>
      </c>
      <c r="L28" s="322">
        <f t="shared" ref="L28:L37" si="128">AB28</f>
        <v>335</v>
      </c>
      <c r="M28" s="322">
        <f t="shared" ref="M28:M42" si="129">IF((AL28&lt;10),SUM((AC28+(ROUNDUP((AL28*AT28),2)))),SUM((AC28+(ROUNDUP(((9*AT28)+EA28),2)))))</f>
        <v>100</v>
      </c>
      <c r="N28" s="322">
        <f t="shared" ref="N28:N39" si="130">IF((AL28&lt;10),SUM((AD28+(ROUNDUP((AL28*AU28),2)))),SUM((AD28+(ROUNDUP(((9*AU28)+EB28),2)))))</f>
        <v>1.2</v>
      </c>
      <c r="O28" s="322">
        <f t="shared" ref="O28:O42" si="131">IF((AL28&lt;10),SUM((AE28+(ROUNDUP((AL28*AV28),2)))),SUM((AE28+(ROUNDUP(((9*AV28)+EC28),2)))))</f>
        <v>6</v>
      </c>
      <c r="P28" s="322">
        <f t="shared" ref="P28:P42" si="132">AF28</f>
        <v>180</v>
      </c>
      <c r="Q28" s="1640">
        <f t="shared" ref="Q28:Q42" si="133">IF((AL28&lt;10),SUM((AG28+(ROUNDUP((AL28*AX28),2)))),SUM((AG28+(ROUNDUP(((9*AX28)+EE28),2)))))</f>
        <v>8333.34</v>
      </c>
      <c r="R28" s="1640">
        <f t="shared" ref="R28" si="134">IF((AM28&lt;10),SUM((AH28+(ROUNDUP((AM28*AY28),2)))),SUM((AH28+(ROUNDUP(((9*AY28)+EF28),2)))))</f>
        <v>0</v>
      </c>
      <c r="S28" s="1640"/>
      <c r="T28" s="190"/>
      <c r="U28" s="568">
        <v>10</v>
      </c>
      <c r="V28" s="563">
        <v>25</v>
      </c>
      <c r="W28" s="563">
        <v>15</v>
      </c>
      <c r="X28" s="563">
        <v>1</v>
      </c>
      <c r="Y28" s="563">
        <v>0</v>
      </c>
      <c r="Z28" s="563">
        <v>900</v>
      </c>
      <c r="AA28" s="563">
        <v>350</v>
      </c>
      <c r="AB28" s="563">
        <v>335</v>
      </c>
      <c r="AC28" s="563">
        <v>100</v>
      </c>
      <c r="AD28" s="563">
        <v>1.2</v>
      </c>
      <c r="AE28" s="563">
        <v>6</v>
      </c>
      <c r="AF28" s="563">
        <v>180</v>
      </c>
      <c r="AG28" s="850">
        <v>7500</v>
      </c>
      <c r="AH28" s="563"/>
      <c r="AI28" s="563"/>
      <c r="AJ28" s="96"/>
      <c r="AK28" s="96"/>
      <c r="AL28" s="576">
        <f t="shared" si="101"/>
        <v>1</v>
      </c>
      <c r="AM28" s="572">
        <f t="shared" ref="AM28:AM37" si="135">SUM((U28/9))</f>
        <v>1.1111111111111112</v>
      </c>
      <c r="AN28" s="572">
        <f t="shared" ref="AN28:AN37" si="136">SUM((V28/9))</f>
        <v>2.7777777777777777</v>
      </c>
      <c r="AO28" s="572"/>
      <c r="AP28" s="572"/>
      <c r="AQ28" s="572"/>
      <c r="AR28" s="572">
        <f>SUM((200/9))</f>
        <v>22.222222222222221</v>
      </c>
      <c r="AS28" s="572"/>
      <c r="AT28" s="572"/>
      <c r="AU28" s="572"/>
      <c r="AV28" s="572"/>
      <c r="AW28" s="583"/>
      <c r="AX28" s="572">
        <f t="shared" ref="AX28:AX42" si="137">SUM((AG28/9))</f>
        <v>833.33333333333337</v>
      </c>
      <c r="AY28" s="572"/>
      <c r="AZ28" s="572"/>
      <c r="BA28" s="96"/>
      <c r="BB28" s="589"/>
      <c r="BC28" s="572">
        <f t="shared" ref="BC28:BC37" si="138">SUM(((AM28*0.9)*1))</f>
        <v>1</v>
      </c>
      <c r="BD28" s="572">
        <f t="shared" ref="BD28:BD37" si="139">SUM(((AN28*0.9)*1))</f>
        <v>2.5</v>
      </c>
      <c r="BE28" s="572">
        <f t="shared" ref="BE28:BE37" si="140">SUM(((AO28*0.9)*1))</f>
        <v>0</v>
      </c>
      <c r="BF28" s="572">
        <f t="shared" ref="BF28:BF37" si="141">SUM(((AP28*0.9)*1))</f>
        <v>0</v>
      </c>
      <c r="BG28" s="572">
        <f t="shared" ref="BG28:BG37" si="142">SUM(((AQ28*0.9)*1))</f>
        <v>0</v>
      </c>
      <c r="BH28" s="572">
        <f t="shared" ref="BH28:BH37" si="143">SUM(((AR28*0.9)*1))</f>
        <v>20</v>
      </c>
      <c r="BI28" s="572">
        <f t="shared" ref="BI28:BI37" si="144">SUM(((AS28*0.9)*1))</f>
        <v>0</v>
      </c>
      <c r="BJ28" s="572">
        <f t="shared" ref="BJ28:BJ37" si="145">SUM(((AT28*0.9)*1))</f>
        <v>0</v>
      </c>
      <c r="BK28" s="572">
        <f t="shared" ref="BK28:BK37" si="146">SUM(((AU28*0.9)*1))</f>
        <v>0</v>
      </c>
      <c r="BL28" s="572">
        <f t="shared" ref="BL28:BL37" si="147">SUM(((AV28*0.9)*1))</f>
        <v>0</v>
      </c>
      <c r="BM28" s="583">
        <f t="shared" ref="BM28:BM37" si="148">SUM(((AW28*0.9)*1))</f>
        <v>0</v>
      </c>
      <c r="BN28" s="572">
        <f t="shared" ref="BN28:BN37" si="149">SUM(((AX28*0.9)*1))</f>
        <v>750</v>
      </c>
      <c r="BO28" s="96"/>
      <c r="BP28" s="589"/>
      <c r="BQ28" s="572">
        <f t="shared" ref="BQ28:BQ37" si="150">SUM(((AM28*0.9)*0.9))</f>
        <v>0.9</v>
      </c>
      <c r="BR28" s="572">
        <f t="shared" ref="BR28:BR37" si="151">SUM(((AN28*0.9)*0.9))</f>
        <v>2.25</v>
      </c>
      <c r="BS28" s="572">
        <f t="shared" ref="BS28:BS37" si="152">SUM(((AO28*0.9)*0.9))</f>
        <v>0</v>
      </c>
      <c r="BT28" s="572">
        <f t="shared" ref="BT28:BT37" si="153">SUM(((AP28*0.9)*0.9))</f>
        <v>0</v>
      </c>
      <c r="BU28" s="572">
        <f t="shared" ref="BU28:BU37" si="154">SUM(((AQ28*0.9)*0.9))</f>
        <v>0</v>
      </c>
      <c r="BV28" s="572">
        <f t="shared" ref="BV28:BV37" si="155">SUM(((AR28*0.9)*0.9))</f>
        <v>18</v>
      </c>
      <c r="BW28" s="572">
        <f t="shared" ref="BW28:BW37" si="156">SUM(((AS28*0.9)*0.9))</f>
        <v>0</v>
      </c>
      <c r="BX28" s="572">
        <f t="shared" ref="BX28:BX37" si="157">SUM(((AT28*0.9)*0.9))</f>
        <v>0</v>
      </c>
      <c r="BY28" s="572">
        <f t="shared" ref="BY28:BY37" si="158">SUM(((AU28*0.9)*0.9))</f>
        <v>0</v>
      </c>
      <c r="BZ28" s="572">
        <f t="shared" ref="BZ28:BZ37" si="159">SUM(((AV28*0.9)*0.9))</f>
        <v>0</v>
      </c>
      <c r="CA28" s="583">
        <f t="shared" ref="CA28:CA37" si="160">SUM(((AW28*0.9)*0.9))</f>
        <v>0</v>
      </c>
      <c r="CB28" s="572">
        <f t="shared" ref="CB28:CB37" si="161">SUM(((AX28*0.9)*0.9))</f>
        <v>675</v>
      </c>
      <c r="CC28" s="96"/>
      <c r="CD28" s="576"/>
      <c r="CE28" s="572">
        <f t="shared" ref="CE28:CE37" si="162">SUM(((AM28*0.9)*0.8))</f>
        <v>0.8</v>
      </c>
      <c r="CF28" s="572">
        <f t="shared" ref="CF28:CF37" si="163">SUM(((AN28*0.9)*0.8))</f>
        <v>2</v>
      </c>
      <c r="CG28" s="572">
        <f t="shared" ref="CG28:CG37" si="164">SUM(((AO28*0.9)*0.8))</f>
        <v>0</v>
      </c>
      <c r="CH28" s="572">
        <f t="shared" ref="CH28:CH37" si="165">SUM(((AP28*0.9)*0.8))</f>
        <v>0</v>
      </c>
      <c r="CI28" s="572">
        <f t="shared" ref="CI28:CI37" si="166">SUM(((AQ28*0.9)*0.8))</f>
        <v>0</v>
      </c>
      <c r="CJ28" s="572">
        <f t="shared" ref="CJ28:CJ37" si="167">SUM(((AR28*0.9)*0.8))</f>
        <v>16</v>
      </c>
      <c r="CK28" s="572">
        <f t="shared" ref="CK28:CK37" si="168">SUM(((AS28*0.9)*0.8))</f>
        <v>0</v>
      </c>
      <c r="CL28" s="572">
        <f t="shared" ref="CL28:CL37" si="169">SUM(((AT28*0.9)*0.8))</f>
        <v>0</v>
      </c>
      <c r="CM28" s="572">
        <f t="shared" ref="CM28:CM37" si="170">SUM(((AU28*0.9)*0.8))</f>
        <v>0</v>
      </c>
      <c r="CN28" s="572">
        <f t="shared" ref="CN28:CN37" si="171">SUM(((AV28*0.9)*0.8))</f>
        <v>0</v>
      </c>
      <c r="CO28" s="583">
        <f t="shared" ref="CO28:CO37" si="172">SUM(((AW28*0.9)*0.8))</f>
        <v>0</v>
      </c>
      <c r="CP28" s="572">
        <f t="shared" ref="CP28:CP37" si="173">SUM(((AX28*0.9)*0.8))</f>
        <v>600</v>
      </c>
      <c r="CQ28" s="96"/>
      <c r="CR28" s="576"/>
      <c r="CS28" s="572">
        <f t="shared" ref="CS28:CS37" si="174">SUM(((AM28*0.9)*0.7))</f>
        <v>0.7</v>
      </c>
      <c r="CT28" s="572">
        <f t="shared" ref="CT28:CT37" si="175">SUM(((AN28*0.9)*0.7))</f>
        <v>1.75</v>
      </c>
      <c r="CU28" s="572">
        <f t="shared" ref="CU28:CU37" si="176">SUM(((AO28*0.9)*0.7))</f>
        <v>0</v>
      </c>
      <c r="CV28" s="572">
        <f t="shared" ref="CV28:CV37" si="177">SUM(((AP28*0.9)*0.7))</f>
        <v>0</v>
      </c>
      <c r="CW28" s="572">
        <f t="shared" ref="CW28:CW37" si="178">SUM(((AQ28*0.9)*0.7))</f>
        <v>0</v>
      </c>
      <c r="CX28" s="572">
        <f t="shared" ref="CX28:CX37" si="179">SUM(((AR28*0.9)*0.7))</f>
        <v>14</v>
      </c>
      <c r="CY28" s="572">
        <f t="shared" ref="CY28:CY37" si="180">SUM(((AS28*0.9)*0.7))</f>
        <v>0</v>
      </c>
      <c r="CZ28" s="572">
        <f t="shared" ref="CZ28:CZ37" si="181">SUM(((AT28*0.9)*0.7))</f>
        <v>0</v>
      </c>
      <c r="DA28" s="572">
        <f t="shared" ref="DA28:DA37" si="182">SUM(((AU28*0.9)*0.7))</f>
        <v>0</v>
      </c>
      <c r="DB28" s="572">
        <f t="shared" ref="DB28:DB37" si="183">SUM(((AV28*0.9)*0.7))</f>
        <v>0</v>
      </c>
      <c r="DC28" s="583">
        <f t="shared" ref="DC28:DC37" si="184">SUM(((AW28*0.9)*0.7))</f>
        <v>0</v>
      </c>
      <c r="DD28" s="572">
        <f t="shared" ref="DD28:DD37" si="185">SUM(((AX28*0.9)*0.7))</f>
        <v>525</v>
      </c>
      <c r="DE28" s="96"/>
      <c r="DF28" s="576"/>
      <c r="DG28" s="572">
        <f t="shared" ref="DG28:DG37" si="186">SUM(((AM28*0.9)*0.6))</f>
        <v>0.6</v>
      </c>
      <c r="DH28" s="572">
        <f t="shared" ref="DH28:DH37" si="187">SUM(((AN28*0.9)*0.6))</f>
        <v>1.5</v>
      </c>
      <c r="DI28" s="572">
        <f t="shared" ref="DI28:DI37" si="188">SUM(((AO28*0.9)*0.6))</f>
        <v>0</v>
      </c>
      <c r="DJ28" s="572">
        <f t="shared" ref="DJ28:DJ37" si="189">SUM(((AP28*0.9)*0.6))</f>
        <v>0</v>
      </c>
      <c r="DK28" s="572">
        <f t="shared" ref="DK28:DK37" si="190">SUM(((AQ28*0.9)*0.6))</f>
        <v>0</v>
      </c>
      <c r="DL28" s="572">
        <f t="shared" ref="DL28:DL37" si="191">SUM(((AR28*0.9)*0.6))</f>
        <v>12</v>
      </c>
      <c r="DM28" s="572">
        <f t="shared" ref="DM28:DM37" si="192">SUM(((AS28*0.9)*0.6))</f>
        <v>0</v>
      </c>
      <c r="DN28" s="572">
        <f t="shared" ref="DN28:DN37" si="193">SUM(((AT28*0.9)*0.6))</f>
        <v>0</v>
      </c>
      <c r="DO28" s="572">
        <f t="shared" ref="DO28:DO37" si="194">SUM(((AU28*0.9)*0.6))</f>
        <v>0</v>
      </c>
      <c r="DP28" s="572">
        <f t="shared" ref="DP28:DP37" si="195">SUM(((AV28*0.9)*0.6))</f>
        <v>0</v>
      </c>
      <c r="DQ28" s="577">
        <f t="shared" ref="DQ28:DQ37" si="196">SUM(((AW28*0.9)*0.6))</f>
        <v>0</v>
      </c>
      <c r="DR28" s="96">
        <f t="shared" ref="DR28:DR37" si="197">SUM(((AX28*0.9)*0.6))</f>
        <v>450</v>
      </c>
      <c r="DS28" s="96"/>
      <c r="DT28" s="96" t="e">
        <f t="shared" ref="DT28:DT42" si="198">CHOOSE((AL28-9),BC28,(BC28+BQ28),((BC28+BQ28)+CE28),(((BC28+BQ28)+CE28)+CS28),((((BC28+BQ28)+CE28)+CS28)+DG28),)</f>
        <v>#VALUE!</v>
      </c>
      <c r="DU28" s="96" t="e">
        <f t="shared" ref="DU28:DU42" si="199">CHOOSE((AL28-9),BD28,(BD28+BR28),((BD28+BR28)+CF28),(((BD28+BR28)+CF28)+CT28),((((BD28+BR28)+CF28)+CT28)+DH28),)</f>
        <v>#VALUE!</v>
      </c>
      <c r="DV28" s="96" t="e">
        <f t="shared" ref="DV28:DV42" si="200">CHOOSE((AL28-9),BE28,(BE28+BS28),((BE28+BS28)+CG28),(((BE28+BS28)+CG28)+CU28),((((BE28+BS28)+CG28)+CU28)+DI28),)</f>
        <v>#VALUE!</v>
      </c>
      <c r="DW28" s="96" t="e">
        <f t="shared" ref="DW28:DW42" si="201">CHOOSE((AL28-9),BF28,(BF28+BT28),((BF28+BT28)+CH28),(((BF28+BT28)+CH28)+CV28),((((BF28+BT28)+CH28)+CV28)+DJ28),)</f>
        <v>#VALUE!</v>
      </c>
      <c r="DX28" s="96" t="e">
        <f t="shared" ref="DX28:DX42" si="202">CHOOSE((AL28-9),BG28,(BG28+BU28),((BG28+BU28)+CI28),(((BG28+BU28)+CI28)+CW28),((((BG28+BU28)+CI28)+CW28)+DK28),)</f>
        <v>#VALUE!</v>
      </c>
      <c r="DY28" s="96" t="e">
        <f t="shared" ref="DY28:DY42" si="203">CHOOSE((AL28-9),BH28,(BH28+BV28),((BH28+BV28)+CJ28),(((BH28+BV28)+CJ28)+CX28),((((BH28+BV28)+CJ28)+CX28)+DL28),)</f>
        <v>#VALUE!</v>
      </c>
      <c r="DZ28" s="96" t="e">
        <f t="shared" ref="DZ28:DZ42" si="204">CHOOSE((AL28-9),BI28,(BI28+BW28),((BI28+BW28)+CK28),(((BI28+BW28)+CK28)+CY28),((((BI28+BW28)+CK28)+CY28)+DM28),)</f>
        <v>#VALUE!</v>
      </c>
      <c r="EA28" s="96" t="e">
        <f t="shared" ref="EA28:EA42" si="205">CHOOSE((AL28-9),BJ28,(BJ28+BX28),((BJ28+BX28)+CL28),(((BJ28+BX28)+CL28)+CZ28),((((BJ28+BX28)+CL28)+CZ28)+DN28),)</f>
        <v>#VALUE!</v>
      </c>
      <c r="EB28" s="96" t="e">
        <f t="shared" ref="EB28:EB42" si="206">CHOOSE((AL28-9),BK28,(BK28+BY28),((BK28+BY28)+CM28),(((BK28+BY28)+CM28)+DA28),((((BK28+BY28)+CM28)+DA28)+DO28),)</f>
        <v>#VALUE!</v>
      </c>
      <c r="EC28" s="96" t="e">
        <f t="shared" ref="EC28:EC42" si="207">CHOOSE((AL28-9),BL28,(BL28+BZ28),((BL28+BZ28)+CN28),(((BL28+BZ28)+CN28)+DB28),((((BL28+BZ28)+CN28)+DB28)+DP28),)</f>
        <v>#VALUE!</v>
      </c>
      <c r="ED28" s="96" t="e">
        <f t="shared" ref="ED28:ED42" si="208">CHOOSE((AL28-9),BM28,(BM28+CA28),((BM28+CA28)+CO28),(((BM28+CA28)+CO28)+DC28),((((BM28+CA28)+CO28)+DC28)+DQ28),)</f>
        <v>#VALUE!</v>
      </c>
      <c r="EE28" s="96" t="e">
        <f t="shared" ref="EE28:EE42" si="209">CHOOSE((AL28-9),BN28,(BN28+CB28),((BN28+CB28)+CP28),(((BN28+CB28)+CP28)+DD28),((((BN28+CB28)+CP28)+DD28)+DR28),)</f>
        <v>#VALUE!</v>
      </c>
    </row>
    <row r="29" spans="1:135">
      <c r="C29" s="1755">
        <v>203</v>
      </c>
      <c r="D29" s="1116" t="s">
        <v>96</v>
      </c>
      <c r="E29" s="322">
        <f t="shared" si="122"/>
        <v>11.120000000000001</v>
      </c>
      <c r="F29" s="322">
        <f t="shared" si="123"/>
        <v>27.78</v>
      </c>
      <c r="G29" s="322">
        <f t="shared" si="124"/>
        <v>15</v>
      </c>
      <c r="H29" s="323">
        <f t="shared" ref="H29:H42" si="210">X29</f>
        <v>1</v>
      </c>
      <c r="I29" s="322">
        <f t="shared" si="125"/>
        <v>0</v>
      </c>
      <c r="J29" s="322">
        <f t="shared" si="126"/>
        <v>900</v>
      </c>
      <c r="K29" s="322">
        <f t="shared" si="127"/>
        <v>350</v>
      </c>
      <c r="L29" s="322">
        <f t="shared" si="128"/>
        <v>335</v>
      </c>
      <c r="M29" s="322">
        <f t="shared" si="129"/>
        <v>105.56</v>
      </c>
      <c r="N29" s="322">
        <f t="shared" si="130"/>
        <v>1.2</v>
      </c>
      <c r="O29" s="322">
        <f t="shared" si="131"/>
        <v>6</v>
      </c>
      <c r="P29" s="322">
        <f t="shared" si="132"/>
        <v>180</v>
      </c>
      <c r="Q29" s="1640">
        <f t="shared" si="133"/>
        <v>8333.34</v>
      </c>
      <c r="R29" s="1640">
        <f t="shared" ref="R29:R43" si="211">IF((AM29&lt;10),SUM((AH29+(ROUNDUP((AM29*AY29),2)))),SUM((AH29+(ROUNDUP(((9*AY29)+EF29),2)))))</f>
        <v>0</v>
      </c>
      <c r="S29" s="1640"/>
      <c r="T29" s="190"/>
      <c r="U29" s="568">
        <v>10</v>
      </c>
      <c r="V29" s="563">
        <v>25</v>
      </c>
      <c r="W29" s="563">
        <v>15</v>
      </c>
      <c r="X29" s="563">
        <v>1</v>
      </c>
      <c r="Y29" s="563">
        <v>0</v>
      </c>
      <c r="Z29" s="563">
        <v>900</v>
      </c>
      <c r="AA29" s="563">
        <v>350</v>
      </c>
      <c r="AB29" s="563">
        <v>335</v>
      </c>
      <c r="AC29" s="563">
        <v>100</v>
      </c>
      <c r="AD29" s="563">
        <v>1.2</v>
      </c>
      <c r="AE29" s="563">
        <v>6</v>
      </c>
      <c r="AF29" s="563">
        <v>180</v>
      </c>
      <c r="AG29" s="850">
        <v>7500</v>
      </c>
      <c r="AH29" s="563"/>
      <c r="AI29" s="563"/>
      <c r="AL29" s="576">
        <f t="shared" si="101"/>
        <v>1</v>
      </c>
      <c r="AM29" s="572">
        <f t="shared" si="135"/>
        <v>1.1111111111111112</v>
      </c>
      <c r="AN29" s="572">
        <f t="shared" si="136"/>
        <v>2.7777777777777777</v>
      </c>
      <c r="AO29" s="572"/>
      <c r="AP29" s="572"/>
      <c r="AQ29" s="572"/>
      <c r="AR29" s="572"/>
      <c r="AS29" s="572"/>
      <c r="AT29" s="572">
        <f>SUM((AC29/18))</f>
        <v>5.5555555555555554</v>
      </c>
      <c r="AU29" s="572"/>
      <c r="AV29" s="572"/>
      <c r="AW29" s="583"/>
      <c r="AX29" s="572">
        <f t="shared" si="137"/>
        <v>833.33333333333337</v>
      </c>
      <c r="AY29" s="572"/>
      <c r="AZ29" s="572"/>
      <c r="BA29" s="96"/>
      <c r="BB29" s="576"/>
      <c r="BC29" s="572">
        <f t="shared" si="138"/>
        <v>1</v>
      </c>
      <c r="BD29" s="572">
        <f t="shared" si="139"/>
        <v>2.5</v>
      </c>
      <c r="BE29" s="572">
        <f t="shared" si="140"/>
        <v>0</v>
      </c>
      <c r="BF29" s="572">
        <f t="shared" si="141"/>
        <v>0</v>
      </c>
      <c r="BG29" s="572">
        <f t="shared" si="142"/>
        <v>0</v>
      </c>
      <c r="BH29" s="572">
        <f t="shared" si="143"/>
        <v>0</v>
      </c>
      <c r="BI29" s="572">
        <f t="shared" si="144"/>
        <v>0</v>
      </c>
      <c r="BJ29" s="572">
        <f t="shared" si="145"/>
        <v>5</v>
      </c>
      <c r="BK29" s="572">
        <f t="shared" si="146"/>
        <v>0</v>
      </c>
      <c r="BL29" s="572">
        <f t="shared" si="147"/>
        <v>0</v>
      </c>
      <c r="BM29" s="583">
        <f t="shared" si="148"/>
        <v>0</v>
      </c>
      <c r="BN29" s="572">
        <f t="shared" si="149"/>
        <v>750</v>
      </c>
      <c r="BO29" s="96"/>
      <c r="BP29" s="576"/>
      <c r="BQ29" s="572">
        <f t="shared" si="150"/>
        <v>0.9</v>
      </c>
      <c r="BR29" s="572">
        <f t="shared" si="151"/>
        <v>2.25</v>
      </c>
      <c r="BS29" s="572">
        <f t="shared" si="152"/>
        <v>0</v>
      </c>
      <c r="BT29" s="572">
        <f t="shared" si="153"/>
        <v>0</v>
      </c>
      <c r="BU29" s="572">
        <f t="shared" si="154"/>
        <v>0</v>
      </c>
      <c r="BV29" s="572">
        <f t="shared" si="155"/>
        <v>0</v>
      </c>
      <c r="BW29" s="572">
        <f t="shared" si="156"/>
        <v>0</v>
      </c>
      <c r="BX29" s="572">
        <f t="shared" si="157"/>
        <v>4.5</v>
      </c>
      <c r="BY29" s="572">
        <f t="shared" si="158"/>
        <v>0</v>
      </c>
      <c r="BZ29" s="572">
        <f t="shared" si="159"/>
        <v>0</v>
      </c>
      <c r="CA29" s="583">
        <f t="shared" si="160"/>
        <v>0</v>
      </c>
      <c r="CB29" s="572">
        <f t="shared" si="161"/>
        <v>675</v>
      </c>
      <c r="CC29" s="96"/>
      <c r="CD29" s="576"/>
      <c r="CE29" s="572">
        <f t="shared" si="162"/>
        <v>0.8</v>
      </c>
      <c r="CF29" s="572">
        <f t="shared" si="163"/>
        <v>2</v>
      </c>
      <c r="CG29" s="572">
        <f t="shared" si="164"/>
        <v>0</v>
      </c>
      <c r="CH29" s="572">
        <f t="shared" si="165"/>
        <v>0</v>
      </c>
      <c r="CI29" s="572">
        <f t="shared" si="166"/>
        <v>0</v>
      </c>
      <c r="CJ29" s="572">
        <f t="shared" si="167"/>
        <v>0</v>
      </c>
      <c r="CK29" s="572">
        <f t="shared" si="168"/>
        <v>0</v>
      </c>
      <c r="CL29" s="572">
        <f t="shared" si="169"/>
        <v>4</v>
      </c>
      <c r="CM29" s="572">
        <f t="shared" si="170"/>
        <v>0</v>
      </c>
      <c r="CN29" s="572">
        <f t="shared" si="171"/>
        <v>0</v>
      </c>
      <c r="CO29" s="583">
        <f t="shared" si="172"/>
        <v>0</v>
      </c>
      <c r="CP29" s="572">
        <f t="shared" si="173"/>
        <v>600</v>
      </c>
      <c r="CQ29" s="96"/>
      <c r="CR29" s="576"/>
      <c r="CS29" s="572">
        <f t="shared" si="174"/>
        <v>0.7</v>
      </c>
      <c r="CT29" s="572">
        <f t="shared" si="175"/>
        <v>1.75</v>
      </c>
      <c r="CU29" s="572">
        <f t="shared" si="176"/>
        <v>0</v>
      </c>
      <c r="CV29" s="572">
        <f t="shared" si="177"/>
        <v>0</v>
      </c>
      <c r="CW29" s="572">
        <f t="shared" si="178"/>
        <v>0</v>
      </c>
      <c r="CX29" s="572">
        <f t="shared" si="179"/>
        <v>0</v>
      </c>
      <c r="CY29" s="572">
        <f t="shared" si="180"/>
        <v>0</v>
      </c>
      <c r="CZ29" s="572">
        <f t="shared" si="181"/>
        <v>3.5</v>
      </c>
      <c r="DA29" s="572">
        <f t="shared" si="182"/>
        <v>0</v>
      </c>
      <c r="DB29" s="572">
        <f t="shared" si="183"/>
        <v>0</v>
      </c>
      <c r="DC29" s="583">
        <f t="shared" si="184"/>
        <v>0</v>
      </c>
      <c r="DD29" s="572">
        <f t="shared" si="185"/>
        <v>525</v>
      </c>
      <c r="DE29" s="96"/>
      <c r="DF29" s="576"/>
      <c r="DG29" s="572">
        <f t="shared" si="186"/>
        <v>0.6</v>
      </c>
      <c r="DH29" s="572">
        <f t="shared" si="187"/>
        <v>1.5</v>
      </c>
      <c r="DI29" s="572">
        <f t="shared" si="188"/>
        <v>0</v>
      </c>
      <c r="DJ29" s="572">
        <f t="shared" si="189"/>
        <v>0</v>
      </c>
      <c r="DK29" s="572">
        <f t="shared" si="190"/>
        <v>0</v>
      </c>
      <c r="DL29" s="572">
        <f t="shared" si="191"/>
        <v>0</v>
      </c>
      <c r="DM29" s="572">
        <f t="shared" si="192"/>
        <v>0</v>
      </c>
      <c r="DN29" s="572">
        <f t="shared" si="193"/>
        <v>3</v>
      </c>
      <c r="DO29" s="572">
        <f t="shared" si="194"/>
        <v>0</v>
      </c>
      <c r="DP29" s="572">
        <f t="shared" si="195"/>
        <v>0</v>
      </c>
      <c r="DQ29" s="577">
        <f t="shared" si="196"/>
        <v>0</v>
      </c>
      <c r="DR29" s="96">
        <f t="shared" si="197"/>
        <v>450</v>
      </c>
      <c r="DS29" s="96"/>
      <c r="DT29" s="96" t="e">
        <f t="shared" si="198"/>
        <v>#VALUE!</v>
      </c>
      <c r="DU29" s="96" t="e">
        <f t="shared" si="199"/>
        <v>#VALUE!</v>
      </c>
      <c r="DV29" s="96" t="e">
        <f t="shared" si="200"/>
        <v>#VALUE!</v>
      </c>
      <c r="DW29" s="96" t="e">
        <f t="shared" si="201"/>
        <v>#VALUE!</v>
      </c>
      <c r="DX29" s="96" t="e">
        <f t="shared" si="202"/>
        <v>#VALUE!</v>
      </c>
      <c r="DY29" s="96" t="e">
        <f t="shared" si="203"/>
        <v>#VALUE!</v>
      </c>
      <c r="DZ29" s="96" t="e">
        <f t="shared" si="204"/>
        <v>#VALUE!</v>
      </c>
      <c r="EA29" s="96" t="e">
        <f t="shared" si="205"/>
        <v>#VALUE!</v>
      </c>
      <c r="EB29" s="96" t="e">
        <f t="shared" si="206"/>
        <v>#VALUE!</v>
      </c>
      <c r="EC29" s="96" t="e">
        <f t="shared" si="207"/>
        <v>#VALUE!</v>
      </c>
      <c r="ED29" s="96" t="e">
        <f t="shared" si="208"/>
        <v>#VALUE!</v>
      </c>
      <c r="EE29" s="96" t="e">
        <f t="shared" si="209"/>
        <v>#VALUE!</v>
      </c>
    </row>
    <row r="30" spans="1:135">
      <c r="C30" s="1752">
        <v>204</v>
      </c>
      <c r="D30" s="1116" t="s">
        <v>97</v>
      </c>
      <c r="E30" s="322">
        <f t="shared" si="122"/>
        <v>11.120000000000001</v>
      </c>
      <c r="F30" s="322">
        <f t="shared" si="123"/>
        <v>27.78</v>
      </c>
      <c r="G30" s="322">
        <f t="shared" si="124"/>
        <v>15</v>
      </c>
      <c r="H30" s="323">
        <f t="shared" si="210"/>
        <v>1</v>
      </c>
      <c r="I30" s="322">
        <f t="shared" si="125"/>
        <v>0</v>
      </c>
      <c r="J30" s="322">
        <f t="shared" si="126"/>
        <v>1300</v>
      </c>
      <c r="K30" s="322">
        <f t="shared" si="127"/>
        <v>300</v>
      </c>
      <c r="L30" s="322">
        <f t="shared" si="128"/>
        <v>335</v>
      </c>
      <c r="M30" s="322">
        <f t="shared" si="129"/>
        <v>105.56</v>
      </c>
      <c r="N30" s="322">
        <f t="shared" si="130"/>
        <v>1.2</v>
      </c>
      <c r="O30" s="322">
        <f t="shared" si="131"/>
        <v>6</v>
      </c>
      <c r="P30" s="322">
        <f t="shared" si="132"/>
        <v>180</v>
      </c>
      <c r="Q30" s="1640">
        <f t="shared" si="133"/>
        <v>8333.34</v>
      </c>
      <c r="R30" s="1640">
        <f t="shared" si="211"/>
        <v>0</v>
      </c>
      <c r="S30" s="1640"/>
      <c r="T30" s="190"/>
      <c r="U30" s="568">
        <v>10</v>
      </c>
      <c r="V30" s="563">
        <v>25</v>
      </c>
      <c r="W30" s="563">
        <v>15</v>
      </c>
      <c r="X30" s="563">
        <v>1</v>
      </c>
      <c r="Y30" s="563">
        <v>0</v>
      </c>
      <c r="Z30" s="563">
        <v>1300</v>
      </c>
      <c r="AA30" s="563">
        <v>300</v>
      </c>
      <c r="AB30" s="563">
        <v>335</v>
      </c>
      <c r="AC30" s="563">
        <v>100</v>
      </c>
      <c r="AD30" s="563">
        <v>1.2</v>
      </c>
      <c r="AE30" s="563">
        <v>6</v>
      </c>
      <c r="AF30" s="563">
        <v>180</v>
      </c>
      <c r="AG30" s="850">
        <v>7500</v>
      </c>
      <c r="AH30" s="563"/>
      <c r="AI30" s="563"/>
      <c r="AL30" s="576">
        <f t="shared" si="101"/>
        <v>1</v>
      </c>
      <c r="AM30" s="572">
        <f t="shared" si="135"/>
        <v>1.1111111111111112</v>
      </c>
      <c r="AN30" s="572">
        <f t="shared" si="136"/>
        <v>2.7777777777777777</v>
      </c>
      <c r="AO30" s="572"/>
      <c r="AP30" s="572"/>
      <c r="AQ30" s="572"/>
      <c r="AR30" s="572"/>
      <c r="AS30" s="572"/>
      <c r="AT30" s="572">
        <f>SUM((AC30/18))</f>
        <v>5.5555555555555554</v>
      </c>
      <c r="AU30" s="572"/>
      <c r="AV30" s="572"/>
      <c r="AW30" s="583"/>
      <c r="AX30" s="572">
        <f t="shared" si="137"/>
        <v>833.33333333333337</v>
      </c>
      <c r="AY30" s="572"/>
      <c r="AZ30" s="572"/>
      <c r="BA30" s="96"/>
      <c r="BB30" s="576"/>
      <c r="BC30" s="572">
        <f t="shared" si="138"/>
        <v>1</v>
      </c>
      <c r="BD30" s="572">
        <f t="shared" si="139"/>
        <v>2.5</v>
      </c>
      <c r="BE30" s="572">
        <f t="shared" si="140"/>
        <v>0</v>
      </c>
      <c r="BF30" s="572">
        <f t="shared" si="141"/>
        <v>0</v>
      </c>
      <c r="BG30" s="572">
        <f t="shared" si="142"/>
        <v>0</v>
      </c>
      <c r="BH30" s="572">
        <f t="shared" si="143"/>
        <v>0</v>
      </c>
      <c r="BI30" s="572">
        <f t="shared" si="144"/>
        <v>0</v>
      </c>
      <c r="BJ30" s="572">
        <f t="shared" si="145"/>
        <v>5</v>
      </c>
      <c r="BK30" s="572">
        <f t="shared" si="146"/>
        <v>0</v>
      </c>
      <c r="BL30" s="572">
        <f t="shared" si="147"/>
        <v>0</v>
      </c>
      <c r="BM30" s="583">
        <f t="shared" si="148"/>
        <v>0</v>
      </c>
      <c r="BN30" s="572">
        <f t="shared" si="149"/>
        <v>750</v>
      </c>
      <c r="BO30" s="96"/>
      <c r="BP30" s="576"/>
      <c r="BQ30" s="572">
        <f t="shared" si="150"/>
        <v>0.9</v>
      </c>
      <c r="BR30" s="572">
        <f t="shared" si="151"/>
        <v>2.25</v>
      </c>
      <c r="BS30" s="572">
        <f t="shared" si="152"/>
        <v>0</v>
      </c>
      <c r="BT30" s="572">
        <f t="shared" si="153"/>
        <v>0</v>
      </c>
      <c r="BU30" s="572">
        <f t="shared" si="154"/>
        <v>0</v>
      </c>
      <c r="BV30" s="572">
        <f t="shared" si="155"/>
        <v>0</v>
      </c>
      <c r="BW30" s="572">
        <f t="shared" si="156"/>
        <v>0</v>
      </c>
      <c r="BX30" s="572">
        <f t="shared" si="157"/>
        <v>4.5</v>
      </c>
      <c r="BY30" s="572">
        <f t="shared" si="158"/>
        <v>0</v>
      </c>
      <c r="BZ30" s="572">
        <f t="shared" si="159"/>
        <v>0</v>
      </c>
      <c r="CA30" s="583">
        <f t="shared" si="160"/>
        <v>0</v>
      </c>
      <c r="CB30" s="572">
        <f t="shared" si="161"/>
        <v>675</v>
      </c>
      <c r="CC30" s="96"/>
      <c r="CD30" s="576"/>
      <c r="CE30" s="572">
        <f t="shared" si="162"/>
        <v>0.8</v>
      </c>
      <c r="CF30" s="572">
        <f t="shared" si="163"/>
        <v>2</v>
      </c>
      <c r="CG30" s="572">
        <f t="shared" si="164"/>
        <v>0</v>
      </c>
      <c r="CH30" s="572">
        <f t="shared" si="165"/>
        <v>0</v>
      </c>
      <c r="CI30" s="572">
        <f t="shared" si="166"/>
        <v>0</v>
      </c>
      <c r="CJ30" s="572">
        <f t="shared" si="167"/>
        <v>0</v>
      </c>
      <c r="CK30" s="572">
        <f t="shared" si="168"/>
        <v>0</v>
      </c>
      <c r="CL30" s="572">
        <f t="shared" si="169"/>
        <v>4</v>
      </c>
      <c r="CM30" s="572">
        <f t="shared" si="170"/>
        <v>0</v>
      </c>
      <c r="CN30" s="572">
        <f t="shared" si="171"/>
        <v>0</v>
      </c>
      <c r="CO30" s="583">
        <f t="shared" si="172"/>
        <v>0</v>
      </c>
      <c r="CP30" s="572">
        <f t="shared" si="173"/>
        <v>600</v>
      </c>
      <c r="CQ30" s="96"/>
      <c r="CR30" s="576"/>
      <c r="CS30" s="572">
        <f t="shared" si="174"/>
        <v>0.7</v>
      </c>
      <c r="CT30" s="572">
        <f t="shared" si="175"/>
        <v>1.75</v>
      </c>
      <c r="CU30" s="572">
        <f t="shared" si="176"/>
        <v>0</v>
      </c>
      <c r="CV30" s="572">
        <f t="shared" si="177"/>
        <v>0</v>
      </c>
      <c r="CW30" s="572">
        <f t="shared" si="178"/>
        <v>0</v>
      </c>
      <c r="CX30" s="572">
        <f t="shared" si="179"/>
        <v>0</v>
      </c>
      <c r="CY30" s="572">
        <f t="shared" si="180"/>
        <v>0</v>
      </c>
      <c r="CZ30" s="572">
        <f t="shared" si="181"/>
        <v>3.5</v>
      </c>
      <c r="DA30" s="572">
        <f t="shared" si="182"/>
        <v>0</v>
      </c>
      <c r="DB30" s="572">
        <f t="shared" si="183"/>
        <v>0</v>
      </c>
      <c r="DC30" s="583">
        <f t="shared" si="184"/>
        <v>0</v>
      </c>
      <c r="DD30" s="572">
        <f t="shared" si="185"/>
        <v>525</v>
      </c>
      <c r="DE30" s="96"/>
      <c r="DF30" s="576"/>
      <c r="DG30" s="572">
        <f t="shared" si="186"/>
        <v>0.6</v>
      </c>
      <c r="DH30" s="572">
        <f t="shared" si="187"/>
        <v>1.5</v>
      </c>
      <c r="DI30" s="572">
        <f t="shared" si="188"/>
        <v>0</v>
      </c>
      <c r="DJ30" s="572">
        <f t="shared" si="189"/>
        <v>0</v>
      </c>
      <c r="DK30" s="572">
        <f t="shared" si="190"/>
        <v>0</v>
      </c>
      <c r="DL30" s="572">
        <f t="shared" si="191"/>
        <v>0</v>
      </c>
      <c r="DM30" s="572">
        <f t="shared" si="192"/>
        <v>0</v>
      </c>
      <c r="DN30" s="572">
        <f t="shared" si="193"/>
        <v>3</v>
      </c>
      <c r="DO30" s="572">
        <f t="shared" si="194"/>
        <v>0</v>
      </c>
      <c r="DP30" s="572">
        <f t="shared" si="195"/>
        <v>0</v>
      </c>
      <c r="DQ30" s="577">
        <f t="shared" si="196"/>
        <v>0</v>
      </c>
      <c r="DR30" s="96">
        <f t="shared" si="197"/>
        <v>450</v>
      </c>
      <c r="DS30" s="96"/>
      <c r="DT30" s="96" t="e">
        <f t="shared" si="198"/>
        <v>#VALUE!</v>
      </c>
      <c r="DU30" s="96" t="e">
        <f t="shared" si="199"/>
        <v>#VALUE!</v>
      </c>
      <c r="DV30" s="96" t="e">
        <f t="shared" si="200"/>
        <v>#VALUE!</v>
      </c>
      <c r="DW30" s="96" t="e">
        <f t="shared" si="201"/>
        <v>#VALUE!</v>
      </c>
      <c r="DX30" s="96" t="e">
        <f t="shared" si="202"/>
        <v>#VALUE!</v>
      </c>
      <c r="DY30" s="96" t="e">
        <f t="shared" si="203"/>
        <v>#VALUE!</v>
      </c>
      <c r="DZ30" s="96" t="e">
        <f t="shared" si="204"/>
        <v>#VALUE!</v>
      </c>
      <c r="EA30" s="96" t="e">
        <f t="shared" si="205"/>
        <v>#VALUE!</v>
      </c>
      <c r="EB30" s="96" t="e">
        <f t="shared" si="206"/>
        <v>#VALUE!</v>
      </c>
      <c r="EC30" s="96" t="e">
        <f t="shared" si="207"/>
        <v>#VALUE!</v>
      </c>
      <c r="ED30" s="96" t="e">
        <f t="shared" si="208"/>
        <v>#VALUE!</v>
      </c>
      <c r="EE30" s="96" t="e">
        <f t="shared" si="209"/>
        <v>#VALUE!</v>
      </c>
    </row>
    <row r="31" spans="1:135" s="368" customFormat="1">
      <c r="B31" s="173"/>
      <c r="C31" s="1755">
        <v>205</v>
      </c>
      <c r="D31" s="1122" t="s">
        <v>1015</v>
      </c>
      <c r="E31" s="322">
        <f>E32*(1+5/100)</f>
        <v>11.676000000000002</v>
      </c>
      <c r="F31" s="322">
        <f>F32*(1+5/100)</f>
        <v>29.169000000000004</v>
      </c>
      <c r="G31" s="322">
        <f>G32</f>
        <v>15</v>
      </c>
      <c r="H31" s="323">
        <f>H32</f>
        <v>1</v>
      </c>
      <c r="I31" s="322">
        <f>I32</f>
        <v>0</v>
      </c>
      <c r="J31" s="322">
        <f>J32</f>
        <v>1150</v>
      </c>
      <c r="K31" s="322">
        <f t="shared" si="127"/>
        <v>0</v>
      </c>
      <c r="L31" s="322">
        <f t="shared" ref="L31:Q31" si="212">L32</f>
        <v>335</v>
      </c>
      <c r="M31" s="322">
        <f t="shared" si="212"/>
        <v>100</v>
      </c>
      <c r="N31" s="1123">
        <f t="shared" si="212"/>
        <v>1.5</v>
      </c>
      <c r="O31" s="322">
        <f t="shared" si="212"/>
        <v>6</v>
      </c>
      <c r="P31" s="322">
        <f t="shared" si="212"/>
        <v>180</v>
      </c>
      <c r="Q31" s="1640">
        <f t="shared" si="212"/>
        <v>8333.34</v>
      </c>
      <c r="R31" s="1640">
        <f t="shared" si="211"/>
        <v>0</v>
      </c>
      <c r="S31" s="1640"/>
      <c r="T31" s="190"/>
      <c r="U31" s="568"/>
      <c r="V31" s="563"/>
      <c r="W31" s="563"/>
      <c r="X31" s="563"/>
      <c r="Y31" s="563"/>
      <c r="Z31" s="563"/>
      <c r="AA31" s="563"/>
      <c r="AB31" s="563">
        <v>335</v>
      </c>
      <c r="AC31" s="563">
        <v>100</v>
      </c>
      <c r="AD31" s="563">
        <v>1.5</v>
      </c>
      <c r="AE31" s="563">
        <v>6</v>
      </c>
      <c r="AF31" s="563">
        <v>180</v>
      </c>
      <c r="AG31" s="850">
        <v>7500</v>
      </c>
      <c r="AH31" s="563"/>
      <c r="AI31" s="563"/>
      <c r="AJ31" s="92"/>
      <c r="AK31" s="92"/>
      <c r="AL31" s="576"/>
      <c r="AM31" s="572"/>
      <c r="AN31" s="572"/>
      <c r="AO31" s="572"/>
      <c r="AP31" s="572"/>
      <c r="AQ31" s="572"/>
      <c r="AR31" s="572"/>
      <c r="AS31" s="572"/>
      <c r="AT31" s="572"/>
      <c r="AU31" s="572"/>
      <c r="AV31" s="572"/>
      <c r="AW31" s="583"/>
      <c r="AX31" s="572"/>
      <c r="AY31" s="572"/>
      <c r="AZ31" s="572"/>
      <c r="BA31" s="96"/>
      <c r="BB31" s="576"/>
      <c r="BC31" s="572"/>
      <c r="BD31" s="572"/>
      <c r="BE31" s="572"/>
      <c r="BF31" s="572"/>
      <c r="BG31" s="572"/>
      <c r="BH31" s="572"/>
      <c r="BI31" s="572"/>
      <c r="BJ31" s="572"/>
      <c r="BK31" s="572"/>
      <c r="BL31" s="572"/>
      <c r="BM31" s="583"/>
      <c r="BN31" s="572"/>
      <c r="BO31" s="96"/>
      <c r="BP31" s="576"/>
      <c r="BQ31" s="572"/>
      <c r="BR31" s="572"/>
      <c r="BS31" s="572"/>
      <c r="BT31" s="572"/>
      <c r="BU31" s="572"/>
      <c r="BV31" s="572"/>
      <c r="BW31" s="572"/>
      <c r="BX31" s="572"/>
      <c r="BY31" s="572"/>
      <c r="BZ31" s="572"/>
      <c r="CA31" s="583"/>
      <c r="CB31" s="572"/>
      <c r="CC31" s="96"/>
      <c r="CD31" s="576"/>
      <c r="CE31" s="572"/>
      <c r="CF31" s="572"/>
      <c r="CG31" s="572"/>
      <c r="CH31" s="572"/>
      <c r="CI31" s="572"/>
      <c r="CJ31" s="572"/>
      <c r="CK31" s="572"/>
      <c r="CL31" s="572"/>
      <c r="CM31" s="572"/>
      <c r="CN31" s="572"/>
      <c r="CO31" s="583"/>
      <c r="CP31" s="572"/>
      <c r="CQ31" s="96"/>
      <c r="CR31" s="576"/>
      <c r="CS31" s="572"/>
      <c r="CT31" s="572"/>
      <c r="CU31" s="572"/>
      <c r="CV31" s="572"/>
      <c r="CW31" s="572"/>
      <c r="CX31" s="572"/>
      <c r="CY31" s="572"/>
      <c r="CZ31" s="572"/>
      <c r="DA31" s="572"/>
      <c r="DB31" s="572"/>
      <c r="DC31" s="583"/>
      <c r="DD31" s="572"/>
      <c r="DE31" s="96"/>
      <c r="DF31" s="576"/>
      <c r="DG31" s="572"/>
      <c r="DH31" s="572"/>
      <c r="DI31" s="572"/>
      <c r="DJ31" s="572"/>
      <c r="DK31" s="572"/>
      <c r="DL31" s="572"/>
      <c r="DM31" s="572"/>
      <c r="DN31" s="572"/>
      <c r="DO31" s="572"/>
      <c r="DP31" s="572"/>
      <c r="DQ31" s="577"/>
      <c r="DR31" s="96"/>
      <c r="DS31" s="96"/>
      <c r="DT31" s="96"/>
      <c r="DU31" s="96"/>
      <c r="DV31" s="96"/>
      <c r="DW31" s="96"/>
      <c r="DX31" s="96"/>
      <c r="DY31" s="96"/>
      <c r="DZ31" s="96"/>
      <c r="EA31" s="96"/>
      <c r="EB31" s="96"/>
      <c r="EC31" s="96"/>
      <c r="ED31" s="96"/>
      <c r="EE31" s="96"/>
    </row>
    <row r="32" spans="1:135">
      <c r="C32" s="1752">
        <v>206</v>
      </c>
      <c r="D32" s="1116" t="s">
        <v>98</v>
      </c>
      <c r="E32" s="322">
        <f t="shared" si="122"/>
        <v>11.120000000000001</v>
      </c>
      <c r="F32" s="322">
        <f t="shared" si="123"/>
        <v>27.78</v>
      </c>
      <c r="G32" s="322">
        <f t="shared" si="124"/>
        <v>15</v>
      </c>
      <c r="H32" s="323">
        <f t="shared" si="210"/>
        <v>1</v>
      </c>
      <c r="I32" s="322">
        <f t="shared" si="125"/>
        <v>0</v>
      </c>
      <c r="J32" s="322">
        <f t="shared" si="126"/>
        <v>1150</v>
      </c>
      <c r="K32" s="322">
        <f t="shared" si="127"/>
        <v>477.78</v>
      </c>
      <c r="L32" s="322">
        <f t="shared" si="128"/>
        <v>335</v>
      </c>
      <c r="M32" s="322">
        <f t="shared" si="129"/>
        <v>100</v>
      </c>
      <c r="N32" s="322">
        <f t="shared" si="130"/>
        <v>1.5</v>
      </c>
      <c r="O32" s="322">
        <f t="shared" si="131"/>
        <v>6</v>
      </c>
      <c r="P32" s="322">
        <f t="shared" si="132"/>
        <v>180</v>
      </c>
      <c r="Q32" s="1640">
        <f t="shared" si="133"/>
        <v>8333.34</v>
      </c>
      <c r="R32" s="1640">
        <f t="shared" si="211"/>
        <v>0</v>
      </c>
      <c r="S32" s="1640"/>
      <c r="T32" s="190"/>
      <c r="U32" s="568">
        <v>10</v>
      </c>
      <c r="V32" s="563">
        <v>25</v>
      </c>
      <c r="W32" s="563">
        <v>15</v>
      </c>
      <c r="X32" s="563">
        <v>1</v>
      </c>
      <c r="Y32" s="563">
        <v>0</v>
      </c>
      <c r="Z32" s="563">
        <v>1150</v>
      </c>
      <c r="AA32" s="563">
        <v>450</v>
      </c>
      <c r="AB32" s="563">
        <v>335</v>
      </c>
      <c r="AC32" s="563">
        <v>100</v>
      </c>
      <c r="AD32" s="563">
        <v>1.5</v>
      </c>
      <c r="AE32" s="563">
        <v>6</v>
      </c>
      <c r="AF32" s="563">
        <v>180</v>
      </c>
      <c r="AG32" s="850">
        <v>7500</v>
      </c>
      <c r="AH32" s="563"/>
      <c r="AI32" s="563"/>
      <c r="AJ32" s="96"/>
      <c r="AK32" s="96"/>
      <c r="AL32" s="576">
        <f t="shared" si="101"/>
        <v>1</v>
      </c>
      <c r="AM32" s="572">
        <f t="shared" si="135"/>
        <v>1.1111111111111112</v>
      </c>
      <c r="AN32" s="572">
        <f t="shared" si="136"/>
        <v>2.7777777777777777</v>
      </c>
      <c r="AO32" s="572"/>
      <c r="AP32" s="572"/>
      <c r="AQ32" s="572"/>
      <c r="AR32" s="572">
        <f>SUM((AR28*1.25))</f>
        <v>27.777777777777779</v>
      </c>
      <c r="AS32" s="572"/>
      <c r="AT32" s="572"/>
      <c r="AU32" s="572"/>
      <c r="AV32" s="572"/>
      <c r="AW32" s="583"/>
      <c r="AX32" s="572">
        <f t="shared" si="137"/>
        <v>833.33333333333337</v>
      </c>
      <c r="AY32" s="572"/>
      <c r="AZ32" s="572"/>
      <c r="BA32" s="96"/>
      <c r="BB32" s="576"/>
      <c r="BC32" s="572">
        <f t="shared" si="138"/>
        <v>1</v>
      </c>
      <c r="BD32" s="572">
        <f t="shared" si="139"/>
        <v>2.5</v>
      </c>
      <c r="BE32" s="572">
        <f t="shared" si="140"/>
        <v>0</v>
      </c>
      <c r="BF32" s="572">
        <f t="shared" si="141"/>
        <v>0</v>
      </c>
      <c r="BG32" s="572">
        <f t="shared" si="142"/>
        <v>0</v>
      </c>
      <c r="BH32" s="572">
        <f t="shared" si="143"/>
        <v>25</v>
      </c>
      <c r="BI32" s="572">
        <f t="shared" si="144"/>
        <v>0</v>
      </c>
      <c r="BJ32" s="572">
        <f t="shared" si="145"/>
        <v>0</v>
      </c>
      <c r="BK32" s="572">
        <f t="shared" si="146"/>
        <v>0</v>
      </c>
      <c r="BL32" s="572">
        <f t="shared" si="147"/>
        <v>0</v>
      </c>
      <c r="BM32" s="583">
        <f t="shared" si="148"/>
        <v>0</v>
      </c>
      <c r="BN32" s="572">
        <f t="shared" si="149"/>
        <v>750</v>
      </c>
      <c r="BO32" s="96"/>
      <c r="BP32" s="576"/>
      <c r="BQ32" s="572">
        <f t="shared" si="150"/>
        <v>0.9</v>
      </c>
      <c r="BR32" s="572">
        <f t="shared" si="151"/>
        <v>2.25</v>
      </c>
      <c r="BS32" s="572">
        <f t="shared" si="152"/>
        <v>0</v>
      </c>
      <c r="BT32" s="572">
        <f t="shared" si="153"/>
        <v>0</v>
      </c>
      <c r="BU32" s="572">
        <f t="shared" si="154"/>
        <v>0</v>
      </c>
      <c r="BV32" s="572">
        <f t="shared" si="155"/>
        <v>22.5</v>
      </c>
      <c r="BW32" s="572">
        <f t="shared" si="156"/>
        <v>0</v>
      </c>
      <c r="BX32" s="572">
        <f t="shared" si="157"/>
        <v>0</v>
      </c>
      <c r="BY32" s="572">
        <f t="shared" si="158"/>
        <v>0</v>
      </c>
      <c r="BZ32" s="572">
        <f t="shared" si="159"/>
        <v>0</v>
      </c>
      <c r="CA32" s="583">
        <f t="shared" si="160"/>
        <v>0</v>
      </c>
      <c r="CB32" s="572">
        <f t="shared" si="161"/>
        <v>675</v>
      </c>
      <c r="CC32" s="96"/>
      <c r="CD32" s="576"/>
      <c r="CE32" s="572">
        <f t="shared" si="162"/>
        <v>0.8</v>
      </c>
      <c r="CF32" s="572">
        <f t="shared" si="163"/>
        <v>2</v>
      </c>
      <c r="CG32" s="572">
        <f t="shared" si="164"/>
        <v>0</v>
      </c>
      <c r="CH32" s="572">
        <f t="shared" si="165"/>
        <v>0</v>
      </c>
      <c r="CI32" s="572">
        <f t="shared" si="166"/>
        <v>0</v>
      </c>
      <c r="CJ32" s="572">
        <f t="shared" si="167"/>
        <v>20</v>
      </c>
      <c r="CK32" s="572">
        <f t="shared" si="168"/>
        <v>0</v>
      </c>
      <c r="CL32" s="572">
        <f t="shared" si="169"/>
        <v>0</v>
      </c>
      <c r="CM32" s="572">
        <f t="shared" si="170"/>
        <v>0</v>
      </c>
      <c r="CN32" s="572">
        <f t="shared" si="171"/>
        <v>0</v>
      </c>
      <c r="CO32" s="583">
        <f t="shared" si="172"/>
        <v>0</v>
      </c>
      <c r="CP32" s="572">
        <f t="shared" si="173"/>
        <v>600</v>
      </c>
      <c r="CQ32" s="96"/>
      <c r="CR32" s="576"/>
      <c r="CS32" s="572">
        <f t="shared" si="174"/>
        <v>0.7</v>
      </c>
      <c r="CT32" s="572">
        <f t="shared" si="175"/>
        <v>1.75</v>
      </c>
      <c r="CU32" s="572">
        <f t="shared" si="176"/>
        <v>0</v>
      </c>
      <c r="CV32" s="572">
        <f t="shared" si="177"/>
        <v>0</v>
      </c>
      <c r="CW32" s="572">
        <f t="shared" si="178"/>
        <v>0</v>
      </c>
      <c r="CX32" s="572">
        <f t="shared" si="179"/>
        <v>17.5</v>
      </c>
      <c r="CY32" s="572">
        <f t="shared" si="180"/>
        <v>0</v>
      </c>
      <c r="CZ32" s="572">
        <f t="shared" si="181"/>
        <v>0</v>
      </c>
      <c r="DA32" s="572">
        <f t="shared" si="182"/>
        <v>0</v>
      </c>
      <c r="DB32" s="572">
        <f t="shared" si="183"/>
        <v>0</v>
      </c>
      <c r="DC32" s="583">
        <f t="shared" si="184"/>
        <v>0</v>
      </c>
      <c r="DD32" s="572">
        <f t="shared" si="185"/>
        <v>525</v>
      </c>
      <c r="DE32" s="96"/>
      <c r="DF32" s="576"/>
      <c r="DG32" s="572">
        <f t="shared" si="186"/>
        <v>0.6</v>
      </c>
      <c r="DH32" s="572">
        <f t="shared" si="187"/>
        <v>1.5</v>
      </c>
      <c r="DI32" s="572">
        <f t="shared" si="188"/>
        <v>0</v>
      </c>
      <c r="DJ32" s="572">
        <f t="shared" si="189"/>
        <v>0</v>
      </c>
      <c r="DK32" s="572">
        <f t="shared" si="190"/>
        <v>0</v>
      </c>
      <c r="DL32" s="572">
        <f t="shared" si="191"/>
        <v>15</v>
      </c>
      <c r="DM32" s="572">
        <f t="shared" si="192"/>
        <v>0</v>
      </c>
      <c r="DN32" s="572">
        <f t="shared" si="193"/>
        <v>0</v>
      </c>
      <c r="DO32" s="572">
        <f t="shared" si="194"/>
        <v>0</v>
      </c>
      <c r="DP32" s="572">
        <f t="shared" si="195"/>
        <v>0</v>
      </c>
      <c r="DQ32" s="577">
        <f t="shared" si="196"/>
        <v>0</v>
      </c>
      <c r="DR32" s="96">
        <f t="shared" si="197"/>
        <v>450</v>
      </c>
      <c r="DS32" s="96"/>
      <c r="DT32" s="96" t="e">
        <f t="shared" si="198"/>
        <v>#VALUE!</v>
      </c>
      <c r="DU32" s="96" t="e">
        <f t="shared" si="199"/>
        <v>#VALUE!</v>
      </c>
      <c r="DV32" s="96" t="e">
        <f t="shared" si="200"/>
        <v>#VALUE!</v>
      </c>
      <c r="DW32" s="96" t="e">
        <f t="shared" si="201"/>
        <v>#VALUE!</v>
      </c>
      <c r="DX32" s="96" t="e">
        <f t="shared" si="202"/>
        <v>#VALUE!</v>
      </c>
      <c r="DY32" s="96" t="e">
        <f t="shared" si="203"/>
        <v>#VALUE!</v>
      </c>
      <c r="DZ32" s="96" t="e">
        <f t="shared" si="204"/>
        <v>#VALUE!</v>
      </c>
      <c r="EA32" s="96" t="e">
        <f t="shared" si="205"/>
        <v>#VALUE!</v>
      </c>
      <c r="EB32" s="96" t="e">
        <f t="shared" si="206"/>
        <v>#VALUE!</v>
      </c>
      <c r="EC32" s="96" t="e">
        <f t="shared" si="207"/>
        <v>#VALUE!</v>
      </c>
      <c r="ED32" s="96" t="e">
        <f t="shared" si="208"/>
        <v>#VALUE!</v>
      </c>
      <c r="EE32" s="96" t="e">
        <f t="shared" si="209"/>
        <v>#VALUE!</v>
      </c>
    </row>
    <row r="33" spans="2:135">
      <c r="C33" s="1755">
        <v>207</v>
      </c>
      <c r="D33" s="1116" t="s">
        <v>99</v>
      </c>
      <c r="E33" s="322">
        <f t="shared" si="122"/>
        <v>11.120000000000001</v>
      </c>
      <c r="F33" s="322">
        <f t="shared" si="123"/>
        <v>27.78</v>
      </c>
      <c r="G33" s="322">
        <f t="shared" si="124"/>
        <v>15</v>
      </c>
      <c r="H33" s="323">
        <f t="shared" si="210"/>
        <v>1</v>
      </c>
      <c r="I33" s="322">
        <f t="shared" si="125"/>
        <v>0</v>
      </c>
      <c r="J33" s="322">
        <f t="shared" si="126"/>
        <v>1150</v>
      </c>
      <c r="K33" s="322">
        <f t="shared" si="127"/>
        <v>450</v>
      </c>
      <c r="L33" s="322">
        <f t="shared" si="128"/>
        <v>335</v>
      </c>
      <c r="M33" s="322">
        <f t="shared" si="129"/>
        <v>105.56</v>
      </c>
      <c r="N33" s="322">
        <f t="shared" si="130"/>
        <v>1.5</v>
      </c>
      <c r="O33" s="322">
        <f t="shared" si="131"/>
        <v>6</v>
      </c>
      <c r="P33" s="322">
        <f t="shared" si="132"/>
        <v>180</v>
      </c>
      <c r="Q33" s="1640">
        <f t="shared" si="133"/>
        <v>8333.34</v>
      </c>
      <c r="R33" s="1640">
        <f t="shared" si="211"/>
        <v>0</v>
      </c>
      <c r="S33" s="1640"/>
      <c r="T33" s="190"/>
      <c r="U33" s="568">
        <v>10</v>
      </c>
      <c r="V33" s="563">
        <v>25</v>
      </c>
      <c r="W33" s="563">
        <v>15</v>
      </c>
      <c r="X33" s="563">
        <v>1</v>
      </c>
      <c r="Y33" s="563">
        <v>0</v>
      </c>
      <c r="Z33" s="563">
        <v>1150</v>
      </c>
      <c r="AA33" s="563">
        <v>450</v>
      </c>
      <c r="AB33" s="563">
        <v>335</v>
      </c>
      <c r="AC33" s="563">
        <v>100</v>
      </c>
      <c r="AD33" s="563">
        <v>1.5</v>
      </c>
      <c r="AE33" s="563">
        <v>6</v>
      </c>
      <c r="AF33" s="563">
        <v>180</v>
      </c>
      <c r="AG33" s="850">
        <v>7500</v>
      </c>
      <c r="AH33" s="563"/>
      <c r="AI33" s="563"/>
      <c r="AJ33" s="96"/>
      <c r="AK33" s="96"/>
      <c r="AL33" s="576">
        <f t="shared" si="101"/>
        <v>1</v>
      </c>
      <c r="AM33" s="572">
        <f t="shared" si="135"/>
        <v>1.1111111111111112</v>
      </c>
      <c r="AN33" s="572">
        <f t="shared" si="136"/>
        <v>2.7777777777777777</v>
      </c>
      <c r="AO33" s="572"/>
      <c r="AP33" s="572"/>
      <c r="AQ33" s="572"/>
      <c r="AR33" s="572"/>
      <c r="AS33" s="572"/>
      <c r="AT33" s="572">
        <f>SUM((AC33/18))</f>
        <v>5.5555555555555554</v>
      </c>
      <c r="AU33" s="572"/>
      <c r="AV33" s="572"/>
      <c r="AW33" s="583"/>
      <c r="AX33" s="572">
        <f t="shared" si="137"/>
        <v>833.33333333333337</v>
      </c>
      <c r="AY33" s="572"/>
      <c r="AZ33" s="572"/>
      <c r="BA33" s="96"/>
      <c r="BB33" s="576"/>
      <c r="BC33" s="572">
        <f t="shared" si="138"/>
        <v>1</v>
      </c>
      <c r="BD33" s="572">
        <f t="shared" si="139"/>
        <v>2.5</v>
      </c>
      <c r="BE33" s="572">
        <f t="shared" si="140"/>
        <v>0</v>
      </c>
      <c r="BF33" s="572">
        <f t="shared" si="141"/>
        <v>0</v>
      </c>
      <c r="BG33" s="572">
        <f t="shared" si="142"/>
        <v>0</v>
      </c>
      <c r="BH33" s="572">
        <f t="shared" si="143"/>
        <v>0</v>
      </c>
      <c r="BI33" s="572">
        <f t="shared" si="144"/>
        <v>0</v>
      </c>
      <c r="BJ33" s="572">
        <f t="shared" si="145"/>
        <v>5</v>
      </c>
      <c r="BK33" s="572">
        <f t="shared" si="146"/>
        <v>0</v>
      </c>
      <c r="BL33" s="572">
        <f t="shared" si="147"/>
        <v>0</v>
      </c>
      <c r="BM33" s="583">
        <f t="shared" si="148"/>
        <v>0</v>
      </c>
      <c r="BN33" s="572">
        <f t="shared" si="149"/>
        <v>750</v>
      </c>
      <c r="BO33" s="96"/>
      <c r="BP33" s="576"/>
      <c r="BQ33" s="572">
        <f t="shared" si="150"/>
        <v>0.9</v>
      </c>
      <c r="BR33" s="572">
        <f t="shared" si="151"/>
        <v>2.25</v>
      </c>
      <c r="BS33" s="572">
        <f t="shared" si="152"/>
        <v>0</v>
      </c>
      <c r="BT33" s="572">
        <f t="shared" si="153"/>
        <v>0</v>
      </c>
      <c r="BU33" s="572">
        <f t="shared" si="154"/>
        <v>0</v>
      </c>
      <c r="BV33" s="572">
        <f t="shared" si="155"/>
        <v>0</v>
      </c>
      <c r="BW33" s="572">
        <f t="shared" si="156"/>
        <v>0</v>
      </c>
      <c r="BX33" s="572">
        <f t="shared" si="157"/>
        <v>4.5</v>
      </c>
      <c r="BY33" s="572">
        <f t="shared" si="158"/>
        <v>0</v>
      </c>
      <c r="BZ33" s="572">
        <f t="shared" si="159"/>
        <v>0</v>
      </c>
      <c r="CA33" s="583">
        <f t="shared" si="160"/>
        <v>0</v>
      </c>
      <c r="CB33" s="572">
        <f t="shared" si="161"/>
        <v>675</v>
      </c>
      <c r="CC33" s="96"/>
      <c r="CD33" s="576"/>
      <c r="CE33" s="572">
        <f t="shared" si="162"/>
        <v>0.8</v>
      </c>
      <c r="CF33" s="572">
        <f t="shared" si="163"/>
        <v>2</v>
      </c>
      <c r="CG33" s="572">
        <f t="shared" si="164"/>
        <v>0</v>
      </c>
      <c r="CH33" s="572">
        <f t="shared" si="165"/>
        <v>0</v>
      </c>
      <c r="CI33" s="572">
        <f t="shared" si="166"/>
        <v>0</v>
      </c>
      <c r="CJ33" s="572">
        <f t="shared" si="167"/>
        <v>0</v>
      </c>
      <c r="CK33" s="572">
        <f t="shared" si="168"/>
        <v>0</v>
      </c>
      <c r="CL33" s="572">
        <f t="shared" si="169"/>
        <v>4</v>
      </c>
      <c r="CM33" s="572">
        <f t="shared" si="170"/>
        <v>0</v>
      </c>
      <c r="CN33" s="572">
        <f t="shared" si="171"/>
        <v>0</v>
      </c>
      <c r="CO33" s="583">
        <f t="shared" si="172"/>
        <v>0</v>
      </c>
      <c r="CP33" s="572">
        <f t="shared" si="173"/>
        <v>600</v>
      </c>
      <c r="CQ33" s="96"/>
      <c r="CR33" s="576"/>
      <c r="CS33" s="572">
        <f t="shared" si="174"/>
        <v>0.7</v>
      </c>
      <c r="CT33" s="572">
        <f t="shared" si="175"/>
        <v>1.75</v>
      </c>
      <c r="CU33" s="572">
        <f t="shared" si="176"/>
        <v>0</v>
      </c>
      <c r="CV33" s="572">
        <f t="shared" si="177"/>
        <v>0</v>
      </c>
      <c r="CW33" s="572">
        <f t="shared" si="178"/>
        <v>0</v>
      </c>
      <c r="CX33" s="572">
        <f t="shared" si="179"/>
        <v>0</v>
      </c>
      <c r="CY33" s="572">
        <f t="shared" si="180"/>
        <v>0</v>
      </c>
      <c r="CZ33" s="572">
        <f t="shared" si="181"/>
        <v>3.5</v>
      </c>
      <c r="DA33" s="572">
        <f t="shared" si="182"/>
        <v>0</v>
      </c>
      <c r="DB33" s="572">
        <f t="shared" si="183"/>
        <v>0</v>
      </c>
      <c r="DC33" s="583">
        <f t="shared" si="184"/>
        <v>0</v>
      </c>
      <c r="DD33" s="572">
        <f t="shared" si="185"/>
        <v>525</v>
      </c>
      <c r="DE33" s="96"/>
      <c r="DF33" s="576"/>
      <c r="DG33" s="572">
        <f t="shared" si="186"/>
        <v>0.6</v>
      </c>
      <c r="DH33" s="572">
        <f t="shared" si="187"/>
        <v>1.5</v>
      </c>
      <c r="DI33" s="572">
        <f t="shared" si="188"/>
        <v>0</v>
      </c>
      <c r="DJ33" s="572">
        <f t="shared" si="189"/>
        <v>0</v>
      </c>
      <c r="DK33" s="572">
        <f t="shared" si="190"/>
        <v>0</v>
      </c>
      <c r="DL33" s="572">
        <f t="shared" si="191"/>
        <v>0</v>
      </c>
      <c r="DM33" s="572">
        <f t="shared" si="192"/>
        <v>0</v>
      </c>
      <c r="DN33" s="572">
        <f t="shared" si="193"/>
        <v>3</v>
      </c>
      <c r="DO33" s="572">
        <f t="shared" si="194"/>
        <v>0</v>
      </c>
      <c r="DP33" s="572">
        <f t="shared" si="195"/>
        <v>0</v>
      </c>
      <c r="DQ33" s="577">
        <f t="shared" si="196"/>
        <v>0</v>
      </c>
      <c r="DR33" s="96">
        <f t="shared" si="197"/>
        <v>450</v>
      </c>
      <c r="DS33" s="96"/>
      <c r="DT33" s="96" t="e">
        <f t="shared" si="198"/>
        <v>#VALUE!</v>
      </c>
      <c r="DU33" s="96" t="e">
        <f t="shared" si="199"/>
        <v>#VALUE!</v>
      </c>
      <c r="DV33" s="96" t="e">
        <f t="shared" si="200"/>
        <v>#VALUE!</v>
      </c>
      <c r="DW33" s="96" t="e">
        <f t="shared" si="201"/>
        <v>#VALUE!</v>
      </c>
      <c r="DX33" s="96" t="e">
        <f t="shared" si="202"/>
        <v>#VALUE!</v>
      </c>
      <c r="DY33" s="96" t="e">
        <f t="shared" si="203"/>
        <v>#VALUE!</v>
      </c>
      <c r="DZ33" s="96" t="e">
        <f t="shared" si="204"/>
        <v>#VALUE!</v>
      </c>
      <c r="EA33" s="96" t="e">
        <f t="shared" si="205"/>
        <v>#VALUE!</v>
      </c>
      <c r="EB33" s="96" t="e">
        <f t="shared" si="206"/>
        <v>#VALUE!</v>
      </c>
      <c r="EC33" s="96" t="e">
        <f t="shared" si="207"/>
        <v>#VALUE!</v>
      </c>
      <c r="ED33" s="96" t="e">
        <f t="shared" si="208"/>
        <v>#VALUE!</v>
      </c>
      <c r="EE33" s="96" t="e">
        <f t="shared" si="209"/>
        <v>#VALUE!</v>
      </c>
    </row>
    <row r="34" spans="2:135">
      <c r="C34" s="1752">
        <v>208</v>
      </c>
      <c r="D34" s="1116" t="s">
        <v>100</v>
      </c>
      <c r="E34" s="322">
        <f t="shared" si="122"/>
        <v>11.120000000000001</v>
      </c>
      <c r="F34" s="322">
        <f t="shared" si="123"/>
        <v>27.78</v>
      </c>
      <c r="G34" s="322">
        <f t="shared" si="124"/>
        <v>15</v>
      </c>
      <c r="H34" s="323">
        <f t="shared" si="210"/>
        <v>1</v>
      </c>
      <c r="I34" s="322">
        <f t="shared" si="125"/>
        <v>0</v>
      </c>
      <c r="J34" s="322">
        <f t="shared" si="126"/>
        <v>1350</v>
      </c>
      <c r="K34" s="322">
        <f t="shared" si="127"/>
        <v>577.78</v>
      </c>
      <c r="L34" s="322">
        <f t="shared" si="128"/>
        <v>335</v>
      </c>
      <c r="M34" s="322">
        <f t="shared" si="129"/>
        <v>100</v>
      </c>
      <c r="N34" s="322">
        <f t="shared" si="130"/>
        <v>1.8</v>
      </c>
      <c r="O34" s="322">
        <f t="shared" si="131"/>
        <v>6</v>
      </c>
      <c r="P34" s="322">
        <f t="shared" si="132"/>
        <v>180</v>
      </c>
      <c r="Q34" s="1640">
        <f t="shared" si="133"/>
        <v>8333.34</v>
      </c>
      <c r="R34" s="1640">
        <f t="shared" si="211"/>
        <v>0</v>
      </c>
      <c r="S34" s="1640"/>
      <c r="T34" s="190"/>
      <c r="U34" s="568">
        <v>10</v>
      </c>
      <c r="V34" s="563">
        <v>25</v>
      </c>
      <c r="W34" s="563">
        <v>15</v>
      </c>
      <c r="X34" s="563">
        <v>1</v>
      </c>
      <c r="Y34" s="563">
        <v>0</v>
      </c>
      <c r="Z34" s="563">
        <v>1350</v>
      </c>
      <c r="AA34" s="563">
        <v>550</v>
      </c>
      <c r="AB34" s="563">
        <v>335</v>
      </c>
      <c r="AC34" s="563">
        <v>100</v>
      </c>
      <c r="AD34" s="563">
        <v>1.8</v>
      </c>
      <c r="AE34" s="563">
        <v>6</v>
      </c>
      <c r="AF34" s="563">
        <v>180</v>
      </c>
      <c r="AG34" s="850">
        <v>7500</v>
      </c>
      <c r="AH34" s="563"/>
      <c r="AI34" s="563"/>
      <c r="AJ34" s="96"/>
      <c r="AK34" s="96"/>
      <c r="AL34" s="576">
        <f t="shared" si="101"/>
        <v>1</v>
      </c>
      <c r="AM34" s="572">
        <f t="shared" si="135"/>
        <v>1.1111111111111112</v>
      </c>
      <c r="AN34" s="572">
        <f t="shared" si="136"/>
        <v>2.7777777777777777</v>
      </c>
      <c r="AO34" s="572"/>
      <c r="AP34" s="572"/>
      <c r="AQ34" s="572"/>
      <c r="AR34" s="572">
        <f>SUM((AR28*1.25))</f>
        <v>27.777777777777779</v>
      </c>
      <c r="AS34" s="572"/>
      <c r="AT34" s="572"/>
      <c r="AU34" s="572"/>
      <c r="AV34" s="572"/>
      <c r="AW34" s="583"/>
      <c r="AX34" s="572">
        <f t="shared" si="137"/>
        <v>833.33333333333337</v>
      </c>
      <c r="AY34" s="572"/>
      <c r="AZ34" s="572"/>
      <c r="BA34" s="96"/>
      <c r="BB34" s="576"/>
      <c r="BC34" s="572">
        <f t="shared" si="138"/>
        <v>1</v>
      </c>
      <c r="BD34" s="572">
        <f t="shared" si="139"/>
        <v>2.5</v>
      </c>
      <c r="BE34" s="572">
        <f t="shared" si="140"/>
        <v>0</v>
      </c>
      <c r="BF34" s="572">
        <f t="shared" si="141"/>
        <v>0</v>
      </c>
      <c r="BG34" s="572">
        <f t="shared" si="142"/>
        <v>0</v>
      </c>
      <c r="BH34" s="572">
        <f t="shared" si="143"/>
        <v>25</v>
      </c>
      <c r="BI34" s="572">
        <f t="shared" si="144"/>
        <v>0</v>
      </c>
      <c r="BJ34" s="572">
        <f t="shared" si="145"/>
        <v>0</v>
      </c>
      <c r="BK34" s="572">
        <f t="shared" si="146"/>
        <v>0</v>
      </c>
      <c r="BL34" s="572">
        <f t="shared" si="147"/>
        <v>0</v>
      </c>
      <c r="BM34" s="583">
        <f t="shared" si="148"/>
        <v>0</v>
      </c>
      <c r="BN34" s="572">
        <f t="shared" si="149"/>
        <v>750</v>
      </c>
      <c r="BO34" s="96"/>
      <c r="BP34" s="576"/>
      <c r="BQ34" s="572">
        <f t="shared" si="150"/>
        <v>0.9</v>
      </c>
      <c r="BR34" s="572">
        <f t="shared" si="151"/>
        <v>2.25</v>
      </c>
      <c r="BS34" s="572">
        <f t="shared" si="152"/>
        <v>0</v>
      </c>
      <c r="BT34" s="572">
        <f t="shared" si="153"/>
        <v>0</v>
      </c>
      <c r="BU34" s="572">
        <f t="shared" si="154"/>
        <v>0</v>
      </c>
      <c r="BV34" s="572">
        <f t="shared" si="155"/>
        <v>22.5</v>
      </c>
      <c r="BW34" s="572">
        <f t="shared" si="156"/>
        <v>0</v>
      </c>
      <c r="BX34" s="572">
        <f t="shared" si="157"/>
        <v>0</v>
      </c>
      <c r="BY34" s="572">
        <f t="shared" si="158"/>
        <v>0</v>
      </c>
      <c r="BZ34" s="572">
        <f t="shared" si="159"/>
        <v>0</v>
      </c>
      <c r="CA34" s="583">
        <f t="shared" si="160"/>
        <v>0</v>
      </c>
      <c r="CB34" s="572">
        <f t="shared" si="161"/>
        <v>675</v>
      </c>
      <c r="CC34" s="96"/>
      <c r="CD34" s="576"/>
      <c r="CE34" s="572">
        <f t="shared" si="162"/>
        <v>0.8</v>
      </c>
      <c r="CF34" s="572">
        <f t="shared" si="163"/>
        <v>2</v>
      </c>
      <c r="CG34" s="572">
        <f t="shared" si="164"/>
        <v>0</v>
      </c>
      <c r="CH34" s="572">
        <f t="shared" si="165"/>
        <v>0</v>
      </c>
      <c r="CI34" s="572">
        <f t="shared" si="166"/>
        <v>0</v>
      </c>
      <c r="CJ34" s="572">
        <f t="shared" si="167"/>
        <v>20</v>
      </c>
      <c r="CK34" s="572">
        <f t="shared" si="168"/>
        <v>0</v>
      </c>
      <c r="CL34" s="572">
        <f t="shared" si="169"/>
        <v>0</v>
      </c>
      <c r="CM34" s="572">
        <f t="shared" si="170"/>
        <v>0</v>
      </c>
      <c r="CN34" s="572">
        <f t="shared" si="171"/>
        <v>0</v>
      </c>
      <c r="CO34" s="583">
        <f t="shared" si="172"/>
        <v>0</v>
      </c>
      <c r="CP34" s="572">
        <f t="shared" si="173"/>
        <v>600</v>
      </c>
      <c r="CQ34" s="96"/>
      <c r="CR34" s="576"/>
      <c r="CS34" s="572">
        <f t="shared" si="174"/>
        <v>0.7</v>
      </c>
      <c r="CT34" s="572">
        <f t="shared" si="175"/>
        <v>1.75</v>
      </c>
      <c r="CU34" s="572">
        <f t="shared" si="176"/>
        <v>0</v>
      </c>
      <c r="CV34" s="572">
        <f t="shared" si="177"/>
        <v>0</v>
      </c>
      <c r="CW34" s="572">
        <f t="shared" si="178"/>
        <v>0</v>
      </c>
      <c r="CX34" s="572">
        <f t="shared" si="179"/>
        <v>17.5</v>
      </c>
      <c r="CY34" s="572">
        <f t="shared" si="180"/>
        <v>0</v>
      </c>
      <c r="CZ34" s="572">
        <f t="shared" si="181"/>
        <v>0</v>
      </c>
      <c r="DA34" s="572">
        <f t="shared" si="182"/>
        <v>0</v>
      </c>
      <c r="DB34" s="572">
        <f t="shared" si="183"/>
        <v>0</v>
      </c>
      <c r="DC34" s="583">
        <f t="shared" si="184"/>
        <v>0</v>
      </c>
      <c r="DD34" s="572">
        <f t="shared" si="185"/>
        <v>525</v>
      </c>
      <c r="DE34" s="96"/>
      <c r="DF34" s="576"/>
      <c r="DG34" s="572">
        <f t="shared" si="186"/>
        <v>0.6</v>
      </c>
      <c r="DH34" s="572">
        <f t="shared" si="187"/>
        <v>1.5</v>
      </c>
      <c r="DI34" s="572">
        <f t="shared" si="188"/>
        <v>0</v>
      </c>
      <c r="DJ34" s="572">
        <f t="shared" si="189"/>
        <v>0</v>
      </c>
      <c r="DK34" s="572">
        <f t="shared" si="190"/>
        <v>0</v>
      </c>
      <c r="DL34" s="572">
        <f t="shared" si="191"/>
        <v>15</v>
      </c>
      <c r="DM34" s="572">
        <f t="shared" si="192"/>
        <v>0</v>
      </c>
      <c r="DN34" s="572">
        <f t="shared" si="193"/>
        <v>0</v>
      </c>
      <c r="DO34" s="572">
        <f t="shared" si="194"/>
        <v>0</v>
      </c>
      <c r="DP34" s="572">
        <f t="shared" si="195"/>
        <v>0</v>
      </c>
      <c r="DQ34" s="577">
        <f t="shared" si="196"/>
        <v>0</v>
      </c>
      <c r="DR34" s="96">
        <f t="shared" si="197"/>
        <v>450</v>
      </c>
      <c r="DS34" s="96"/>
      <c r="DT34" s="96" t="e">
        <f t="shared" si="198"/>
        <v>#VALUE!</v>
      </c>
      <c r="DU34" s="96" t="e">
        <f t="shared" si="199"/>
        <v>#VALUE!</v>
      </c>
      <c r="DV34" s="96" t="e">
        <f t="shared" si="200"/>
        <v>#VALUE!</v>
      </c>
      <c r="DW34" s="96" t="e">
        <f t="shared" si="201"/>
        <v>#VALUE!</v>
      </c>
      <c r="DX34" s="96" t="e">
        <f t="shared" si="202"/>
        <v>#VALUE!</v>
      </c>
      <c r="DY34" s="96" t="e">
        <f t="shared" si="203"/>
        <v>#VALUE!</v>
      </c>
      <c r="DZ34" s="96" t="e">
        <f t="shared" si="204"/>
        <v>#VALUE!</v>
      </c>
      <c r="EA34" s="96" t="e">
        <f t="shared" si="205"/>
        <v>#VALUE!</v>
      </c>
      <c r="EB34" s="96" t="e">
        <f t="shared" si="206"/>
        <v>#VALUE!</v>
      </c>
      <c r="EC34" s="96" t="e">
        <f t="shared" si="207"/>
        <v>#VALUE!</v>
      </c>
      <c r="ED34" s="96" t="e">
        <f t="shared" si="208"/>
        <v>#VALUE!</v>
      </c>
      <c r="EE34" s="96" t="e">
        <f t="shared" si="209"/>
        <v>#VALUE!</v>
      </c>
    </row>
    <row r="35" spans="2:135">
      <c r="C35" s="1755">
        <v>209</v>
      </c>
      <c r="D35" s="1116" t="s">
        <v>101</v>
      </c>
      <c r="E35" s="322">
        <f t="shared" si="122"/>
        <v>11.120000000000001</v>
      </c>
      <c r="F35" s="322">
        <f t="shared" si="123"/>
        <v>27.78</v>
      </c>
      <c r="G35" s="322">
        <f t="shared" si="124"/>
        <v>15</v>
      </c>
      <c r="H35" s="323">
        <f t="shared" si="210"/>
        <v>1</v>
      </c>
      <c r="I35" s="322">
        <f t="shared" si="125"/>
        <v>0</v>
      </c>
      <c r="J35" s="322">
        <f t="shared" si="126"/>
        <v>1350</v>
      </c>
      <c r="K35" s="322">
        <f t="shared" si="127"/>
        <v>550</v>
      </c>
      <c r="L35" s="322">
        <f t="shared" si="128"/>
        <v>335</v>
      </c>
      <c r="M35" s="322">
        <f t="shared" si="129"/>
        <v>105.56</v>
      </c>
      <c r="N35" s="322">
        <f t="shared" si="130"/>
        <v>1.8</v>
      </c>
      <c r="O35" s="322">
        <f t="shared" si="131"/>
        <v>6</v>
      </c>
      <c r="P35" s="322">
        <f t="shared" si="132"/>
        <v>180</v>
      </c>
      <c r="Q35" s="1640">
        <f t="shared" si="133"/>
        <v>8333.34</v>
      </c>
      <c r="R35" s="1640">
        <f t="shared" si="211"/>
        <v>0</v>
      </c>
      <c r="S35" s="1640"/>
      <c r="T35" s="190"/>
      <c r="U35" s="568">
        <v>10</v>
      </c>
      <c r="V35" s="563">
        <v>25</v>
      </c>
      <c r="W35" s="563">
        <v>15</v>
      </c>
      <c r="X35" s="563">
        <v>1</v>
      </c>
      <c r="Y35" s="563">
        <v>0</v>
      </c>
      <c r="Z35" s="563">
        <v>1350</v>
      </c>
      <c r="AA35" s="563">
        <v>550</v>
      </c>
      <c r="AB35" s="563">
        <v>335</v>
      </c>
      <c r="AC35" s="563">
        <v>100</v>
      </c>
      <c r="AD35" s="563">
        <v>1.8</v>
      </c>
      <c r="AE35" s="563">
        <v>6</v>
      </c>
      <c r="AF35" s="563">
        <v>180</v>
      </c>
      <c r="AG35" s="850">
        <v>7500</v>
      </c>
      <c r="AH35" s="563"/>
      <c r="AI35" s="563"/>
      <c r="AJ35" s="96"/>
      <c r="AK35" s="96"/>
      <c r="AL35" s="576">
        <f t="shared" si="101"/>
        <v>1</v>
      </c>
      <c r="AM35" s="572">
        <f t="shared" si="135"/>
        <v>1.1111111111111112</v>
      </c>
      <c r="AN35" s="572">
        <f t="shared" si="136"/>
        <v>2.7777777777777777</v>
      </c>
      <c r="AO35" s="572"/>
      <c r="AP35" s="572"/>
      <c r="AQ35" s="572"/>
      <c r="AR35" s="572"/>
      <c r="AS35" s="572"/>
      <c r="AT35" s="572">
        <f>SUM((AC35/18))</f>
        <v>5.5555555555555554</v>
      </c>
      <c r="AU35" s="572"/>
      <c r="AV35" s="572"/>
      <c r="AW35" s="583"/>
      <c r="AX35" s="572">
        <f t="shared" si="137"/>
        <v>833.33333333333337</v>
      </c>
      <c r="AY35" s="572"/>
      <c r="AZ35" s="572"/>
      <c r="BA35" s="96"/>
      <c r="BB35" s="576"/>
      <c r="BC35" s="572">
        <f t="shared" si="138"/>
        <v>1</v>
      </c>
      <c r="BD35" s="572">
        <f t="shared" si="139"/>
        <v>2.5</v>
      </c>
      <c r="BE35" s="572">
        <f t="shared" si="140"/>
        <v>0</v>
      </c>
      <c r="BF35" s="572">
        <f t="shared" si="141"/>
        <v>0</v>
      </c>
      <c r="BG35" s="572">
        <f t="shared" si="142"/>
        <v>0</v>
      </c>
      <c r="BH35" s="572">
        <f t="shared" si="143"/>
        <v>0</v>
      </c>
      <c r="BI35" s="572">
        <f t="shared" si="144"/>
        <v>0</v>
      </c>
      <c r="BJ35" s="572">
        <f t="shared" si="145"/>
        <v>5</v>
      </c>
      <c r="BK35" s="572">
        <f t="shared" si="146"/>
        <v>0</v>
      </c>
      <c r="BL35" s="572">
        <f t="shared" si="147"/>
        <v>0</v>
      </c>
      <c r="BM35" s="583">
        <f t="shared" si="148"/>
        <v>0</v>
      </c>
      <c r="BN35" s="572">
        <f t="shared" si="149"/>
        <v>750</v>
      </c>
      <c r="BO35" s="96"/>
      <c r="BP35" s="576"/>
      <c r="BQ35" s="572">
        <f t="shared" si="150"/>
        <v>0.9</v>
      </c>
      <c r="BR35" s="572">
        <f t="shared" si="151"/>
        <v>2.25</v>
      </c>
      <c r="BS35" s="572">
        <f t="shared" si="152"/>
        <v>0</v>
      </c>
      <c r="BT35" s="572">
        <f t="shared" si="153"/>
        <v>0</v>
      </c>
      <c r="BU35" s="572">
        <f t="shared" si="154"/>
        <v>0</v>
      </c>
      <c r="BV35" s="572">
        <f t="shared" si="155"/>
        <v>0</v>
      </c>
      <c r="BW35" s="572">
        <f t="shared" si="156"/>
        <v>0</v>
      </c>
      <c r="BX35" s="572">
        <f t="shared" si="157"/>
        <v>4.5</v>
      </c>
      <c r="BY35" s="572">
        <f t="shared" si="158"/>
        <v>0</v>
      </c>
      <c r="BZ35" s="572">
        <f t="shared" si="159"/>
        <v>0</v>
      </c>
      <c r="CA35" s="583">
        <f t="shared" si="160"/>
        <v>0</v>
      </c>
      <c r="CB35" s="572">
        <f t="shared" si="161"/>
        <v>675</v>
      </c>
      <c r="CC35" s="96"/>
      <c r="CD35" s="576"/>
      <c r="CE35" s="572">
        <f t="shared" si="162"/>
        <v>0.8</v>
      </c>
      <c r="CF35" s="572">
        <f t="shared" si="163"/>
        <v>2</v>
      </c>
      <c r="CG35" s="572">
        <f t="shared" si="164"/>
        <v>0</v>
      </c>
      <c r="CH35" s="572">
        <f t="shared" si="165"/>
        <v>0</v>
      </c>
      <c r="CI35" s="572">
        <f t="shared" si="166"/>
        <v>0</v>
      </c>
      <c r="CJ35" s="572">
        <f t="shared" si="167"/>
        <v>0</v>
      </c>
      <c r="CK35" s="572">
        <f t="shared" si="168"/>
        <v>0</v>
      </c>
      <c r="CL35" s="572">
        <f t="shared" si="169"/>
        <v>4</v>
      </c>
      <c r="CM35" s="572">
        <f t="shared" si="170"/>
        <v>0</v>
      </c>
      <c r="CN35" s="572">
        <f t="shared" si="171"/>
        <v>0</v>
      </c>
      <c r="CO35" s="583">
        <f t="shared" si="172"/>
        <v>0</v>
      </c>
      <c r="CP35" s="572">
        <f t="shared" si="173"/>
        <v>600</v>
      </c>
      <c r="CQ35" s="96"/>
      <c r="CR35" s="576"/>
      <c r="CS35" s="572">
        <f t="shared" si="174"/>
        <v>0.7</v>
      </c>
      <c r="CT35" s="572">
        <f t="shared" si="175"/>
        <v>1.75</v>
      </c>
      <c r="CU35" s="572">
        <f t="shared" si="176"/>
        <v>0</v>
      </c>
      <c r="CV35" s="572">
        <f t="shared" si="177"/>
        <v>0</v>
      </c>
      <c r="CW35" s="572">
        <f t="shared" si="178"/>
        <v>0</v>
      </c>
      <c r="CX35" s="572">
        <f t="shared" si="179"/>
        <v>0</v>
      </c>
      <c r="CY35" s="572">
        <f t="shared" si="180"/>
        <v>0</v>
      </c>
      <c r="CZ35" s="572">
        <f t="shared" si="181"/>
        <v>3.5</v>
      </c>
      <c r="DA35" s="572">
        <f t="shared" si="182"/>
        <v>0</v>
      </c>
      <c r="DB35" s="572">
        <f t="shared" si="183"/>
        <v>0</v>
      </c>
      <c r="DC35" s="583">
        <f t="shared" si="184"/>
        <v>0</v>
      </c>
      <c r="DD35" s="572">
        <f t="shared" si="185"/>
        <v>525</v>
      </c>
      <c r="DE35" s="96"/>
      <c r="DF35" s="576"/>
      <c r="DG35" s="572">
        <f t="shared" si="186"/>
        <v>0.6</v>
      </c>
      <c r="DH35" s="572">
        <f t="shared" si="187"/>
        <v>1.5</v>
      </c>
      <c r="DI35" s="572">
        <f t="shared" si="188"/>
        <v>0</v>
      </c>
      <c r="DJ35" s="572">
        <f t="shared" si="189"/>
        <v>0</v>
      </c>
      <c r="DK35" s="572">
        <f t="shared" si="190"/>
        <v>0</v>
      </c>
      <c r="DL35" s="572">
        <f t="shared" si="191"/>
        <v>0</v>
      </c>
      <c r="DM35" s="572">
        <f t="shared" si="192"/>
        <v>0</v>
      </c>
      <c r="DN35" s="572">
        <f t="shared" si="193"/>
        <v>3</v>
      </c>
      <c r="DO35" s="572">
        <f t="shared" si="194"/>
        <v>0</v>
      </c>
      <c r="DP35" s="572">
        <f t="shared" si="195"/>
        <v>0</v>
      </c>
      <c r="DQ35" s="577">
        <f t="shared" si="196"/>
        <v>0</v>
      </c>
      <c r="DR35" s="96">
        <f t="shared" si="197"/>
        <v>450</v>
      </c>
      <c r="DS35" s="96"/>
      <c r="DT35" s="96" t="e">
        <f t="shared" si="198"/>
        <v>#VALUE!</v>
      </c>
      <c r="DU35" s="96" t="e">
        <f t="shared" si="199"/>
        <v>#VALUE!</v>
      </c>
      <c r="DV35" s="96" t="e">
        <f t="shared" si="200"/>
        <v>#VALUE!</v>
      </c>
      <c r="DW35" s="96" t="e">
        <f t="shared" si="201"/>
        <v>#VALUE!</v>
      </c>
      <c r="DX35" s="96" t="e">
        <f t="shared" si="202"/>
        <v>#VALUE!</v>
      </c>
      <c r="DY35" s="96" t="e">
        <f t="shared" si="203"/>
        <v>#VALUE!</v>
      </c>
      <c r="DZ35" s="96" t="e">
        <f t="shared" si="204"/>
        <v>#VALUE!</v>
      </c>
      <c r="EA35" s="96" t="e">
        <f t="shared" si="205"/>
        <v>#VALUE!</v>
      </c>
      <c r="EB35" s="96" t="e">
        <f t="shared" si="206"/>
        <v>#VALUE!</v>
      </c>
      <c r="EC35" s="96" t="e">
        <f t="shared" si="207"/>
        <v>#VALUE!</v>
      </c>
      <c r="ED35" s="96" t="e">
        <f t="shared" si="208"/>
        <v>#VALUE!</v>
      </c>
      <c r="EE35" s="96" t="e">
        <f t="shared" si="209"/>
        <v>#VALUE!</v>
      </c>
    </row>
    <row r="36" spans="2:135">
      <c r="C36" s="1752">
        <v>210</v>
      </c>
      <c r="D36" s="1116" t="s">
        <v>102</v>
      </c>
      <c r="E36" s="322">
        <f t="shared" si="122"/>
        <v>4.45</v>
      </c>
      <c r="F36" s="322">
        <f t="shared" si="123"/>
        <v>11.120000000000001</v>
      </c>
      <c r="G36" s="322">
        <f t="shared" si="124"/>
        <v>25</v>
      </c>
      <c r="H36" s="323">
        <f t="shared" si="210"/>
        <v>5</v>
      </c>
      <c r="I36" s="322">
        <f t="shared" si="125"/>
        <v>0</v>
      </c>
      <c r="J36" s="322">
        <f t="shared" si="126"/>
        <v>900</v>
      </c>
      <c r="K36" s="322">
        <f t="shared" si="127"/>
        <v>372.23</v>
      </c>
      <c r="L36" s="322">
        <f t="shared" si="128"/>
        <v>335</v>
      </c>
      <c r="M36" s="322">
        <f t="shared" si="129"/>
        <v>100</v>
      </c>
      <c r="N36" s="322">
        <f t="shared" si="130"/>
        <v>1.5</v>
      </c>
      <c r="O36" s="322">
        <f t="shared" si="131"/>
        <v>12</v>
      </c>
      <c r="P36" s="322">
        <f t="shared" si="132"/>
        <v>180</v>
      </c>
      <c r="Q36" s="1640">
        <f t="shared" si="133"/>
        <v>8333.34</v>
      </c>
      <c r="R36" s="1640">
        <f t="shared" si="211"/>
        <v>0</v>
      </c>
      <c r="S36" s="1640"/>
      <c r="T36" s="190"/>
      <c r="U36" s="568">
        <v>4</v>
      </c>
      <c r="V36" s="563">
        <v>10</v>
      </c>
      <c r="W36" s="563">
        <v>25</v>
      </c>
      <c r="X36" s="563">
        <v>5</v>
      </c>
      <c r="Y36" s="563">
        <v>0</v>
      </c>
      <c r="Z36" s="563">
        <v>900</v>
      </c>
      <c r="AA36" s="563">
        <v>350</v>
      </c>
      <c r="AB36" s="563">
        <v>335</v>
      </c>
      <c r="AC36" s="563">
        <v>100</v>
      </c>
      <c r="AD36" s="563">
        <v>1.5</v>
      </c>
      <c r="AE36" s="563">
        <v>12</v>
      </c>
      <c r="AF36" s="563">
        <v>180</v>
      </c>
      <c r="AG36" s="850">
        <v>7500</v>
      </c>
      <c r="AH36" s="563"/>
      <c r="AI36" s="563"/>
      <c r="AJ36" s="96"/>
      <c r="AK36" s="96"/>
      <c r="AL36" s="576">
        <f t="shared" si="101"/>
        <v>1</v>
      </c>
      <c r="AM36" s="572">
        <f t="shared" si="135"/>
        <v>0.44444444444444442</v>
      </c>
      <c r="AN36" s="572">
        <f t="shared" si="136"/>
        <v>1.1111111111111112</v>
      </c>
      <c r="AO36" s="572"/>
      <c r="AP36" s="572"/>
      <c r="AQ36" s="572"/>
      <c r="AR36" s="572">
        <f>SUM((200/9))</f>
        <v>22.222222222222221</v>
      </c>
      <c r="AS36" s="572"/>
      <c r="AT36" s="572"/>
      <c r="AU36" s="572"/>
      <c r="AV36" s="572"/>
      <c r="AW36" s="583"/>
      <c r="AX36" s="572">
        <f t="shared" si="137"/>
        <v>833.33333333333337</v>
      </c>
      <c r="AY36" s="572"/>
      <c r="AZ36" s="572"/>
      <c r="BA36" s="96"/>
      <c r="BB36" s="576"/>
      <c r="BC36" s="572">
        <f t="shared" si="138"/>
        <v>0.39999999999999997</v>
      </c>
      <c r="BD36" s="572">
        <f t="shared" si="139"/>
        <v>1</v>
      </c>
      <c r="BE36" s="572">
        <f t="shared" si="140"/>
        <v>0</v>
      </c>
      <c r="BF36" s="572">
        <f t="shared" si="141"/>
        <v>0</v>
      </c>
      <c r="BG36" s="572">
        <f t="shared" si="142"/>
        <v>0</v>
      </c>
      <c r="BH36" s="572">
        <f t="shared" si="143"/>
        <v>20</v>
      </c>
      <c r="BI36" s="572">
        <f t="shared" si="144"/>
        <v>0</v>
      </c>
      <c r="BJ36" s="572">
        <f t="shared" si="145"/>
        <v>0</v>
      </c>
      <c r="BK36" s="572">
        <f t="shared" si="146"/>
        <v>0</v>
      </c>
      <c r="BL36" s="572">
        <f t="shared" si="147"/>
        <v>0</v>
      </c>
      <c r="BM36" s="583">
        <f t="shared" si="148"/>
        <v>0</v>
      </c>
      <c r="BN36" s="572">
        <f t="shared" si="149"/>
        <v>750</v>
      </c>
      <c r="BO36" s="96"/>
      <c r="BP36" s="576"/>
      <c r="BQ36" s="572">
        <f t="shared" si="150"/>
        <v>0.36</v>
      </c>
      <c r="BR36" s="572">
        <f t="shared" si="151"/>
        <v>0.9</v>
      </c>
      <c r="BS36" s="572">
        <f t="shared" si="152"/>
        <v>0</v>
      </c>
      <c r="BT36" s="572">
        <f t="shared" si="153"/>
        <v>0</v>
      </c>
      <c r="BU36" s="572">
        <f t="shared" si="154"/>
        <v>0</v>
      </c>
      <c r="BV36" s="572">
        <f t="shared" si="155"/>
        <v>18</v>
      </c>
      <c r="BW36" s="572">
        <f t="shared" si="156"/>
        <v>0</v>
      </c>
      <c r="BX36" s="572">
        <f t="shared" si="157"/>
        <v>0</v>
      </c>
      <c r="BY36" s="572">
        <f t="shared" si="158"/>
        <v>0</v>
      </c>
      <c r="BZ36" s="572">
        <f t="shared" si="159"/>
        <v>0</v>
      </c>
      <c r="CA36" s="583">
        <f t="shared" si="160"/>
        <v>0</v>
      </c>
      <c r="CB36" s="572">
        <f t="shared" si="161"/>
        <v>675</v>
      </c>
      <c r="CC36" s="96"/>
      <c r="CD36" s="576"/>
      <c r="CE36" s="572">
        <f t="shared" si="162"/>
        <v>0.32</v>
      </c>
      <c r="CF36" s="572">
        <f t="shared" si="163"/>
        <v>0.8</v>
      </c>
      <c r="CG36" s="572">
        <f t="shared" si="164"/>
        <v>0</v>
      </c>
      <c r="CH36" s="572">
        <f t="shared" si="165"/>
        <v>0</v>
      </c>
      <c r="CI36" s="572">
        <f t="shared" si="166"/>
        <v>0</v>
      </c>
      <c r="CJ36" s="572">
        <f t="shared" si="167"/>
        <v>16</v>
      </c>
      <c r="CK36" s="572">
        <f t="shared" si="168"/>
        <v>0</v>
      </c>
      <c r="CL36" s="572">
        <f t="shared" si="169"/>
        <v>0</v>
      </c>
      <c r="CM36" s="572">
        <f t="shared" si="170"/>
        <v>0</v>
      </c>
      <c r="CN36" s="572">
        <f t="shared" si="171"/>
        <v>0</v>
      </c>
      <c r="CO36" s="583">
        <f t="shared" si="172"/>
        <v>0</v>
      </c>
      <c r="CP36" s="572">
        <f t="shared" si="173"/>
        <v>600</v>
      </c>
      <c r="CQ36" s="96"/>
      <c r="CR36" s="576"/>
      <c r="CS36" s="572">
        <f t="shared" si="174"/>
        <v>0.27999999999999997</v>
      </c>
      <c r="CT36" s="572">
        <f t="shared" si="175"/>
        <v>0.7</v>
      </c>
      <c r="CU36" s="572">
        <f t="shared" si="176"/>
        <v>0</v>
      </c>
      <c r="CV36" s="572">
        <f t="shared" si="177"/>
        <v>0</v>
      </c>
      <c r="CW36" s="572">
        <f t="shared" si="178"/>
        <v>0</v>
      </c>
      <c r="CX36" s="572">
        <f t="shared" si="179"/>
        <v>14</v>
      </c>
      <c r="CY36" s="572">
        <f t="shared" si="180"/>
        <v>0</v>
      </c>
      <c r="CZ36" s="572">
        <f t="shared" si="181"/>
        <v>0</v>
      </c>
      <c r="DA36" s="572">
        <f t="shared" si="182"/>
        <v>0</v>
      </c>
      <c r="DB36" s="572">
        <f t="shared" si="183"/>
        <v>0</v>
      </c>
      <c r="DC36" s="583">
        <f t="shared" si="184"/>
        <v>0</v>
      </c>
      <c r="DD36" s="572">
        <f t="shared" si="185"/>
        <v>525</v>
      </c>
      <c r="DE36" s="96"/>
      <c r="DF36" s="576"/>
      <c r="DG36" s="572">
        <f t="shared" si="186"/>
        <v>0.23999999999999996</v>
      </c>
      <c r="DH36" s="572">
        <f t="shared" si="187"/>
        <v>0.6</v>
      </c>
      <c r="DI36" s="572">
        <f t="shared" si="188"/>
        <v>0</v>
      </c>
      <c r="DJ36" s="572">
        <f t="shared" si="189"/>
        <v>0</v>
      </c>
      <c r="DK36" s="572">
        <f t="shared" si="190"/>
        <v>0</v>
      </c>
      <c r="DL36" s="572">
        <f t="shared" si="191"/>
        <v>12</v>
      </c>
      <c r="DM36" s="572">
        <f t="shared" si="192"/>
        <v>0</v>
      </c>
      <c r="DN36" s="572">
        <f t="shared" si="193"/>
        <v>0</v>
      </c>
      <c r="DO36" s="572">
        <f t="shared" si="194"/>
        <v>0</v>
      </c>
      <c r="DP36" s="572">
        <f t="shared" si="195"/>
        <v>0</v>
      </c>
      <c r="DQ36" s="577">
        <f t="shared" si="196"/>
        <v>0</v>
      </c>
      <c r="DR36" s="96">
        <f t="shared" si="197"/>
        <v>450</v>
      </c>
      <c r="DS36" s="96"/>
      <c r="DT36" s="96" t="e">
        <f t="shared" si="198"/>
        <v>#VALUE!</v>
      </c>
      <c r="DU36" s="96" t="e">
        <f t="shared" si="199"/>
        <v>#VALUE!</v>
      </c>
      <c r="DV36" s="96" t="e">
        <f t="shared" si="200"/>
        <v>#VALUE!</v>
      </c>
      <c r="DW36" s="96" t="e">
        <f t="shared" si="201"/>
        <v>#VALUE!</v>
      </c>
      <c r="DX36" s="96" t="e">
        <f t="shared" si="202"/>
        <v>#VALUE!</v>
      </c>
      <c r="DY36" s="96" t="e">
        <f t="shared" si="203"/>
        <v>#VALUE!</v>
      </c>
      <c r="DZ36" s="96" t="e">
        <f t="shared" si="204"/>
        <v>#VALUE!</v>
      </c>
      <c r="EA36" s="96" t="e">
        <f t="shared" si="205"/>
        <v>#VALUE!</v>
      </c>
      <c r="EB36" s="96" t="e">
        <f t="shared" si="206"/>
        <v>#VALUE!</v>
      </c>
      <c r="EC36" s="96" t="e">
        <f t="shared" si="207"/>
        <v>#VALUE!</v>
      </c>
      <c r="ED36" s="96" t="e">
        <f t="shared" si="208"/>
        <v>#VALUE!</v>
      </c>
      <c r="EE36" s="96" t="e">
        <f t="shared" si="209"/>
        <v>#VALUE!</v>
      </c>
    </row>
    <row r="37" spans="2:135">
      <c r="C37" s="1755">
        <v>211</v>
      </c>
      <c r="D37" s="1116" t="s">
        <v>103</v>
      </c>
      <c r="E37" s="322">
        <f t="shared" si="122"/>
        <v>4.45</v>
      </c>
      <c r="F37" s="322">
        <f t="shared" si="123"/>
        <v>11.120000000000001</v>
      </c>
      <c r="G37" s="322">
        <f t="shared" si="124"/>
        <v>25</v>
      </c>
      <c r="H37" s="323">
        <f t="shared" si="210"/>
        <v>7.5</v>
      </c>
      <c r="I37" s="322">
        <f t="shared" si="125"/>
        <v>0</v>
      </c>
      <c r="J37" s="322">
        <f t="shared" si="126"/>
        <v>900</v>
      </c>
      <c r="K37" s="322">
        <f t="shared" si="127"/>
        <v>372.23</v>
      </c>
      <c r="L37" s="322">
        <f t="shared" si="128"/>
        <v>335</v>
      </c>
      <c r="M37" s="322">
        <f t="shared" si="129"/>
        <v>100</v>
      </c>
      <c r="N37" s="322">
        <f t="shared" si="130"/>
        <v>1.5</v>
      </c>
      <c r="O37" s="322">
        <f t="shared" si="131"/>
        <v>12</v>
      </c>
      <c r="P37" s="322">
        <f t="shared" si="132"/>
        <v>180</v>
      </c>
      <c r="Q37" s="1640">
        <f t="shared" si="133"/>
        <v>8333.34</v>
      </c>
      <c r="R37" s="1640">
        <f t="shared" si="211"/>
        <v>0</v>
      </c>
      <c r="S37" s="1640"/>
      <c r="T37" s="190"/>
      <c r="U37" s="568">
        <v>4</v>
      </c>
      <c r="V37" s="563">
        <v>10</v>
      </c>
      <c r="W37" s="563">
        <v>25</v>
      </c>
      <c r="X37" s="563">
        <v>7.5</v>
      </c>
      <c r="Y37" s="563">
        <v>0</v>
      </c>
      <c r="Z37" s="563">
        <v>900</v>
      </c>
      <c r="AA37" s="563">
        <v>350</v>
      </c>
      <c r="AB37" s="563">
        <v>335</v>
      </c>
      <c r="AC37" s="563">
        <v>100</v>
      </c>
      <c r="AD37" s="563">
        <v>1.5</v>
      </c>
      <c r="AE37" s="563">
        <v>12</v>
      </c>
      <c r="AF37" s="563">
        <v>180</v>
      </c>
      <c r="AG37" s="850">
        <v>7500</v>
      </c>
      <c r="AH37" s="563"/>
      <c r="AI37" s="563"/>
      <c r="AJ37" s="96"/>
      <c r="AK37" s="96"/>
      <c r="AL37" s="576">
        <f t="shared" si="101"/>
        <v>1</v>
      </c>
      <c r="AM37" s="572">
        <f t="shared" si="135"/>
        <v>0.44444444444444442</v>
      </c>
      <c r="AN37" s="572">
        <f t="shared" si="136"/>
        <v>1.1111111111111112</v>
      </c>
      <c r="AO37" s="572"/>
      <c r="AP37" s="572"/>
      <c r="AQ37" s="572"/>
      <c r="AR37" s="572">
        <f>SUM((200/9))</f>
        <v>22.222222222222221</v>
      </c>
      <c r="AS37" s="572"/>
      <c r="AT37" s="572"/>
      <c r="AU37" s="572"/>
      <c r="AV37" s="572"/>
      <c r="AW37" s="583"/>
      <c r="AX37" s="572">
        <f t="shared" si="137"/>
        <v>833.33333333333337</v>
      </c>
      <c r="AY37" s="572"/>
      <c r="AZ37" s="572"/>
      <c r="BA37" s="96"/>
      <c r="BB37" s="576"/>
      <c r="BC37" s="572">
        <f t="shared" si="138"/>
        <v>0.39999999999999997</v>
      </c>
      <c r="BD37" s="572">
        <f t="shared" si="139"/>
        <v>1</v>
      </c>
      <c r="BE37" s="572">
        <f t="shared" si="140"/>
        <v>0</v>
      </c>
      <c r="BF37" s="572">
        <f t="shared" si="141"/>
        <v>0</v>
      </c>
      <c r="BG37" s="572">
        <f t="shared" si="142"/>
        <v>0</v>
      </c>
      <c r="BH37" s="572">
        <f t="shared" si="143"/>
        <v>20</v>
      </c>
      <c r="BI37" s="572">
        <f t="shared" si="144"/>
        <v>0</v>
      </c>
      <c r="BJ37" s="572">
        <f t="shared" si="145"/>
        <v>0</v>
      </c>
      <c r="BK37" s="572">
        <f t="shared" si="146"/>
        <v>0</v>
      </c>
      <c r="BL37" s="572">
        <f t="shared" si="147"/>
        <v>0</v>
      </c>
      <c r="BM37" s="583">
        <f t="shared" si="148"/>
        <v>0</v>
      </c>
      <c r="BN37" s="572">
        <f t="shared" si="149"/>
        <v>750</v>
      </c>
      <c r="BO37" s="96"/>
      <c r="BP37" s="576"/>
      <c r="BQ37" s="572">
        <f t="shared" si="150"/>
        <v>0.36</v>
      </c>
      <c r="BR37" s="572">
        <f t="shared" si="151"/>
        <v>0.9</v>
      </c>
      <c r="BS37" s="572">
        <f t="shared" si="152"/>
        <v>0</v>
      </c>
      <c r="BT37" s="572">
        <f t="shared" si="153"/>
        <v>0</v>
      </c>
      <c r="BU37" s="572">
        <f t="shared" si="154"/>
        <v>0</v>
      </c>
      <c r="BV37" s="572">
        <f t="shared" si="155"/>
        <v>18</v>
      </c>
      <c r="BW37" s="572">
        <f t="shared" si="156"/>
        <v>0</v>
      </c>
      <c r="BX37" s="572">
        <f t="shared" si="157"/>
        <v>0</v>
      </c>
      <c r="BY37" s="572">
        <f t="shared" si="158"/>
        <v>0</v>
      </c>
      <c r="BZ37" s="572">
        <f t="shared" si="159"/>
        <v>0</v>
      </c>
      <c r="CA37" s="583">
        <f t="shared" si="160"/>
        <v>0</v>
      </c>
      <c r="CB37" s="572">
        <f t="shared" si="161"/>
        <v>675</v>
      </c>
      <c r="CC37" s="96"/>
      <c r="CD37" s="576"/>
      <c r="CE37" s="572">
        <f t="shared" si="162"/>
        <v>0.32</v>
      </c>
      <c r="CF37" s="572">
        <f t="shared" si="163"/>
        <v>0.8</v>
      </c>
      <c r="CG37" s="572">
        <f t="shared" si="164"/>
        <v>0</v>
      </c>
      <c r="CH37" s="572">
        <f t="shared" si="165"/>
        <v>0</v>
      </c>
      <c r="CI37" s="572">
        <f t="shared" si="166"/>
        <v>0</v>
      </c>
      <c r="CJ37" s="572">
        <f t="shared" si="167"/>
        <v>16</v>
      </c>
      <c r="CK37" s="572">
        <f t="shared" si="168"/>
        <v>0</v>
      </c>
      <c r="CL37" s="572">
        <f t="shared" si="169"/>
        <v>0</v>
      </c>
      <c r="CM37" s="572">
        <f t="shared" si="170"/>
        <v>0</v>
      </c>
      <c r="CN37" s="572">
        <f t="shared" si="171"/>
        <v>0</v>
      </c>
      <c r="CO37" s="583">
        <f t="shared" si="172"/>
        <v>0</v>
      </c>
      <c r="CP37" s="572">
        <f t="shared" si="173"/>
        <v>600</v>
      </c>
      <c r="CQ37" s="96"/>
      <c r="CR37" s="576"/>
      <c r="CS37" s="572">
        <f t="shared" si="174"/>
        <v>0.27999999999999997</v>
      </c>
      <c r="CT37" s="572">
        <f t="shared" si="175"/>
        <v>0.7</v>
      </c>
      <c r="CU37" s="572">
        <f t="shared" si="176"/>
        <v>0</v>
      </c>
      <c r="CV37" s="572">
        <f t="shared" si="177"/>
        <v>0</v>
      </c>
      <c r="CW37" s="572">
        <f t="shared" si="178"/>
        <v>0</v>
      </c>
      <c r="CX37" s="572">
        <f t="shared" si="179"/>
        <v>14</v>
      </c>
      <c r="CY37" s="572">
        <f t="shared" si="180"/>
        <v>0</v>
      </c>
      <c r="CZ37" s="572">
        <f t="shared" si="181"/>
        <v>0</v>
      </c>
      <c r="DA37" s="572">
        <f t="shared" si="182"/>
        <v>0</v>
      </c>
      <c r="DB37" s="572">
        <f t="shared" si="183"/>
        <v>0</v>
      </c>
      <c r="DC37" s="583">
        <f t="shared" si="184"/>
        <v>0</v>
      </c>
      <c r="DD37" s="572">
        <f t="shared" si="185"/>
        <v>525</v>
      </c>
      <c r="DE37" s="96"/>
      <c r="DF37" s="576"/>
      <c r="DG37" s="572">
        <f t="shared" si="186"/>
        <v>0.23999999999999996</v>
      </c>
      <c r="DH37" s="572">
        <f t="shared" si="187"/>
        <v>0.6</v>
      </c>
      <c r="DI37" s="572">
        <f t="shared" si="188"/>
        <v>0</v>
      </c>
      <c r="DJ37" s="572">
        <f t="shared" si="189"/>
        <v>0</v>
      </c>
      <c r="DK37" s="572">
        <f t="shared" si="190"/>
        <v>0</v>
      </c>
      <c r="DL37" s="572">
        <f t="shared" si="191"/>
        <v>12</v>
      </c>
      <c r="DM37" s="572">
        <f t="shared" si="192"/>
        <v>0</v>
      </c>
      <c r="DN37" s="572">
        <f t="shared" si="193"/>
        <v>0</v>
      </c>
      <c r="DO37" s="572">
        <f t="shared" si="194"/>
        <v>0</v>
      </c>
      <c r="DP37" s="572">
        <f t="shared" si="195"/>
        <v>0</v>
      </c>
      <c r="DQ37" s="577">
        <f t="shared" si="196"/>
        <v>0</v>
      </c>
      <c r="DR37" s="96">
        <f t="shared" si="197"/>
        <v>450</v>
      </c>
      <c r="DS37" s="96"/>
      <c r="DT37" s="96" t="e">
        <f t="shared" si="198"/>
        <v>#VALUE!</v>
      </c>
      <c r="DU37" s="96" t="e">
        <f t="shared" si="199"/>
        <v>#VALUE!</v>
      </c>
      <c r="DV37" s="96" t="e">
        <f t="shared" si="200"/>
        <v>#VALUE!</v>
      </c>
      <c r="DW37" s="96" t="e">
        <f t="shared" si="201"/>
        <v>#VALUE!</v>
      </c>
      <c r="DX37" s="96" t="e">
        <f t="shared" si="202"/>
        <v>#VALUE!</v>
      </c>
      <c r="DY37" s="96" t="e">
        <f t="shared" si="203"/>
        <v>#VALUE!</v>
      </c>
      <c r="DZ37" s="96" t="e">
        <f t="shared" si="204"/>
        <v>#VALUE!</v>
      </c>
      <c r="EA37" s="96" t="e">
        <f t="shared" si="205"/>
        <v>#VALUE!</v>
      </c>
      <c r="EB37" s="96" t="e">
        <f t="shared" si="206"/>
        <v>#VALUE!</v>
      </c>
      <c r="EC37" s="96" t="e">
        <f t="shared" si="207"/>
        <v>#VALUE!</v>
      </c>
      <c r="ED37" s="96" t="e">
        <f t="shared" si="208"/>
        <v>#VALUE!</v>
      </c>
      <c r="EE37" s="96" t="e">
        <f t="shared" si="209"/>
        <v>#VALUE!</v>
      </c>
    </row>
    <row r="38" spans="2:135">
      <c r="C38" s="1752">
        <v>212</v>
      </c>
      <c r="D38" s="1116" t="s">
        <v>104</v>
      </c>
      <c r="E38" s="322">
        <f t="shared" si="122"/>
        <v>40</v>
      </c>
      <c r="F38" s="322">
        <f t="shared" si="123"/>
        <v>100</v>
      </c>
      <c r="G38" s="322">
        <f t="shared" si="124"/>
        <v>25</v>
      </c>
      <c r="H38" s="323">
        <f t="shared" si="210"/>
        <v>0</v>
      </c>
      <c r="I38" s="322">
        <f t="shared" si="125"/>
        <v>200</v>
      </c>
      <c r="J38" s="322">
        <f t="shared" si="126"/>
        <v>1388.89</v>
      </c>
      <c r="K38" s="322"/>
      <c r="L38" s="322"/>
      <c r="M38" s="322">
        <f t="shared" si="129"/>
        <v>100</v>
      </c>
      <c r="N38" s="322">
        <f t="shared" si="130"/>
        <v>11.8</v>
      </c>
      <c r="O38" s="322">
        <f t="shared" si="131"/>
        <v>47.22</v>
      </c>
      <c r="P38" s="322">
        <f t="shared" si="132"/>
        <v>180</v>
      </c>
      <c r="Q38" s="1640">
        <f t="shared" si="133"/>
        <v>8333.34</v>
      </c>
      <c r="R38" s="1640">
        <f t="shared" si="211"/>
        <v>0</v>
      </c>
      <c r="S38" s="1640"/>
      <c r="T38" s="190"/>
      <c r="U38" s="568">
        <v>40</v>
      </c>
      <c r="V38" s="563">
        <v>100</v>
      </c>
      <c r="W38" s="563">
        <v>25</v>
      </c>
      <c r="X38" s="563">
        <v>0</v>
      </c>
      <c r="Y38" s="563">
        <v>200</v>
      </c>
      <c r="Z38" s="563">
        <v>1350</v>
      </c>
      <c r="AA38" s="563" t="s">
        <v>93</v>
      </c>
      <c r="AB38" s="563" t="s">
        <v>93</v>
      </c>
      <c r="AC38" s="563">
        <v>100</v>
      </c>
      <c r="AD38" s="563">
        <v>12.5</v>
      </c>
      <c r="AE38" s="563">
        <v>50</v>
      </c>
      <c r="AF38" s="563">
        <v>180</v>
      </c>
      <c r="AG38" s="850">
        <v>7500</v>
      </c>
      <c r="AH38" s="563"/>
      <c r="AI38" s="563"/>
      <c r="AJ38" s="96"/>
      <c r="AK38" s="96"/>
      <c r="AL38" s="576">
        <f t="shared" si="101"/>
        <v>1</v>
      </c>
      <c r="AM38" s="572"/>
      <c r="AN38" s="572"/>
      <c r="AO38" s="572"/>
      <c r="AP38" s="572"/>
      <c r="AQ38" s="572">
        <f>SUM((350/9))</f>
        <v>38.888888888888886</v>
      </c>
      <c r="AR38" s="572"/>
      <c r="AS38" s="572"/>
      <c r="AT38" s="572"/>
      <c r="AU38" s="572">
        <f>SUM((-AD38/18))</f>
        <v>-0.69444444444444442</v>
      </c>
      <c r="AV38" s="572">
        <f>SUM((-AE38/18))</f>
        <v>-2.7777777777777777</v>
      </c>
      <c r="AW38" s="583"/>
      <c r="AX38" s="572">
        <f t="shared" si="137"/>
        <v>833.33333333333337</v>
      </c>
      <c r="AY38" s="572"/>
      <c r="AZ38" s="572"/>
      <c r="BA38" s="96"/>
      <c r="BB38" s="590">
        <v>2.33</v>
      </c>
      <c r="BC38" s="572">
        <f t="shared" ref="BC38:BJ42" si="213">SUM(((AM38*0.9)*1))</f>
        <v>0</v>
      </c>
      <c r="BD38" s="572">
        <f t="shared" si="213"/>
        <v>0</v>
      </c>
      <c r="BE38" s="572">
        <f t="shared" si="213"/>
        <v>0</v>
      </c>
      <c r="BF38" s="572">
        <f t="shared" si="213"/>
        <v>0</v>
      </c>
      <c r="BG38" s="572">
        <f t="shared" si="213"/>
        <v>35</v>
      </c>
      <c r="BH38" s="572">
        <f t="shared" si="213"/>
        <v>0</v>
      </c>
      <c r="BI38" s="572">
        <f t="shared" si="213"/>
        <v>0</v>
      </c>
      <c r="BJ38" s="572">
        <f t="shared" si="213"/>
        <v>0</v>
      </c>
      <c r="BK38" s="586">
        <f>SUM(ROUND((AU38/BB38),2))</f>
        <v>-0.3</v>
      </c>
      <c r="BL38" s="586">
        <f>SUM(ROUND((AV38/BB38),2))</f>
        <v>-1.19</v>
      </c>
      <c r="BM38" s="583">
        <f t="shared" ref="BM38:BN42" si="214">SUM(((AW38*0.9)*1))</f>
        <v>0</v>
      </c>
      <c r="BN38" s="572">
        <f t="shared" si="214"/>
        <v>750</v>
      </c>
      <c r="BO38" s="96"/>
      <c r="BP38" s="590">
        <v>2.84</v>
      </c>
      <c r="BQ38" s="572">
        <f t="shared" ref="BQ38:BX42" si="215">SUM(((AM38*0.9)*0.9))</f>
        <v>0</v>
      </c>
      <c r="BR38" s="572">
        <f t="shared" si="215"/>
        <v>0</v>
      </c>
      <c r="BS38" s="572">
        <f t="shared" si="215"/>
        <v>0</v>
      </c>
      <c r="BT38" s="572">
        <f t="shared" si="215"/>
        <v>0</v>
      </c>
      <c r="BU38" s="572">
        <f t="shared" si="215"/>
        <v>31.5</v>
      </c>
      <c r="BV38" s="572">
        <f t="shared" si="215"/>
        <v>0</v>
      </c>
      <c r="BW38" s="572">
        <f t="shared" si="215"/>
        <v>0</v>
      </c>
      <c r="BX38" s="572">
        <f t="shared" si="215"/>
        <v>0</v>
      </c>
      <c r="BY38" s="586">
        <f>SUM(ROUND((AU38/BP38),2))</f>
        <v>-0.24</v>
      </c>
      <c r="BZ38" s="586">
        <f>SUM(ROUND((AV38/BP38),2))</f>
        <v>-0.98</v>
      </c>
      <c r="CA38" s="583">
        <f t="shared" ref="CA38:CB42" si="216">SUM(((AW38*0.9)*0.9))</f>
        <v>0</v>
      </c>
      <c r="CB38" s="572">
        <f t="shared" si="216"/>
        <v>675</v>
      </c>
      <c r="CC38" s="96"/>
      <c r="CD38" s="590">
        <v>3.45</v>
      </c>
      <c r="CE38" s="572">
        <f t="shared" ref="CE38:CL42" si="217">SUM(((AM38*0.9)*0.8))</f>
        <v>0</v>
      </c>
      <c r="CF38" s="572">
        <f t="shared" si="217"/>
        <v>0</v>
      </c>
      <c r="CG38" s="572">
        <f t="shared" si="217"/>
        <v>0</v>
      </c>
      <c r="CH38" s="572">
        <f t="shared" si="217"/>
        <v>0</v>
      </c>
      <c r="CI38" s="572">
        <f t="shared" si="217"/>
        <v>28</v>
      </c>
      <c r="CJ38" s="572">
        <f t="shared" si="217"/>
        <v>0</v>
      </c>
      <c r="CK38" s="572">
        <f t="shared" si="217"/>
        <v>0</v>
      </c>
      <c r="CL38" s="572">
        <f t="shared" si="217"/>
        <v>0</v>
      </c>
      <c r="CM38" s="586">
        <f>SUM(ROUND((AU38/CD38),2))</f>
        <v>-0.2</v>
      </c>
      <c r="CN38" s="586">
        <f>SUM(ROUND((AV38/CD38),2))</f>
        <v>-0.81</v>
      </c>
      <c r="CO38" s="583">
        <f t="shared" ref="CO38:CP42" si="218">SUM(((AW38*0.9)*0.8))</f>
        <v>0</v>
      </c>
      <c r="CP38" s="572">
        <f t="shared" si="218"/>
        <v>600</v>
      </c>
      <c r="CQ38" s="96"/>
      <c r="CR38" s="590">
        <v>4.2300000000000004</v>
      </c>
      <c r="CS38" s="572">
        <f t="shared" ref="CS38:CZ42" si="219">SUM(((AM38*0.9)*0.7))</f>
        <v>0</v>
      </c>
      <c r="CT38" s="572">
        <f t="shared" si="219"/>
        <v>0</v>
      </c>
      <c r="CU38" s="572">
        <f t="shared" si="219"/>
        <v>0</v>
      </c>
      <c r="CV38" s="572">
        <f t="shared" si="219"/>
        <v>0</v>
      </c>
      <c r="CW38" s="572">
        <f t="shared" si="219"/>
        <v>24.5</v>
      </c>
      <c r="CX38" s="572">
        <f t="shared" si="219"/>
        <v>0</v>
      </c>
      <c r="CY38" s="572">
        <f t="shared" si="219"/>
        <v>0</v>
      </c>
      <c r="CZ38" s="572">
        <f t="shared" si="219"/>
        <v>0</v>
      </c>
      <c r="DA38" s="586">
        <f>SUM(ROUND((AU38/CR38),2))</f>
        <v>-0.16</v>
      </c>
      <c r="DB38" s="586">
        <f>SUM(ROUND((AV38/CR38),2))</f>
        <v>-0.66</v>
      </c>
      <c r="DC38" s="583">
        <f t="shared" ref="DC38:DD42" si="220">SUM(((AW38*0.9)*0.7))</f>
        <v>0</v>
      </c>
      <c r="DD38" s="572">
        <f t="shared" si="220"/>
        <v>525</v>
      </c>
      <c r="DE38" s="96"/>
      <c r="DF38" s="590">
        <v>5.2</v>
      </c>
      <c r="DG38" s="572">
        <f t="shared" ref="DG38:DN42" si="221">SUM(((AM38*0.9)*0.6))</f>
        <v>0</v>
      </c>
      <c r="DH38" s="572">
        <f t="shared" si="221"/>
        <v>0</v>
      </c>
      <c r="DI38" s="572">
        <f t="shared" si="221"/>
        <v>0</v>
      </c>
      <c r="DJ38" s="572">
        <f t="shared" si="221"/>
        <v>0</v>
      </c>
      <c r="DK38" s="572">
        <f t="shared" si="221"/>
        <v>21</v>
      </c>
      <c r="DL38" s="572">
        <f t="shared" si="221"/>
        <v>0</v>
      </c>
      <c r="DM38" s="572">
        <f t="shared" si="221"/>
        <v>0</v>
      </c>
      <c r="DN38" s="572">
        <f t="shared" si="221"/>
        <v>0</v>
      </c>
      <c r="DO38" s="586">
        <f>SUM(ROUND((AU38/DF38),2))</f>
        <v>-0.13</v>
      </c>
      <c r="DP38" s="586">
        <f>SUM(ROUND((AV38/DF38),2))</f>
        <v>-0.53</v>
      </c>
      <c r="DQ38" s="577">
        <f t="shared" ref="DQ38:DR42" si="222">SUM(((AW38*0.9)*0.6))</f>
        <v>0</v>
      </c>
      <c r="DR38" s="96">
        <f t="shared" si="222"/>
        <v>450</v>
      </c>
      <c r="DS38" s="96"/>
      <c r="DT38" s="96" t="e">
        <f t="shared" si="198"/>
        <v>#VALUE!</v>
      </c>
      <c r="DU38" s="96" t="e">
        <f t="shared" si="199"/>
        <v>#VALUE!</v>
      </c>
      <c r="DV38" s="96" t="e">
        <f t="shared" si="200"/>
        <v>#VALUE!</v>
      </c>
      <c r="DW38" s="96" t="e">
        <f t="shared" si="201"/>
        <v>#VALUE!</v>
      </c>
      <c r="DX38" s="96" t="e">
        <f t="shared" si="202"/>
        <v>#VALUE!</v>
      </c>
      <c r="DY38" s="96" t="e">
        <f t="shared" si="203"/>
        <v>#VALUE!</v>
      </c>
      <c r="DZ38" s="96" t="e">
        <f t="shared" si="204"/>
        <v>#VALUE!</v>
      </c>
      <c r="EA38" s="96" t="e">
        <f t="shared" si="205"/>
        <v>#VALUE!</v>
      </c>
      <c r="EB38" s="96" t="e">
        <f t="shared" si="206"/>
        <v>#VALUE!</v>
      </c>
      <c r="EC38" s="96" t="e">
        <f t="shared" si="207"/>
        <v>#VALUE!</v>
      </c>
      <c r="ED38" s="96" t="e">
        <f t="shared" si="208"/>
        <v>#VALUE!</v>
      </c>
      <c r="EE38" s="96" t="e">
        <f t="shared" si="209"/>
        <v>#VALUE!</v>
      </c>
    </row>
    <row r="39" spans="2:135">
      <c r="C39" s="1755">
        <v>213</v>
      </c>
      <c r="D39" s="1116" t="s">
        <v>105</v>
      </c>
      <c r="E39" s="322">
        <f t="shared" si="122"/>
        <v>40</v>
      </c>
      <c r="F39" s="322">
        <f t="shared" si="123"/>
        <v>100</v>
      </c>
      <c r="G39" s="322">
        <f t="shared" si="124"/>
        <v>25</v>
      </c>
      <c r="H39" s="323">
        <f t="shared" si="210"/>
        <v>0</v>
      </c>
      <c r="I39" s="322">
        <f t="shared" si="125"/>
        <v>200</v>
      </c>
      <c r="J39" s="322">
        <f t="shared" si="126"/>
        <v>1350</v>
      </c>
      <c r="K39" s="322"/>
      <c r="L39" s="322"/>
      <c r="M39" s="322">
        <f t="shared" si="129"/>
        <v>105.56</v>
      </c>
      <c r="N39" s="322">
        <f t="shared" si="130"/>
        <v>11.8</v>
      </c>
      <c r="O39" s="322">
        <f t="shared" si="131"/>
        <v>47.22</v>
      </c>
      <c r="P39" s="322">
        <f t="shared" si="132"/>
        <v>180</v>
      </c>
      <c r="Q39" s="1640">
        <f t="shared" si="133"/>
        <v>8333.34</v>
      </c>
      <c r="R39" s="1640">
        <f t="shared" si="211"/>
        <v>0</v>
      </c>
      <c r="S39" s="1640"/>
      <c r="T39" s="190"/>
      <c r="U39" s="568">
        <v>40</v>
      </c>
      <c r="V39" s="563">
        <v>100</v>
      </c>
      <c r="W39" s="563">
        <v>25</v>
      </c>
      <c r="X39" s="563">
        <v>0</v>
      </c>
      <c r="Y39" s="563">
        <v>200</v>
      </c>
      <c r="Z39" s="563">
        <v>1350</v>
      </c>
      <c r="AA39" s="563" t="s">
        <v>93</v>
      </c>
      <c r="AB39" s="563" t="s">
        <v>93</v>
      </c>
      <c r="AC39" s="563">
        <v>100</v>
      </c>
      <c r="AD39" s="563">
        <v>12.5</v>
      </c>
      <c r="AE39" s="563">
        <v>50</v>
      </c>
      <c r="AF39" s="563">
        <v>180</v>
      </c>
      <c r="AG39" s="850">
        <v>7500</v>
      </c>
      <c r="AH39" s="563"/>
      <c r="AI39" s="563"/>
      <c r="AJ39" s="96"/>
      <c r="AK39" s="96"/>
      <c r="AL39" s="576">
        <f t="shared" si="101"/>
        <v>1</v>
      </c>
      <c r="AM39" s="572"/>
      <c r="AN39" s="572"/>
      <c r="AO39" s="572"/>
      <c r="AP39" s="572"/>
      <c r="AQ39" s="572"/>
      <c r="AR39" s="572"/>
      <c r="AS39" s="572"/>
      <c r="AT39" s="572">
        <f>SUM((AC39/18))</f>
        <v>5.5555555555555554</v>
      </c>
      <c r="AU39" s="572">
        <f>SUM((-AD39/18))</f>
        <v>-0.69444444444444442</v>
      </c>
      <c r="AV39" s="572">
        <f>SUM((-AE39/18))</f>
        <v>-2.7777777777777777</v>
      </c>
      <c r="AW39" s="583"/>
      <c r="AX39" s="572">
        <f t="shared" si="137"/>
        <v>833.33333333333337</v>
      </c>
      <c r="AY39" s="572"/>
      <c r="AZ39" s="572"/>
      <c r="BA39" s="96"/>
      <c r="BB39" s="590">
        <v>2.33</v>
      </c>
      <c r="BC39" s="572">
        <f t="shared" si="213"/>
        <v>0</v>
      </c>
      <c r="BD39" s="572">
        <f t="shared" si="213"/>
        <v>0</v>
      </c>
      <c r="BE39" s="572">
        <f t="shared" si="213"/>
        <v>0</v>
      </c>
      <c r="BF39" s="572">
        <f t="shared" si="213"/>
        <v>0</v>
      </c>
      <c r="BG39" s="572">
        <f t="shared" si="213"/>
        <v>0</v>
      </c>
      <c r="BH39" s="572">
        <f t="shared" si="213"/>
        <v>0</v>
      </c>
      <c r="BI39" s="572">
        <f t="shared" si="213"/>
        <v>0</v>
      </c>
      <c r="BJ39" s="572">
        <f t="shared" si="213"/>
        <v>5</v>
      </c>
      <c r="BK39" s="586">
        <f>SUM(ROUND((AU39/BB39),2))</f>
        <v>-0.3</v>
      </c>
      <c r="BL39" s="586">
        <f>SUM(ROUND((AV39/BB39),2))</f>
        <v>-1.19</v>
      </c>
      <c r="BM39" s="583">
        <f t="shared" si="214"/>
        <v>0</v>
      </c>
      <c r="BN39" s="572">
        <f t="shared" si="214"/>
        <v>750</v>
      </c>
      <c r="BO39" s="96"/>
      <c r="BP39" s="590">
        <v>2.84</v>
      </c>
      <c r="BQ39" s="572">
        <f t="shared" si="215"/>
        <v>0</v>
      </c>
      <c r="BR39" s="572">
        <f t="shared" si="215"/>
        <v>0</v>
      </c>
      <c r="BS39" s="572">
        <f t="shared" si="215"/>
        <v>0</v>
      </c>
      <c r="BT39" s="572">
        <f t="shared" si="215"/>
        <v>0</v>
      </c>
      <c r="BU39" s="572">
        <f t="shared" si="215"/>
        <v>0</v>
      </c>
      <c r="BV39" s="572">
        <f t="shared" si="215"/>
        <v>0</v>
      </c>
      <c r="BW39" s="572">
        <f t="shared" si="215"/>
        <v>0</v>
      </c>
      <c r="BX39" s="572">
        <f t="shared" si="215"/>
        <v>4.5</v>
      </c>
      <c r="BY39" s="586">
        <f>SUM(ROUND((AU39/BP39),2))</f>
        <v>-0.24</v>
      </c>
      <c r="BZ39" s="586">
        <f>SUM(ROUND((AV39/BP39),2))</f>
        <v>-0.98</v>
      </c>
      <c r="CA39" s="583">
        <f t="shared" si="216"/>
        <v>0</v>
      </c>
      <c r="CB39" s="572">
        <f t="shared" si="216"/>
        <v>675</v>
      </c>
      <c r="CC39" s="96"/>
      <c r="CD39" s="590">
        <v>3.45</v>
      </c>
      <c r="CE39" s="572">
        <f t="shared" si="217"/>
        <v>0</v>
      </c>
      <c r="CF39" s="572">
        <f t="shared" si="217"/>
        <v>0</v>
      </c>
      <c r="CG39" s="572">
        <f t="shared" si="217"/>
        <v>0</v>
      </c>
      <c r="CH39" s="572">
        <f t="shared" si="217"/>
        <v>0</v>
      </c>
      <c r="CI39" s="572">
        <f t="shared" si="217"/>
        <v>0</v>
      </c>
      <c r="CJ39" s="572">
        <f t="shared" si="217"/>
        <v>0</v>
      </c>
      <c r="CK39" s="572">
        <f t="shared" si="217"/>
        <v>0</v>
      </c>
      <c r="CL39" s="572">
        <f t="shared" si="217"/>
        <v>4</v>
      </c>
      <c r="CM39" s="586">
        <f>SUM(ROUND((AU39/CD39),2))</f>
        <v>-0.2</v>
      </c>
      <c r="CN39" s="586">
        <f>SUM(ROUND((AV39/CD39),2))</f>
        <v>-0.81</v>
      </c>
      <c r="CO39" s="583">
        <f t="shared" si="218"/>
        <v>0</v>
      </c>
      <c r="CP39" s="572">
        <f t="shared" si="218"/>
        <v>600</v>
      </c>
      <c r="CQ39" s="96"/>
      <c r="CR39" s="590">
        <v>4.2300000000000004</v>
      </c>
      <c r="CS39" s="572">
        <f t="shared" si="219"/>
        <v>0</v>
      </c>
      <c r="CT39" s="572">
        <f t="shared" si="219"/>
        <v>0</v>
      </c>
      <c r="CU39" s="572">
        <f t="shared" si="219"/>
        <v>0</v>
      </c>
      <c r="CV39" s="572">
        <f t="shared" si="219"/>
        <v>0</v>
      </c>
      <c r="CW39" s="572">
        <f t="shared" si="219"/>
        <v>0</v>
      </c>
      <c r="CX39" s="572">
        <f t="shared" si="219"/>
        <v>0</v>
      </c>
      <c r="CY39" s="572">
        <f t="shared" si="219"/>
        <v>0</v>
      </c>
      <c r="CZ39" s="572">
        <f t="shared" si="219"/>
        <v>3.5</v>
      </c>
      <c r="DA39" s="586">
        <f>SUM(ROUND((AU39/CR39),2))</f>
        <v>-0.16</v>
      </c>
      <c r="DB39" s="586">
        <f>SUM(ROUND((AV39/CR39),2))</f>
        <v>-0.66</v>
      </c>
      <c r="DC39" s="583">
        <f t="shared" si="220"/>
        <v>0</v>
      </c>
      <c r="DD39" s="572">
        <f t="shared" si="220"/>
        <v>525</v>
      </c>
      <c r="DE39" s="96"/>
      <c r="DF39" s="590">
        <v>5.2</v>
      </c>
      <c r="DG39" s="572">
        <f t="shared" si="221"/>
        <v>0</v>
      </c>
      <c r="DH39" s="572">
        <f t="shared" si="221"/>
        <v>0</v>
      </c>
      <c r="DI39" s="572">
        <f t="shared" si="221"/>
        <v>0</v>
      </c>
      <c r="DJ39" s="572">
        <f t="shared" si="221"/>
        <v>0</v>
      </c>
      <c r="DK39" s="572">
        <f t="shared" si="221"/>
        <v>0</v>
      </c>
      <c r="DL39" s="572">
        <f t="shared" si="221"/>
        <v>0</v>
      </c>
      <c r="DM39" s="572">
        <f t="shared" si="221"/>
        <v>0</v>
      </c>
      <c r="DN39" s="572">
        <f t="shared" si="221"/>
        <v>3</v>
      </c>
      <c r="DO39" s="586">
        <f>SUM(ROUND((AU39/DF39),2))</f>
        <v>-0.13</v>
      </c>
      <c r="DP39" s="586">
        <f>SUM(ROUND((AV39/DF39),2))</f>
        <v>-0.53</v>
      </c>
      <c r="DQ39" s="577">
        <f t="shared" si="222"/>
        <v>0</v>
      </c>
      <c r="DR39" s="96">
        <f t="shared" si="222"/>
        <v>450</v>
      </c>
      <c r="DS39" s="96"/>
      <c r="DT39" s="96" t="e">
        <f t="shared" si="198"/>
        <v>#VALUE!</v>
      </c>
      <c r="DU39" s="96" t="e">
        <f t="shared" si="199"/>
        <v>#VALUE!</v>
      </c>
      <c r="DV39" s="96" t="e">
        <f t="shared" si="200"/>
        <v>#VALUE!</v>
      </c>
      <c r="DW39" s="96" t="e">
        <f t="shared" si="201"/>
        <v>#VALUE!</v>
      </c>
      <c r="DX39" s="96" t="e">
        <f t="shared" si="202"/>
        <v>#VALUE!</v>
      </c>
      <c r="DY39" s="96" t="e">
        <f t="shared" si="203"/>
        <v>#VALUE!</v>
      </c>
      <c r="DZ39" s="96" t="e">
        <f t="shared" si="204"/>
        <v>#VALUE!</v>
      </c>
      <c r="EA39" s="96" t="e">
        <f t="shared" si="205"/>
        <v>#VALUE!</v>
      </c>
      <c r="EB39" s="96" t="e">
        <f t="shared" si="206"/>
        <v>#VALUE!</v>
      </c>
      <c r="EC39" s="96" t="e">
        <f t="shared" si="207"/>
        <v>#VALUE!</v>
      </c>
      <c r="ED39" s="96" t="e">
        <f t="shared" si="208"/>
        <v>#VALUE!</v>
      </c>
      <c r="EE39" s="96" t="e">
        <f t="shared" si="209"/>
        <v>#VALUE!</v>
      </c>
    </row>
    <row r="40" spans="2:135">
      <c r="C40" s="1752">
        <v>214</v>
      </c>
      <c r="D40" s="1116" t="s">
        <v>106</v>
      </c>
      <c r="E40" s="322">
        <f t="shared" si="122"/>
        <v>40</v>
      </c>
      <c r="F40" s="322">
        <f t="shared" si="123"/>
        <v>100</v>
      </c>
      <c r="G40" s="322">
        <f t="shared" si="124"/>
        <v>25</v>
      </c>
      <c r="H40" s="323">
        <f t="shared" si="210"/>
        <v>0</v>
      </c>
      <c r="I40" s="322">
        <f t="shared" si="125"/>
        <v>200</v>
      </c>
      <c r="J40" s="322">
        <f t="shared" si="126"/>
        <v>1600</v>
      </c>
      <c r="K40" s="322"/>
      <c r="L40" s="322"/>
      <c r="M40" s="322">
        <f t="shared" si="129"/>
        <v>105.56</v>
      </c>
      <c r="N40" s="322">
        <f>IF((AL40&lt;10),SUM((AD40+(ROUNDDOWN((AL40*AU40),2)))),SUM((AD40+(ROUNDDOWN(((9*AU40)+EB40),2)))))</f>
        <v>9.6199999999999992</v>
      </c>
      <c r="O40" s="322">
        <f t="shared" si="131"/>
        <v>47.22</v>
      </c>
      <c r="P40" s="322">
        <f t="shared" si="132"/>
        <v>180</v>
      </c>
      <c r="Q40" s="1640">
        <f t="shared" si="133"/>
        <v>8333.34</v>
      </c>
      <c r="R40" s="1640">
        <f t="shared" si="211"/>
        <v>0</v>
      </c>
      <c r="S40" s="1640"/>
      <c r="T40" s="190"/>
      <c r="U40" s="568">
        <v>40</v>
      </c>
      <c r="V40" s="563">
        <v>100</v>
      </c>
      <c r="W40" s="563">
        <v>25</v>
      </c>
      <c r="X40" s="563">
        <v>0</v>
      </c>
      <c r="Y40" s="563">
        <v>200</v>
      </c>
      <c r="Z40" s="563">
        <v>1600</v>
      </c>
      <c r="AA40" s="563" t="s">
        <v>93</v>
      </c>
      <c r="AB40" s="563" t="s">
        <v>93</v>
      </c>
      <c r="AC40" s="563">
        <v>100</v>
      </c>
      <c r="AD40" s="563">
        <v>10</v>
      </c>
      <c r="AE40" s="563">
        <v>50</v>
      </c>
      <c r="AF40" s="563">
        <v>180</v>
      </c>
      <c r="AG40" s="850">
        <v>7500</v>
      </c>
      <c r="AH40" s="563"/>
      <c r="AI40" s="563"/>
      <c r="AJ40" s="96"/>
      <c r="AK40" s="96"/>
      <c r="AL40" s="576">
        <f t="shared" si="101"/>
        <v>1</v>
      </c>
      <c r="AM40" s="572"/>
      <c r="AN40" s="572"/>
      <c r="AO40" s="572"/>
      <c r="AP40" s="572"/>
      <c r="AQ40" s="572"/>
      <c r="AR40" s="572"/>
      <c r="AS40" s="572"/>
      <c r="AT40" s="572">
        <f>SUM((AC40/18))</f>
        <v>5.5555555555555554</v>
      </c>
      <c r="AU40" s="572">
        <f>SUM((-3.5/9))</f>
        <v>-0.3888888888888889</v>
      </c>
      <c r="AV40" s="572">
        <f>SUM((-AE40/18))</f>
        <v>-2.7777777777777777</v>
      </c>
      <c r="AW40" s="583"/>
      <c r="AX40" s="572">
        <f t="shared" si="137"/>
        <v>833.33333333333337</v>
      </c>
      <c r="AY40" s="572"/>
      <c r="AZ40" s="572"/>
      <c r="BA40" s="96"/>
      <c r="BB40" s="590">
        <v>2.33</v>
      </c>
      <c r="BC40" s="572">
        <f t="shared" si="213"/>
        <v>0</v>
      </c>
      <c r="BD40" s="572">
        <f t="shared" si="213"/>
        <v>0</v>
      </c>
      <c r="BE40" s="572">
        <f t="shared" si="213"/>
        <v>0</v>
      </c>
      <c r="BF40" s="572">
        <f t="shared" si="213"/>
        <v>0</v>
      </c>
      <c r="BG40" s="572">
        <f t="shared" si="213"/>
        <v>0</v>
      </c>
      <c r="BH40" s="572">
        <f t="shared" si="213"/>
        <v>0</v>
      </c>
      <c r="BI40" s="572">
        <f t="shared" si="213"/>
        <v>0</v>
      </c>
      <c r="BJ40" s="572">
        <f t="shared" si="213"/>
        <v>5</v>
      </c>
      <c r="BK40" s="586">
        <f>SUM(ROUND((AU39/BB40),2))</f>
        <v>-0.3</v>
      </c>
      <c r="BL40" s="586">
        <f>SUM(ROUND((AV40/BB40),2))</f>
        <v>-1.19</v>
      </c>
      <c r="BM40" s="583">
        <f t="shared" si="214"/>
        <v>0</v>
      </c>
      <c r="BN40" s="572">
        <f t="shared" si="214"/>
        <v>750</v>
      </c>
      <c r="BO40" s="96"/>
      <c r="BP40" s="590">
        <v>2.84</v>
      </c>
      <c r="BQ40" s="572">
        <f t="shared" si="215"/>
        <v>0</v>
      </c>
      <c r="BR40" s="572">
        <f t="shared" si="215"/>
        <v>0</v>
      </c>
      <c r="BS40" s="572">
        <f t="shared" si="215"/>
        <v>0</v>
      </c>
      <c r="BT40" s="572">
        <f t="shared" si="215"/>
        <v>0</v>
      </c>
      <c r="BU40" s="572">
        <f t="shared" si="215"/>
        <v>0</v>
      </c>
      <c r="BV40" s="572">
        <f t="shared" si="215"/>
        <v>0</v>
      </c>
      <c r="BW40" s="572">
        <f t="shared" si="215"/>
        <v>0</v>
      </c>
      <c r="BX40" s="572">
        <f t="shared" si="215"/>
        <v>4.5</v>
      </c>
      <c r="BY40" s="586">
        <f>SUM(ROUND((AU39/BP40),2))</f>
        <v>-0.24</v>
      </c>
      <c r="BZ40" s="586">
        <f>SUM(ROUND((AV40/BP40),2))</f>
        <v>-0.98</v>
      </c>
      <c r="CA40" s="583">
        <f t="shared" si="216"/>
        <v>0</v>
      </c>
      <c r="CB40" s="572">
        <f t="shared" si="216"/>
        <v>675</v>
      </c>
      <c r="CC40" s="96"/>
      <c r="CD40" s="590">
        <v>3.45</v>
      </c>
      <c r="CE40" s="572">
        <f t="shared" si="217"/>
        <v>0</v>
      </c>
      <c r="CF40" s="572">
        <f t="shared" si="217"/>
        <v>0</v>
      </c>
      <c r="CG40" s="572">
        <f t="shared" si="217"/>
        <v>0</v>
      </c>
      <c r="CH40" s="572">
        <f t="shared" si="217"/>
        <v>0</v>
      </c>
      <c r="CI40" s="572">
        <f t="shared" si="217"/>
        <v>0</v>
      </c>
      <c r="CJ40" s="572">
        <f t="shared" si="217"/>
        <v>0</v>
      </c>
      <c r="CK40" s="572">
        <f t="shared" si="217"/>
        <v>0</v>
      </c>
      <c r="CL40" s="572">
        <f t="shared" si="217"/>
        <v>4</v>
      </c>
      <c r="CM40" s="586">
        <f>SUM(ROUND((AU39/CD40),2))</f>
        <v>-0.2</v>
      </c>
      <c r="CN40" s="586">
        <f>SUM(ROUND((AV40/CD40),2))</f>
        <v>-0.81</v>
      </c>
      <c r="CO40" s="583">
        <f t="shared" si="218"/>
        <v>0</v>
      </c>
      <c r="CP40" s="572">
        <f t="shared" si="218"/>
        <v>600</v>
      </c>
      <c r="CQ40" s="96"/>
      <c r="CR40" s="590">
        <v>4.2300000000000004</v>
      </c>
      <c r="CS40" s="572">
        <f t="shared" si="219"/>
        <v>0</v>
      </c>
      <c r="CT40" s="572">
        <f t="shared" si="219"/>
        <v>0</v>
      </c>
      <c r="CU40" s="572">
        <f t="shared" si="219"/>
        <v>0</v>
      </c>
      <c r="CV40" s="572">
        <f t="shared" si="219"/>
        <v>0</v>
      </c>
      <c r="CW40" s="572">
        <f t="shared" si="219"/>
        <v>0</v>
      </c>
      <c r="CX40" s="572">
        <f t="shared" si="219"/>
        <v>0</v>
      </c>
      <c r="CY40" s="572">
        <f t="shared" si="219"/>
        <v>0</v>
      </c>
      <c r="CZ40" s="572">
        <f t="shared" si="219"/>
        <v>3.5</v>
      </c>
      <c r="DA40" s="586">
        <f>SUM(ROUND((AU39/CR40),2))</f>
        <v>-0.16</v>
      </c>
      <c r="DB40" s="586">
        <f>SUM(ROUND((AV40/CR40),2))</f>
        <v>-0.66</v>
      </c>
      <c r="DC40" s="583">
        <f t="shared" si="220"/>
        <v>0</v>
      </c>
      <c r="DD40" s="572">
        <f t="shared" si="220"/>
        <v>525</v>
      </c>
      <c r="DE40" s="96"/>
      <c r="DF40" s="590">
        <v>5.2</v>
      </c>
      <c r="DG40" s="572">
        <f t="shared" si="221"/>
        <v>0</v>
      </c>
      <c r="DH40" s="572">
        <f t="shared" si="221"/>
        <v>0</v>
      </c>
      <c r="DI40" s="572">
        <f t="shared" si="221"/>
        <v>0</v>
      </c>
      <c r="DJ40" s="572">
        <f t="shared" si="221"/>
        <v>0</v>
      </c>
      <c r="DK40" s="572">
        <f t="shared" si="221"/>
        <v>0</v>
      </c>
      <c r="DL40" s="572">
        <f t="shared" si="221"/>
        <v>0</v>
      </c>
      <c r="DM40" s="572">
        <f t="shared" si="221"/>
        <v>0</v>
      </c>
      <c r="DN40" s="572">
        <f t="shared" si="221"/>
        <v>3</v>
      </c>
      <c r="DO40" s="586">
        <f>SUM(ROUND((AU39/DF40),2))</f>
        <v>-0.13</v>
      </c>
      <c r="DP40" s="586">
        <f>SUM(ROUND((AV40/DF40),2))</f>
        <v>-0.53</v>
      </c>
      <c r="DQ40" s="577">
        <f t="shared" si="222"/>
        <v>0</v>
      </c>
      <c r="DR40" s="96">
        <f t="shared" si="222"/>
        <v>450</v>
      </c>
      <c r="DS40" s="96"/>
      <c r="DT40" s="96" t="e">
        <f t="shared" si="198"/>
        <v>#VALUE!</v>
      </c>
      <c r="DU40" s="96" t="e">
        <f t="shared" si="199"/>
        <v>#VALUE!</v>
      </c>
      <c r="DV40" s="96" t="e">
        <f t="shared" si="200"/>
        <v>#VALUE!</v>
      </c>
      <c r="DW40" s="96" t="e">
        <f t="shared" si="201"/>
        <v>#VALUE!</v>
      </c>
      <c r="DX40" s="96" t="e">
        <f t="shared" si="202"/>
        <v>#VALUE!</v>
      </c>
      <c r="DY40" s="96" t="e">
        <f t="shared" si="203"/>
        <v>#VALUE!</v>
      </c>
      <c r="DZ40" s="96" t="e">
        <f t="shared" si="204"/>
        <v>#VALUE!</v>
      </c>
      <c r="EA40" s="96" t="e">
        <f t="shared" si="205"/>
        <v>#VALUE!</v>
      </c>
      <c r="EB40" s="96" t="e">
        <f t="shared" si="206"/>
        <v>#VALUE!</v>
      </c>
      <c r="EC40" s="96" t="e">
        <f t="shared" si="207"/>
        <v>#VALUE!</v>
      </c>
      <c r="ED40" s="96" t="e">
        <f t="shared" si="208"/>
        <v>#VALUE!</v>
      </c>
      <c r="EE40" s="96" t="e">
        <f t="shared" si="209"/>
        <v>#VALUE!</v>
      </c>
    </row>
    <row r="41" spans="2:135">
      <c r="C41" s="1755">
        <v>215</v>
      </c>
      <c r="D41" s="1116" t="s">
        <v>107</v>
      </c>
      <c r="E41" s="322">
        <f t="shared" si="122"/>
        <v>40</v>
      </c>
      <c r="F41" s="322">
        <f t="shared" si="123"/>
        <v>100</v>
      </c>
      <c r="G41" s="322">
        <f t="shared" si="124"/>
        <v>25</v>
      </c>
      <c r="H41" s="323">
        <f t="shared" si="210"/>
        <v>0</v>
      </c>
      <c r="I41" s="322">
        <f t="shared" si="125"/>
        <v>200</v>
      </c>
      <c r="J41" s="322">
        <f t="shared" si="126"/>
        <v>1644.45</v>
      </c>
      <c r="K41" s="322"/>
      <c r="L41" s="322"/>
      <c r="M41" s="322">
        <f t="shared" si="129"/>
        <v>100</v>
      </c>
      <c r="N41" s="322">
        <f>IF((AL41&lt;10),SUM((AD41+(ROUNDUP((AL41*AU41),2)))),SUM((AD41+(ROUNDUP(((9*AU41)+EB41),2)))))</f>
        <v>14.16</v>
      </c>
      <c r="O41" s="322">
        <f t="shared" si="131"/>
        <v>47.22</v>
      </c>
      <c r="P41" s="322">
        <f t="shared" si="132"/>
        <v>180</v>
      </c>
      <c r="Q41" s="1640">
        <f t="shared" si="133"/>
        <v>8333.34</v>
      </c>
      <c r="R41" s="1640">
        <f t="shared" si="211"/>
        <v>0</v>
      </c>
      <c r="S41" s="1640"/>
      <c r="T41" s="190"/>
      <c r="U41" s="568">
        <v>40</v>
      </c>
      <c r="V41" s="563">
        <v>100</v>
      </c>
      <c r="W41" s="563">
        <v>25</v>
      </c>
      <c r="X41" s="563">
        <v>0</v>
      </c>
      <c r="Y41" s="563">
        <v>200</v>
      </c>
      <c r="Z41" s="563">
        <v>1600</v>
      </c>
      <c r="AA41" s="563" t="s">
        <v>93</v>
      </c>
      <c r="AB41" s="563" t="s">
        <v>93</v>
      </c>
      <c r="AC41" s="563">
        <v>100</v>
      </c>
      <c r="AD41" s="563">
        <v>15</v>
      </c>
      <c r="AE41" s="563">
        <v>50</v>
      </c>
      <c r="AF41" s="563">
        <v>180</v>
      </c>
      <c r="AG41" s="850">
        <v>7500</v>
      </c>
      <c r="AH41" s="563"/>
      <c r="AI41" s="563"/>
      <c r="AJ41" s="96"/>
      <c r="AK41" s="96"/>
      <c r="AL41" s="576">
        <f t="shared" si="101"/>
        <v>1</v>
      </c>
      <c r="AM41" s="572"/>
      <c r="AN41" s="572"/>
      <c r="AO41" s="572"/>
      <c r="AP41" s="572"/>
      <c r="AQ41" s="572">
        <f>SUM((400/9))</f>
        <v>44.444444444444443</v>
      </c>
      <c r="AR41" s="572"/>
      <c r="AS41" s="572"/>
      <c r="AT41" s="572"/>
      <c r="AU41" s="572">
        <f>SUM((-AD41/18))</f>
        <v>-0.83333333333333337</v>
      </c>
      <c r="AV41" s="572">
        <f>SUM((-AE41/18))</f>
        <v>-2.7777777777777777</v>
      </c>
      <c r="AW41" s="583"/>
      <c r="AX41" s="572">
        <f t="shared" si="137"/>
        <v>833.33333333333337</v>
      </c>
      <c r="AY41" s="572"/>
      <c r="AZ41" s="572"/>
      <c r="BA41" s="96"/>
      <c r="BB41" s="590">
        <v>2.33</v>
      </c>
      <c r="BC41" s="572">
        <f t="shared" si="213"/>
        <v>0</v>
      </c>
      <c r="BD41" s="572">
        <f t="shared" si="213"/>
        <v>0</v>
      </c>
      <c r="BE41" s="572">
        <f t="shared" si="213"/>
        <v>0</v>
      </c>
      <c r="BF41" s="572">
        <f t="shared" si="213"/>
        <v>0</v>
      </c>
      <c r="BG41" s="572">
        <f t="shared" si="213"/>
        <v>40</v>
      </c>
      <c r="BH41" s="572">
        <f t="shared" si="213"/>
        <v>0</v>
      </c>
      <c r="BI41" s="572">
        <f t="shared" si="213"/>
        <v>0</v>
      </c>
      <c r="BJ41" s="572">
        <f t="shared" si="213"/>
        <v>0</v>
      </c>
      <c r="BK41" s="586">
        <f>SUM(ROUND((AU41/BB41),2))</f>
        <v>-0.36</v>
      </c>
      <c r="BL41" s="586">
        <f>SUM(ROUND((AV41/BB41),2))</f>
        <v>-1.19</v>
      </c>
      <c r="BM41" s="583">
        <f t="shared" si="214"/>
        <v>0</v>
      </c>
      <c r="BN41" s="572">
        <f t="shared" si="214"/>
        <v>750</v>
      </c>
      <c r="BO41" s="96"/>
      <c r="BP41" s="590">
        <v>2.84</v>
      </c>
      <c r="BQ41" s="572">
        <f t="shared" si="215"/>
        <v>0</v>
      </c>
      <c r="BR41" s="572">
        <f t="shared" si="215"/>
        <v>0</v>
      </c>
      <c r="BS41" s="572">
        <f t="shared" si="215"/>
        <v>0</v>
      </c>
      <c r="BT41" s="572">
        <f t="shared" si="215"/>
        <v>0</v>
      </c>
      <c r="BU41" s="572">
        <f t="shared" si="215"/>
        <v>36</v>
      </c>
      <c r="BV41" s="572">
        <f t="shared" si="215"/>
        <v>0</v>
      </c>
      <c r="BW41" s="572">
        <f t="shared" si="215"/>
        <v>0</v>
      </c>
      <c r="BX41" s="572">
        <f t="shared" si="215"/>
        <v>0</v>
      </c>
      <c r="BY41" s="586">
        <f>SUM(ROUND((AU41/BP41),2))</f>
        <v>-0.28999999999999998</v>
      </c>
      <c r="BZ41" s="586">
        <f>SUM(ROUND((AV41/BP41),2))</f>
        <v>-0.98</v>
      </c>
      <c r="CA41" s="583">
        <f t="shared" si="216"/>
        <v>0</v>
      </c>
      <c r="CB41" s="572">
        <f t="shared" si="216"/>
        <v>675</v>
      </c>
      <c r="CC41" s="96"/>
      <c r="CD41" s="590">
        <v>3.45</v>
      </c>
      <c r="CE41" s="572">
        <f t="shared" si="217"/>
        <v>0</v>
      </c>
      <c r="CF41" s="572">
        <f t="shared" si="217"/>
        <v>0</v>
      </c>
      <c r="CG41" s="572">
        <f t="shared" si="217"/>
        <v>0</v>
      </c>
      <c r="CH41" s="572">
        <f t="shared" si="217"/>
        <v>0</v>
      </c>
      <c r="CI41" s="572">
        <f t="shared" si="217"/>
        <v>32</v>
      </c>
      <c r="CJ41" s="572">
        <f t="shared" si="217"/>
        <v>0</v>
      </c>
      <c r="CK41" s="572">
        <f t="shared" si="217"/>
        <v>0</v>
      </c>
      <c r="CL41" s="572">
        <f t="shared" si="217"/>
        <v>0</v>
      </c>
      <c r="CM41" s="586">
        <f>SUM(ROUND((AU41/CD41),2))</f>
        <v>-0.24</v>
      </c>
      <c r="CN41" s="586">
        <f>SUM(ROUND((AV41/CD41),2))</f>
        <v>-0.81</v>
      </c>
      <c r="CO41" s="583">
        <f t="shared" si="218"/>
        <v>0</v>
      </c>
      <c r="CP41" s="572">
        <f t="shared" si="218"/>
        <v>600</v>
      </c>
      <c r="CQ41" s="96"/>
      <c r="CR41" s="590">
        <v>4.2300000000000004</v>
      </c>
      <c r="CS41" s="572">
        <f t="shared" si="219"/>
        <v>0</v>
      </c>
      <c r="CT41" s="572">
        <f t="shared" si="219"/>
        <v>0</v>
      </c>
      <c r="CU41" s="572">
        <f t="shared" si="219"/>
        <v>0</v>
      </c>
      <c r="CV41" s="572">
        <f t="shared" si="219"/>
        <v>0</v>
      </c>
      <c r="CW41" s="572">
        <f t="shared" si="219"/>
        <v>28</v>
      </c>
      <c r="CX41" s="572">
        <f t="shared" si="219"/>
        <v>0</v>
      </c>
      <c r="CY41" s="572">
        <f t="shared" si="219"/>
        <v>0</v>
      </c>
      <c r="CZ41" s="572">
        <f t="shared" si="219"/>
        <v>0</v>
      </c>
      <c r="DA41" s="586">
        <f>SUM(ROUND((AU41/CR41),2))</f>
        <v>-0.2</v>
      </c>
      <c r="DB41" s="586">
        <f>SUM(ROUND((AV41/CR41),2))</f>
        <v>-0.66</v>
      </c>
      <c r="DC41" s="583">
        <f t="shared" si="220"/>
        <v>0</v>
      </c>
      <c r="DD41" s="572">
        <f t="shared" si="220"/>
        <v>525</v>
      </c>
      <c r="DE41" s="96"/>
      <c r="DF41" s="590">
        <v>5.2</v>
      </c>
      <c r="DG41" s="572">
        <f t="shared" si="221"/>
        <v>0</v>
      </c>
      <c r="DH41" s="572">
        <f t="shared" si="221"/>
        <v>0</v>
      </c>
      <c r="DI41" s="572">
        <f t="shared" si="221"/>
        <v>0</v>
      </c>
      <c r="DJ41" s="572">
        <f t="shared" si="221"/>
        <v>0</v>
      </c>
      <c r="DK41" s="572">
        <f t="shared" si="221"/>
        <v>24</v>
      </c>
      <c r="DL41" s="572">
        <f t="shared" si="221"/>
        <v>0</v>
      </c>
      <c r="DM41" s="572">
        <f t="shared" si="221"/>
        <v>0</v>
      </c>
      <c r="DN41" s="572">
        <f t="shared" si="221"/>
        <v>0</v>
      </c>
      <c r="DO41" s="586">
        <f>SUM(ROUND((AU41/DF41),2))</f>
        <v>-0.16</v>
      </c>
      <c r="DP41" s="586">
        <f>SUM(ROUND((AV41/DF41),2))</f>
        <v>-0.53</v>
      </c>
      <c r="DQ41" s="577">
        <f t="shared" si="222"/>
        <v>0</v>
      </c>
      <c r="DR41" s="96">
        <f t="shared" si="222"/>
        <v>450</v>
      </c>
      <c r="DS41" s="96"/>
      <c r="DT41" s="96" t="e">
        <f t="shared" si="198"/>
        <v>#VALUE!</v>
      </c>
      <c r="DU41" s="96" t="e">
        <f t="shared" si="199"/>
        <v>#VALUE!</v>
      </c>
      <c r="DV41" s="96" t="e">
        <f t="shared" si="200"/>
        <v>#VALUE!</v>
      </c>
      <c r="DW41" s="96" t="e">
        <f t="shared" si="201"/>
        <v>#VALUE!</v>
      </c>
      <c r="DX41" s="96" t="e">
        <f t="shared" si="202"/>
        <v>#VALUE!</v>
      </c>
      <c r="DY41" s="96" t="e">
        <f t="shared" si="203"/>
        <v>#VALUE!</v>
      </c>
      <c r="DZ41" s="96" t="e">
        <f t="shared" si="204"/>
        <v>#VALUE!</v>
      </c>
      <c r="EA41" s="96" t="e">
        <f t="shared" si="205"/>
        <v>#VALUE!</v>
      </c>
      <c r="EB41" s="96" t="e">
        <f t="shared" si="206"/>
        <v>#VALUE!</v>
      </c>
      <c r="EC41" s="96" t="e">
        <f t="shared" si="207"/>
        <v>#VALUE!</v>
      </c>
      <c r="ED41" s="96" t="e">
        <f t="shared" si="208"/>
        <v>#VALUE!</v>
      </c>
      <c r="EE41" s="96" t="e">
        <f t="shared" si="209"/>
        <v>#VALUE!</v>
      </c>
    </row>
    <row r="42" spans="2:135">
      <c r="C42" s="1752">
        <v>216</v>
      </c>
      <c r="D42" s="1116" t="s">
        <v>108</v>
      </c>
      <c r="E42" s="322">
        <f t="shared" si="122"/>
        <v>40</v>
      </c>
      <c r="F42" s="322">
        <f t="shared" si="123"/>
        <v>100</v>
      </c>
      <c r="G42" s="322">
        <f t="shared" si="124"/>
        <v>25</v>
      </c>
      <c r="H42" s="323">
        <f t="shared" si="210"/>
        <v>0</v>
      </c>
      <c r="I42" s="322">
        <f t="shared" si="125"/>
        <v>200</v>
      </c>
      <c r="J42" s="322">
        <f t="shared" si="126"/>
        <v>1600</v>
      </c>
      <c r="K42" s="322"/>
      <c r="L42" s="322"/>
      <c r="M42" s="322">
        <f t="shared" si="129"/>
        <v>105.56</v>
      </c>
      <c r="N42" s="322">
        <f>IF((AL42&lt;10),SUM((AD42+(ROUNDUP((AL42*AU42),2)))),SUM((AD42+(ROUNDUP(((9*AU42)+EB42),2)))))</f>
        <v>14.16</v>
      </c>
      <c r="O42" s="322">
        <f t="shared" si="131"/>
        <v>47.22</v>
      </c>
      <c r="P42" s="1124">
        <f t="shared" si="132"/>
        <v>180</v>
      </c>
      <c r="Q42" s="1641">
        <f t="shared" si="133"/>
        <v>8333.34</v>
      </c>
      <c r="R42" s="1640">
        <f t="shared" si="211"/>
        <v>0</v>
      </c>
      <c r="S42" s="1640"/>
      <c r="T42" s="194"/>
      <c r="U42" s="568">
        <v>40</v>
      </c>
      <c r="V42" s="563">
        <v>100</v>
      </c>
      <c r="W42" s="563">
        <v>25</v>
      </c>
      <c r="X42" s="563">
        <v>0</v>
      </c>
      <c r="Y42" s="563">
        <v>200</v>
      </c>
      <c r="Z42" s="563">
        <v>1600</v>
      </c>
      <c r="AA42" s="563" t="s">
        <v>93</v>
      </c>
      <c r="AB42" s="563" t="s">
        <v>93</v>
      </c>
      <c r="AC42" s="563">
        <v>100</v>
      </c>
      <c r="AD42" s="563">
        <v>15</v>
      </c>
      <c r="AE42" s="563">
        <v>50</v>
      </c>
      <c r="AF42" s="563">
        <v>180</v>
      </c>
      <c r="AG42" s="850">
        <v>7500</v>
      </c>
      <c r="AH42" s="563"/>
      <c r="AI42" s="563"/>
      <c r="AJ42" s="96"/>
      <c r="AK42" s="96"/>
      <c r="AL42" s="576">
        <f t="shared" si="101"/>
        <v>1</v>
      </c>
      <c r="AM42" s="572"/>
      <c r="AN42" s="572"/>
      <c r="AO42" s="572"/>
      <c r="AP42" s="572"/>
      <c r="AQ42" s="572"/>
      <c r="AR42" s="572"/>
      <c r="AS42" s="572"/>
      <c r="AT42" s="572">
        <f>SUM((AC42/18))</f>
        <v>5.5555555555555554</v>
      </c>
      <c r="AU42" s="572">
        <f>SUM((-AD42/18))</f>
        <v>-0.83333333333333337</v>
      </c>
      <c r="AV42" s="572">
        <f>SUM((-AE42/18))</f>
        <v>-2.7777777777777777</v>
      </c>
      <c r="AW42" s="583"/>
      <c r="AX42" s="572">
        <f t="shared" si="137"/>
        <v>833.33333333333337</v>
      </c>
      <c r="AY42" s="572"/>
      <c r="AZ42" s="572"/>
      <c r="BA42" s="96"/>
      <c r="BB42" s="590">
        <v>2.33</v>
      </c>
      <c r="BC42" s="572">
        <f t="shared" si="213"/>
        <v>0</v>
      </c>
      <c r="BD42" s="572">
        <f t="shared" si="213"/>
        <v>0</v>
      </c>
      <c r="BE42" s="572">
        <f t="shared" si="213"/>
        <v>0</v>
      </c>
      <c r="BF42" s="572">
        <f t="shared" si="213"/>
        <v>0</v>
      </c>
      <c r="BG42" s="572">
        <f t="shared" si="213"/>
        <v>0</v>
      </c>
      <c r="BH42" s="572">
        <f t="shared" si="213"/>
        <v>0</v>
      </c>
      <c r="BI42" s="572">
        <f t="shared" si="213"/>
        <v>0</v>
      </c>
      <c r="BJ42" s="572">
        <f t="shared" si="213"/>
        <v>5</v>
      </c>
      <c r="BK42" s="586">
        <f>SUM(ROUND((AU42/BB42),2))</f>
        <v>-0.36</v>
      </c>
      <c r="BL42" s="586">
        <f>SUM(ROUND((AV42/BB42),2))</f>
        <v>-1.19</v>
      </c>
      <c r="BM42" s="596">
        <f t="shared" si="214"/>
        <v>0</v>
      </c>
      <c r="BN42" s="572">
        <f t="shared" si="214"/>
        <v>750</v>
      </c>
      <c r="BO42" s="96"/>
      <c r="BP42" s="590">
        <v>2.84</v>
      </c>
      <c r="BQ42" s="572">
        <f t="shared" si="215"/>
        <v>0</v>
      </c>
      <c r="BR42" s="572">
        <f t="shared" si="215"/>
        <v>0</v>
      </c>
      <c r="BS42" s="572">
        <f t="shared" si="215"/>
        <v>0</v>
      </c>
      <c r="BT42" s="572">
        <f t="shared" si="215"/>
        <v>0</v>
      </c>
      <c r="BU42" s="572">
        <f t="shared" si="215"/>
        <v>0</v>
      </c>
      <c r="BV42" s="572">
        <f t="shared" si="215"/>
        <v>0</v>
      </c>
      <c r="BW42" s="572">
        <f t="shared" si="215"/>
        <v>0</v>
      </c>
      <c r="BX42" s="572">
        <f t="shared" si="215"/>
        <v>4.5</v>
      </c>
      <c r="BY42" s="586">
        <f>SUM(ROUND((AU42/BP42),2))</f>
        <v>-0.28999999999999998</v>
      </c>
      <c r="BZ42" s="586">
        <f>SUM(ROUND((AV42/BP42),2))</f>
        <v>-0.98</v>
      </c>
      <c r="CA42" s="583">
        <f t="shared" si="216"/>
        <v>0</v>
      </c>
      <c r="CB42" s="572">
        <f t="shared" si="216"/>
        <v>675</v>
      </c>
      <c r="CC42" s="96"/>
      <c r="CD42" s="590">
        <v>3.45</v>
      </c>
      <c r="CE42" s="572">
        <f t="shared" si="217"/>
        <v>0</v>
      </c>
      <c r="CF42" s="572">
        <f t="shared" si="217"/>
        <v>0</v>
      </c>
      <c r="CG42" s="572">
        <f t="shared" si="217"/>
        <v>0</v>
      </c>
      <c r="CH42" s="572">
        <f t="shared" si="217"/>
        <v>0</v>
      </c>
      <c r="CI42" s="572">
        <f t="shared" si="217"/>
        <v>0</v>
      </c>
      <c r="CJ42" s="572">
        <f t="shared" si="217"/>
        <v>0</v>
      </c>
      <c r="CK42" s="572">
        <f t="shared" si="217"/>
        <v>0</v>
      </c>
      <c r="CL42" s="572">
        <f t="shared" si="217"/>
        <v>4</v>
      </c>
      <c r="CM42" s="586">
        <f>SUM(ROUND((AU42/CD42),2))</f>
        <v>-0.24</v>
      </c>
      <c r="CN42" s="586">
        <f>SUM(ROUND((AV42/CD42),2))</f>
        <v>-0.81</v>
      </c>
      <c r="CO42" s="583">
        <f t="shared" si="218"/>
        <v>0</v>
      </c>
      <c r="CP42" s="572">
        <f t="shared" si="218"/>
        <v>600</v>
      </c>
      <c r="CQ42" s="96"/>
      <c r="CR42" s="590">
        <v>4.2300000000000004</v>
      </c>
      <c r="CS42" s="572">
        <f t="shared" si="219"/>
        <v>0</v>
      </c>
      <c r="CT42" s="572">
        <f t="shared" si="219"/>
        <v>0</v>
      </c>
      <c r="CU42" s="572">
        <f t="shared" si="219"/>
        <v>0</v>
      </c>
      <c r="CV42" s="572">
        <f t="shared" si="219"/>
        <v>0</v>
      </c>
      <c r="CW42" s="572">
        <f t="shared" si="219"/>
        <v>0</v>
      </c>
      <c r="CX42" s="572">
        <f t="shared" si="219"/>
        <v>0</v>
      </c>
      <c r="CY42" s="572">
        <f t="shared" si="219"/>
        <v>0</v>
      </c>
      <c r="CZ42" s="572">
        <f t="shared" si="219"/>
        <v>3.5</v>
      </c>
      <c r="DA42" s="586">
        <f>SUM(ROUND((AU42/CR42),2))</f>
        <v>-0.2</v>
      </c>
      <c r="DB42" s="586">
        <f>SUM(ROUND((AV42/CR42),2))</f>
        <v>-0.66</v>
      </c>
      <c r="DC42" s="583">
        <f t="shared" si="220"/>
        <v>0</v>
      </c>
      <c r="DD42" s="572">
        <f t="shared" si="220"/>
        <v>525</v>
      </c>
      <c r="DE42" s="96"/>
      <c r="DF42" s="590">
        <v>5.2</v>
      </c>
      <c r="DG42" s="572">
        <f t="shared" si="221"/>
        <v>0</v>
      </c>
      <c r="DH42" s="572">
        <f t="shared" si="221"/>
        <v>0</v>
      </c>
      <c r="DI42" s="572">
        <f t="shared" si="221"/>
        <v>0</v>
      </c>
      <c r="DJ42" s="572">
        <f t="shared" si="221"/>
        <v>0</v>
      </c>
      <c r="DK42" s="572">
        <f t="shared" si="221"/>
        <v>0</v>
      </c>
      <c r="DL42" s="572">
        <f t="shared" si="221"/>
        <v>0</v>
      </c>
      <c r="DM42" s="572">
        <f t="shared" si="221"/>
        <v>0</v>
      </c>
      <c r="DN42" s="572">
        <f t="shared" si="221"/>
        <v>3</v>
      </c>
      <c r="DO42" s="586">
        <f>SUM(ROUND((AU42/DF42),2))</f>
        <v>-0.16</v>
      </c>
      <c r="DP42" s="586">
        <f>SUM(ROUND((AV42/DF42),2))</f>
        <v>-0.53</v>
      </c>
      <c r="DQ42" s="577">
        <f t="shared" si="222"/>
        <v>0</v>
      </c>
      <c r="DR42" s="96">
        <f t="shared" si="222"/>
        <v>450</v>
      </c>
      <c r="DS42" s="96"/>
      <c r="DT42" s="96" t="e">
        <f t="shared" si="198"/>
        <v>#VALUE!</v>
      </c>
      <c r="DU42" s="96" t="e">
        <f t="shared" si="199"/>
        <v>#VALUE!</v>
      </c>
      <c r="DV42" s="96" t="e">
        <f t="shared" si="200"/>
        <v>#VALUE!</v>
      </c>
      <c r="DW42" s="96" t="e">
        <f t="shared" si="201"/>
        <v>#VALUE!</v>
      </c>
      <c r="DX42" s="96" t="e">
        <f t="shared" si="202"/>
        <v>#VALUE!</v>
      </c>
      <c r="DY42" s="96" t="e">
        <f t="shared" si="203"/>
        <v>#VALUE!</v>
      </c>
      <c r="DZ42" s="96" t="e">
        <f t="shared" si="204"/>
        <v>#VALUE!</v>
      </c>
      <c r="EA42" s="96" t="e">
        <f t="shared" si="205"/>
        <v>#VALUE!</v>
      </c>
      <c r="EB42" s="96" t="e">
        <f t="shared" si="206"/>
        <v>#VALUE!</v>
      </c>
      <c r="EC42" s="96" t="e">
        <f t="shared" si="207"/>
        <v>#VALUE!</v>
      </c>
      <c r="ED42" s="96" t="e">
        <f t="shared" si="208"/>
        <v>#VALUE!</v>
      </c>
      <c r="EE42" s="96" t="e">
        <f t="shared" si="209"/>
        <v>#VALUE!</v>
      </c>
    </row>
    <row r="43" spans="2:135" s="368" customFormat="1">
      <c r="B43" s="173"/>
      <c r="C43" s="1755">
        <v>217</v>
      </c>
      <c r="D43" s="1122" t="s">
        <v>989</v>
      </c>
      <c r="E43" s="322">
        <f t="shared" ref="E43" si="223">IF((AL43&lt;10),SUM((U43+(ROUNDUP((AL43*AM43),2)))),SUM((U43+(ROUNDUP(((9*AM43)+DT43),2)))))</f>
        <v>500</v>
      </c>
      <c r="F43" s="322">
        <f t="shared" ref="F43" si="224">IF((AL43&lt;10),SUM((V43+(ROUNDUP((AL43*AN43),2)))),SUM((V43+(ROUNDUP(((9*AN43)+DU43),2)))))</f>
        <v>750</v>
      </c>
      <c r="G43" s="322">
        <f t="shared" ref="G43" si="225">W43</f>
        <v>0</v>
      </c>
      <c r="H43" s="323">
        <f t="shared" ref="H43" si="226">X43</f>
        <v>0</v>
      </c>
      <c r="I43" s="322">
        <f t="shared" ref="I43" si="227">Y43</f>
        <v>0</v>
      </c>
      <c r="J43" s="322">
        <f t="shared" ref="J43" si="228">IF((AL43&lt;10),SUM((Z43+(ROUNDUP((AL43*AQ43),2)))),SUM((Z43+(ROUNDUP(((9*AQ43)+DX43),2)))))</f>
        <v>0</v>
      </c>
      <c r="K43" s="322"/>
      <c r="L43" s="322"/>
      <c r="M43" s="322">
        <f t="shared" ref="M43" si="229">IF((AL43&lt;10),SUM((AC43+(ROUNDUP((AL43*AT43),2)))),SUM((AC43+(ROUNDUP(((9*AT43)+EA43),2)))))</f>
        <v>0</v>
      </c>
      <c r="N43" s="322">
        <f>IF((AL43&lt;10),SUM((AD43+(ROUNDUP((AL43*AU43),2)))),SUM((AD43+(ROUNDUP(((9*AU43)+EB43),2)))))</f>
        <v>0</v>
      </c>
      <c r="O43" s="322">
        <f t="shared" ref="O43" si="230">IF((AL43&lt;10),SUM((AE43+(ROUNDUP((AL43*AV43),2)))),SUM((AE43+(ROUNDUP(((9*AV43)+EC43),2)))))</f>
        <v>0</v>
      </c>
      <c r="P43" s="1124">
        <f t="shared" ref="P43" si="231">AF43</f>
        <v>0</v>
      </c>
      <c r="Q43" s="1641">
        <f t="shared" ref="Q43" si="232">IF((AL43&lt;10),SUM((AG43+(ROUNDUP((AL43*AX43),2)))),SUM((AG43+(ROUNDUP(((9*AX43)+EE43),2)))))</f>
        <v>0</v>
      </c>
      <c r="R43" s="1640">
        <f t="shared" si="211"/>
        <v>0</v>
      </c>
      <c r="S43" s="1640"/>
      <c r="T43" s="194"/>
      <c r="U43" s="568">
        <v>500</v>
      </c>
      <c r="V43" s="563">
        <v>750</v>
      </c>
      <c r="W43" s="563"/>
      <c r="X43" s="563"/>
      <c r="Y43" s="563"/>
      <c r="Z43" s="563"/>
      <c r="AA43" s="563"/>
      <c r="AB43" s="563"/>
      <c r="AC43" s="563"/>
      <c r="AD43" s="563"/>
      <c r="AE43" s="563"/>
      <c r="AF43" s="563"/>
      <c r="AG43" s="850"/>
      <c r="AH43" s="563"/>
      <c r="AI43" s="563"/>
      <c r="AJ43" s="96"/>
      <c r="AK43" s="96"/>
      <c r="AL43" s="576"/>
      <c r="AM43" s="572"/>
      <c r="AN43" s="572"/>
      <c r="AO43" s="572"/>
      <c r="AP43" s="572"/>
      <c r="AQ43" s="572"/>
      <c r="AR43" s="572"/>
      <c r="AS43" s="572"/>
      <c r="AT43" s="572"/>
      <c r="AU43" s="572"/>
      <c r="AV43" s="572"/>
      <c r="AW43" s="583"/>
      <c r="AX43" s="572"/>
      <c r="AY43" s="572"/>
      <c r="AZ43" s="572"/>
      <c r="BA43" s="96"/>
      <c r="BB43" s="590"/>
      <c r="BC43" s="572"/>
      <c r="BD43" s="572"/>
      <c r="BE43" s="572"/>
      <c r="BF43" s="572"/>
      <c r="BG43" s="572"/>
      <c r="BH43" s="572"/>
      <c r="BI43" s="572"/>
      <c r="BJ43" s="572"/>
      <c r="BK43" s="586"/>
      <c r="BL43" s="586"/>
      <c r="BM43" s="596"/>
      <c r="BN43" s="572"/>
      <c r="BO43" s="96"/>
      <c r="BP43" s="590"/>
      <c r="BQ43" s="572"/>
      <c r="BR43" s="572"/>
      <c r="BS43" s="572"/>
      <c r="BT43" s="572"/>
      <c r="BU43" s="572"/>
      <c r="BV43" s="572"/>
      <c r="BW43" s="572"/>
      <c r="BX43" s="572"/>
      <c r="BY43" s="586"/>
      <c r="BZ43" s="586"/>
      <c r="CA43" s="583"/>
      <c r="CB43" s="572"/>
      <c r="CC43" s="96"/>
      <c r="CD43" s="590"/>
      <c r="CE43" s="572"/>
      <c r="CF43" s="572"/>
      <c r="CG43" s="572"/>
      <c r="CH43" s="572"/>
      <c r="CI43" s="572"/>
      <c r="CJ43" s="572"/>
      <c r="CK43" s="572"/>
      <c r="CL43" s="572"/>
      <c r="CM43" s="586"/>
      <c r="CN43" s="586"/>
      <c r="CO43" s="583"/>
      <c r="CP43" s="572"/>
      <c r="CQ43" s="96"/>
      <c r="CR43" s="590"/>
      <c r="CS43" s="572"/>
      <c r="CT43" s="572"/>
      <c r="CU43" s="572"/>
      <c r="CV43" s="572"/>
      <c r="CW43" s="572"/>
      <c r="CX43" s="572"/>
      <c r="CY43" s="572"/>
      <c r="CZ43" s="572"/>
      <c r="DA43" s="586"/>
      <c r="DB43" s="586"/>
      <c r="DC43" s="583"/>
      <c r="DD43" s="572"/>
      <c r="DE43" s="96"/>
      <c r="DF43" s="590"/>
      <c r="DG43" s="572"/>
      <c r="DH43" s="572"/>
      <c r="DI43" s="572"/>
      <c r="DJ43" s="572"/>
      <c r="DK43" s="572"/>
      <c r="DL43" s="572"/>
      <c r="DM43" s="572"/>
      <c r="DN43" s="572"/>
      <c r="DO43" s="586"/>
      <c r="DP43" s="586"/>
      <c r="DQ43" s="577"/>
      <c r="DR43" s="96"/>
      <c r="DS43" s="96"/>
      <c r="DT43" s="96"/>
      <c r="DU43" s="96"/>
      <c r="DV43" s="96"/>
      <c r="DW43" s="96"/>
      <c r="DX43" s="96"/>
      <c r="DY43" s="96"/>
      <c r="DZ43" s="96"/>
      <c r="EA43" s="96"/>
      <c r="EB43" s="96"/>
      <c r="EC43" s="96"/>
      <c r="ED43" s="96"/>
      <c r="EE43" s="96"/>
    </row>
    <row r="44" spans="2:135" ht="26.25">
      <c r="D44" s="456"/>
      <c r="E44" s="2511" t="s">
        <v>109</v>
      </c>
      <c r="F44" s="2511"/>
      <c r="G44" s="2511"/>
      <c r="H44" s="2511"/>
      <c r="I44" s="2511"/>
      <c r="J44" s="2511"/>
      <c r="K44" s="2511"/>
      <c r="L44" s="2511"/>
      <c r="M44" s="2511"/>
      <c r="N44" s="2511"/>
      <c r="O44" s="2511"/>
      <c r="P44" s="2511"/>
      <c r="Q44" s="2511"/>
      <c r="R44" s="2511"/>
      <c r="S44" s="324"/>
      <c r="T44" s="194"/>
      <c r="U44" s="568"/>
      <c r="V44" s="563"/>
      <c r="W44" s="563"/>
      <c r="X44" s="563"/>
      <c r="Y44" s="563"/>
      <c r="Z44" s="563"/>
      <c r="AA44" s="563"/>
      <c r="AB44" s="563"/>
      <c r="AC44" s="563"/>
      <c r="AD44" s="563"/>
      <c r="AE44" s="563"/>
      <c r="AF44" s="563"/>
      <c r="AG44" s="850"/>
      <c r="AH44" s="563"/>
      <c r="AI44" s="563"/>
      <c r="AJ44" s="96"/>
      <c r="AK44" s="96"/>
      <c r="AL44" s="576">
        <f t="shared" si="101"/>
        <v>1</v>
      </c>
      <c r="AM44" s="572"/>
      <c r="AN44" s="572"/>
      <c r="AO44" s="572"/>
      <c r="AP44" s="572"/>
      <c r="AQ44" s="572"/>
      <c r="AR44" s="572"/>
      <c r="AS44" s="572"/>
      <c r="AT44" s="572"/>
      <c r="AU44" s="572"/>
      <c r="AV44" s="572"/>
      <c r="AW44" s="583"/>
      <c r="AX44" s="572"/>
      <c r="AY44" s="572"/>
      <c r="AZ44" s="572"/>
      <c r="BA44" s="96"/>
      <c r="BB44" s="576"/>
      <c r="BC44" s="572"/>
      <c r="BD44" s="572"/>
      <c r="BE44" s="572"/>
      <c r="BF44" s="572"/>
      <c r="BG44" s="572"/>
      <c r="BH44" s="572"/>
      <c r="BI44" s="572"/>
      <c r="BJ44" s="572"/>
      <c r="BK44" s="572"/>
      <c r="BL44" s="572"/>
      <c r="BM44" s="595"/>
      <c r="BN44" s="572"/>
      <c r="BO44" s="96"/>
      <c r="BP44" s="576"/>
      <c r="BQ44" s="572"/>
      <c r="BR44" s="572"/>
      <c r="BS44" s="572"/>
      <c r="BT44" s="572"/>
      <c r="BU44" s="572"/>
      <c r="BV44" s="572"/>
      <c r="BW44" s="572"/>
      <c r="BX44" s="572"/>
      <c r="BY44" s="572"/>
      <c r="BZ44" s="572"/>
      <c r="CA44" s="583"/>
      <c r="CB44" s="572"/>
      <c r="CC44" s="96"/>
      <c r="CD44" s="576"/>
      <c r="CE44" s="572"/>
      <c r="CF44" s="572"/>
      <c r="CG44" s="572"/>
      <c r="CH44" s="572"/>
      <c r="CI44" s="572"/>
      <c r="CJ44" s="572"/>
      <c r="CK44" s="572"/>
      <c r="CL44" s="572"/>
      <c r="CM44" s="572"/>
      <c r="CN44" s="572"/>
      <c r="CO44" s="583"/>
      <c r="CP44" s="572"/>
      <c r="CQ44" s="96"/>
      <c r="CR44" s="576"/>
      <c r="CS44" s="572"/>
      <c r="CT44" s="572"/>
      <c r="CU44" s="572"/>
      <c r="CV44" s="572"/>
      <c r="CW44" s="572"/>
      <c r="CX44" s="572"/>
      <c r="CY44" s="572"/>
      <c r="CZ44" s="572"/>
      <c r="DA44" s="572"/>
      <c r="DB44" s="572"/>
      <c r="DC44" s="583"/>
      <c r="DD44" s="572"/>
      <c r="DE44" s="96"/>
      <c r="DF44" s="576"/>
      <c r="DG44" s="572"/>
      <c r="DH44" s="572"/>
      <c r="DI44" s="572"/>
      <c r="DJ44" s="572"/>
      <c r="DK44" s="572"/>
      <c r="DL44" s="572"/>
      <c r="DM44" s="572"/>
      <c r="DN44" s="572"/>
      <c r="DO44" s="572"/>
      <c r="DP44" s="572"/>
      <c r="DQ44" s="577"/>
      <c r="DR44" s="96"/>
      <c r="DS44" s="96"/>
      <c r="DT44" s="96"/>
      <c r="DU44" s="96"/>
      <c r="DV44" s="96"/>
      <c r="DW44" s="96"/>
      <c r="DX44" s="96"/>
      <c r="DY44" s="96"/>
      <c r="DZ44" s="96"/>
      <c r="EA44" s="96"/>
      <c r="EB44" s="96"/>
      <c r="EC44" s="96"/>
      <c r="ED44" s="96"/>
      <c r="EE44" s="96"/>
    </row>
    <row r="45" spans="2:135" ht="15" customHeight="1">
      <c r="C45" s="1752">
        <v>301</v>
      </c>
      <c r="D45" s="324"/>
      <c r="E45" s="334"/>
      <c r="F45" s="334"/>
      <c r="G45" s="334"/>
      <c r="H45" s="335"/>
      <c r="I45" s="334"/>
      <c r="J45" s="334"/>
      <c r="K45" s="334"/>
      <c r="L45" s="334"/>
      <c r="M45" s="334"/>
      <c r="N45" s="334"/>
      <c r="O45" s="334"/>
      <c r="P45" s="334"/>
      <c r="Q45" s="1642"/>
      <c r="R45" s="1643">
        <f t="shared" ref="R45" si="233">IF((AM45&lt;10),SUM((AH45+(ROUNDUP((AM45*AY45),2)))),SUM((AH45+(ROUNDUP(((9*AY45)+EF45),2)))))</f>
        <v>0</v>
      </c>
      <c r="S45" s="1643">
        <f t="shared" ref="S45" si="234">IF((AN45&lt;10),SUM((AI45+(ROUNDUP((AN45*AZ45),2)))),SUM((AI45+(ROUNDUP(((9*AZ45)+EG45),2)))))</f>
        <v>0</v>
      </c>
      <c r="T45" s="194"/>
      <c r="U45" s="568"/>
      <c r="V45" s="563"/>
      <c r="W45" s="563"/>
      <c r="X45" s="563"/>
      <c r="Y45" s="563"/>
      <c r="Z45" s="563"/>
      <c r="AA45" s="563"/>
      <c r="AB45" s="563"/>
      <c r="AC45" s="563"/>
      <c r="AD45" s="563"/>
      <c r="AE45" s="563"/>
      <c r="AF45" s="563"/>
      <c r="AG45" s="850"/>
      <c r="AH45" s="563"/>
      <c r="AI45" s="563"/>
      <c r="AJ45" s="96"/>
      <c r="AK45" s="96"/>
      <c r="AL45" s="576">
        <f t="shared" si="101"/>
        <v>1</v>
      </c>
      <c r="AM45" s="572"/>
      <c r="AN45" s="572"/>
      <c r="AO45" s="572"/>
      <c r="AP45" s="572"/>
      <c r="AQ45" s="572"/>
      <c r="AR45" s="572"/>
      <c r="AS45" s="572"/>
      <c r="AT45" s="572"/>
      <c r="AU45" s="572"/>
      <c r="AV45" s="572"/>
      <c r="AW45" s="583"/>
      <c r="AX45" s="572"/>
      <c r="AY45" s="572"/>
      <c r="AZ45" s="572"/>
      <c r="BA45" s="96"/>
      <c r="BB45" s="576"/>
      <c r="BC45" s="572"/>
      <c r="BD45" s="572"/>
      <c r="BE45" s="572"/>
      <c r="BF45" s="572"/>
      <c r="BG45" s="572"/>
      <c r="BH45" s="572"/>
      <c r="BI45" s="572"/>
      <c r="BJ45" s="572"/>
      <c r="BK45" s="572"/>
      <c r="BL45" s="572"/>
      <c r="BM45" s="595"/>
      <c r="BN45" s="572"/>
      <c r="BO45" s="96"/>
      <c r="BP45" s="576"/>
      <c r="BQ45" s="572"/>
      <c r="BR45" s="572"/>
      <c r="BS45" s="572"/>
      <c r="BT45" s="572"/>
      <c r="BU45" s="572"/>
      <c r="BV45" s="572"/>
      <c r="BW45" s="572"/>
      <c r="BX45" s="572"/>
      <c r="BY45" s="572"/>
      <c r="BZ45" s="572"/>
      <c r="CA45" s="583"/>
      <c r="CB45" s="572"/>
      <c r="CC45" s="96"/>
      <c r="CD45" s="576"/>
      <c r="CE45" s="572"/>
      <c r="CF45" s="572"/>
      <c r="CG45" s="572"/>
      <c r="CH45" s="572"/>
      <c r="CI45" s="572"/>
      <c r="CJ45" s="572"/>
      <c r="CK45" s="572"/>
      <c r="CL45" s="572"/>
      <c r="CM45" s="572"/>
      <c r="CN45" s="572"/>
      <c r="CO45" s="583"/>
      <c r="CP45" s="572"/>
      <c r="CQ45" s="96"/>
      <c r="CR45" s="576"/>
      <c r="CS45" s="572"/>
      <c r="CT45" s="572"/>
      <c r="CU45" s="572"/>
      <c r="CV45" s="572"/>
      <c r="CW45" s="572"/>
      <c r="CX45" s="572"/>
      <c r="CY45" s="572"/>
      <c r="CZ45" s="572"/>
      <c r="DA45" s="572"/>
      <c r="DB45" s="572"/>
      <c r="DC45" s="583"/>
      <c r="DD45" s="572"/>
      <c r="DE45" s="96"/>
      <c r="DF45" s="576"/>
      <c r="DG45" s="572"/>
      <c r="DH45" s="572"/>
      <c r="DI45" s="572"/>
      <c r="DJ45" s="572"/>
      <c r="DK45" s="572"/>
      <c r="DL45" s="572"/>
      <c r="DM45" s="572"/>
      <c r="DN45" s="572"/>
      <c r="DO45" s="572"/>
      <c r="DP45" s="572"/>
      <c r="DQ45" s="577"/>
      <c r="DR45" s="96"/>
      <c r="DS45" s="96"/>
      <c r="DT45" s="96"/>
      <c r="DU45" s="96"/>
      <c r="DV45" s="96"/>
      <c r="DW45" s="96"/>
      <c r="DX45" s="96"/>
      <c r="DY45" s="96"/>
      <c r="DZ45" s="96"/>
      <c r="EA45" s="96"/>
      <c r="EB45" s="96"/>
      <c r="EC45" s="96"/>
      <c r="ED45" s="96"/>
      <c r="EE45" s="96"/>
    </row>
    <row r="46" spans="2:135">
      <c r="C46" s="1752">
        <v>302</v>
      </c>
      <c r="D46" s="1117" t="s">
        <v>95</v>
      </c>
      <c r="E46" s="325">
        <f t="shared" ref="E46:E62" si="235">IF((AL46&lt;10),SUM((U46+(ROUNDUP((AL46*AM46),2)))),SUM((U46+(ROUNDUP(((9*AM46)+DT46),2)))))</f>
        <v>38.89</v>
      </c>
      <c r="F46" s="325">
        <f t="shared" ref="F46:F62" si="236">IF((AL46&lt;10),SUM((V46+(ROUNDUP((AL46*AN46),2)))),SUM((V46+(ROUNDUP(((9*AN46)+DU46),2)))))</f>
        <v>77.78</v>
      </c>
      <c r="G46" s="325">
        <f t="shared" ref="G46:G62" si="237">W46</f>
        <v>35</v>
      </c>
      <c r="H46" s="326">
        <f>X46</f>
        <v>1</v>
      </c>
      <c r="I46" s="325">
        <f t="shared" ref="I46:I62" si="238">Y46</f>
        <v>0</v>
      </c>
      <c r="J46" s="325">
        <f t="shared" ref="J46:J62" si="239">IF((AL46&lt;10),SUM((Z46+(ROUNDUP((AL46*AQ46),2)))),SUM((Z46+(ROUNDUP(((9*AQ46)+DX46),2)))))</f>
        <v>1350</v>
      </c>
      <c r="K46" s="325">
        <f t="shared" ref="K46:K57" si="240">IF((AL46&lt;10),SUM((AA46+(ROUNDUP((AL46*AR46),2)))),SUM((AA46+(ROUNDUP(((9*AR46)+DY46),2)))))</f>
        <v>577.78</v>
      </c>
      <c r="L46" s="325">
        <f t="shared" ref="L46:L57" si="241">AB46</f>
        <v>125</v>
      </c>
      <c r="M46" s="325">
        <f t="shared" ref="M46:M62" si="242">IF((AL46&lt;10),SUM((AC46+(ROUNDUP((AL46*AT46),2)))),SUM((AC46+(ROUNDUP(((9*AT46)+EA46),2)))))</f>
        <v>100</v>
      </c>
      <c r="N46" s="325">
        <f t="shared" ref="N46:N59" si="243">IF((AL46&lt;10),SUM((AD46+(ROUNDUP((AL46*AU46),2)))),SUM((AD46+(ROUNDUP(((9*AU46)+EB46),2)))))</f>
        <v>3.2</v>
      </c>
      <c r="O46" s="325">
        <f t="shared" ref="O46:O62" si="244">IF((AL46&lt;10),SUM((AE46+(ROUNDUP((AL46*AV46),2)))),SUM((AE46+(ROUNDUP(((9*AV46)+EC46),2)))))</f>
        <v>25</v>
      </c>
      <c r="P46" s="325">
        <f t="shared" ref="P46:P62" si="245">AF46</f>
        <v>180</v>
      </c>
      <c r="Q46" s="1643">
        <f t="shared" ref="Q46:Q62" si="246">IF((AL46&lt;10),SUM((AG46+(ROUNDUP((AL46*AX46),2)))),SUM((AG46+(ROUNDUP(((9*AX46)+EE46),2)))))</f>
        <v>19444.45</v>
      </c>
      <c r="R46" s="1643">
        <f t="shared" ref="R46:R47" si="247">IF((AM46&lt;10),SUM((AH46+(ROUNDUP((AM46*AY46),2)))),SUM((AH46+(ROUNDUP(((9*AY46)+EF46),2)))))</f>
        <v>0</v>
      </c>
      <c r="S46" s="1643">
        <f t="shared" ref="S46:S47" si="248">IF((AN46&lt;10),SUM((AI46+(ROUNDUP((AN46*AZ46),2)))),SUM((AI46+(ROUNDUP(((9*AZ46)+EG46),2)))))</f>
        <v>0</v>
      </c>
      <c r="T46" s="190"/>
      <c r="U46" s="568">
        <v>35</v>
      </c>
      <c r="V46" s="563">
        <v>70</v>
      </c>
      <c r="W46" s="563">
        <v>35</v>
      </c>
      <c r="X46" s="563">
        <v>1</v>
      </c>
      <c r="Y46" s="563">
        <v>0</v>
      </c>
      <c r="Z46" s="563">
        <v>1350</v>
      </c>
      <c r="AA46" s="563">
        <v>550</v>
      </c>
      <c r="AB46" s="563">
        <v>125</v>
      </c>
      <c r="AC46" s="563">
        <v>100</v>
      </c>
      <c r="AD46" s="563">
        <v>3.2</v>
      </c>
      <c r="AE46" s="563">
        <v>25</v>
      </c>
      <c r="AF46" s="563">
        <v>180</v>
      </c>
      <c r="AG46" s="850">
        <v>17500</v>
      </c>
      <c r="AH46" s="563"/>
      <c r="AI46" s="563"/>
      <c r="AJ46" s="96"/>
      <c r="AK46" s="96"/>
      <c r="AL46" s="576">
        <f t="shared" si="101"/>
        <v>1</v>
      </c>
      <c r="AM46" s="572">
        <f t="shared" ref="AM46:AN53" si="249">SUM((U46/9))</f>
        <v>3.8888888888888888</v>
      </c>
      <c r="AN46" s="572">
        <f t="shared" si="249"/>
        <v>7.7777777777777777</v>
      </c>
      <c r="AO46" s="572"/>
      <c r="AP46" s="572"/>
      <c r="AQ46" s="572"/>
      <c r="AR46" s="572">
        <f>SUM((250/9))</f>
        <v>27.777777777777779</v>
      </c>
      <c r="AS46" s="572"/>
      <c r="AT46" s="572"/>
      <c r="AU46" s="572"/>
      <c r="AV46" s="572"/>
      <c r="AW46" s="583"/>
      <c r="AX46" s="572">
        <f t="shared" ref="AX46:AX62" si="250">SUM((AG46/9))</f>
        <v>1944.4444444444443</v>
      </c>
      <c r="AY46" s="572"/>
      <c r="AZ46" s="572"/>
      <c r="BA46" s="96"/>
      <c r="BB46" s="576"/>
      <c r="BC46" s="572">
        <f t="shared" ref="BC46:BC57" si="251">SUM(((AM46*0.9)*1))</f>
        <v>3.5</v>
      </c>
      <c r="BD46" s="572">
        <f t="shared" ref="BD46:BD57" si="252">SUM(((AN46*0.9)*1))</f>
        <v>7</v>
      </c>
      <c r="BE46" s="572">
        <f t="shared" ref="BE46:BE57" si="253">SUM(((AO46*0.9)*1))</f>
        <v>0</v>
      </c>
      <c r="BF46" s="572">
        <f t="shared" ref="BF46:BF57" si="254">SUM(((AP46*0.9)*1))</f>
        <v>0</v>
      </c>
      <c r="BG46" s="572">
        <f t="shared" ref="BG46:BG57" si="255">SUM(((AQ46*0.9)*1))</f>
        <v>0</v>
      </c>
      <c r="BH46" s="572">
        <f t="shared" ref="BH46:BH57" si="256">SUM(((AR46*0.9)*1))</f>
        <v>25</v>
      </c>
      <c r="BI46" s="572">
        <f t="shared" ref="BI46:BI57" si="257">SUM(((AS46*0.9)*1))</f>
        <v>0</v>
      </c>
      <c r="BJ46" s="572">
        <f t="shared" ref="BJ46:BJ57" si="258">SUM(((AT46*0.9)*1))</f>
        <v>0</v>
      </c>
      <c r="BK46" s="572">
        <f t="shared" ref="BK46:BK57" si="259">SUM(((AU46*0.9)*1))</f>
        <v>0</v>
      </c>
      <c r="BL46" s="572">
        <f t="shared" ref="BL46:BL57" si="260">SUM(((AV46*0.9)*1))</f>
        <v>0</v>
      </c>
      <c r="BM46" s="583">
        <f t="shared" ref="BM46:BM57" si="261">SUM(((AW46*0.9)*1))</f>
        <v>0</v>
      </c>
      <c r="BN46" s="572">
        <f t="shared" ref="BN46:BN57" si="262">SUM(((AX46*0.9)*1))</f>
        <v>1750</v>
      </c>
      <c r="BO46" s="96"/>
      <c r="BP46" s="576"/>
      <c r="BQ46" s="572">
        <f t="shared" ref="BQ46:BQ57" si="263">SUM(((AM46*0.9)*0.9))</f>
        <v>3.15</v>
      </c>
      <c r="BR46" s="572">
        <f t="shared" ref="BR46:BR57" si="264">SUM(((AN46*0.9)*0.9))</f>
        <v>6.3</v>
      </c>
      <c r="BS46" s="572">
        <f t="shared" ref="BS46:BS57" si="265">SUM(((AO46*0.9)*0.9))</f>
        <v>0</v>
      </c>
      <c r="BT46" s="572">
        <f t="shared" ref="BT46:BT57" si="266">SUM(((AP46*0.9)*0.9))</f>
        <v>0</v>
      </c>
      <c r="BU46" s="572">
        <f t="shared" ref="BU46:BU57" si="267">SUM(((AQ46*0.9)*0.9))</f>
        <v>0</v>
      </c>
      <c r="BV46" s="572">
        <f t="shared" ref="BV46:BV57" si="268">SUM(((AR46*0.9)*0.9))</f>
        <v>22.5</v>
      </c>
      <c r="BW46" s="572">
        <f t="shared" ref="BW46:BW57" si="269">SUM(((AS46*0.9)*0.9))</f>
        <v>0</v>
      </c>
      <c r="BX46" s="572">
        <f t="shared" ref="BX46:BX57" si="270">SUM(((AT46*0.9)*0.9))</f>
        <v>0</v>
      </c>
      <c r="BY46" s="572">
        <f t="shared" ref="BY46:BY57" si="271">SUM(((AU46*0.9)*0.9))</f>
        <v>0</v>
      </c>
      <c r="BZ46" s="572">
        <f t="shared" ref="BZ46:BZ57" si="272">SUM(((AV46*0.9)*0.9))</f>
        <v>0</v>
      </c>
      <c r="CA46" s="583">
        <f t="shared" ref="CA46:CA57" si="273">SUM(((AW46*0.9)*0.9))</f>
        <v>0</v>
      </c>
      <c r="CB46" s="572">
        <f t="shared" ref="CB46:CB57" si="274">SUM(((AX46*0.9)*0.9))</f>
        <v>1575</v>
      </c>
      <c r="CC46" s="96"/>
      <c r="CD46" s="576"/>
      <c r="CE46" s="572">
        <f t="shared" ref="CE46:CE57" si="275">SUM(((AM46*0.9)*0.8))</f>
        <v>2.8000000000000003</v>
      </c>
      <c r="CF46" s="572">
        <f t="shared" ref="CF46:CF57" si="276">SUM(((AN46*0.9)*0.8))</f>
        <v>5.6000000000000005</v>
      </c>
      <c r="CG46" s="572">
        <f t="shared" ref="CG46:CG57" si="277">SUM(((AO46*0.9)*0.8))</f>
        <v>0</v>
      </c>
      <c r="CH46" s="572">
        <f t="shared" ref="CH46:CH57" si="278">SUM(((AP46*0.9)*0.8))</f>
        <v>0</v>
      </c>
      <c r="CI46" s="572">
        <f t="shared" ref="CI46:CI57" si="279">SUM(((AQ46*0.9)*0.8))</f>
        <v>0</v>
      </c>
      <c r="CJ46" s="572">
        <f t="shared" ref="CJ46:CJ57" si="280">SUM(((AR46*0.9)*0.8))</f>
        <v>20</v>
      </c>
      <c r="CK46" s="572">
        <f t="shared" ref="CK46:CK57" si="281">SUM(((AS46*0.9)*0.8))</f>
        <v>0</v>
      </c>
      <c r="CL46" s="572">
        <f t="shared" ref="CL46:CL57" si="282">SUM(((AT46*0.9)*0.8))</f>
        <v>0</v>
      </c>
      <c r="CM46" s="572">
        <f t="shared" ref="CM46:CM57" si="283">SUM(((AU46*0.9)*0.8))</f>
        <v>0</v>
      </c>
      <c r="CN46" s="572">
        <f t="shared" ref="CN46:CN57" si="284">SUM(((AV46*0.9)*0.8))</f>
        <v>0</v>
      </c>
      <c r="CO46" s="583">
        <f t="shared" ref="CO46:CO57" si="285">SUM(((AW46*0.9)*0.8))</f>
        <v>0</v>
      </c>
      <c r="CP46" s="572">
        <f t="shared" ref="CP46:CP57" si="286">SUM(((AX46*0.9)*0.8))</f>
        <v>1400</v>
      </c>
      <c r="CQ46" s="96"/>
      <c r="CR46" s="576"/>
      <c r="CS46" s="572">
        <f t="shared" ref="CS46:CS57" si="287">SUM(((AM46*0.9)*0.7))</f>
        <v>2.4499999999999997</v>
      </c>
      <c r="CT46" s="572">
        <f t="shared" ref="CT46:CT57" si="288">SUM(((AN46*0.9)*0.7))</f>
        <v>4.8999999999999995</v>
      </c>
      <c r="CU46" s="572">
        <f t="shared" ref="CU46:CU57" si="289">SUM(((AO46*0.9)*0.7))</f>
        <v>0</v>
      </c>
      <c r="CV46" s="572">
        <f t="shared" ref="CV46:CV57" si="290">SUM(((AP46*0.9)*0.7))</f>
        <v>0</v>
      </c>
      <c r="CW46" s="572">
        <f t="shared" ref="CW46:CW57" si="291">SUM(((AQ46*0.9)*0.7))</f>
        <v>0</v>
      </c>
      <c r="CX46" s="572">
        <f t="shared" ref="CX46:CX57" si="292">SUM(((AR46*0.9)*0.7))</f>
        <v>17.5</v>
      </c>
      <c r="CY46" s="572">
        <f t="shared" ref="CY46:CY57" si="293">SUM(((AS46*0.9)*0.7))</f>
        <v>0</v>
      </c>
      <c r="CZ46" s="572">
        <f t="shared" ref="CZ46:CZ57" si="294">SUM(((AT46*0.9)*0.7))</f>
        <v>0</v>
      </c>
      <c r="DA46" s="572">
        <f t="shared" ref="DA46:DA57" si="295">SUM(((AU46*0.9)*0.7))</f>
        <v>0</v>
      </c>
      <c r="DB46" s="572">
        <f t="shared" ref="DB46:DB57" si="296">SUM(((AV46*0.9)*0.7))</f>
        <v>0</v>
      </c>
      <c r="DC46" s="583">
        <f t="shared" ref="DC46:DC57" si="297">SUM(((AW46*0.9)*0.7))</f>
        <v>0</v>
      </c>
      <c r="DD46" s="572">
        <f t="shared" ref="DD46:DD57" si="298">SUM(((AX46*0.9)*0.7))</f>
        <v>1225</v>
      </c>
      <c r="DE46" s="96"/>
      <c r="DF46" s="576"/>
      <c r="DG46" s="572">
        <f t="shared" ref="DG46:DG57" si="299">SUM(((AM46*0.9)*0.6))</f>
        <v>2.1</v>
      </c>
      <c r="DH46" s="572">
        <f t="shared" ref="DH46:DH57" si="300">SUM(((AN46*0.9)*0.6))</f>
        <v>4.2</v>
      </c>
      <c r="DI46" s="572">
        <f t="shared" ref="DI46:DI57" si="301">SUM(((AO46*0.9)*0.6))</f>
        <v>0</v>
      </c>
      <c r="DJ46" s="572">
        <f t="shared" ref="DJ46:DJ57" si="302">SUM(((AP46*0.9)*0.6))</f>
        <v>0</v>
      </c>
      <c r="DK46" s="572">
        <f t="shared" ref="DK46:DK57" si="303">SUM(((AQ46*0.9)*0.6))</f>
        <v>0</v>
      </c>
      <c r="DL46" s="572">
        <f t="shared" ref="DL46:DL57" si="304">SUM(((AR46*0.9)*0.6))</f>
        <v>15</v>
      </c>
      <c r="DM46" s="572">
        <f t="shared" ref="DM46:DM57" si="305">SUM(((AS46*0.9)*0.6))</f>
        <v>0</v>
      </c>
      <c r="DN46" s="572">
        <f t="shared" ref="DN46:DN57" si="306">SUM(((AT46*0.9)*0.6))</f>
        <v>0</v>
      </c>
      <c r="DO46" s="572">
        <f t="shared" ref="DO46:DO57" si="307">SUM(((AU46*0.9)*0.6))</f>
        <v>0</v>
      </c>
      <c r="DP46" s="572">
        <f t="shared" ref="DP46:DP57" si="308">SUM(((AV46*0.9)*0.6))</f>
        <v>0</v>
      </c>
      <c r="DQ46" s="577">
        <f t="shared" ref="DQ46:DQ57" si="309">SUM(((AW46*0.9)*0.6))</f>
        <v>0</v>
      </c>
      <c r="DR46" s="96">
        <f t="shared" ref="DR46:DR57" si="310">SUM(((AX46*0.9)*0.6))</f>
        <v>1050</v>
      </c>
      <c r="DS46" s="96"/>
      <c r="DT46" s="96" t="e">
        <f t="shared" ref="DT46:DT62" si="311">CHOOSE((AL46-9),BC46,(BC46+BQ46),((BC46+BQ46)+CE46),(((BC46+BQ46)+CE46)+CS46),((((BC46+BQ46)+CE46)+CS46)+DG46),)</f>
        <v>#VALUE!</v>
      </c>
      <c r="DU46" s="96" t="e">
        <f t="shared" ref="DU46:DU62" si="312">CHOOSE((AL46-9),BD46,(BD46+BR46),((BD46+BR46)+CF46),(((BD46+BR46)+CF46)+CT46),((((BD46+BR46)+CF46)+CT46)+DH46),)</f>
        <v>#VALUE!</v>
      </c>
      <c r="DV46" s="96" t="e">
        <f t="shared" ref="DV46:DV62" si="313">CHOOSE((AL46-9),BE46,(BE46+BS46),((BE46+BS46)+CG46),(((BE46+BS46)+CG46)+CU46),((((BE46+BS46)+CG46)+CU46)+DI46),)</f>
        <v>#VALUE!</v>
      </c>
      <c r="DW46" s="96" t="e">
        <f t="shared" ref="DW46:DW62" si="314">CHOOSE((AL46-9),BF46,(BF46+BT46),((BF46+BT46)+CH46),(((BF46+BT46)+CH46)+CV46),((((BF46+BT46)+CH46)+CV46)+DJ46),)</f>
        <v>#VALUE!</v>
      </c>
      <c r="DX46" s="96" t="e">
        <f t="shared" ref="DX46:DX62" si="315">CHOOSE((AL46-9),BG46,(BG46+BU46),((BG46+BU46)+CI46),(((BG46+BU46)+CI46)+CW46),((((BG46+BU46)+CI46)+CW46)+DK46),)</f>
        <v>#VALUE!</v>
      </c>
      <c r="DY46" s="96" t="e">
        <f t="shared" ref="DY46:DY62" si="316">CHOOSE((AL46-9),BH46,(BH46+BV46),((BH46+BV46)+CJ46),(((BH46+BV46)+CJ46)+CX46),((((BH46+BV46)+CJ46)+CX46)+DL46),)</f>
        <v>#VALUE!</v>
      </c>
      <c r="DZ46" s="96" t="e">
        <f t="shared" ref="DZ46:DZ62" si="317">CHOOSE((AL46-9),BI46,(BI46+BW46),((BI46+BW46)+CK46),(((BI46+BW46)+CK46)+CY46),((((BI46+BW46)+CK46)+CY46)+DM46),)</f>
        <v>#VALUE!</v>
      </c>
      <c r="EA46" s="96" t="e">
        <f t="shared" ref="EA46:EA62" si="318">CHOOSE((AL46-9),BJ46,(BJ46+BX46),((BJ46+BX46)+CL46),(((BJ46+BX46)+CL46)+CZ46),((((BJ46+BX46)+CL46)+CZ46)+DN46),)</f>
        <v>#VALUE!</v>
      </c>
      <c r="EB46" s="96" t="e">
        <f t="shared" ref="EB46:EB62" si="319">CHOOSE((AL46-9),BK46,(BK46+BY46),((BK46+BY46)+CM46),(((BK46+BY46)+CM46)+DA46),((((BK46+BY46)+CM46)+DA46)+DO46),)</f>
        <v>#VALUE!</v>
      </c>
      <c r="EC46" s="96" t="e">
        <f t="shared" ref="EC46:EC62" si="320">CHOOSE((AL46-9),BL46,(BL46+BZ46),((BL46+BZ46)+CN46),(((BL46+BZ46)+CN46)+DB46),((((BL46+BZ46)+CN46)+DB46)+DP46),)</f>
        <v>#VALUE!</v>
      </c>
      <c r="ED46" s="96" t="e">
        <f t="shared" ref="ED46:ED62" si="321">CHOOSE((AL46-9),BM46,(BM46+CA46),((BM46+CA46)+CO46),(((BM46+CA46)+CO46)+DC46),((((BM46+CA46)+CO46)+DC46)+DQ46),)</f>
        <v>#VALUE!</v>
      </c>
      <c r="EE46" s="96" t="e">
        <f t="shared" ref="EE46:EE62" si="322">CHOOSE((AL46-9),BN46,(BN46+CB46),((BN46+CB46)+CP46),(((BN46+CB46)+CP46)+DD46),((((BN46+CB46)+CP46)+DD46)+DR46),)</f>
        <v>#VALUE!</v>
      </c>
    </row>
    <row r="47" spans="2:135">
      <c r="C47" s="1752">
        <v>303</v>
      </c>
      <c r="D47" s="1117" t="s">
        <v>96</v>
      </c>
      <c r="E47" s="325">
        <f t="shared" si="235"/>
        <v>38.89</v>
      </c>
      <c r="F47" s="325">
        <f t="shared" si="236"/>
        <v>77.78</v>
      </c>
      <c r="G47" s="325">
        <f t="shared" si="237"/>
        <v>35</v>
      </c>
      <c r="H47" s="326">
        <f t="shared" ref="H47:H62" si="323">X47</f>
        <v>1</v>
      </c>
      <c r="I47" s="325">
        <f t="shared" si="238"/>
        <v>0</v>
      </c>
      <c r="J47" s="325">
        <f t="shared" si="239"/>
        <v>1350</v>
      </c>
      <c r="K47" s="325">
        <f t="shared" si="240"/>
        <v>550</v>
      </c>
      <c r="L47" s="325">
        <f t="shared" si="241"/>
        <v>125</v>
      </c>
      <c r="M47" s="325">
        <f t="shared" si="242"/>
        <v>105.56</v>
      </c>
      <c r="N47" s="325">
        <f t="shared" si="243"/>
        <v>3.2</v>
      </c>
      <c r="O47" s="325">
        <f t="shared" si="244"/>
        <v>25</v>
      </c>
      <c r="P47" s="325">
        <f t="shared" si="245"/>
        <v>180</v>
      </c>
      <c r="Q47" s="1643">
        <f t="shared" si="246"/>
        <v>19444.45</v>
      </c>
      <c r="R47" s="1643">
        <f t="shared" si="247"/>
        <v>0</v>
      </c>
      <c r="S47" s="1643">
        <f t="shared" si="248"/>
        <v>0</v>
      </c>
      <c r="T47" s="190"/>
      <c r="U47" s="568">
        <v>35</v>
      </c>
      <c r="V47" s="563">
        <v>70</v>
      </c>
      <c r="W47" s="563">
        <v>35</v>
      </c>
      <c r="X47" s="563">
        <v>1</v>
      </c>
      <c r="Y47" s="563">
        <v>0</v>
      </c>
      <c r="Z47" s="563">
        <v>1350</v>
      </c>
      <c r="AA47" s="563">
        <v>550</v>
      </c>
      <c r="AB47" s="563">
        <v>125</v>
      </c>
      <c r="AC47" s="563">
        <v>100</v>
      </c>
      <c r="AD47" s="563">
        <v>3.2</v>
      </c>
      <c r="AE47" s="563">
        <v>25</v>
      </c>
      <c r="AF47" s="563">
        <v>180</v>
      </c>
      <c r="AG47" s="850">
        <v>17500</v>
      </c>
      <c r="AH47" s="563"/>
      <c r="AI47" s="563"/>
      <c r="AJ47" s="96"/>
      <c r="AK47" s="96"/>
      <c r="AL47" s="576">
        <f t="shared" si="101"/>
        <v>1</v>
      </c>
      <c r="AM47" s="572">
        <f t="shared" si="249"/>
        <v>3.8888888888888888</v>
      </c>
      <c r="AN47" s="572">
        <f t="shared" si="249"/>
        <v>7.7777777777777777</v>
      </c>
      <c r="AO47" s="572"/>
      <c r="AP47" s="572"/>
      <c r="AQ47" s="572"/>
      <c r="AR47" s="572"/>
      <c r="AS47" s="572"/>
      <c r="AT47" s="572">
        <f>SUM((AC47/18))</f>
        <v>5.5555555555555554</v>
      </c>
      <c r="AU47" s="572"/>
      <c r="AV47" s="572"/>
      <c r="AW47" s="583"/>
      <c r="AX47" s="572">
        <f t="shared" si="250"/>
        <v>1944.4444444444443</v>
      </c>
      <c r="AY47" s="572"/>
      <c r="AZ47" s="572"/>
      <c r="BA47" s="96"/>
      <c r="BB47" s="576"/>
      <c r="BC47" s="572">
        <f t="shared" si="251"/>
        <v>3.5</v>
      </c>
      <c r="BD47" s="572">
        <f t="shared" si="252"/>
        <v>7</v>
      </c>
      <c r="BE47" s="572">
        <f t="shared" si="253"/>
        <v>0</v>
      </c>
      <c r="BF47" s="572">
        <f t="shared" si="254"/>
        <v>0</v>
      </c>
      <c r="BG47" s="572">
        <f t="shared" si="255"/>
        <v>0</v>
      </c>
      <c r="BH47" s="572">
        <f t="shared" si="256"/>
        <v>0</v>
      </c>
      <c r="BI47" s="572">
        <f t="shared" si="257"/>
        <v>0</v>
      </c>
      <c r="BJ47" s="572">
        <f t="shared" si="258"/>
        <v>5</v>
      </c>
      <c r="BK47" s="572">
        <f t="shared" si="259"/>
        <v>0</v>
      </c>
      <c r="BL47" s="572">
        <f t="shared" si="260"/>
        <v>0</v>
      </c>
      <c r="BM47" s="583">
        <f t="shared" si="261"/>
        <v>0</v>
      </c>
      <c r="BN47" s="572">
        <f t="shared" si="262"/>
        <v>1750</v>
      </c>
      <c r="BO47" s="96"/>
      <c r="BP47" s="576"/>
      <c r="BQ47" s="572">
        <f t="shared" si="263"/>
        <v>3.15</v>
      </c>
      <c r="BR47" s="572">
        <f t="shared" si="264"/>
        <v>6.3</v>
      </c>
      <c r="BS47" s="572">
        <f t="shared" si="265"/>
        <v>0</v>
      </c>
      <c r="BT47" s="572">
        <f t="shared" si="266"/>
        <v>0</v>
      </c>
      <c r="BU47" s="572">
        <f t="shared" si="267"/>
        <v>0</v>
      </c>
      <c r="BV47" s="572">
        <f t="shared" si="268"/>
        <v>0</v>
      </c>
      <c r="BW47" s="572">
        <f t="shared" si="269"/>
        <v>0</v>
      </c>
      <c r="BX47" s="572">
        <f t="shared" si="270"/>
        <v>4.5</v>
      </c>
      <c r="BY47" s="572">
        <f t="shared" si="271"/>
        <v>0</v>
      </c>
      <c r="BZ47" s="572">
        <f t="shared" si="272"/>
        <v>0</v>
      </c>
      <c r="CA47" s="583">
        <f t="shared" si="273"/>
        <v>0</v>
      </c>
      <c r="CB47" s="572">
        <f t="shared" si="274"/>
        <v>1575</v>
      </c>
      <c r="CC47" s="96"/>
      <c r="CD47" s="576"/>
      <c r="CE47" s="572">
        <f t="shared" si="275"/>
        <v>2.8000000000000003</v>
      </c>
      <c r="CF47" s="572">
        <f t="shared" si="276"/>
        <v>5.6000000000000005</v>
      </c>
      <c r="CG47" s="572">
        <f t="shared" si="277"/>
        <v>0</v>
      </c>
      <c r="CH47" s="572">
        <f t="shared" si="278"/>
        <v>0</v>
      </c>
      <c r="CI47" s="572">
        <f t="shared" si="279"/>
        <v>0</v>
      </c>
      <c r="CJ47" s="572">
        <f t="shared" si="280"/>
        <v>0</v>
      </c>
      <c r="CK47" s="572">
        <f t="shared" si="281"/>
        <v>0</v>
      </c>
      <c r="CL47" s="572">
        <f t="shared" si="282"/>
        <v>4</v>
      </c>
      <c r="CM47" s="572">
        <f t="shared" si="283"/>
        <v>0</v>
      </c>
      <c r="CN47" s="572">
        <f t="shared" si="284"/>
        <v>0</v>
      </c>
      <c r="CO47" s="583">
        <f t="shared" si="285"/>
        <v>0</v>
      </c>
      <c r="CP47" s="572">
        <f t="shared" si="286"/>
        <v>1400</v>
      </c>
      <c r="CQ47" s="96"/>
      <c r="CR47" s="576"/>
      <c r="CS47" s="572">
        <f t="shared" si="287"/>
        <v>2.4499999999999997</v>
      </c>
      <c r="CT47" s="572">
        <f t="shared" si="288"/>
        <v>4.8999999999999995</v>
      </c>
      <c r="CU47" s="572">
        <f t="shared" si="289"/>
        <v>0</v>
      </c>
      <c r="CV47" s="572">
        <f t="shared" si="290"/>
        <v>0</v>
      </c>
      <c r="CW47" s="572">
        <f t="shared" si="291"/>
        <v>0</v>
      </c>
      <c r="CX47" s="572">
        <f t="shared" si="292"/>
        <v>0</v>
      </c>
      <c r="CY47" s="572">
        <f t="shared" si="293"/>
        <v>0</v>
      </c>
      <c r="CZ47" s="572">
        <f t="shared" si="294"/>
        <v>3.5</v>
      </c>
      <c r="DA47" s="572">
        <f t="shared" si="295"/>
        <v>0</v>
      </c>
      <c r="DB47" s="572">
        <f t="shared" si="296"/>
        <v>0</v>
      </c>
      <c r="DC47" s="583">
        <f t="shared" si="297"/>
        <v>0</v>
      </c>
      <c r="DD47" s="572">
        <f t="shared" si="298"/>
        <v>1225</v>
      </c>
      <c r="DE47" s="96"/>
      <c r="DF47" s="576"/>
      <c r="DG47" s="572">
        <f t="shared" si="299"/>
        <v>2.1</v>
      </c>
      <c r="DH47" s="572">
        <f t="shared" si="300"/>
        <v>4.2</v>
      </c>
      <c r="DI47" s="572">
        <f t="shared" si="301"/>
        <v>0</v>
      </c>
      <c r="DJ47" s="572">
        <f t="shared" si="302"/>
        <v>0</v>
      </c>
      <c r="DK47" s="572">
        <f t="shared" si="303"/>
        <v>0</v>
      </c>
      <c r="DL47" s="572">
        <f t="shared" si="304"/>
        <v>0</v>
      </c>
      <c r="DM47" s="572">
        <f t="shared" si="305"/>
        <v>0</v>
      </c>
      <c r="DN47" s="572">
        <f t="shared" si="306"/>
        <v>3</v>
      </c>
      <c r="DO47" s="572">
        <f t="shared" si="307"/>
        <v>0</v>
      </c>
      <c r="DP47" s="572">
        <f t="shared" si="308"/>
        <v>0</v>
      </c>
      <c r="DQ47" s="577">
        <f t="shared" si="309"/>
        <v>0</v>
      </c>
      <c r="DR47" s="96">
        <f t="shared" si="310"/>
        <v>1050</v>
      </c>
      <c r="DS47" s="96"/>
      <c r="DT47" s="96" t="e">
        <f t="shared" si="311"/>
        <v>#VALUE!</v>
      </c>
      <c r="DU47" s="96" t="e">
        <f t="shared" si="312"/>
        <v>#VALUE!</v>
      </c>
      <c r="DV47" s="96" t="e">
        <f t="shared" si="313"/>
        <v>#VALUE!</v>
      </c>
      <c r="DW47" s="96" t="e">
        <f t="shared" si="314"/>
        <v>#VALUE!</v>
      </c>
      <c r="DX47" s="96" t="e">
        <f t="shared" si="315"/>
        <v>#VALUE!</v>
      </c>
      <c r="DY47" s="96" t="e">
        <f t="shared" si="316"/>
        <v>#VALUE!</v>
      </c>
      <c r="DZ47" s="96" t="e">
        <f t="shared" si="317"/>
        <v>#VALUE!</v>
      </c>
      <c r="EA47" s="96" t="e">
        <f t="shared" si="318"/>
        <v>#VALUE!</v>
      </c>
      <c r="EB47" s="96" t="e">
        <f t="shared" si="319"/>
        <v>#VALUE!</v>
      </c>
      <c r="EC47" s="96" t="e">
        <f t="shared" si="320"/>
        <v>#VALUE!</v>
      </c>
      <c r="ED47" s="96" t="e">
        <f t="shared" si="321"/>
        <v>#VALUE!</v>
      </c>
      <c r="EE47" s="96" t="e">
        <f t="shared" si="322"/>
        <v>#VALUE!</v>
      </c>
    </row>
    <row r="48" spans="2:135">
      <c r="C48" s="1752">
        <v>304</v>
      </c>
      <c r="D48" s="1117" t="s">
        <v>97</v>
      </c>
      <c r="E48" s="325">
        <f t="shared" si="235"/>
        <v>38.89</v>
      </c>
      <c r="F48" s="325">
        <f t="shared" si="236"/>
        <v>77.78</v>
      </c>
      <c r="G48" s="325">
        <f t="shared" si="237"/>
        <v>35</v>
      </c>
      <c r="H48" s="326">
        <f t="shared" si="323"/>
        <v>1</v>
      </c>
      <c r="I48" s="325">
        <f t="shared" si="238"/>
        <v>0</v>
      </c>
      <c r="J48" s="325">
        <f t="shared" si="239"/>
        <v>2000</v>
      </c>
      <c r="K48" s="325">
        <f t="shared" si="240"/>
        <v>700</v>
      </c>
      <c r="L48" s="325">
        <f t="shared" si="241"/>
        <v>100</v>
      </c>
      <c r="M48" s="325">
        <f t="shared" si="242"/>
        <v>105.56</v>
      </c>
      <c r="N48" s="325">
        <f t="shared" si="243"/>
        <v>3.2</v>
      </c>
      <c r="O48" s="325">
        <f t="shared" si="244"/>
        <v>25</v>
      </c>
      <c r="P48" s="325">
        <f t="shared" si="245"/>
        <v>180</v>
      </c>
      <c r="Q48" s="1643">
        <f t="shared" si="246"/>
        <v>19444.45</v>
      </c>
      <c r="R48" s="1643">
        <f t="shared" ref="R48:R63" si="324">IF((AM48&lt;10),SUM((AH48+(ROUNDUP((AM48*AY48),2)))),SUM((AH48+(ROUNDUP(((9*AY48)+EF48),2)))))</f>
        <v>0</v>
      </c>
      <c r="S48" s="1643">
        <f t="shared" ref="S48:S63" si="325">IF((AN48&lt;10),SUM((AI48+(ROUNDUP((AN48*AZ48),2)))),SUM((AI48+(ROUNDUP(((9*AZ48)+EG48),2)))))</f>
        <v>0</v>
      </c>
      <c r="T48" s="190"/>
      <c r="U48" s="568">
        <v>35</v>
      </c>
      <c r="V48" s="563">
        <v>70</v>
      </c>
      <c r="W48" s="563">
        <v>35</v>
      </c>
      <c r="X48" s="563">
        <v>1</v>
      </c>
      <c r="Y48" s="563">
        <v>0</v>
      </c>
      <c r="Z48" s="563">
        <v>2000</v>
      </c>
      <c r="AA48" s="563">
        <v>700</v>
      </c>
      <c r="AB48" s="563">
        <v>100</v>
      </c>
      <c r="AC48" s="563">
        <v>100</v>
      </c>
      <c r="AD48" s="563">
        <v>3.2</v>
      </c>
      <c r="AE48" s="563">
        <v>25</v>
      </c>
      <c r="AF48" s="563">
        <v>180</v>
      </c>
      <c r="AG48" s="850">
        <v>17500</v>
      </c>
      <c r="AH48" s="563"/>
      <c r="AI48" s="563"/>
      <c r="AJ48" s="96"/>
      <c r="AK48" s="96"/>
      <c r="AL48" s="576">
        <f t="shared" si="101"/>
        <v>1</v>
      </c>
      <c r="AM48" s="572">
        <f t="shared" si="249"/>
        <v>3.8888888888888888</v>
      </c>
      <c r="AN48" s="572">
        <f t="shared" si="249"/>
        <v>7.7777777777777777</v>
      </c>
      <c r="AO48" s="572"/>
      <c r="AP48" s="572"/>
      <c r="AQ48" s="572"/>
      <c r="AR48" s="572"/>
      <c r="AS48" s="572"/>
      <c r="AT48" s="572">
        <f>SUM((AC48/18))</f>
        <v>5.5555555555555554</v>
      </c>
      <c r="AU48" s="572"/>
      <c r="AV48" s="572"/>
      <c r="AW48" s="583"/>
      <c r="AX48" s="572">
        <f t="shared" si="250"/>
        <v>1944.4444444444443</v>
      </c>
      <c r="AY48" s="572"/>
      <c r="AZ48" s="572"/>
      <c r="BA48" s="96"/>
      <c r="BB48" s="576"/>
      <c r="BC48" s="572">
        <f t="shared" si="251"/>
        <v>3.5</v>
      </c>
      <c r="BD48" s="572">
        <f t="shared" si="252"/>
        <v>7</v>
      </c>
      <c r="BE48" s="572">
        <f t="shared" si="253"/>
        <v>0</v>
      </c>
      <c r="BF48" s="572">
        <f t="shared" si="254"/>
        <v>0</v>
      </c>
      <c r="BG48" s="572">
        <f t="shared" si="255"/>
        <v>0</v>
      </c>
      <c r="BH48" s="572">
        <f t="shared" si="256"/>
        <v>0</v>
      </c>
      <c r="BI48" s="572">
        <f t="shared" si="257"/>
        <v>0</v>
      </c>
      <c r="BJ48" s="572">
        <f t="shared" si="258"/>
        <v>5</v>
      </c>
      <c r="BK48" s="572">
        <f t="shared" si="259"/>
        <v>0</v>
      </c>
      <c r="BL48" s="572">
        <f t="shared" si="260"/>
        <v>0</v>
      </c>
      <c r="BM48" s="583">
        <f t="shared" si="261"/>
        <v>0</v>
      </c>
      <c r="BN48" s="572">
        <f t="shared" si="262"/>
        <v>1750</v>
      </c>
      <c r="BO48" s="96"/>
      <c r="BP48" s="576"/>
      <c r="BQ48" s="572">
        <f t="shared" si="263"/>
        <v>3.15</v>
      </c>
      <c r="BR48" s="572">
        <f t="shared" si="264"/>
        <v>6.3</v>
      </c>
      <c r="BS48" s="572">
        <f t="shared" si="265"/>
        <v>0</v>
      </c>
      <c r="BT48" s="572">
        <f t="shared" si="266"/>
        <v>0</v>
      </c>
      <c r="BU48" s="572">
        <f t="shared" si="267"/>
        <v>0</v>
      </c>
      <c r="BV48" s="572">
        <f t="shared" si="268"/>
        <v>0</v>
      </c>
      <c r="BW48" s="572">
        <f t="shared" si="269"/>
        <v>0</v>
      </c>
      <c r="BX48" s="572">
        <f t="shared" si="270"/>
        <v>4.5</v>
      </c>
      <c r="BY48" s="572">
        <f t="shared" si="271"/>
        <v>0</v>
      </c>
      <c r="BZ48" s="572">
        <f t="shared" si="272"/>
        <v>0</v>
      </c>
      <c r="CA48" s="583">
        <f t="shared" si="273"/>
        <v>0</v>
      </c>
      <c r="CB48" s="572">
        <f t="shared" si="274"/>
        <v>1575</v>
      </c>
      <c r="CC48" s="96"/>
      <c r="CD48" s="576"/>
      <c r="CE48" s="572">
        <f t="shared" si="275"/>
        <v>2.8000000000000003</v>
      </c>
      <c r="CF48" s="572">
        <f t="shared" si="276"/>
        <v>5.6000000000000005</v>
      </c>
      <c r="CG48" s="572">
        <f t="shared" si="277"/>
        <v>0</v>
      </c>
      <c r="CH48" s="572">
        <f t="shared" si="278"/>
        <v>0</v>
      </c>
      <c r="CI48" s="572">
        <f t="shared" si="279"/>
        <v>0</v>
      </c>
      <c r="CJ48" s="572">
        <f t="shared" si="280"/>
        <v>0</v>
      </c>
      <c r="CK48" s="572">
        <f t="shared" si="281"/>
        <v>0</v>
      </c>
      <c r="CL48" s="572">
        <f t="shared" si="282"/>
        <v>4</v>
      </c>
      <c r="CM48" s="572">
        <f t="shared" si="283"/>
        <v>0</v>
      </c>
      <c r="CN48" s="572">
        <f t="shared" si="284"/>
        <v>0</v>
      </c>
      <c r="CO48" s="583">
        <f t="shared" si="285"/>
        <v>0</v>
      </c>
      <c r="CP48" s="572">
        <f t="shared" si="286"/>
        <v>1400</v>
      </c>
      <c r="CQ48" s="96"/>
      <c r="CR48" s="576"/>
      <c r="CS48" s="572">
        <f t="shared" si="287"/>
        <v>2.4499999999999997</v>
      </c>
      <c r="CT48" s="572">
        <f t="shared" si="288"/>
        <v>4.8999999999999995</v>
      </c>
      <c r="CU48" s="572">
        <f t="shared" si="289"/>
        <v>0</v>
      </c>
      <c r="CV48" s="572">
        <f t="shared" si="290"/>
        <v>0</v>
      </c>
      <c r="CW48" s="572">
        <f t="shared" si="291"/>
        <v>0</v>
      </c>
      <c r="CX48" s="572">
        <f t="shared" si="292"/>
        <v>0</v>
      </c>
      <c r="CY48" s="572">
        <f t="shared" si="293"/>
        <v>0</v>
      </c>
      <c r="CZ48" s="572">
        <f t="shared" si="294"/>
        <v>3.5</v>
      </c>
      <c r="DA48" s="572">
        <f t="shared" si="295"/>
        <v>0</v>
      </c>
      <c r="DB48" s="572">
        <f t="shared" si="296"/>
        <v>0</v>
      </c>
      <c r="DC48" s="583">
        <f t="shared" si="297"/>
        <v>0</v>
      </c>
      <c r="DD48" s="572">
        <f t="shared" si="298"/>
        <v>1225</v>
      </c>
      <c r="DE48" s="96"/>
      <c r="DF48" s="576"/>
      <c r="DG48" s="572">
        <f t="shared" si="299"/>
        <v>2.1</v>
      </c>
      <c r="DH48" s="572">
        <f t="shared" si="300"/>
        <v>4.2</v>
      </c>
      <c r="DI48" s="572">
        <f t="shared" si="301"/>
        <v>0</v>
      </c>
      <c r="DJ48" s="572">
        <f t="shared" si="302"/>
        <v>0</v>
      </c>
      <c r="DK48" s="572">
        <f t="shared" si="303"/>
        <v>0</v>
      </c>
      <c r="DL48" s="572">
        <f t="shared" si="304"/>
        <v>0</v>
      </c>
      <c r="DM48" s="572">
        <f t="shared" si="305"/>
        <v>0</v>
      </c>
      <c r="DN48" s="572">
        <f t="shared" si="306"/>
        <v>3</v>
      </c>
      <c r="DO48" s="572">
        <f t="shared" si="307"/>
        <v>0</v>
      </c>
      <c r="DP48" s="572">
        <f t="shared" si="308"/>
        <v>0</v>
      </c>
      <c r="DQ48" s="577">
        <f t="shared" si="309"/>
        <v>0</v>
      </c>
      <c r="DR48" s="96">
        <f t="shared" si="310"/>
        <v>1050</v>
      </c>
      <c r="DS48" s="96"/>
      <c r="DT48" s="96" t="e">
        <f t="shared" si="311"/>
        <v>#VALUE!</v>
      </c>
      <c r="DU48" s="96" t="e">
        <f t="shared" si="312"/>
        <v>#VALUE!</v>
      </c>
      <c r="DV48" s="96" t="e">
        <f t="shared" si="313"/>
        <v>#VALUE!</v>
      </c>
      <c r="DW48" s="96" t="e">
        <f t="shared" si="314"/>
        <v>#VALUE!</v>
      </c>
      <c r="DX48" s="96" t="e">
        <f t="shared" si="315"/>
        <v>#VALUE!</v>
      </c>
      <c r="DY48" s="96" t="e">
        <f t="shared" si="316"/>
        <v>#VALUE!</v>
      </c>
      <c r="DZ48" s="96" t="e">
        <f t="shared" si="317"/>
        <v>#VALUE!</v>
      </c>
      <c r="EA48" s="96" t="e">
        <f t="shared" si="318"/>
        <v>#VALUE!</v>
      </c>
      <c r="EB48" s="96" t="e">
        <f t="shared" si="319"/>
        <v>#VALUE!</v>
      </c>
      <c r="EC48" s="96" t="e">
        <f t="shared" si="320"/>
        <v>#VALUE!</v>
      </c>
      <c r="ED48" s="96" t="e">
        <f t="shared" si="321"/>
        <v>#VALUE!</v>
      </c>
      <c r="EE48" s="96" t="e">
        <f t="shared" si="322"/>
        <v>#VALUE!</v>
      </c>
    </row>
    <row r="49" spans="2:135" s="368" customFormat="1">
      <c r="B49" s="173"/>
      <c r="C49" s="1752">
        <v>305</v>
      </c>
      <c r="D49" s="1118" t="s">
        <v>1015</v>
      </c>
      <c r="E49" s="325">
        <f>E50*(1+5/100)</f>
        <v>40.834500000000006</v>
      </c>
      <c r="F49" s="325">
        <f>F50*(1+5/100)</f>
        <v>81.669000000000011</v>
      </c>
      <c r="G49" s="325">
        <f>G50</f>
        <v>35</v>
      </c>
      <c r="H49" s="940">
        <f>H50</f>
        <v>1</v>
      </c>
      <c r="I49" s="325">
        <f>I50</f>
        <v>0</v>
      </c>
      <c r="J49" s="325">
        <f>J50</f>
        <v>1700</v>
      </c>
      <c r="K49" s="325">
        <f t="shared" si="240"/>
        <v>0</v>
      </c>
      <c r="L49" s="325">
        <f t="shared" ref="L49:Q49" si="326">L50</f>
        <v>125</v>
      </c>
      <c r="M49" s="325">
        <f t="shared" si="326"/>
        <v>100</v>
      </c>
      <c r="N49" s="325">
        <f t="shared" si="326"/>
        <v>4</v>
      </c>
      <c r="O49" s="325">
        <f t="shared" si="326"/>
        <v>25</v>
      </c>
      <c r="P49" s="325">
        <f t="shared" si="326"/>
        <v>180</v>
      </c>
      <c r="Q49" s="1643">
        <f t="shared" si="326"/>
        <v>19444.45</v>
      </c>
      <c r="R49" s="1643">
        <f t="shared" si="324"/>
        <v>0</v>
      </c>
      <c r="S49" s="1643">
        <f t="shared" si="325"/>
        <v>0</v>
      </c>
      <c r="T49" s="190"/>
      <c r="U49" s="568"/>
      <c r="V49" s="563"/>
      <c r="W49" s="563"/>
      <c r="X49" s="563"/>
      <c r="Y49" s="563"/>
      <c r="Z49" s="563"/>
      <c r="AA49" s="563"/>
      <c r="AB49" s="563"/>
      <c r="AC49" s="563"/>
      <c r="AD49" s="563"/>
      <c r="AE49" s="563"/>
      <c r="AF49" s="563"/>
      <c r="AG49" s="850"/>
      <c r="AH49" s="563"/>
      <c r="AI49" s="563"/>
      <c r="AJ49" s="96"/>
      <c r="AK49" s="96"/>
      <c r="AL49" s="576"/>
      <c r="AM49" s="572"/>
      <c r="AN49" s="572"/>
      <c r="AO49" s="572"/>
      <c r="AP49" s="572"/>
      <c r="AQ49" s="572"/>
      <c r="AR49" s="572"/>
      <c r="AS49" s="572"/>
      <c r="AT49" s="572"/>
      <c r="AU49" s="572"/>
      <c r="AV49" s="572"/>
      <c r="AW49" s="583"/>
      <c r="AX49" s="572"/>
      <c r="AY49" s="572"/>
      <c r="AZ49" s="572"/>
      <c r="BA49" s="96"/>
      <c r="BB49" s="576"/>
      <c r="BC49" s="572"/>
      <c r="BD49" s="572"/>
      <c r="BE49" s="572"/>
      <c r="BF49" s="572"/>
      <c r="BG49" s="572"/>
      <c r="BH49" s="572"/>
      <c r="BI49" s="572"/>
      <c r="BJ49" s="572"/>
      <c r="BK49" s="572"/>
      <c r="BL49" s="572"/>
      <c r="BM49" s="583"/>
      <c r="BN49" s="572"/>
      <c r="BO49" s="96"/>
      <c r="BP49" s="576"/>
      <c r="BQ49" s="572"/>
      <c r="BR49" s="572"/>
      <c r="BS49" s="572"/>
      <c r="BT49" s="572"/>
      <c r="BU49" s="572"/>
      <c r="BV49" s="572"/>
      <c r="BW49" s="572"/>
      <c r="BX49" s="572"/>
      <c r="BY49" s="572"/>
      <c r="BZ49" s="572"/>
      <c r="CA49" s="583"/>
      <c r="CB49" s="572"/>
      <c r="CC49" s="96"/>
      <c r="CD49" s="576"/>
      <c r="CE49" s="572"/>
      <c r="CF49" s="572"/>
      <c r="CG49" s="572"/>
      <c r="CH49" s="572"/>
      <c r="CI49" s="572"/>
      <c r="CJ49" s="572"/>
      <c r="CK49" s="572"/>
      <c r="CL49" s="572"/>
      <c r="CM49" s="572"/>
      <c r="CN49" s="572"/>
      <c r="CO49" s="583"/>
      <c r="CP49" s="572"/>
      <c r="CQ49" s="96"/>
      <c r="CR49" s="576"/>
      <c r="CS49" s="572"/>
      <c r="CT49" s="572"/>
      <c r="CU49" s="572"/>
      <c r="CV49" s="572"/>
      <c r="CW49" s="572"/>
      <c r="CX49" s="572"/>
      <c r="CY49" s="572"/>
      <c r="CZ49" s="572"/>
      <c r="DA49" s="572"/>
      <c r="DB49" s="572"/>
      <c r="DC49" s="583"/>
      <c r="DD49" s="572"/>
      <c r="DE49" s="96"/>
      <c r="DF49" s="576"/>
      <c r="DG49" s="572"/>
      <c r="DH49" s="572"/>
      <c r="DI49" s="572"/>
      <c r="DJ49" s="572"/>
      <c r="DK49" s="572"/>
      <c r="DL49" s="572"/>
      <c r="DM49" s="572"/>
      <c r="DN49" s="572"/>
      <c r="DO49" s="572"/>
      <c r="DP49" s="572"/>
      <c r="DQ49" s="577"/>
      <c r="DR49" s="96"/>
      <c r="DS49" s="96"/>
      <c r="DT49" s="96"/>
      <c r="DU49" s="96"/>
      <c r="DV49" s="96"/>
      <c r="DW49" s="96"/>
      <c r="DX49" s="96"/>
      <c r="DY49" s="96"/>
      <c r="DZ49" s="96"/>
      <c r="EA49" s="96"/>
      <c r="EB49" s="96"/>
      <c r="EC49" s="96"/>
      <c r="ED49" s="96"/>
      <c r="EE49" s="96"/>
    </row>
    <row r="50" spans="2:135">
      <c r="C50" s="1752">
        <v>306</v>
      </c>
      <c r="D50" s="1117" t="s">
        <v>98</v>
      </c>
      <c r="E50" s="325">
        <f t="shared" si="235"/>
        <v>38.89</v>
      </c>
      <c r="F50" s="325">
        <f t="shared" si="236"/>
        <v>77.78</v>
      </c>
      <c r="G50" s="325">
        <f t="shared" si="237"/>
        <v>35</v>
      </c>
      <c r="H50" s="326">
        <f t="shared" si="323"/>
        <v>1</v>
      </c>
      <c r="I50" s="325">
        <f t="shared" si="238"/>
        <v>0</v>
      </c>
      <c r="J50" s="325">
        <f t="shared" si="239"/>
        <v>1700</v>
      </c>
      <c r="K50" s="325">
        <f t="shared" si="240"/>
        <v>711.12</v>
      </c>
      <c r="L50" s="325">
        <f t="shared" si="241"/>
        <v>125</v>
      </c>
      <c r="M50" s="325">
        <f t="shared" si="242"/>
        <v>100</v>
      </c>
      <c r="N50" s="325">
        <f t="shared" si="243"/>
        <v>4</v>
      </c>
      <c r="O50" s="325">
        <f t="shared" si="244"/>
        <v>25</v>
      </c>
      <c r="P50" s="325">
        <f t="shared" si="245"/>
        <v>180</v>
      </c>
      <c r="Q50" s="1643">
        <f t="shared" si="246"/>
        <v>19444.45</v>
      </c>
      <c r="R50" s="1643">
        <f t="shared" si="324"/>
        <v>0</v>
      </c>
      <c r="S50" s="1643">
        <f t="shared" si="325"/>
        <v>0</v>
      </c>
      <c r="T50" s="190"/>
      <c r="U50" s="568">
        <v>35</v>
      </c>
      <c r="V50" s="563">
        <v>70</v>
      </c>
      <c r="W50" s="563">
        <v>35</v>
      </c>
      <c r="X50" s="563">
        <v>1</v>
      </c>
      <c r="Y50" s="563">
        <v>0</v>
      </c>
      <c r="Z50" s="563">
        <v>1700</v>
      </c>
      <c r="AA50" s="563">
        <v>675</v>
      </c>
      <c r="AB50" s="563">
        <v>125</v>
      </c>
      <c r="AC50" s="563">
        <v>100</v>
      </c>
      <c r="AD50" s="563">
        <v>4</v>
      </c>
      <c r="AE50" s="563">
        <v>25</v>
      </c>
      <c r="AF50" s="563">
        <v>180</v>
      </c>
      <c r="AG50" s="850">
        <v>17500</v>
      </c>
      <c r="AH50" s="563"/>
      <c r="AI50" s="563"/>
      <c r="AJ50" s="96"/>
      <c r="AK50" s="96"/>
      <c r="AL50" s="576">
        <f t="shared" si="101"/>
        <v>1</v>
      </c>
      <c r="AM50" s="572">
        <f t="shared" si="249"/>
        <v>3.8888888888888888</v>
      </c>
      <c r="AN50" s="572">
        <f t="shared" si="249"/>
        <v>7.7777777777777777</v>
      </c>
      <c r="AO50" s="572"/>
      <c r="AP50" s="572"/>
      <c r="AQ50" s="572"/>
      <c r="AR50" s="572">
        <f>SUM((325/9))</f>
        <v>36.111111111111114</v>
      </c>
      <c r="AS50" s="572"/>
      <c r="AT50" s="572"/>
      <c r="AU50" s="572"/>
      <c r="AV50" s="572"/>
      <c r="AW50" s="583"/>
      <c r="AX50" s="572">
        <f t="shared" si="250"/>
        <v>1944.4444444444443</v>
      </c>
      <c r="AY50" s="572"/>
      <c r="AZ50" s="572"/>
      <c r="BA50" s="96" t="e">
        <f>IF((BB4=FALSE),0,IF((BQ4&lt;10),SUM(('Weapons Table'!U50+(ROUNDUP((BQ4*'Weapons Table'!AM50),2)))),SUM(('Weapons Table'!U50+(ROUNDUP(((9*'Weapons Table'!AM50)+(CHOOSE((BQ4-9),'Weapons Table'!BC50,('Weapons Table'!BC50+'Weapons Table'!BQ50),(('Weapons Table'!BC50+'Weapons Table'!BQ50)+'Weapons Table'!CE50),((('Weapons Table'!BC50+'Weapons Table'!BQ50)+'Weapons Table'!CE50)+'Weapons Table'!CS50),(((('Weapons Table'!BC50+'Weapons Table'!BQ50)+'Weapons Table'!CE50)+'Weapons Table'!CS50)+'Weapons Table'!DG50),))),2))))))</f>
        <v>#VALUE!</v>
      </c>
      <c r="BB50" s="576"/>
      <c r="BC50" s="572">
        <f t="shared" si="251"/>
        <v>3.5</v>
      </c>
      <c r="BD50" s="572">
        <f t="shared" si="252"/>
        <v>7</v>
      </c>
      <c r="BE50" s="572">
        <f t="shared" si="253"/>
        <v>0</v>
      </c>
      <c r="BF50" s="572">
        <f t="shared" si="254"/>
        <v>0</v>
      </c>
      <c r="BG50" s="572">
        <f t="shared" si="255"/>
        <v>0</v>
      </c>
      <c r="BH50" s="572">
        <f t="shared" si="256"/>
        <v>32.500000000000007</v>
      </c>
      <c r="BI50" s="572">
        <f t="shared" si="257"/>
        <v>0</v>
      </c>
      <c r="BJ50" s="572">
        <f t="shared" si="258"/>
        <v>0</v>
      </c>
      <c r="BK50" s="572">
        <f t="shared" si="259"/>
        <v>0</v>
      </c>
      <c r="BL50" s="572">
        <f t="shared" si="260"/>
        <v>0</v>
      </c>
      <c r="BM50" s="583">
        <f t="shared" si="261"/>
        <v>0</v>
      </c>
      <c r="BN50" s="572">
        <f t="shared" si="262"/>
        <v>1750</v>
      </c>
      <c r="BO50" s="96"/>
      <c r="BP50" s="576"/>
      <c r="BQ50" s="572">
        <f t="shared" si="263"/>
        <v>3.15</v>
      </c>
      <c r="BR50" s="572">
        <f t="shared" si="264"/>
        <v>6.3</v>
      </c>
      <c r="BS50" s="572">
        <f t="shared" si="265"/>
        <v>0</v>
      </c>
      <c r="BT50" s="572">
        <f t="shared" si="266"/>
        <v>0</v>
      </c>
      <c r="BU50" s="572">
        <f t="shared" si="267"/>
        <v>0</v>
      </c>
      <c r="BV50" s="572">
        <f t="shared" si="268"/>
        <v>29.250000000000007</v>
      </c>
      <c r="BW50" s="572">
        <f t="shared" si="269"/>
        <v>0</v>
      </c>
      <c r="BX50" s="572">
        <f t="shared" si="270"/>
        <v>0</v>
      </c>
      <c r="BY50" s="572">
        <f t="shared" si="271"/>
        <v>0</v>
      </c>
      <c r="BZ50" s="572">
        <f t="shared" si="272"/>
        <v>0</v>
      </c>
      <c r="CA50" s="583">
        <f t="shared" si="273"/>
        <v>0</v>
      </c>
      <c r="CB50" s="572">
        <f t="shared" si="274"/>
        <v>1575</v>
      </c>
      <c r="CC50" s="96"/>
      <c r="CD50" s="576"/>
      <c r="CE50" s="572">
        <f t="shared" si="275"/>
        <v>2.8000000000000003</v>
      </c>
      <c r="CF50" s="572">
        <f t="shared" si="276"/>
        <v>5.6000000000000005</v>
      </c>
      <c r="CG50" s="572">
        <f t="shared" si="277"/>
        <v>0</v>
      </c>
      <c r="CH50" s="572">
        <f t="shared" si="278"/>
        <v>0</v>
      </c>
      <c r="CI50" s="572">
        <f t="shared" si="279"/>
        <v>0</v>
      </c>
      <c r="CJ50" s="572">
        <f t="shared" si="280"/>
        <v>26.000000000000007</v>
      </c>
      <c r="CK50" s="572">
        <f t="shared" si="281"/>
        <v>0</v>
      </c>
      <c r="CL50" s="572">
        <f t="shared" si="282"/>
        <v>0</v>
      </c>
      <c r="CM50" s="572">
        <f t="shared" si="283"/>
        <v>0</v>
      </c>
      <c r="CN50" s="572">
        <f t="shared" si="284"/>
        <v>0</v>
      </c>
      <c r="CO50" s="583">
        <f t="shared" si="285"/>
        <v>0</v>
      </c>
      <c r="CP50" s="572">
        <f t="shared" si="286"/>
        <v>1400</v>
      </c>
      <c r="CQ50" s="96"/>
      <c r="CR50" s="576"/>
      <c r="CS50" s="572">
        <f t="shared" si="287"/>
        <v>2.4499999999999997</v>
      </c>
      <c r="CT50" s="572">
        <f t="shared" si="288"/>
        <v>4.8999999999999995</v>
      </c>
      <c r="CU50" s="572">
        <f t="shared" si="289"/>
        <v>0</v>
      </c>
      <c r="CV50" s="572">
        <f t="shared" si="290"/>
        <v>0</v>
      </c>
      <c r="CW50" s="572">
        <f t="shared" si="291"/>
        <v>0</v>
      </c>
      <c r="CX50" s="572">
        <f t="shared" si="292"/>
        <v>22.750000000000004</v>
      </c>
      <c r="CY50" s="572">
        <f t="shared" si="293"/>
        <v>0</v>
      </c>
      <c r="CZ50" s="572">
        <f t="shared" si="294"/>
        <v>0</v>
      </c>
      <c r="DA50" s="572">
        <f t="shared" si="295"/>
        <v>0</v>
      </c>
      <c r="DB50" s="572">
        <f t="shared" si="296"/>
        <v>0</v>
      </c>
      <c r="DC50" s="583">
        <f t="shared" si="297"/>
        <v>0</v>
      </c>
      <c r="DD50" s="572">
        <f t="shared" si="298"/>
        <v>1225</v>
      </c>
      <c r="DE50" s="96"/>
      <c r="DF50" s="576"/>
      <c r="DG50" s="572">
        <f t="shared" si="299"/>
        <v>2.1</v>
      </c>
      <c r="DH50" s="572">
        <f t="shared" si="300"/>
        <v>4.2</v>
      </c>
      <c r="DI50" s="572">
        <f t="shared" si="301"/>
        <v>0</v>
      </c>
      <c r="DJ50" s="572">
        <f t="shared" si="302"/>
        <v>0</v>
      </c>
      <c r="DK50" s="572">
        <f t="shared" si="303"/>
        <v>0</v>
      </c>
      <c r="DL50" s="572">
        <f t="shared" si="304"/>
        <v>19.500000000000004</v>
      </c>
      <c r="DM50" s="572">
        <f t="shared" si="305"/>
        <v>0</v>
      </c>
      <c r="DN50" s="572">
        <f t="shared" si="306"/>
        <v>0</v>
      </c>
      <c r="DO50" s="572">
        <f t="shared" si="307"/>
        <v>0</v>
      </c>
      <c r="DP50" s="572">
        <f t="shared" si="308"/>
        <v>0</v>
      </c>
      <c r="DQ50" s="577">
        <f t="shared" si="309"/>
        <v>0</v>
      </c>
      <c r="DR50" s="96">
        <f t="shared" si="310"/>
        <v>1050</v>
      </c>
      <c r="DS50" s="96"/>
      <c r="DT50" s="96" t="e">
        <f t="shared" si="311"/>
        <v>#VALUE!</v>
      </c>
      <c r="DU50" s="96" t="e">
        <f t="shared" si="312"/>
        <v>#VALUE!</v>
      </c>
      <c r="DV50" s="96" t="e">
        <f t="shared" si="313"/>
        <v>#VALUE!</v>
      </c>
      <c r="DW50" s="96" t="e">
        <f t="shared" si="314"/>
        <v>#VALUE!</v>
      </c>
      <c r="DX50" s="96" t="e">
        <f t="shared" si="315"/>
        <v>#VALUE!</v>
      </c>
      <c r="DY50" s="96" t="e">
        <f t="shared" si="316"/>
        <v>#VALUE!</v>
      </c>
      <c r="DZ50" s="96" t="e">
        <f t="shared" si="317"/>
        <v>#VALUE!</v>
      </c>
      <c r="EA50" s="96" t="e">
        <f t="shared" si="318"/>
        <v>#VALUE!</v>
      </c>
      <c r="EB50" s="96" t="e">
        <f t="shared" si="319"/>
        <v>#VALUE!</v>
      </c>
      <c r="EC50" s="96" t="e">
        <f t="shared" si="320"/>
        <v>#VALUE!</v>
      </c>
      <c r="ED50" s="96" t="e">
        <f t="shared" si="321"/>
        <v>#VALUE!</v>
      </c>
      <c r="EE50" s="96" t="e">
        <f t="shared" si="322"/>
        <v>#VALUE!</v>
      </c>
    </row>
    <row r="51" spans="2:135">
      <c r="C51" s="1752">
        <v>307</v>
      </c>
      <c r="D51" s="1117" t="s">
        <v>99</v>
      </c>
      <c r="E51" s="325">
        <f t="shared" si="235"/>
        <v>38.89</v>
      </c>
      <c r="F51" s="325">
        <f t="shared" si="236"/>
        <v>77.78</v>
      </c>
      <c r="G51" s="325">
        <f t="shared" si="237"/>
        <v>35</v>
      </c>
      <c r="H51" s="326">
        <f t="shared" si="323"/>
        <v>1</v>
      </c>
      <c r="I51" s="325">
        <f t="shared" si="238"/>
        <v>0</v>
      </c>
      <c r="J51" s="325">
        <f t="shared" si="239"/>
        <v>1700</v>
      </c>
      <c r="K51" s="325">
        <f t="shared" si="240"/>
        <v>675</v>
      </c>
      <c r="L51" s="325">
        <f t="shared" si="241"/>
        <v>125</v>
      </c>
      <c r="M51" s="325">
        <f t="shared" si="242"/>
        <v>105.56</v>
      </c>
      <c r="N51" s="325">
        <f t="shared" si="243"/>
        <v>4</v>
      </c>
      <c r="O51" s="325">
        <f t="shared" si="244"/>
        <v>25</v>
      </c>
      <c r="P51" s="325">
        <f t="shared" si="245"/>
        <v>180</v>
      </c>
      <c r="Q51" s="1643">
        <f t="shared" si="246"/>
        <v>19444.45</v>
      </c>
      <c r="R51" s="1643">
        <f t="shared" si="324"/>
        <v>0</v>
      </c>
      <c r="S51" s="1643">
        <f t="shared" si="325"/>
        <v>0</v>
      </c>
      <c r="T51" s="190"/>
      <c r="U51" s="568">
        <v>35</v>
      </c>
      <c r="V51" s="563">
        <v>70</v>
      </c>
      <c r="W51" s="563">
        <v>35</v>
      </c>
      <c r="X51" s="563">
        <v>1</v>
      </c>
      <c r="Y51" s="563">
        <v>0</v>
      </c>
      <c r="Z51" s="563">
        <v>1700</v>
      </c>
      <c r="AA51" s="563">
        <v>675</v>
      </c>
      <c r="AB51" s="563">
        <v>125</v>
      </c>
      <c r="AC51" s="563">
        <v>100</v>
      </c>
      <c r="AD51" s="563">
        <v>4</v>
      </c>
      <c r="AE51" s="563">
        <v>25</v>
      </c>
      <c r="AF51" s="563">
        <v>180</v>
      </c>
      <c r="AG51" s="850">
        <v>17500</v>
      </c>
      <c r="AH51" s="563"/>
      <c r="AI51" s="563"/>
      <c r="AJ51" s="96"/>
      <c r="AK51" s="96"/>
      <c r="AL51" s="576">
        <f t="shared" si="101"/>
        <v>1</v>
      </c>
      <c r="AM51" s="572">
        <f t="shared" si="249"/>
        <v>3.8888888888888888</v>
      </c>
      <c r="AN51" s="572">
        <f t="shared" si="249"/>
        <v>7.7777777777777777</v>
      </c>
      <c r="AO51" s="572"/>
      <c r="AP51" s="572"/>
      <c r="AQ51" s="572"/>
      <c r="AR51" s="572"/>
      <c r="AS51" s="572"/>
      <c r="AT51" s="572">
        <f>SUM((AC51/18))</f>
        <v>5.5555555555555554</v>
      </c>
      <c r="AU51" s="572"/>
      <c r="AV51" s="572"/>
      <c r="AW51" s="583"/>
      <c r="AX51" s="572">
        <f t="shared" si="250"/>
        <v>1944.4444444444443</v>
      </c>
      <c r="AY51" s="572"/>
      <c r="AZ51" s="572"/>
      <c r="BA51" s="96"/>
      <c r="BB51" s="576"/>
      <c r="BC51" s="572">
        <f t="shared" si="251"/>
        <v>3.5</v>
      </c>
      <c r="BD51" s="572">
        <f t="shared" si="252"/>
        <v>7</v>
      </c>
      <c r="BE51" s="572">
        <f t="shared" si="253"/>
        <v>0</v>
      </c>
      <c r="BF51" s="572">
        <f t="shared" si="254"/>
        <v>0</v>
      </c>
      <c r="BG51" s="572">
        <f t="shared" si="255"/>
        <v>0</v>
      </c>
      <c r="BH51" s="572">
        <f t="shared" si="256"/>
        <v>0</v>
      </c>
      <c r="BI51" s="572">
        <f t="shared" si="257"/>
        <v>0</v>
      </c>
      <c r="BJ51" s="572">
        <f t="shared" si="258"/>
        <v>5</v>
      </c>
      <c r="BK51" s="572">
        <f t="shared" si="259"/>
        <v>0</v>
      </c>
      <c r="BL51" s="572">
        <f t="shared" si="260"/>
        <v>0</v>
      </c>
      <c r="BM51" s="583">
        <f t="shared" si="261"/>
        <v>0</v>
      </c>
      <c r="BN51" s="572">
        <f t="shared" si="262"/>
        <v>1750</v>
      </c>
      <c r="BO51" s="96"/>
      <c r="BP51" s="576"/>
      <c r="BQ51" s="572">
        <f t="shared" si="263"/>
        <v>3.15</v>
      </c>
      <c r="BR51" s="572">
        <f t="shared" si="264"/>
        <v>6.3</v>
      </c>
      <c r="BS51" s="572">
        <f t="shared" si="265"/>
        <v>0</v>
      </c>
      <c r="BT51" s="572">
        <f t="shared" si="266"/>
        <v>0</v>
      </c>
      <c r="BU51" s="572">
        <f t="shared" si="267"/>
        <v>0</v>
      </c>
      <c r="BV51" s="572">
        <f t="shared" si="268"/>
        <v>0</v>
      </c>
      <c r="BW51" s="572">
        <f t="shared" si="269"/>
        <v>0</v>
      </c>
      <c r="BX51" s="572">
        <f t="shared" si="270"/>
        <v>4.5</v>
      </c>
      <c r="BY51" s="572">
        <f t="shared" si="271"/>
        <v>0</v>
      </c>
      <c r="BZ51" s="572">
        <f t="shared" si="272"/>
        <v>0</v>
      </c>
      <c r="CA51" s="583">
        <f t="shared" si="273"/>
        <v>0</v>
      </c>
      <c r="CB51" s="572">
        <f t="shared" si="274"/>
        <v>1575</v>
      </c>
      <c r="CC51" s="96"/>
      <c r="CD51" s="576"/>
      <c r="CE51" s="572">
        <f t="shared" si="275"/>
        <v>2.8000000000000003</v>
      </c>
      <c r="CF51" s="572">
        <f t="shared" si="276"/>
        <v>5.6000000000000005</v>
      </c>
      <c r="CG51" s="572">
        <f t="shared" si="277"/>
        <v>0</v>
      </c>
      <c r="CH51" s="572">
        <f t="shared" si="278"/>
        <v>0</v>
      </c>
      <c r="CI51" s="572">
        <f t="shared" si="279"/>
        <v>0</v>
      </c>
      <c r="CJ51" s="572">
        <f t="shared" si="280"/>
        <v>0</v>
      </c>
      <c r="CK51" s="572">
        <f t="shared" si="281"/>
        <v>0</v>
      </c>
      <c r="CL51" s="572">
        <f t="shared" si="282"/>
        <v>4</v>
      </c>
      <c r="CM51" s="572">
        <f t="shared" si="283"/>
        <v>0</v>
      </c>
      <c r="CN51" s="572">
        <f t="shared" si="284"/>
        <v>0</v>
      </c>
      <c r="CO51" s="583">
        <f t="shared" si="285"/>
        <v>0</v>
      </c>
      <c r="CP51" s="572">
        <f t="shared" si="286"/>
        <v>1400</v>
      </c>
      <c r="CQ51" s="96"/>
      <c r="CR51" s="576"/>
      <c r="CS51" s="572">
        <f t="shared" si="287"/>
        <v>2.4499999999999997</v>
      </c>
      <c r="CT51" s="572">
        <f t="shared" si="288"/>
        <v>4.8999999999999995</v>
      </c>
      <c r="CU51" s="572">
        <f t="shared" si="289"/>
        <v>0</v>
      </c>
      <c r="CV51" s="572">
        <f t="shared" si="290"/>
        <v>0</v>
      </c>
      <c r="CW51" s="572">
        <f t="shared" si="291"/>
        <v>0</v>
      </c>
      <c r="CX51" s="572">
        <f t="shared" si="292"/>
        <v>0</v>
      </c>
      <c r="CY51" s="572">
        <f t="shared" si="293"/>
        <v>0</v>
      </c>
      <c r="CZ51" s="572">
        <f t="shared" si="294"/>
        <v>3.5</v>
      </c>
      <c r="DA51" s="572">
        <f t="shared" si="295"/>
        <v>0</v>
      </c>
      <c r="DB51" s="572">
        <f t="shared" si="296"/>
        <v>0</v>
      </c>
      <c r="DC51" s="583">
        <f t="shared" si="297"/>
        <v>0</v>
      </c>
      <c r="DD51" s="572">
        <f t="shared" si="298"/>
        <v>1225</v>
      </c>
      <c r="DE51" s="96"/>
      <c r="DF51" s="576"/>
      <c r="DG51" s="572">
        <f t="shared" si="299"/>
        <v>2.1</v>
      </c>
      <c r="DH51" s="572">
        <f t="shared" si="300"/>
        <v>4.2</v>
      </c>
      <c r="DI51" s="572">
        <f t="shared" si="301"/>
        <v>0</v>
      </c>
      <c r="DJ51" s="572">
        <f t="shared" si="302"/>
        <v>0</v>
      </c>
      <c r="DK51" s="572">
        <f t="shared" si="303"/>
        <v>0</v>
      </c>
      <c r="DL51" s="572">
        <f t="shared" si="304"/>
        <v>0</v>
      </c>
      <c r="DM51" s="572">
        <f t="shared" si="305"/>
        <v>0</v>
      </c>
      <c r="DN51" s="572">
        <f t="shared" si="306"/>
        <v>3</v>
      </c>
      <c r="DO51" s="572">
        <f t="shared" si="307"/>
        <v>0</v>
      </c>
      <c r="DP51" s="572">
        <f t="shared" si="308"/>
        <v>0</v>
      </c>
      <c r="DQ51" s="577">
        <f t="shared" si="309"/>
        <v>0</v>
      </c>
      <c r="DR51" s="96">
        <f t="shared" si="310"/>
        <v>1050</v>
      </c>
      <c r="DS51" s="96"/>
      <c r="DT51" s="96" t="e">
        <f t="shared" si="311"/>
        <v>#VALUE!</v>
      </c>
      <c r="DU51" s="96" t="e">
        <f t="shared" si="312"/>
        <v>#VALUE!</v>
      </c>
      <c r="DV51" s="96" t="e">
        <f t="shared" si="313"/>
        <v>#VALUE!</v>
      </c>
      <c r="DW51" s="96" t="e">
        <f t="shared" si="314"/>
        <v>#VALUE!</v>
      </c>
      <c r="DX51" s="96" t="e">
        <f t="shared" si="315"/>
        <v>#VALUE!</v>
      </c>
      <c r="DY51" s="96" t="e">
        <f t="shared" si="316"/>
        <v>#VALUE!</v>
      </c>
      <c r="DZ51" s="96" t="e">
        <f t="shared" si="317"/>
        <v>#VALUE!</v>
      </c>
      <c r="EA51" s="96" t="e">
        <f t="shared" si="318"/>
        <v>#VALUE!</v>
      </c>
      <c r="EB51" s="96" t="e">
        <f t="shared" si="319"/>
        <v>#VALUE!</v>
      </c>
      <c r="EC51" s="96" t="e">
        <f t="shared" si="320"/>
        <v>#VALUE!</v>
      </c>
      <c r="ED51" s="96" t="e">
        <f t="shared" si="321"/>
        <v>#VALUE!</v>
      </c>
      <c r="EE51" s="96" t="e">
        <f t="shared" si="322"/>
        <v>#VALUE!</v>
      </c>
    </row>
    <row r="52" spans="2:135">
      <c r="C52" s="1752">
        <v>308</v>
      </c>
      <c r="D52" s="1117" t="s">
        <v>100</v>
      </c>
      <c r="E52" s="325">
        <f t="shared" si="235"/>
        <v>38.89</v>
      </c>
      <c r="F52" s="325">
        <f t="shared" si="236"/>
        <v>77.78</v>
      </c>
      <c r="G52" s="325">
        <f t="shared" si="237"/>
        <v>35</v>
      </c>
      <c r="H52" s="326">
        <f t="shared" si="323"/>
        <v>1</v>
      </c>
      <c r="I52" s="325">
        <f t="shared" si="238"/>
        <v>0</v>
      </c>
      <c r="J52" s="325">
        <f t="shared" si="239"/>
        <v>2000</v>
      </c>
      <c r="K52" s="325">
        <f t="shared" si="240"/>
        <v>844.45</v>
      </c>
      <c r="L52" s="325">
        <f t="shared" si="241"/>
        <v>125</v>
      </c>
      <c r="M52" s="325">
        <f t="shared" si="242"/>
        <v>100</v>
      </c>
      <c r="N52" s="325">
        <f t="shared" si="243"/>
        <v>4.8</v>
      </c>
      <c r="O52" s="325">
        <f t="shared" si="244"/>
        <v>25</v>
      </c>
      <c r="P52" s="325">
        <f t="shared" si="245"/>
        <v>180</v>
      </c>
      <c r="Q52" s="1643">
        <f t="shared" si="246"/>
        <v>19444.45</v>
      </c>
      <c r="R52" s="1643">
        <f t="shared" si="324"/>
        <v>0</v>
      </c>
      <c r="S52" s="1643">
        <f t="shared" si="325"/>
        <v>0</v>
      </c>
      <c r="T52" s="190"/>
      <c r="U52" s="568">
        <v>35</v>
      </c>
      <c r="V52" s="563">
        <v>70</v>
      </c>
      <c r="W52" s="563">
        <v>35</v>
      </c>
      <c r="X52" s="563">
        <v>1</v>
      </c>
      <c r="Y52" s="563">
        <v>0</v>
      </c>
      <c r="Z52" s="563">
        <v>2000</v>
      </c>
      <c r="AA52" s="563">
        <v>800</v>
      </c>
      <c r="AB52" s="563">
        <v>125</v>
      </c>
      <c r="AC52" s="563">
        <v>100</v>
      </c>
      <c r="AD52" s="563">
        <v>4.8</v>
      </c>
      <c r="AE52" s="563">
        <v>25</v>
      </c>
      <c r="AF52" s="563">
        <v>180</v>
      </c>
      <c r="AG52" s="850">
        <v>17500</v>
      </c>
      <c r="AH52" s="563"/>
      <c r="AI52" s="563"/>
      <c r="AJ52" s="96"/>
      <c r="AK52" s="96"/>
      <c r="AL52" s="576">
        <f t="shared" si="101"/>
        <v>1</v>
      </c>
      <c r="AM52" s="572">
        <f t="shared" si="249"/>
        <v>3.8888888888888888</v>
      </c>
      <c r="AN52" s="572">
        <f t="shared" si="249"/>
        <v>7.7777777777777777</v>
      </c>
      <c r="AO52" s="572"/>
      <c r="AP52" s="572"/>
      <c r="AQ52" s="572"/>
      <c r="AR52" s="572">
        <f>SUM((400/9))</f>
        <v>44.444444444444443</v>
      </c>
      <c r="AS52" s="572"/>
      <c r="AT52" s="572"/>
      <c r="AU52" s="572"/>
      <c r="AV52" s="572"/>
      <c r="AW52" s="583"/>
      <c r="AX52" s="572">
        <f t="shared" si="250"/>
        <v>1944.4444444444443</v>
      </c>
      <c r="AY52" s="572"/>
      <c r="AZ52" s="572"/>
      <c r="BA52" s="96"/>
      <c r="BB52" s="576"/>
      <c r="BC52" s="572">
        <f t="shared" si="251"/>
        <v>3.5</v>
      </c>
      <c r="BD52" s="572">
        <f t="shared" si="252"/>
        <v>7</v>
      </c>
      <c r="BE52" s="572">
        <f t="shared" si="253"/>
        <v>0</v>
      </c>
      <c r="BF52" s="572">
        <f t="shared" si="254"/>
        <v>0</v>
      </c>
      <c r="BG52" s="572">
        <f t="shared" si="255"/>
        <v>0</v>
      </c>
      <c r="BH52" s="572">
        <f t="shared" si="256"/>
        <v>40</v>
      </c>
      <c r="BI52" s="572">
        <f t="shared" si="257"/>
        <v>0</v>
      </c>
      <c r="BJ52" s="572">
        <f t="shared" si="258"/>
        <v>0</v>
      </c>
      <c r="BK52" s="572">
        <f t="shared" si="259"/>
        <v>0</v>
      </c>
      <c r="BL52" s="572">
        <f t="shared" si="260"/>
        <v>0</v>
      </c>
      <c r="BM52" s="583">
        <f t="shared" si="261"/>
        <v>0</v>
      </c>
      <c r="BN52" s="572">
        <f t="shared" si="262"/>
        <v>1750</v>
      </c>
      <c r="BO52" s="96"/>
      <c r="BP52" s="576"/>
      <c r="BQ52" s="572">
        <f t="shared" si="263"/>
        <v>3.15</v>
      </c>
      <c r="BR52" s="572">
        <f t="shared" si="264"/>
        <v>6.3</v>
      </c>
      <c r="BS52" s="572">
        <f t="shared" si="265"/>
        <v>0</v>
      </c>
      <c r="BT52" s="572">
        <f t="shared" si="266"/>
        <v>0</v>
      </c>
      <c r="BU52" s="572">
        <f t="shared" si="267"/>
        <v>0</v>
      </c>
      <c r="BV52" s="572">
        <f t="shared" si="268"/>
        <v>36</v>
      </c>
      <c r="BW52" s="572">
        <f t="shared" si="269"/>
        <v>0</v>
      </c>
      <c r="BX52" s="572">
        <f t="shared" si="270"/>
        <v>0</v>
      </c>
      <c r="BY52" s="572">
        <f t="shared" si="271"/>
        <v>0</v>
      </c>
      <c r="BZ52" s="572">
        <f t="shared" si="272"/>
        <v>0</v>
      </c>
      <c r="CA52" s="583">
        <f t="shared" si="273"/>
        <v>0</v>
      </c>
      <c r="CB52" s="572">
        <f t="shared" si="274"/>
        <v>1575</v>
      </c>
      <c r="CC52" s="96"/>
      <c r="CD52" s="576"/>
      <c r="CE52" s="572">
        <f t="shared" si="275"/>
        <v>2.8000000000000003</v>
      </c>
      <c r="CF52" s="572">
        <f t="shared" si="276"/>
        <v>5.6000000000000005</v>
      </c>
      <c r="CG52" s="572">
        <f t="shared" si="277"/>
        <v>0</v>
      </c>
      <c r="CH52" s="572">
        <f t="shared" si="278"/>
        <v>0</v>
      </c>
      <c r="CI52" s="572">
        <f t="shared" si="279"/>
        <v>0</v>
      </c>
      <c r="CJ52" s="572">
        <f t="shared" si="280"/>
        <v>32</v>
      </c>
      <c r="CK52" s="572">
        <f t="shared" si="281"/>
        <v>0</v>
      </c>
      <c r="CL52" s="572">
        <f t="shared" si="282"/>
        <v>0</v>
      </c>
      <c r="CM52" s="572">
        <f t="shared" si="283"/>
        <v>0</v>
      </c>
      <c r="CN52" s="572">
        <f t="shared" si="284"/>
        <v>0</v>
      </c>
      <c r="CO52" s="583">
        <f t="shared" si="285"/>
        <v>0</v>
      </c>
      <c r="CP52" s="572">
        <f t="shared" si="286"/>
        <v>1400</v>
      </c>
      <c r="CQ52" s="96"/>
      <c r="CR52" s="576"/>
      <c r="CS52" s="572">
        <f t="shared" si="287"/>
        <v>2.4499999999999997</v>
      </c>
      <c r="CT52" s="572">
        <f t="shared" si="288"/>
        <v>4.8999999999999995</v>
      </c>
      <c r="CU52" s="572">
        <f t="shared" si="289"/>
        <v>0</v>
      </c>
      <c r="CV52" s="572">
        <f t="shared" si="290"/>
        <v>0</v>
      </c>
      <c r="CW52" s="572">
        <f t="shared" si="291"/>
        <v>0</v>
      </c>
      <c r="CX52" s="572">
        <f t="shared" si="292"/>
        <v>28</v>
      </c>
      <c r="CY52" s="572">
        <f t="shared" si="293"/>
        <v>0</v>
      </c>
      <c r="CZ52" s="572">
        <f t="shared" si="294"/>
        <v>0</v>
      </c>
      <c r="DA52" s="572">
        <f t="shared" si="295"/>
        <v>0</v>
      </c>
      <c r="DB52" s="572">
        <f t="shared" si="296"/>
        <v>0</v>
      </c>
      <c r="DC52" s="583">
        <f t="shared" si="297"/>
        <v>0</v>
      </c>
      <c r="DD52" s="572">
        <f t="shared" si="298"/>
        <v>1225</v>
      </c>
      <c r="DE52" s="96"/>
      <c r="DF52" s="576"/>
      <c r="DG52" s="572">
        <f t="shared" si="299"/>
        <v>2.1</v>
      </c>
      <c r="DH52" s="572">
        <f t="shared" si="300"/>
        <v>4.2</v>
      </c>
      <c r="DI52" s="572">
        <f t="shared" si="301"/>
        <v>0</v>
      </c>
      <c r="DJ52" s="572">
        <f t="shared" si="302"/>
        <v>0</v>
      </c>
      <c r="DK52" s="572">
        <f t="shared" si="303"/>
        <v>0</v>
      </c>
      <c r="DL52" s="572">
        <f t="shared" si="304"/>
        <v>24</v>
      </c>
      <c r="DM52" s="572">
        <f t="shared" si="305"/>
        <v>0</v>
      </c>
      <c r="DN52" s="572">
        <f t="shared" si="306"/>
        <v>0</v>
      </c>
      <c r="DO52" s="572">
        <f t="shared" si="307"/>
        <v>0</v>
      </c>
      <c r="DP52" s="572">
        <f t="shared" si="308"/>
        <v>0</v>
      </c>
      <c r="DQ52" s="577">
        <f t="shared" si="309"/>
        <v>0</v>
      </c>
      <c r="DR52" s="96">
        <f t="shared" si="310"/>
        <v>1050</v>
      </c>
      <c r="DS52" s="96"/>
      <c r="DT52" s="96" t="e">
        <f t="shared" si="311"/>
        <v>#VALUE!</v>
      </c>
      <c r="DU52" s="96" t="e">
        <f t="shared" si="312"/>
        <v>#VALUE!</v>
      </c>
      <c r="DV52" s="96" t="e">
        <f t="shared" si="313"/>
        <v>#VALUE!</v>
      </c>
      <c r="DW52" s="96" t="e">
        <f t="shared" si="314"/>
        <v>#VALUE!</v>
      </c>
      <c r="DX52" s="96" t="e">
        <f t="shared" si="315"/>
        <v>#VALUE!</v>
      </c>
      <c r="DY52" s="96" t="e">
        <f t="shared" si="316"/>
        <v>#VALUE!</v>
      </c>
      <c r="DZ52" s="96" t="e">
        <f t="shared" si="317"/>
        <v>#VALUE!</v>
      </c>
      <c r="EA52" s="96" t="e">
        <f t="shared" si="318"/>
        <v>#VALUE!</v>
      </c>
      <c r="EB52" s="96" t="e">
        <f t="shared" si="319"/>
        <v>#VALUE!</v>
      </c>
      <c r="EC52" s="96" t="e">
        <f t="shared" si="320"/>
        <v>#VALUE!</v>
      </c>
      <c r="ED52" s="96" t="e">
        <f t="shared" si="321"/>
        <v>#VALUE!</v>
      </c>
      <c r="EE52" s="96" t="e">
        <f t="shared" si="322"/>
        <v>#VALUE!</v>
      </c>
    </row>
    <row r="53" spans="2:135">
      <c r="C53" s="1752">
        <v>309</v>
      </c>
      <c r="D53" s="1117" t="s">
        <v>101</v>
      </c>
      <c r="E53" s="325">
        <f t="shared" si="235"/>
        <v>38.89</v>
      </c>
      <c r="F53" s="325">
        <f t="shared" si="236"/>
        <v>77.78</v>
      </c>
      <c r="G53" s="325">
        <f t="shared" si="237"/>
        <v>35</v>
      </c>
      <c r="H53" s="326">
        <f t="shared" si="323"/>
        <v>1</v>
      </c>
      <c r="I53" s="325">
        <f t="shared" si="238"/>
        <v>0</v>
      </c>
      <c r="J53" s="325">
        <f t="shared" si="239"/>
        <v>2000</v>
      </c>
      <c r="K53" s="325">
        <f t="shared" si="240"/>
        <v>800</v>
      </c>
      <c r="L53" s="325">
        <f t="shared" si="241"/>
        <v>125</v>
      </c>
      <c r="M53" s="325">
        <f t="shared" si="242"/>
        <v>105.56</v>
      </c>
      <c r="N53" s="325">
        <f t="shared" si="243"/>
        <v>4.8</v>
      </c>
      <c r="O53" s="325">
        <f t="shared" si="244"/>
        <v>25</v>
      </c>
      <c r="P53" s="325">
        <f t="shared" si="245"/>
        <v>180</v>
      </c>
      <c r="Q53" s="1643">
        <f t="shared" si="246"/>
        <v>19444.45</v>
      </c>
      <c r="R53" s="1643">
        <f t="shared" si="324"/>
        <v>0</v>
      </c>
      <c r="S53" s="1643">
        <f t="shared" si="325"/>
        <v>0</v>
      </c>
      <c r="T53" s="190"/>
      <c r="U53" s="568">
        <v>35</v>
      </c>
      <c r="V53" s="563">
        <v>70</v>
      </c>
      <c r="W53" s="563">
        <v>35</v>
      </c>
      <c r="X53" s="563">
        <v>1</v>
      </c>
      <c r="Y53" s="563">
        <v>0</v>
      </c>
      <c r="Z53" s="563">
        <v>2000</v>
      </c>
      <c r="AA53" s="563">
        <v>800</v>
      </c>
      <c r="AB53" s="563">
        <v>125</v>
      </c>
      <c r="AC53" s="563">
        <v>100</v>
      </c>
      <c r="AD53" s="563">
        <v>4.8</v>
      </c>
      <c r="AE53" s="563">
        <v>25</v>
      </c>
      <c r="AF53" s="563">
        <v>180</v>
      </c>
      <c r="AG53" s="850">
        <v>17500</v>
      </c>
      <c r="AH53" s="563"/>
      <c r="AI53" s="563"/>
      <c r="AJ53" s="96"/>
      <c r="AK53" s="96"/>
      <c r="AL53" s="576">
        <f t="shared" si="101"/>
        <v>1</v>
      </c>
      <c r="AM53" s="572">
        <f t="shared" si="249"/>
        <v>3.8888888888888888</v>
      </c>
      <c r="AN53" s="572">
        <f t="shared" si="249"/>
        <v>7.7777777777777777</v>
      </c>
      <c r="AO53" s="572"/>
      <c r="AP53" s="572"/>
      <c r="AQ53" s="572"/>
      <c r="AR53" s="572"/>
      <c r="AS53" s="572"/>
      <c r="AT53" s="572">
        <f>SUM((AC53/18))</f>
        <v>5.5555555555555554</v>
      </c>
      <c r="AU53" s="572"/>
      <c r="AV53" s="572"/>
      <c r="AW53" s="583"/>
      <c r="AX53" s="572">
        <f t="shared" si="250"/>
        <v>1944.4444444444443</v>
      </c>
      <c r="AY53" s="572"/>
      <c r="AZ53" s="572"/>
      <c r="BA53" s="96"/>
      <c r="BB53" s="576"/>
      <c r="BC53" s="572">
        <f t="shared" si="251"/>
        <v>3.5</v>
      </c>
      <c r="BD53" s="572">
        <f t="shared" si="252"/>
        <v>7</v>
      </c>
      <c r="BE53" s="572">
        <f t="shared" si="253"/>
        <v>0</v>
      </c>
      <c r="BF53" s="572">
        <f t="shared" si="254"/>
        <v>0</v>
      </c>
      <c r="BG53" s="572">
        <f t="shared" si="255"/>
        <v>0</v>
      </c>
      <c r="BH53" s="572">
        <f t="shared" si="256"/>
        <v>0</v>
      </c>
      <c r="BI53" s="572">
        <f t="shared" si="257"/>
        <v>0</v>
      </c>
      <c r="BJ53" s="572">
        <f t="shared" si="258"/>
        <v>5</v>
      </c>
      <c r="BK53" s="572">
        <f t="shared" si="259"/>
        <v>0</v>
      </c>
      <c r="BL53" s="572">
        <f t="shared" si="260"/>
        <v>0</v>
      </c>
      <c r="BM53" s="583">
        <f t="shared" si="261"/>
        <v>0</v>
      </c>
      <c r="BN53" s="572">
        <f t="shared" si="262"/>
        <v>1750</v>
      </c>
      <c r="BO53" s="96"/>
      <c r="BP53" s="576"/>
      <c r="BQ53" s="572">
        <f t="shared" si="263"/>
        <v>3.15</v>
      </c>
      <c r="BR53" s="572">
        <f t="shared" si="264"/>
        <v>6.3</v>
      </c>
      <c r="BS53" s="572">
        <f t="shared" si="265"/>
        <v>0</v>
      </c>
      <c r="BT53" s="572">
        <f t="shared" si="266"/>
        <v>0</v>
      </c>
      <c r="BU53" s="572">
        <f t="shared" si="267"/>
        <v>0</v>
      </c>
      <c r="BV53" s="572">
        <f t="shared" si="268"/>
        <v>0</v>
      </c>
      <c r="BW53" s="572">
        <f t="shared" si="269"/>
        <v>0</v>
      </c>
      <c r="BX53" s="572">
        <f t="shared" si="270"/>
        <v>4.5</v>
      </c>
      <c r="BY53" s="572">
        <f t="shared" si="271"/>
        <v>0</v>
      </c>
      <c r="BZ53" s="572">
        <f t="shared" si="272"/>
        <v>0</v>
      </c>
      <c r="CA53" s="583">
        <f t="shared" si="273"/>
        <v>0</v>
      </c>
      <c r="CB53" s="572">
        <f t="shared" si="274"/>
        <v>1575</v>
      </c>
      <c r="CC53" s="96"/>
      <c r="CD53" s="576"/>
      <c r="CE53" s="572">
        <f t="shared" si="275"/>
        <v>2.8000000000000003</v>
      </c>
      <c r="CF53" s="572">
        <f t="shared" si="276"/>
        <v>5.6000000000000005</v>
      </c>
      <c r="CG53" s="572">
        <f t="shared" si="277"/>
        <v>0</v>
      </c>
      <c r="CH53" s="572">
        <f t="shared" si="278"/>
        <v>0</v>
      </c>
      <c r="CI53" s="572">
        <f t="shared" si="279"/>
        <v>0</v>
      </c>
      <c r="CJ53" s="572">
        <f t="shared" si="280"/>
        <v>0</v>
      </c>
      <c r="CK53" s="572">
        <f t="shared" si="281"/>
        <v>0</v>
      </c>
      <c r="CL53" s="572">
        <f t="shared" si="282"/>
        <v>4</v>
      </c>
      <c r="CM53" s="572">
        <f t="shared" si="283"/>
        <v>0</v>
      </c>
      <c r="CN53" s="572">
        <f t="shared" si="284"/>
        <v>0</v>
      </c>
      <c r="CO53" s="583">
        <f t="shared" si="285"/>
        <v>0</v>
      </c>
      <c r="CP53" s="572">
        <f t="shared" si="286"/>
        <v>1400</v>
      </c>
      <c r="CQ53" s="96"/>
      <c r="CR53" s="576"/>
      <c r="CS53" s="572">
        <f t="shared" si="287"/>
        <v>2.4499999999999997</v>
      </c>
      <c r="CT53" s="572">
        <f t="shared" si="288"/>
        <v>4.8999999999999995</v>
      </c>
      <c r="CU53" s="572">
        <f t="shared" si="289"/>
        <v>0</v>
      </c>
      <c r="CV53" s="572">
        <f t="shared" si="290"/>
        <v>0</v>
      </c>
      <c r="CW53" s="572">
        <f t="shared" si="291"/>
        <v>0</v>
      </c>
      <c r="CX53" s="572">
        <f t="shared" si="292"/>
        <v>0</v>
      </c>
      <c r="CY53" s="572">
        <f t="shared" si="293"/>
        <v>0</v>
      </c>
      <c r="CZ53" s="572">
        <f t="shared" si="294"/>
        <v>3.5</v>
      </c>
      <c r="DA53" s="572">
        <f t="shared" si="295"/>
        <v>0</v>
      </c>
      <c r="DB53" s="572">
        <f t="shared" si="296"/>
        <v>0</v>
      </c>
      <c r="DC53" s="583">
        <f t="shared" si="297"/>
        <v>0</v>
      </c>
      <c r="DD53" s="572">
        <f t="shared" si="298"/>
        <v>1225</v>
      </c>
      <c r="DE53" s="96"/>
      <c r="DF53" s="576"/>
      <c r="DG53" s="572">
        <f t="shared" si="299"/>
        <v>2.1</v>
      </c>
      <c r="DH53" s="572">
        <f t="shared" si="300"/>
        <v>4.2</v>
      </c>
      <c r="DI53" s="572">
        <f t="shared" si="301"/>
        <v>0</v>
      </c>
      <c r="DJ53" s="572">
        <f t="shared" si="302"/>
        <v>0</v>
      </c>
      <c r="DK53" s="572">
        <f t="shared" si="303"/>
        <v>0</v>
      </c>
      <c r="DL53" s="572">
        <f t="shared" si="304"/>
        <v>0</v>
      </c>
      <c r="DM53" s="572">
        <f t="shared" si="305"/>
        <v>0</v>
      </c>
      <c r="DN53" s="572">
        <f t="shared" si="306"/>
        <v>3</v>
      </c>
      <c r="DO53" s="572">
        <f t="shared" si="307"/>
        <v>0</v>
      </c>
      <c r="DP53" s="572">
        <f t="shared" si="308"/>
        <v>0</v>
      </c>
      <c r="DQ53" s="577">
        <f t="shared" si="309"/>
        <v>0</v>
      </c>
      <c r="DR53" s="96">
        <f t="shared" si="310"/>
        <v>1050</v>
      </c>
      <c r="DS53" s="96"/>
      <c r="DT53" s="96" t="e">
        <f t="shared" si="311"/>
        <v>#VALUE!</v>
      </c>
      <c r="DU53" s="96" t="e">
        <f t="shared" si="312"/>
        <v>#VALUE!</v>
      </c>
      <c r="DV53" s="96" t="e">
        <f t="shared" si="313"/>
        <v>#VALUE!</v>
      </c>
      <c r="DW53" s="96" t="e">
        <f t="shared" si="314"/>
        <v>#VALUE!</v>
      </c>
      <c r="DX53" s="96" t="e">
        <f t="shared" si="315"/>
        <v>#VALUE!</v>
      </c>
      <c r="DY53" s="96" t="e">
        <f t="shared" si="316"/>
        <v>#VALUE!</v>
      </c>
      <c r="DZ53" s="96" t="e">
        <f t="shared" si="317"/>
        <v>#VALUE!</v>
      </c>
      <c r="EA53" s="96" t="e">
        <f t="shared" si="318"/>
        <v>#VALUE!</v>
      </c>
      <c r="EB53" s="96" t="e">
        <f t="shared" si="319"/>
        <v>#VALUE!</v>
      </c>
      <c r="EC53" s="96" t="e">
        <f t="shared" si="320"/>
        <v>#VALUE!</v>
      </c>
      <c r="ED53" s="96" t="e">
        <f t="shared" si="321"/>
        <v>#VALUE!</v>
      </c>
      <c r="EE53" s="96" t="e">
        <f t="shared" si="322"/>
        <v>#VALUE!</v>
      </c>
    </row>
    <row r="54" spans="2:135">
      <c r="C54" s="1752">
        <v>310</v>
      </c>
      <c r="D54" s="1117" t="s">
        <v>111</v>
      </c>
      <c r="E54" s="325">
        <f t="shared" si="235"/>
        <v>1</v>
      </c>
      <c r="F54" s="325">
        <f t="shared" si="236"/>
        <v>5</v>
      </c>
      <c r="G54" s="325">
        <f t="shared" si="237"/>
        <v>5</v>
      </c>
      <c r="H54" s="326">
        <f t="shared" si="323"/>
        <v>0</v>
      </c>
      <c r="I54" s="325">
        <f t="shared" si="238"/>
        <v>0</v>
      </c>
      <c r="J54" s="325">
        <f t="shared" si="239"/>
        <v>500</v>
      </c>
      <c r="K54" s="325">
        <f t="shared" si="240"/>
        <v>411.12</v>
      </c>
      <c r="L54" s="325">
        <f t="shared" si="241"/>
        <v>500</v>
      </c>
      <c r="M54" s="325">
        <f t="shared" si="242"/>
        <v>100</v>
      </c>
      <c r="N54" s="325">
        <f t="shared" si="243"/>
        <v>0.5</v>
      </c>
      <c r="O54" s="325">
        <f t="shared" si="244"/>
        <v>3.5</v>
      </c>
      <c r="P54" s="325">
        <f t="shared" si="245"/>
        <v>180</v>
      </c>
      <c r="Q54" s="1643">
        <f t="shared" si="246"/>
        <v>19444.45</v>
      </c>
      <c r="R54" s="1643">
        <f t="shared" si="324"/>
        <v>0</v>
      </c>
      <c r="S54" s="1643">
        <f t="shared" si="325"/>
        <v>0</v>
      </c>
      <c r="T54" s="190"/>
      <c r="U54" s="568">
        <v>1</v>
      </c>
      <c r="V54" s="563">
        <v>5</v>
      </c>
      <c r="W54" s="563">
        <v>5</v>
      </c>
      <c r="X54" s="563">
        <v>0</v>
      </c>
      <c r="Y54" s="563">
        <v>0</v>
      </c>
      <c r="Z54" s="563">
        <v>500</v>
      </c>
      <c r="AA54" s="563">
        <v>400</v>
      </c>
      <c r="AB54" s="563">
        <v>500</v>
      </c>
      <c r="AC54" s="563">
        <v>100</v>
      </c>
      <c r="AD54" s="563">
        <v>0.5</v>
      </c>
      <c r="AE54" s="563">
        <v>3.5</v>
      </c>
      <c r="AF54" s="563">
        <v>180</v>
      </c>
      <c r="AG54" s="850">
        <v>17500</v>
      </c>
      <c r="AH54" s="563"/>
      <c r="AI54" s="563"/>
      <c r="AJ54" s="96"/>
      <c r="AK54" s="96"/>
      <c r="AL54" s="576">
        <f t="shared" si="101"/>
        <v>1</v>
      </c>
      <c r="AM54" s="572"/>
      <c r="AN54" s="572"/>
      <c r="AO54" s="572"/>
      <c r="AP54" s="572"/>
      <c r="AQ54" s="572"/>
      <c r="AR54" s="572">
        <f>SUM((100/9))</f>
        <v>11.111111111111111</v>
      </c>
      <c r="AS54" s="572"/>
      <c r="AT54" s="572"/>
      <c r="AU54" s="572"/>
      <c r="AV54" s="572"/>
      <c r="AW54" s="583"/>
      <c r="AX54" s="572">
        <f t="shared" si="250"/>
        <v>1944.4444444444443</v>
      </c>
      <c r="AY54" s="572"/>
      <c r="AZ54" s="572"/>
      <c r="BA54" s="96"/>
      <c r="BB54" s="576"/>
      <c r="BC54" s="572">
        <f t="shared" si="251"/>
        <v>0</v>
      </c>
      <c r="BD54" s="572">
        <f t="shared" si="252"/>
        <v>0</v>
      </c>
      <c r="BE54" s="572">
        <f t="shared" si="253"/>
        <v>0</v>
      </c>
      <c r="BF54" s="572">
        <f t="shared" si="254"/>
        <v>0</v>
      </c>
      <c r="BG54" s="572">
        <f t="shared" si="255"/>
        <v>0</v>
      </c>
      <c r="BH54" s="572">
        <f t="shared" si="256"/>
        <v>10</v>
      </c>
      <c r="BI54" s="572">
        <f t="shared" si="257"/>
        <v>0</v>
      </c>
      <c r="BJ54" s="572">
        <f t="shared" si="258"/>
        <v>0</v>
      </c>
      <c r="BK54" s="572">
        <f t="shared" si="259"/>
        <v>0</v>
      </c>
      <c r="BL54" s="572">
        <f t="shared" si="260"/>
        <v>0</v>
      </c>
      <c r="BM54" s="583">
        <f t="shared" si="261"/>
        <v>0</v>
      </c>
      <c r="BN54" s="572">
        <f t="shared" si="262"/>
        <v>1750</v>
      </c>
      <c r="BO54" s="96"/>
      <c r="BP54" s="576"/>
      <c r="BQ54" s="572">
        <f t="shared" si="263"/>
        <v>0</v>
      </c>
      <c r="BR54" s="572">
        <f t="shared" si="264"/>
        <v>0</v>
      </c>
      <c r="BS54" s="572">
        <f t="shared" si="265"/>
        <v>0</v>
      </c>
      <c r="BT54" s="572">
        <f t="shared" si="266"/>
        <v>0</v>
      </c>
      <c r="BU54" s="572">
        <f t="shared" si="267"/>
        <v>0</v>
      </c>
      <c r="BV54" s="572">
        <f t="shared" si="268"/>
        <v>9</v>
      </c>
      <c r="BW54" s="572">
        <f t="shared" si="269"/>
        <v>0</v>
      </c>
      <c r="BX54" s="572">
        <f t="shared" si="270"/>
        <v>0</v>
      </c>
      <c r="BY54" s="572">
        <f t="shared" si="271"/>
        <v>0</v>
      </c>
      <c r="BZ54" s="572">
        <f t="shared" si="272"/>
        <v>0</v>
      </c>
      <c r="CA54" s="583">
        <f t="shared" si="273"/>
        <v>0</v>
      </c>
      <c r="CB54" s="572">
        <f t="shared" si="274"/>
        <v>1575</v>
      </c>
      <c r="CC54" s="96"/>
      <c r="CD54" s="576"/>
      <c r="CE54" s="572">
        <f t="shared" si="275"/>
        <v>0</v>
      </c>
      <c r="CF54" s="572">
        <f t="shared" si="276"/>
        <v>0</v>
      </c>
      <c r="CG54" s="572">
        <f t="shared" si="277"/>
        <v>0</v>
      </c>
      <c r="CH54" s="572">
        <f t="shared" si="278"/>
        <v>0</v>
      </c>
      <c r="CI54" s="572">
        <f t="shared" si="279"/>
        <v>0</v>
      </c>
      <c r="CJ54" s="572">
        <f t="shared" si="280"/>
        <v>8</v>
      </c>
      <c r="CK54" s="572">
        <f t="shared" si="281"/>
        <v>0</v>
      </c>
      <c r="CL54" s="572">
        <f t="shared" si="282"/>
        <v>0</v>
      </c>
      <c r="CM54" s="572">
        <f t="shared" si="283"/>
        <v>0</v>
      </c>
      <c r="CN54" s="572">
        <f t="shared" si="284"/>
        <v>0</v>
      </c>
      <c r="CO54" s="583">
        <f t="shared" si="285"/>
        <v>0</v>
      </c>
      <c r="CP54" s="572">
        <f t="shared" si="286"/>
        <v>1400</v>
      </c>
      <c r="CQ54" s="96"/>
      <c r="CR54" s="576"/>
      <c r="CS54" s="572">
        <f t="shared" si="287"/>
        <v>0</v>
      </c>
      <c r="CT54" s="572">
        <f t="shared" si="288"/>
        <v>0</v>
      </c>
      <c r="CU54" s="572">
        <f t="shared" si="289"/>
        <v>0</v>
      </c>
      <c r="CV54" s="572">
        <f t="shared" si="290"/>
        <v>0</v>
      </c>
      <c r="CW54" s="572">
        <f t="shared" si="291"/>
        <v>0</v>
      </c>
      <c r="CX54" s="572">
        <f t="shared" si="292"/>
        <v>7</v>
      </c>
      <c r="CY54" s="572">
        <f t="shared" si="293"/>
        <v>0</v>
      </c>
      <c r="CZ54" s="572">
        <f t="shared" si="294"/>
        <v>0</v>
      </c>
      <c r="DA54" s="572">
        <f t="shared" si="295"/>
        <v>0</v>
      </c>
      <c r="DB54" s="572">
        <f t="shared" si="296"/>
        <v>0</v>
      </c>
      <c r="DC54" s="583">
        <f t="shared" si="297"/>
        <v>0</v>
      </c>
      <c r="DD54" s="572">
        <f t="shared" si="298"/>
        <v>1225</v>
      </c>
      <c r="DE54" s="96"/>
      <c r="DF54" s="576"/>
      <c r="DG54" s="572">
        <f t="shared" si="299"/>
        <v>0</v>
      </c>
      <c r="DH54" s="572">
        <f t="shared" si="300"/>
        <v>0</v>
      </c>
      <c r="DI54" s="572">
        <f t="shared" si="301"/>
        <v>0</v>
      </c>
      <c r="DJ54" s="572">
        <f t="shared" si="302"/>
        <v>0</v>
      </c>
      <c r="DK54" s="572">
        <f t="shared" si="303"/>
        <v>0</v>
      </c>
      <c r="DL54" s="572">
        <f t="shared" si="304"/>
        <v>6</v>
      </c>
      <c r="DM54" s="572">
        <f t="shared" si="305"/>
        <v>0</v>
      </c>
      <c r="DN54" s="572">
        <f t="shared" si="306"/>
        <v>0</v>
      </c>
      <c r="DO54" s="572">
        <f t="shared" si="307"/>
        <v>0</v>
      </c>
      <c r="DP54" s="572">
        <f t="shared" si="308"/>
        <v>0</v>
      </c>
      <c r="DQ54" s="577">
        <f t="shared" si="309"/>
        <v>0</v>
      </c>
      <c r="DR54" s="96">
        <f t="shared" si="310"/>
        <v>1050</v>
      </c>
      <c r="DS54" s="96"/>
      <c r="DT54" s="96" t="e">
        <f t="shared" si="311"/>
        <v>#VALUE!</v>
      </c>
      <c r="DU54" s="96" t="e">
        <f t="shared" si="312"/>
        <v>#VALUE!</v>
      </c>
      <c r="DV54" s="96" t="e">
        <f t="shared" si="313"/>
        <v>#VALUE!</v>
      </c>
      <c r="DW54" s="96" t="e">
        <f t="shared" si="314"/>
        <v>#VALUE!</v>
      </c>
      <c r="DX54" s="96" t="e">
        <f t="shared" si="315"/>
        <v>#VALUE!</v>
      </c>
      <c r="DY54" s="96" t="e">
        <f t="shared" si="316"/>
        <v>#VALUE!</v>
      </c>
      <c r="DZ54" s="96" t="e">
        <f t="shared" si="317"/>
        <v>#VALUE!</v>
      </c>
      <c r="EA54" s="96" t="e">
        <f t="shared" si="318"/>
        <v>#VALUE!</v>
      </c>
      <c r="EB54" s="96" t="e">
        <f t="shared" si="319"/>
        <v>#VALUE!</v>
      </c>
      <c r="EC54" s="96" t="e">
        <f t="shared" si="320"/>
        <v>#VALUE!</v>
      </c>
      <c r="ED54" s="96" t="e">
        <f t="shared" si="321"/>
        <v>#VALUE!</v>
      </c>
      <c r="EE54" s="96" t="e">
        <f t="shared" si="322"/>
        <v>#VALUE!</v>
      </c>
    </row>
    <row r="55" spans="2:135">
      <c r="C55" s="1752">
        <v>311</v>
      </c>
      <c r="D55" s="1117" t="s">
        <v>110</v>
      </c>
      <c r="E55" s="325">
        <f t="shared" si="235"/>
        <v>10</v>
      </c>
      <c r="F55" s="325">
        <f t="shared" si="236"/>
        <v>35</v>
      </c>
      <c r="G55" s="325">
        <f t="shared" si="237"/>
        <v>15</v>
      </c>
      <c r="H55" s="326">
        <f t="shared" si="323"/>
        <v>0</v>
      </c>
      <c r="I55" s="325">
        <f t="shared" si="238"/>
        <v>500</v>
      </c>
      <c r="J55" s="325">
        <f t="shared" si="239"/>
        <v>822.23</v>
      </c>
      <c r="K55" s="325">
        <f t="shared" si="240"/>
        <v>822.23</v>
      </c>
      <c r="L55" s="325">
        <f t="shared" si="241"/>
        <v>300</v>
      </c>
      <c r="M55" s="325">
        <f t="shared" si="242"/>
        <v>100</v>
      </c>
      <c r="N55" s="325">
        <f t="shared" si="243"/>
        <v>1</v>
      </c>
      <c r="O55" s="325">
        <f t="shared" si="244"/>
        <v>7</v>
      </c>
      <c r="P55" s="325">
        <f t="shared" si="245"/>
        <v>180</v>
      </c>
      <c r="Q55" s="1643">
        <f t="shared" si="246"/>
        <v>19444.45</v>
      </c>
      <c r="R55" s="1643">
        <f t="shared" si="324"/>
        <v>0</v>
      </c>
      <c r="S55" s="1643">
        <f t="shared" si="325"/>
        <v>0</v>
      </c>
      <c r="T55" s="190"/>
      <c r="U55" s="568">
        <v>10</v>
      </c>
      <c r="V55" s="563">
        <v>35</v>
      </c>
      <c r="W55" s="563">
        <v>15</v>
      </c>
      <c r="X55" s="563">
        <v>0</v>
      </c>
      <c r="Y55" s="563">
        <v>500</v>
      </c>
      <c r="Z55" s="563">
        <v>800</v>
      </c>
      <c r="AA55" s="563">
        <v>800</v>
      </c>
      <c r="AB55" s="563">
        <v>300</v>
      </c>
      <c r="AC55" s="563">
        <v>100</v>
      </c>
      <c r="AD55" s="563">
        <v>1</v>
      </c>
      <c r="AE55" s="563">
        <v>7</v>
      </c>
      <c r="AF55" s="563">
        <v>180</v>
      </c>
      <c r="AG55" s="850">
        <v>17500</v>
      </c>
      <c r="AH55" s="563"/>
      <c r="AI55" s="563"/>
      <c r="AJ55" s="96"/>
      <c r="AK55" s="96"/>
      <c r="AL55" s="576">
        <f t="shared" si="101"/>
        <v>1</v>
      </c>
      <c r="AM55" s="572"/>
      <c r="AN55" s="572"/>
      <c r="AO55" s="572"/>
      <c r="AP55" s="572"/>
      <c r="AQ55" s="572">
        <f>SUM((200/9))</f>
        <v>22.222222222222221</v>
      </c>
      <c r="AR55" s="572">
        <f>SUM((200/9))</f>
        <v>22.222222222222221</v>
      </c>
      <c r="AS55" s="572"/>
      <c r="AT55" s="572"/>
      <c r="AU55" s="572"/>
      <c r="AV55" s="572"/>
      <c r="AW55" s="583"/>
      <c r="AX55" s="572">
        <f t="shared" si="250"/>
        <v>1944.4444444444443</v>
      </c>
      <c r="AY55" s="572"/>
      <c r="AZ55" s="572"/>
      <c r="BA55" s="96"/>
      <c r="BB55" s="576"/>
      <c r="BC55" s="572">
        <f t="shared" si="251"/>
        <v>0</v>
      </c>
      <c r="BD55" s="572">
        <f t="shared" si="252"/>
        <v>0</v>
      </c>
      <c r="BE55" s="572">
        <f t="shared" si="253"/>
        <v>0</v>
      </c>
      <c r="BF55" s="572">
        <f t="shared" si="254"/>
        <v>0</v>
      </c>
      <c r="BG55" s="572">
        <f t="shared" si="255"/>
        <v>20</v>
      </c>
      <c r="BH55" s="572">
        <f t="shared" si="256"/>
        <v>20</v>
      </c>
      <c r="BI55" s="572">
        <f t="shared" si="257"/>
        <v>0</v>
      </c>
      <c r="BJ55" s="572">
        <f t="shared" si="258"/>
        <v>0</v>
      </c>
      <c r="BK55" s="572">
        <f t="shared" si="259"/>
        <v>0</v>
      </c>
      <c r="BL55" s="572">
        <f t="shared" si="260"/>
        <v>0</v>
      </c>
      <c r="BM55" s="583">
        <f t="shared" si="261"/>
        <v>0</v>
      </c>
      <c r="BN55" s="572">
        <f t="shared" si="262"/>
        <v>1750</v>
      </c>
      <c r="BO55" s="96"/>
      <c r="BP55" s="576"/>
      <c r="BQ55" s="572">
        <f t="shared" si="263"/>
        <v>0</v>
      </c>
      <c r="BR55" s="572">
        <f t="shared" si="264"/>
        <v>0</v>
      </c>
      <c r="BS55" s="572">
        <f t="shared" si="265"/>
        <v>0</v>
      </c>
      <c r="BT55" s="572">
        <f t="shared" si="266"/>
        <v>0</v>
      </c>
      <c r="BU55" s="572">
        <f t="shared" si="267"/>
        <v>18</v>
      </c>
      <c r="BV55" s="572">
        <f t="shared" si="268"/>
        <v>18</v>
      </c>
      <c r="BW55" s="572">
        <f t="shared" si="269"/>
        <v>0</v>
      </c>
      <c r="BX55" s="572">
        <f t="shared" si="270"/>
        <v>0</v>
      </c>
      <c r="BY55" s="572">
        <f t="shared" si="271"/>
        <v>0</v>
      </c>
      <c r="BZ55" s="572">
        <f t="shared" si="272"/>
        <v>0</v>
      </c>
      <c r="CA55" s="583">
        <f t="shared" si="273"/>
        <v>0</v>
      </c>
      <c r="CB55" s="572">
        <f t="shared" si="274"/>
        <v>1575</v>
      </c>
      <c r="CC55" s="96"/>
      <c r="CD55" s="576"/>
      <c r="CE55" s="572">
        <f t="shared" si="275"/>
        <v>0</v>
      </c>
      <c r="CF55" s="572">
        <f t="shared" si="276"/>
        <v>0</v>
      </c>
      <c r="CG55" s="572">
        <f t="shared" si="277"/>
        <v>0</v>
      </c>
      <c r="CH55" s="572">
        <f t="shared" si="278"/>
        <v>0</v>
      </c>
      <c r="CI55" s="572">
        <f t="shared" si="279"/>
        <v>16</v>
      </c>
      <c r="CJ55" s="572">
        <f t="shared" si="280"/>
        <v>16</v>
      </c>
      <c r="CK55" s="572">
        <f t="shared" si="281"/>
        <v>0</v>
      </c>
      <c r="CL55" s="572">
        <f t="shared" si="282"/>
        <v>0</v>
      </c>
      <c r="CM55" s="572">
        <f t="shared" si="283"/>
        <v>0</v>
      </c>
      <c r="CN55" s="572">
        <f t="shared" si="284"/>
        <v>0</v>
      </c>
      <c r="CO55" s="583">
        <f t="shared" si="285"/>
        <v>0</v>
      </c>
      <c r="CP55" s="572">
        <f t="shared" si="286"/>
        <v>1400</v>
      </c>
      <c r="CQ55" s="96"/>
      <c r="CR55" s="576"/>
      <c r="CS55" s="572">
        <f t="shared" si="287"/>
        <v>0</v>
      </c>
      <c r="CT55" s="572">
        <f t="shared" si="288"/>
        <v>0</v>
      </c>
      <c r="CU55" s="572">
        <f t="shared" si="289"/>
        <v>0</v>
      </c>
      <c r="CV55" s="572">
        <f t="shared" si="290"/>
        <v>0</v>
      </c>
      <c r="CW55" s="572">
        <f t="shared" si="291"/>
        <v>14</v>
      </c>
      <c r="CX55" s="572">
        <f t="shared" si="292"/>
        <v>14</v>
      </c>
      <c r="CY55" s="572">
        <f t="shared" si="293"/>
        <v>0</v>
      </c>
      <c r="CZ55" s="572">
        <f t="shared" si="294"/>
        <v>0</v>
      </c>
      <c r="DA55" s="572">
        <f t="shared" si="295"/>
        <v>0</v>
      </c>
      <c r="DB55" s="572">
        <f t="shared" si="296"/>
        <v>0</v>
      </c>
      <c r="DC55" s="583">
        <f t="shared" si="297"/>
        <v>0</v>
      </c>
      <c r="DD55" s="572">
        <f t="shared" si="298"/>
        <v>1225</v>
      </c>
      <c r="DE55" s="96"/>
      <c r="DF55" s="576"/>
      <c r="DG55" s="572">
        <f t="shared" si="299"/>
        <v>0</v>
      </c>
      <c r="DH55" s="572">
        <f t="shared" si="300"/>
        <v>0</v>
      </c>
      <c r="DI55" s="572">
        <f t="shared" si="301"/>
        <v>0</v>
      </c>
      <c r="DJ55" s="572">
        <f t="shared" si="302"/>
        <v>0</v>
      </c>
      <c r="DK55" s="572">
        <f t="shared" si="303"/>
        <v>12</v>
      </c>
      <c r="DL55" s="572">
        <f t="shared" si="304"/>
        <v>12</v>
      </c>
      <c r="DM55" s="572">
        <f t="shared" si="305"/>
        <v>0</v>
      </c>
      <c r="DN55" s="572">
        <f t="shared" si="306"/>
        <v>0</v>
      </c>
      <c r="DO55" s="572">
        <f t="shared" si="307"/>
        <v>0</v>
      </c>
      <c r="DP55" s="572">
        <f t="shared" si="308"/>
        <v>0</v>
      </c>
      <c r="DQ55" s="577">
        <f t="shared" si="309"/>
        <v>0</v>
      </c>
      <c r="DR55" s="96">
        <f t="shared" si="310"/>
        <v>1050</v>
      </c>
      <c r="DS55" s="96"/>
      <c r="DT55" s="96" t="e">
        <f t="shared" si="311"/>
        <v>#VALUE!</v>
      </c>
      <c r="DU55" s="96" t="e">
        <f t="shared" si="312"/>
        <v>#VALUE!</v>
      </c>
      <c r="DV55" s="96" t="e">
        <f t="shared" si="313"/>
        <v>#VALUE!</v>
      </c>
      <c r="DW55" s="96" t="e">
        <f t="shared" si="314"/>
        <v>#VALUE!</v>
      </c>
      <c r="DX55" s="96" t="e">
        <f t="shared" si="315"/>
        <v>#VALUE!</v>
      </c>
      <c r="DY55" s="96" t="e">
        <f t="shared" si="316"/>
        <v>#VALUE!</v>
      </c>
      <c r="DZ55" s="96" t="e">
        <f t="shared" si="317"/>
        <v>#VALUE!</v>
      </c>
      <c r="EA55" s="96" t="e">
        <f t="shared" si="318"/>
        <v>#VALUE!</v>
      </c>
      <c r="EB55" s="96" t="e">
        <f t="shared" si="319"/>
        <v>#VALUE!</v>
      </c>
      <c r="EC55" s="96" t="e">
        <f t="shared" si="320"/>
        <v>#VALUE!</v>
      </c>
      <c r="ED55" s="96" t="e">
        <f t="shared" si="321"/>
        <v>#VALUE!</v>
      </c>
      <c r="EE55" s="96" t="e">
        <f t="shared" si="322"/>
        <v>#VALUE!</v>
      </c>
    </row>
    <row r="56" spans="2:135">
      <c r="C56" s="1752">
        <v>312</v>
      </c>
      <c r="D56" s="1117" t="s">
        <v>102</v>
      </c>
      <c r="E56" s="325">
        <f t="shared" si="235"/>
        <v>15.56</v>
      </c>
      <c r="F56" s="325">
        <f t="shared" si="236"/>
        <v>31.12</v>
      </c>
      <c r="G56" s="325">
        <f t="shared" si="237"/>
        <v>50</v>
      </c>
      <c r="H56" s="326">
        <f t="shared" si="323"/>
        <v>5</v>
      </c>
      <c r="I56" s="325">
        <f t="shared" si="238"/>
        <v>0</v>
      </c>
      <c r="J56" s="325">
        <f t="shared" si="239"/>
        <v>1350</v>
      </c>
      <c r="K56" s="325">
        <f t="shared" si="240"/>
        <v>577.78</v>
      </c>
      <c r="L56" s="325">
        <f t="shared" si="241"/>
        <v>125</v>
      </c>
      <c r="M56" s="325">
        <f t="shared" si="242"/>
        <v>100</v>
      </c>
      <c r="N56" s="325">
        <f t="shared" si="243"/>
        <v>4</v>
      </c>
      <c r="O56" s="325">
        <f t="shared" si="244"/>
        <v>50</v>
      </c>
      <c r="P56" s="325">
        <f t="shared" si="245"/>
        <v>180</v>
      </c>
      <c r="Q56" s="1643">
        <f t="shared" si="246"/>
        <v>19444.45</v>
      </c>
      <c r="R56" s="1643">
        <f t="shared" si="324"/>
        <v>0</v>
      </c>
      <c r="S56" s="1643">
        <f t="shared" si="325"/>
        <v>0</v>
      </c>
      <c r="T56" s="190"/>
      <c r="U56" s="568">
        <v>14</v>
      </c>
      <c r="V56" s="563">
        <v>28</v>
      </c>
      <c r="W56" s="563">
        <v>50</v>
      </c>
      <c r="X56" s="563">
        <v>5</v>
      </c>
      <c r="Y56" s="563">
        <v>0</v>
      </c>
      <c r="Z56" s="563">
        <v>1350</v>
      </c>
      <c r="AA56" s="563">
        <v>550</v>
      </c>
      <c r="AB56" s="563">
        <v>125</v>
      </c>
      <c r="AC56" s="563">
        <v>100</v>
      </c>
      <c r="AD56" s="563">
        <v>4</v>
      </c>
      <c r="AE56" s="563">
        <v>50</v>
      </c>
      <c r="AF56" s="563">
        <v>180</v>
      </c>
      <c r="AG56" s="850">
        <v>17500</v>
      </c>
      <c r="AH56" s="563"/>
      <c r="AI56" s="563"/>
      <c r="AJ56" s="96"/>
      <c r="AK56" s="96"/>
      <c r="AL56" s="576">
        <f t="shared" si="101"/>
        <v>1</v>
      </c>
      <c r="AM56" s="572">
        <f>SUM((U56/9))</f>
        <v>1.5555555555555556</v>
      </c>
      <c r="AN56" s="572">
        <f>SUM((V56/9))</f>
        <v>3.1111111111111112</v>
      </c>
      <c r="AO56" s="572"/>
      <c r="AP56" s="572"/>
      <c r="AQ56" s="572"/>
      <c r="AR56" s="572">
        <f>SUM((250/9))</f>
        <v>27.777777777777779</v>
      </c>
      <c r="AS56" s="572"/>
      <c r="AT56" s="572"/>
      <c r="AU56" s="572"/>
      <c r="AV56" s="572"/>
      <c r="AW56" s="583"/>
      <c r="AX56" s="572">
        <f t="shared" si="250"/>
        <v>1944.4444444444443</v>
      </c>
      <c r="AY56" s="572"/>
      <c r="AZ56" s="572"/>
      <c r="BA56" s="96"/>
      <c r="BB56" s="576"/>
      <c r="BC56" s="572">
        <f t="shared" si="251"/>
        <v>1.4000000000000001</v>
      </c>
      <c r="BD56" s="572">
        <f t="shared" si="252"/>
        <v>2.8000000000000003</v>
      </c>
      <c r="BE56" s="572">
        <f t="shared" si="253"/>
        <v>0</v>
      </c>
      <c r="BF56" s="572">
        <f t="shared" si="254"/>
        <v>0</v>
      </c>
      <c r="BG56" s="572">
        <f t="shared" si="255"/>
        <v>0</v>
      </c>
      <c r="BH56" s="572">
        <f t="shared" si="256"/>
        <v>25</v>
      </c>
      <c r="BI56" s="572">
        <f t="shared" si="257"/>
        <v>0</v>
      </c>
      <c r="BJ56" s="572">
        <f t="shared" si="258"/>
        <v>0</v>
      </c>
      <c r="BK56" s="572">
        <f t="shared" si="259"/>
        <v>0</v>
      </c>
      <c r="BL56" s="572">
        <f t="shared" si="260"/>
        <v>0</v>
      </c>
      <c r="BM56" s="583">
        <f t="shared" si="261"/>
        <v>0</v>
      </c>
      <c r="BN56" s="572">
        <f t="shared" si="262"/>
        <v>1750</v>
      </c>
      <c r="BO56" s="96"/>
      <c r="BP56" s="576"/>
      <c r="BQ56" s="572">
        <f t="shared" si="263"/>
        <v>1.2600000000000002</v>
      </c>
      <c r="BR56" s="572">
        <f t="shared" si="264"/>
        <v>2.5200000000000005</v>
      </c>
      <c r="BS56" s="572">
        <f t="shared" si="265"/>
        <v>0</v>
      </c>
      <c r="BT56" s="572">
        <f t="shared" si="266"/>
        <v>0</v>
      </c>
      <c r="BU56" s="572">
        <f t="shared" si="267"/>
        <v>0</v>
      </c>
      <c r="BV56" s="572">
        <f t="shared" si="268"/>
        <v>22.5</v>
      </c>
      <c r="BW56" s="572">
        <f t="shared" si="269"/>
        <v>0</v>
      </c>
      <c r="BX56" s="572">
        <f t="shared" si="270"/>
        <v>0</v>
      </c>
      <c r="BY56" s="572">
        <f t="shared" si="271"/>
        <v>0</v>
      </c>
      <c r="BZ56" s="572">
        <f t="shared" si="272"/>
        <v>0</v>
      </c>
      <c r="CA56" s="583">
        <f t="shared" si="273"/>
        <v>0</v>
      </c>
      <c r="CB56" s="572">
        <f t="shared" si="274"/>
        <v>1575</v>
      </c>
      <c r="CC56" s="96"/>
      <c r="CD56" s="576"/>
      <c r="CE56" s="572">
        <f t="shared" si="275"/>
        <v>1.1200000000000001</v>
      </c>
      <c r="CF56" s="572">
        <f t="shared" si="276"/>
        <v>2.2400000000000002</v>
      </c>
      <c r="CG56" s="572">
        <f t="shared" si="277"/>
        <v>0</v>
      </c>
      <c r="CH56" s="572">
        <f t="shared" si="278"/>
        <v>0</v>
      </c>
      <c r="CI56" s="572">
        <f t="shared" si="279"/>
        <v>0</v>
      </c>
      <c r="CJ56" s="572">
        <f t="shared" si="280"/>
        <v>20</v>
      </c>
      <c r="CK56" s="572">
        <f t="shared" si="281"/>
        <v>0</v>
      </c>
      <c r="CL56" s="572">
        <f t="shared" si="282"/>
        <v>0</v>
      </c>
      <c r="CM56" s="572">
        <f t="shared" si="283"/>
        <v>0</v>
      </c>
      <c r="CN56" s="572">
        <f t="shared" si="284"/>
        <v>0</v>
      </c>
      <c r="CO56" s="583">
        <f t="shared" si="285"/>
        <v>0</v>
      </c>
      <c r="CP56" s="572">
        <f t="shared" si="286"/>
        <v>1400</v>
      </c>
      <c r="CQ56" s="96"/>
      <c r="CR56" s="576"/>
      <c r="CS56" s="572">
        <f t="shared" si="287"/>
        <v>0.98</v>
      </c>
      <c r="CT56" s="572">
        <f t="shared" si="288"/>
        <v>1.96</v>
      </c>
      <c r="CU56" s="572">
        <f t="shared" si="289"/>
        <v>0</v>
      </c>
      <c r="CV56" s="572">
        <f t="shared" si="290"/>
        <v>0</v>
      </c>
      <c r="CW56" s="572">
        <f t="shared" si="291"/>
        <v>0</v>
      </c>
      <c r="CX56" s="572">
        <f t="shared" si="292"/>
        <v>17.5</v>
      </c>
      <c r="CY56" s="572">
        <f t="shared" si="293"/>
        <v>0</v>
      </c>
      <c r="CZ56" s="572">
        <f t="shared" si="294"/>
        <v>0</v>
      </c>
      <c r="DA56" s="572">
        <f t="shared" si="295"/>
        <v>0</v>
      </c>
      <c r="DB56" s="572">
        <f t="shared" si="296"/>
        <v>0</v>
      </c>
      <c r="DC56" s="583">
        <f t="shared" si="297"/>
        <v>0</v>
      </c>
      <c r="DD56" s="572">
        <f t="shared" si="298"/>
        <v>1225</v>
      </c>
      <c r="DE56" s="96"/>
      <c r="DF56" s="576"/>
      <c r="DG56" s="572">
        <f t="shared" si="299"/>
        <v>0.84000000000000008</v>
      </c>
      <c r="DH56" s="572">
        <f t="shared" si="300"/>
        <v>1.6800000000000002</v>
      </c>
      <c r="DI56" s="572">
        <f t="shared" si="301"/>
        <v>0</v>
      </c>
      <c r="DJ56" s="572">
        <f t="shared" si="302"/>
        <v>0</v>
      </c>
      <c r="DK56" s="572">
        <f t="shared" si="303"/>
        <v>0</v>
      </c>
      <c r="DL56" s="572">
        <f t="shared" si="304"/>
        <v>15</v>
      </c>
      <c r="DM56" s="572">
        <f t="shared" si="305"/>
        <v>0</v>
      </c>
      <c r="DN56" s="572">
        <f t="shared" si="306"/>
        <v>0</v>
      </c>
      <c r="DO56" s="572">
        <f t="shared" si="307"/>
        <v>0</v>
      </c>
      <c r="DP56" s="572">
        <f t="shared" si="308"/>
        <v>0</v>
      </c>
      <c r="DQ56" s="577">
        <f t="shared" si="309"/>
        <v>0</v>
      </c>
      <c r="DR56" s="96">
        <f t="shared" si="310"/>
        <v>1050</v>
      </c>
      <c r="DS56" s="96"/>
      <c r="DT56" s="96" t="e">
        <f t="shared" si="311"/>
        <v>#VALUE!</v>
      </c>
      <c r="DU56" s="96" t="e">
        <f t="shared" si="312"/>
        <v>#VALUE!</v>
      </c>
      <c r="DV56" s="96" t="e">
        <f t="shared" si="313"/>
        <v>#VALUE!</v>
      </c>
      <c r="DW56" s="96" t="e">
        <f t="shared" si="314"/>
        <v>#VALUE!</v>
      </c>
      <c r="DX56" s="96" t="e">
        <f t="shared" si="315"/>
        <v>#VALUE!</v>
      </c>
      <c r="DY56" s="96" t="e">
        <f t="shared" si="316"/>
        <v>#VALUE!</v>
      </c>
      <c r="DZ56" s="96" t="e">
        <f t="shared" si="317"/>
        <v>#VALUE!</v>
      </c>
      <c r="EA56" s="96" t="e">
        <f t="shared" si="318"/>
        <v>#VALUE!</v>
      </c>
      <c r="EB56" s="96" t="e">
        <f t="shared" si="319"/>
        <v>#VALUE!</v>
      </c>
      <c r="EC56" s="96" t="e">
        <f t="shared" si="320"/>
        <v>#VALUE!</v>
      </c>
      <c r="ED56" s="96" t="e">
        <f t="shared" si="321"/>
        <v>#VALUE!</v>
      </c>
      <c r="EE56" s="96" t="e">
        <f t="shared" si="322"/>
        <v>#VALUE!</v>
      </c>
    </row>
    <row r="57" spans="2:135">
      <c r="C57" s="1752">
        <v>313</v>
      </c>
      <c r="D57" s="1117" t="s">
        <v>103</v>
      </c>
      <c r="E57" s="325">
        <f t="shared" si="235"/>
        <v>15.56</v>
      </c>
      <c r="F57" s="325">
        <f t="shared" si="236"/>
        <v>31.12</v>
      </c>
      <c r="G57" s="325">
        <f t="shared" si="237"/>
        <v>50</v>
      </c>
      <c r="H57" s="326">
        <f t="shared" si="323"/>
        <v>7.5</v>
      </c>
      <c r="I57" s="325">
        <f t="shared" si="238"/>
        <v>0</v>
      </c>
      <c r="J57" s="325">
        <f t="shared" si="239"/>
        <v>1350</v>
      </c>
      <c r="K57" s="325">
        <f t="shared" si="240"/>
        <v>577.78</v>
      </c>
      <c r="L57" s="325">
        <f t="shared" si="241"/>
        <v>125</v>
      </c>
      <c r="M57" s="325">
        <f t="shared" si="242"/>
        <v>100</v>
      </c>
      <c r="N57" s="325">
        <f t="shared" si="243"/>
        <v>4</v>
      </c>
      <c r="O57" s="325">
        <f t="shared" si="244"/>
        <v>50</v>
      </c>
      <c r="P57" s="325">
        <f t="shared" si="245"/>
        <v>180</v>
      </c>
      <c r="Q57" s="1643">
        <f t="shared" si="246"/>
        <v>19444.45</v>
      </c>
      <c r="R57" s="1643">
        <f t="shared" si="324"/>
        <v>0</v>
      </c>
      <c r="S57" s="1643">
        <f t="shared" si="325"/>
        <v>0</v>
      </c>
      <c r="T57" s="190"/>
      <c r="U57" s="568">
        <v>14</v>
      </c>
      <c r="V57" s="563">
        <v>28</v>
      </c>
      <c r="W57" s="563">
        <v>50</v>
      </c>
      <c r="X57" s="563">
        <v>7.5</v>
      </c>
      <c r="Y57" s="563">
        <v>0</v>
      </c>
      <c r="Z57" s="563">
        <v>1350</v>
      </c>
      <c r="AA57" s="563">
        <v>550</v>
      </c>
      <c r="AB57" s="563">
        <v>125</v>
      </c>
      <c r="AC57" s="563">
        <v>100</v>
      </c>
      <c r="AD57" s="563">
        <v>4</v>
      </c>
      <c r="AE57" s="563">
        <v>50</v>
      </c>
      <c r="AF57" s="563">
        <v>180</v>
      </c>
      <c r="AG57" s="850">
        <v>17500</v>
      </c>
      <c r="AH57" s="563"/>
      <c r="AI57" s="563"/>
      <c r="AJ57" s="96"/>
      <c r="AK57" s="96"/>
      <c r="AL57" s="576">
        <f t="shared" si="101"/>
        <v>1</v>
      </c>
      <c r="AM57" s="572">
        <f>SUM((U57/9))</f>
        <v>1.5555555555555556</v>
      </c>
      <c r="AN57" s="572">
        <f>SUM((V57/9))</f>
        <v>3.1111111111111112</v>
      </c>
      <c r="AO57" s="572"/>
      <c r="AP57" s="572"/>
      <c r="AQ57" s="572"/>
      <c r="AR57" s="572">
        <f>SUM((250/9))</f>
        <v>27.777777777777779</v>
      </c>
      <c r="AS57" s="572"/>
      <c r="AT57" s="572"/>
      <c r="AU57" s="572"/>
      <c r="AV57" s="572"/>
      <c r="AW57" s="583"/>
      <c r="AX57" s="572">
        <f t="shared" si="250"/>
        <v>1944.4444444444443</v>
      </c>
      <c r="AY57" s="572"/>
      <c r="AZ57" s="572"/>
      <c r="BA57" s="96"/>
      <c r="BB57" s="576"/>
      <c r="BC57" s="572">
        <f t="shared" si="251"/>
        <v>1.4000000000000001</v>
      </c>
      <c r="BD57" s="572">
        <f t="shared" si="252"/>
        <v>2.8000000000000003</v>
      </c>
      <c r="BE57" s="572">
        <f t="shared" si="253"/>
        <v>0</v>
      </c>
      <c r="BF57" s="572">
        <f t="shared" si="254"/>
        <v>0</v>
      </c>
      <c r="BG57" s="572">
        <f t="shared" si="255"/>
        <v>0</v>
      </c>
      <c r="BH57" s="572">
        <f t="shared" si="256"/>
        <v>25</v>
      </c>
      <c r="BI57" s="572">
        <f t="shared" si="257"/>
        <v>0</v>
      </c>
      <c r="BJ57" s="572">
        <f t="shared" si="258"/>
        <v>0</v>
      </c>
      <c r="BK57" s="572">
        <f t="shared" si="259"/>
        <v>0</v>
      </c>
      <c r="BL57" s="572">
        <f t="shared" si="260"/>
        <v>0</v>
      </c>
      <c r="BM57" s="583">
        <f t="shared" si="261"/>
        <v>0</v>
      </c>
      <c r="BN57" s="572">
        <f t="shared" si="262"/>
        <v>1750</v>
      </c>
      <c r="BO57" s="96"/>
      <c r="BP57" s="576"/>
      <c r="BQ57" s="572">
        <f t="shared" si="263"/>
        <v>1.2600000000000002</v>
      </c>
      <c r="BR57" s="572">
        <f t="shared" si="264"/>
        <v>2.5200000000000005</v>
      </c>
      <c r="BS57" s="572">
        <f t="shared" si="265"/>
        <v>0</v>
      </c>
      <c r="BT57" s="572">
        <f t="shared" si="266"/>
        <v>0</v>
      </c>
      <c r="BU57" s="572">
        <f t="shared" si="267"/>
        <v>0</v>
      </c>
      <c r="BV57" s="572">
        <f t="shared" si="268"/>
        <v>22.5</v>
      </c>
      <c r="BW57" s="572">
        <f t="shared" si="269"/>
        <v>0</v>
      </c>
      <c r="BX57" s="572">
        <f t="shared" si="270"/>
        <v>0</v>
      </c>
      <c r="BY57" s="572">
        <f t="shared" si="271"/>
        <v>0</v>
      </c>
      <c r="BZ57" s="572">
        <f t="shared" si="272"/>
        <v>0</v>
      </c>
      <c r="CA57" s="583">
        <f t="shared" si="273"/>
        <v>0</v>
      </c>
      <c r="CB57" s="572">
        <f t="shared" si="274"/>
        <v>1575</v>
      </c>
      <c r="CC57" s="96"/>
      <c r="CD57" s="576"/>
      <c r="CE57" s="572">
        <f t="shared" si="275"/>
        <v>1.1200000000000001</v>
      </c>
      <c r="CF57" s="572">
        <f t="shared" si="276"/>
        <v>2.2400000000000002</v>
      </c>
      <c r="CG57" s="572">
        <f t="shared" si="277"/>
        <v>0</v>
      </c>
      <c r="CH57" s="572">
        <f t="shared" si="278"/>
        <v>0</v>
      </c>
      <c r="CI57" s="572">
        <f t="shared" si="279"/>
        <v>0</v>
      </c>
      <c r="CJ57" s="572">
        <f t="shared" si="280"/>
        <v>20</v>
      </c>
      <c r="CK57" s="572">
        <f t="shared" si="281"/>
        <v>0</v>
      </c>
      <c r="CL57" s="572">
        <f t="shared" si="282"/>
        <v>0</v>
      </c>
      <c r="CM57" s="572">
        <f t="shared" si="283"/>
        <v>0</v>
      </c>
      <c r="CN57" s="572">
        <f t="shared" si="284"/>
        <v>0</v>
      </c>
      <c r="CO57" s="583">
        <f t="shared" si="285"/>
        <v>0</v>
      </c>
      <c r="CP57" s="572">
        <f t="shared" si="286"/>
        <v>1400</v>
      </c>
      <c r="CQ57" s="96"/>
      <c r="CR57" s="576"/>
      <c r="CS57" s="572">
        <f t="shared" si="287"/>
        <v>0.98</v>
      </c>
      <c r="CT57" s="572">
        <f t="shared" si="288"/>
        <v>1.96</v>
      </c>
      <c r="CU57" s="572">
        <f t="shared" si="289"/>
        <v>0</v>
      </c>
      <c r="CV57" s="572">
        <f t="shared" si="290"/>
        <v>0</v>
      </c>
      <c r="CW57" s="572">
        <f t="shared" si="291"/>
        <v>0</v>
      </c>
      <c r="CX57" s="572">
        <f t="shared" si="292"/>
        <v>17.5</v>
      </c>
      <c r="CY57" s="572">
        <f t="shared" si="293"/>
        <v>0</v>
      </c>
      <c r="CZ57" s="572">
        <f t="shared" si="294"/>
        <v>0</v>
      </c>
      <c r="DA57" s="572">
        <f t="shared" si="295"/>
        <v>0</v>
      </c>
      <c r="DB57" s="572">
        <f t="shared" si="296"/>
        <v>0</v>
      </c>
      <c r="DC57" s="583">
        <f t="shared" si="297"/>
        <v>0</v>
      </c>
      <c r="DD57" s="572">
        <f t="shared" si="298"/>
        <v>1225</v>
      </c>
      <c r="DE57" s="96"/>
      <c r="DF57" s="576"/>
      <c r="DG57" s="572">
        <f t="shared" si="299"/>
        <v>0.84000000000000008</v>
      </c>
      <c r="DH57" s="572">
        <f t="shared" si="300"/>
        <v>1.6800000000000002</v>
      </c>
      <c r="DI57" s="572">
        <f t="shared" si="301"/>
        <v>0</v>
      </c>
      <c r="DJ57" s="572">
        <f t="shared" si="302"/>
        <v>0</v>
      </c>
      <c r="DK57" s="572">
        <f t="shared" si="303"/>
        <v>0</v>
      </c>
      <c r="DL57" s="572">
        <f t="shared" si="304"/>
        <v>15</v>
      </c>
      <c r="DM57" s="572">
        <f t="shared" si="305"/>
        <v>0</v>
      </c>
      <c r="DN57" s="572">
        <f t="shared" si="306"/>
        <v>0</v>
      </c>
      <c r="DO57" s="572">
        <f t="shared" si="307"/>
        <v>0</v>
      </c>
      <c r="DP57" s="572">
        <f t="shared" si="308"/>
        <v>0</v>
      </c>
      <c r="DQ57" s="577">
        <f t="shared" si="309"/>
        <v>0</v>
      </c>
      <c r="DR57" s="96">
        <f t="shared" si="310"/>
        <v>1050</v>
      </c>
      <c r="DS57" s="96"/>
      <c r="DT57" s="96" t="e">
        <f t="shared" si="311"/>
        <v>#VALUE!</v>
      </c>
      <c r="DU57" s="96" t="e">
        <f t="shared" si="312"/>
        <v>#VALUE!</v>
      </c>
      <c r="DV57" s="96" t="e">
        <f t="shared" si="313"/>
        <v>#VALUE!</v>
      </c>
      <c r="DW57" s="96" t="e">
        <f t="shared" si="314"/>
        <v>#VALUE!</v>
      </c>
      <c r="DX57" s="96" t="e">
        <f t="shared" si="315"/>
        <v>#VALUE!</v>
      </c>
      <c r="DY57" s="96" t="e">
        <f t="shared" si="316"/>
        <v>#VALUE!</v>
      </c>
      <c r="DZ57" s="96" t="e">
        <f t="shared" si="317"/>
        <v>#VALUE!</v>
      </c>
      <c r="EA57" s="96" t="e">
        <f t="shared" si="318"/>
        <v>#VALUE!</v>
      </c>
      <c r="EB57" s="96" t="e">
        <f t="shared" si="319"/>
        <v>#VALUE!</v>
      </c>
      <c r="EC57" s="96" t="e">
        <f t="shared" si="320"/>
        <v>#VALUE!</v>
      </c>
      <c r="ED57" s="96" t="e">
        <f t="shared" si="321"/>
        <v>#VALUE!</v>
      </c>
      <c r="EE57" s="96" t="e">
        <f t="shared" si="322"/>
        <v>#VALUE!</v>
      </c>
    </row>
    <row r="58" spans="2:135">
      <c r="C58" s="1752">
        <v>314</v>
      </c>
      <c r="D58" s="1117" t="s">
        <v>104</v>
      </c>
      <c r="E58" s="325">
        <f t="shared" si="235"/>
        <v>55</v>
      </c>
      <c r="F58" s="325">
        <f t="shared" si="236"/>
        <v>150</v>
      </c>
      <c r="G58" s="325">
        <f t="shared" si="237"/>
        <v>35</v>
      </c>
      <c r="H58" s="326">
        <f t="shared" si="323"/>
        <v>0</v>
      </c>
      <c r="I58" s="325">
        <f t="shared" si="238"/>
        <v>200</v>
      </c>
      <c r="J58" s="325">
        <f t="shared" si="239"/>
        <v>1844.45</v>
      </c>
      <c r="K58" s="325"/>
      <c r="L58" s="325"/>
      <c r="M58" s="325">
        <f t="shared" si="242"/>
        <v>100</v>
      </c>
      <c r="N58" s="325">
        <f t="shared" si="243"/>
        <v>14.16</v>
      </c>
      <c r="O58" s="325">
        <f t="shared" si="244"/>
        <v>94.44</v>
      </c>
      <c r="P58" s="325">
        <f t="shared" si="245"/>
        <v>180</v>
      </c>
      <c r="Q58" s="1643">
        <f t="shared" si="246"/>
        <v>19444.45</v>
      </c>
      <c r="R58" s="1643">
        <f t="shared" si="324"/>
        <v>0</v>
      </c>
      <c r="S58" s="1643">
        <f t="shared" si="325"/>
        <v>0</v>
      </c>
      <c r="T58" s="190"/>
      <c r="U58" s="568">
        <v>55</v>
      </c>
      <c r="V58" s="563">
        <v>150</v>
      </c>
      <c r="W58" s="563">
        <v>35</v>
      </c>
      <c r="X58" s="563">
        <v>0</v>
      </c>
      <c r="Y58" s="563">
        <v>200</v>
      </c>
      <c r="Z58" s="563">
        <v>1800</v>
      </c>
      <c r="AA58" s="563" t="s">
        <v>93</v>
      </c>
      <c r="AB58" s="563" t="s">
        <v>93</v>
      </c>
      <c r="AC58" s="563">
        <v>100</v>
      </c>
      <c r="AD58" s="563">
        <v>15</v>
      </c>
      <c r="AE58" s="563">
        <v>100</v>
      </c>
      <c r="AF58" s="563">
        <v>180</v>
      </c>
      <c r="AG58" s="850">
        <v>17500</v>
      </c>
      <c r="AH58" s="563"/>
      <c r="AI58" s="563"/>
      <c r="AJ58" s="96"/>
      <c r="AK58" s="96"/>
      <c r="AL58" s="576">
        <f t="shared" si="101"/>
        <v>1</v>
      </c>
      <c r="AM58" s="572"/>
      <c r="AN58" s="572"/>
      <c r="AO58" s="572"/>
      <c r="AP58" s="572"/>
      <c r="AQ58" s="572">
        <f>SUM((400/9))</f>
        <v>44.444444444444443</v>
      </c>
      <c r="AR58" s="572"/>
      <c r="AS58" s="572"/>
      <c r="AT58" s="572"/>
      <c r="AU58" s="572">
        <f>SUM((-AD58/18))</f>
        <v>-0.83333333333333337</v>
      </c>
      <c r="AV58" s="572">
        <f>SUM((-AE58/18))</f>
        <v>-5.5555555555555554</v>
      </c>
      <c r="AW58" s="583"/>
      <c r="AX58" s="572">
        <f t="shared" si="250"/>
        <v>1944.4444444444443</v>
      </c>
      <c r="AY58" s="572"/>
      <c r="AZ58" s="572"/>
      <c r="BA58" s="96"/>
      <c r="BB58" s="590">
        <v>2.33</v>
      </c>
      <c r="BC58" s="572">
        <f t="shared" ref="BC58:BJ62" si="327">SUM(((AM58*0.9)*1))</f>
        <v>0</v>
      </c>
      <c r="BD58" s="572">
        <f t="shared" si="327"/>
        <v>0</v>
      </c>
      <c r="BE58" s="572">
        <f t="shared" si="327"/>
        <v>0</v>
      </c>
      <c r="BF58" s="572">
        <f t="shared" si="327"/>
        <v>0</v>
      </c>
      <c r="BG58" s="572">
        <f t="shared" si="327"/>
        <v>40</v>
      </c>
      <c r="BH58" s="572">
        <f t="shared" si="327"/>
        <v>0</v>
      </c>
      <c r="BI58" s="572">
        <f t="shared" si="327"/>
        <v>0</v>
      </c>
      <c r="BJ58" s="572">
        <f t="shared" si="327"/>
        <v>0</v>
      </c>
      <c r="BK58" s="586">
        <f>SUM(ROUND((AU58/BB58),2))</f>
        <v>-0.36</v>
      </c>
      <c r="BL58" s="586">
        <f>SUM(ROUND((AV58/BB58),2))</f>
        <v>-2.38</v>
      </c>
      <c r="BM58" s="583">
        <f t="shared" ref="BM58:BN62" si="328">SUM(((AW58*0.9)*1))</f>
        <v>0</v>
      </c>
      <c r="BN58" s="572">
        <f t="shared" si="328"/>
        <v>1750</v>
      </c>
      <c r="BO58" s="96"/>
      <c r="BP58" s="590">
        <v>2.84</v>
      </c>
      <c r="BQ58" s="572">
        <f t="shared" ref="BQ58:BX62" si="329">SUM(((AM58*0.9)*0.9))</f>
        <v>0</v>
      </c>
      <c r="BR58" s="572">
        <f t="shared" si="329"/>
        <v>0</v>
      </c>
      <c r="BS58" s="572">
        <f t="shared" si="329"/>
        <v>0</v>
      </c>
      <c r="BT58" s="572">
        <f t="shared" si="329"/>
        <v>0</v>
      </c>
      <c r="BU58" s="572">
        <f t="shared" si="329"/>
        <v>36</v>
      </c>
      <c r="BV58" s="572">
        <f t="shared" si="329"/>
        <v>0</v>
      </c>
      <c r="BW58" s="572">
        <f t="shared" si="329"/>
        <v>0</v>
      </c>
      <c r="BX58" s="572">
        <f t="shared" si="329"/>
        <v>0</v>
      </c>
      <c r="BY58" s="586">
        <f>SUM(ROUND((AU58/BP58),2))</f>
        <v>-0.28999999999999998</v>
      </c>
      <c r="BZ58" s="586">
        <f>SUM(ROUND((AV58/BP58),2))</f>
        <v>-1.96</v>
      </c>
      <c r="CA58" s="583">
        <f t="shared" ref="CA58:CB62" si="330">SUM(((AW58*0.9)*0.9))</f>
        <v>0</v>
      </c>
      <c r="CB58" s="572">
        <f t="shared" si="330"/>
        <v>1575</v>
      </c>
      <c r="CC58" s="96"/>
      <c r="CD58" s="590">
        <v>3.45</v>
      </c>
      <c r="CE58" s="572">
        <f t="shared" ref="CE58:CL62" si="331">SUM(((AM58*0.9)*0.8))</f>
        <v>0</v>
      </c>
      <c r="CF58" s="572">
        <f t="shared" si="331"/>
        <v>0</v>
      </c>
      <c r="CG58" s="572">
        <f t="shared" si="331"/>
        <v>0</v>
      </c>
      <c r="CH58" s="572">
        <f t="shared" si="331"/>
        <v>0</v>
      </c>
      <c r="CI58" s="572">
        <f t="shared" si="331"/>
        <v>32</v>
      </c>
      <c r="CJ58" s="572">
        <f t="shared" si="331"/>
        <v>0</v>
      </c>
      <c r="CK58" s="572">
        <f t="shared" si="331"/>
        <v>0</v>
      </c>
      <c r="CL58" s="572">
        <f t="shared" si="331"/>
        <v>0</v>
      </c>
      <c r="CM58" s="586">
        <f>SUM(ROUND((AU58/CD58),2))</f>
        <v>-0.24</v>
      </c>
      <c r="CN58" s="586">
        <f>SUM(ROUND((AV58/CD58),2))</f>
        <v>-1.61</v>
      </c>
      <c r="CO58" s="583">
        <f t="shared" ref="CO58:CP62" si="332">SUM(((AW58*0.9)*0.8))</f>
        <v>0</v>
      </c>
      <c r="CP58" s="572">
        <f t="shared" si="332"/>
        <v>1400</v>
      </c>
      <c r="CQ58" s="96"/>
      <c r="CR58" s="590">
        <v>4.2300000000000004</v>
      </c>
      <c r="CS58" s="572">
        <f t="shared" ref="CS58:CZ62" si="333">SUM(((AM58*0.9)*0.7))</f>
        <v>0</v>
      </c>
      <c r="CT58" s="572">
        <f t="shared" si="333"/>
        <v>0</v>
      </c>
      <c r="CU58" s="572">
        <f t="shared" si="333"/>
        <v>0</v>
      </c>
      <c r="CV58" s="572">
        <f t="shared" si="333"/>
        <v>0</v>
      </c>
      <c r="CW58" s="572">
        <f t="shared" si="333"/>
        <v>28</v>
      </c>
      <c r="CX58" s="572">
        <f t="shared" si="333"/>
        <v>0</v>
      </c>
      <c r="CY58" s="572">
        <f t="shared" si="333"/>
        <v>0</v>
      </c>
      <c r="CZ58" s="572">
        <f t="shared" si="333"/>
        <v>0</v>
      </c>
      <c r="DA58" s="586">
        <f>SUM(ROUND((AU58/CR58),2))</f>
        <v>-0.2</v>
      </c>
      <c r="DB58" s="586">
        <f>SUM(ROUND((AV58/CR58),2))</f>
        <v>-1.31</v>
      </c>
      <c r="DC58" s="583">
        <f t="shared" ref="DC58:DD62" si="334">SUM(((AW58*0.9)*0.7))</f>
        <v>0</v>
      </c>
      <c r="DD58" s="572">
        <f t="shared" si="334"/>
        <v>1225</v>
      </c>
      <c r="DE58" s="96"/>
      <c r="DF58" s="590">
        <v>5.2</v>
      </c>
      <c r="DG58" s="572">
        <f t="shared" ref="DG58:DN62" si="335">SUM(((AM58*0.9)*0.6))</f>
        <v>0</v>
      </c>
      <c r="DH58" s="572">
        <f t="shared" si="335"/>
        <v>0</v>
      </c>
      <c r="DI58" s="572">
        <f t="shared" si="335"/>
        <v>0</v>
      </c>
      <c r="DJ58" s="572">
        <f t="shared" si="335"/>
        <v>0</v>
      </c>
      <c r="DK58" s="572">
        <f t="shared" si="335"/>
        <v>24</v>
      </c>
      <c r="DL58" s="572">
        <f t="shared" si="335"/>
        <v>0</v>
      </c>
      <c r="DM58" s="572">
        <f t="shared" si="335"/>
        <v>0</v>
      </c>
      <c r="DN58" s="572">
        <f t="shared" si="335"/>
        <v>0</v>
      </c>
      <c r="DO58" s="586">
        <f>SUM(ROUND((AU58/DF58),2))</f>
        <v>-0.16</v>
      </c>
      <c r="DP58" s="586">
        <f>SUM(ROUND((AV58/DF58),2))</f>
        <v>-1.07</v>
      </c>
      <c r="DQ58" s="577">
        <f t="shared" ref="DQ58:DR62" si="336">SUM(((AW58*0.9)*0.6))</f>
        <v>0</v>
      </c>
      <c r="DR58" s="96">
        <f t="shared" si="336"/>
        <v>1050</v>
      </c>
      <c r="DS58" s="96"/>
      <c r="DT58" s="96" t="e">
        <f t="shared" si="311"/>
        <v>#VALUE!</v>
      </c>
      <c r="DU58" s="96" t="e">
        <f t="shared" si="312"/>
        <v>#VALUE!</v>
      </c>
      <c r="DV58" s="96" t="e">
        <f t="shared" si="313"/>
        <v>#VALUE!</v>
      </c>
      <c r="DW58" s="96" t="e">
        <f t="shared" si="314"/>
        <v>#VALUE!</v>
      </c>
      <c r="DX58" s="96" t="e">
        <f t="shared" si="315"/>
        <v>#VALUE!</v>
      </c>
      <c r="DY58" s="96" t="e">
        <f t="shared" si="316"/>
        <v>#VALUE!</v>
      </c>
      <c r="DZ58" s="96" t="e">
        <f t="shared" si="317"/>
        <v>#VALUE!</v>
      </c>
      <c r="EA58" s="96" t="e">
        <f t="shared" si="318"/>
        <v>#VALUE!</v>
      </c>
      <c r="EB58" s="96" t="e">
        <f t="shared" si="319"/>
        <v>#VALUE!</v>
      </c>
      <c r="EC58" s="96" t="e">
        <f t="shared" si="320"/>
        <v>#VALUE!</v>
      </c>
      <c r="ED58" s="96" t="e">
        <f t="shared" si="321"/>
        <v>#VALUE!</v>
      </c>
      <c r="EE58" s="96" t="e">
        <f t="shared" si="322"/>
        <v>#VALUE!</v>
      </c>
    </row>
    <row r="59" spans="2:135">
      <c r="C59" s="1752">
        <v>315</v>
      </c>
      <c r="D59" s="1117" t="s">
        <v>105</v>
      </c>
      <c r="E59" s="325">
        <f t="shared" si="235"/>
        <v>55</v>
      </c>
      <c r="F59" s="325">
        <f t="shared" si="236"/>
        <v>150</v>
      </c>
      <c r="G59" s="325">
        <f t="shared" si="237"/>
        <v>35</v>
      </c>
      <c r="H59" s="326">
        <f t="shared" si="323"/>
        <v>0</v>
      </c>
      <c r="I59" s="325">
        <f t="shared" si="238"/>
        <v>200</v>
      </c>
      <c r="J59" s="325">
        <f t="shared" si="239"/>
        <v>1800</v>
      </c>
      <c r="K59" s="325"/>
      <c r="L59" s="325"/>
      <c r="M59" s="325">
        <f t="shared" si="242"/>
        <v>105.56</v>
      </c>
      <c r="N59" s="325">
        <f t="shared" si="243"/>
        <v>14.16</v>
      </c>
      <c r="O59" s="325">
        <f t="shared" si="244"/>
        <v>94.44</v>
      </c>
      <c r="P59" s="325">
        <f t="shared" si="245"/>
        <v>180</v>
      </c>
      <c r="Q59" s="1643">
        <f t="shared" si="246"/>
        <v>19444.45</v>
      </c>
      <c r="R59" s="1643">
        <f t="shared" si="324"/>
        <v>0</v>
      </c>
      <c r="S59" s="1643">
        <f t="shared" si="325"/>
        <v>0</v>
      </c>
      <c r="T59" s="190"/>
      <c r="U59" s="568">
        <v>55</v>
      </c>
      <c r="V59" s="563">
        <v>150</v>
      </c>
      <c r="W59" s="563">
        <v>35</v>
      </c>
      <c r="X59" s="563">
        <v>0</v>
      </c>
      <c r="Y59" s="563">
        <v>200</v>
      </c>
      <c r="Z59" s="563">
        <v>1800</v>
      </c>
      <c r="AA59" s="563" t="s">
        <v>93</v>
      </c>
      <c r="AB59" s="563" t="s">
        <v>93</v>
      </c>
      <c r="AC59" s="563">
        <v>100</v>
      </c>
      <c r="AD59" s="563">
        <v>15</v>
      </c>
      <c r="AE59" s="563">
        <v>100</v>
      </c>
      <c r="AF59" s="563">
        <v>180</v>
      </c>
      <c r="AG59" s="850">
        <v>17500</v>
      </c>
      <c r="AH59" s="563"/>
      <c r="AI59" s="563"/>
      <c r="AJ59" s="96"/>
      <c r="AK59" s="96"/>
      <c r="AL59" s="576">
        <f t="shared" si="101"/>
        <v>1</v>
      </c>
      <c r="AM59" s="572"/>
      <c r="AN59" s="572"/>
      <c r="AO59" s="572"/>
      <c r="AP59" s="572"/>
      <c r="AQ59" s="572"/>
      <c r="AR59" s="572"/>
      <c r="AS59" s="572"/>
      <c r="AT59" s="572">
        <f>SUM((AC59/18))</f>
        <v>5.5555555555555554</v>
      </c>
      <c r="AU59" s="572">
        <f>SUM((-AD59/18))</f>
        <v>-0.83333333333333337</v>
      </c>
      <c r="AV59" s="572">
        <f>SUM((-AE59/18))</f>
        <v>-5.5555555555555554</v>
      </c>
      <c r="AW59" s="583"/>
      <c r="AX59" s="572">
        <f t="shared" si="250"/>
        <v>1944.4444444444443</v>
      </c>
      <c r="AY59" s="572"/>
      <c r="AZ59" s="572"/>
      <c r="BA59" s="96"/>
      <c r="BB59" s="590">
        <v>2.33</v>
      </c>
      <c r="BC59" s="572">
        <f t="shared" si="327"/>
        <v>0</v>
      </c>
      <c r="BD59" s="572">
        <f t="shared" si="327"/>
        <v>0</v>
      </c>
      <c r="BE59" s="572">
        <f t="shared" si="327"/>
        <v>0</v>
      </c>
      <c r="BF59" s="572">
        <f t="shared" si="327"/>
        <v>0</v>
      </c>
      <c r="BG59" s="572">
        <f t="shared" si="327"/>
        <v>0</v>
      </c>
      <c r="BH59" s="572">
        <f t="shared" si="327"/>
        <v>0</v>
      </c>
      <c r="BI59" s="572">
        <f t="shared" si="327"/>
        <v>0</v>
      </c>
      <c r="BJ59" s="572">
        <f t="shared" si="327"/>
        <v>5</v>
      </c>
      <c r="BK59" s="586">
        <f>SUM(ROUND((AU59/BB59),2))</f>
        <v>-0.36</v>
      </c>
      <c r="BL59" s="586">
        <f>SUM(ROUND((AV59/BB59),2))</f>
        <v>-2.38</v>
      </c>
      <c r="BM59" s="583">
        <f t="shared" si="328"/>
        <v>0</v>
      </c>
      <c r="BN59" s="572">
        <f t="shared" si="328"/>
        <v>1750</v>
      </c>
      <c r="BO59" s="96"/>
      <c r="BP59" s="590">
        <v>2.84</v>
      </c>
      <c r="BQ59" s="572">
        <f t="shared" si="329"/>
        <v>0</v>
      </c>
      <c r="BR59" s="572">
        <f t="shared" si="329"/>
        <v>0</v>
      </c>
      <c r="BS59" s="572">
        <f t="shared" si="329"/>
        <v>0</v>
      </c>
      <c r="BT59" s="572">
        <f t="shared" si="329"/>
        <v>0</v>
      </c>
      <c r="BU59" s="572">
        <f t="shared" si="329"/>
        <v>0</v>
      </c>
      <c r="BV59" s="572">
        <f t="shared" si="329"/>
        <v>0</v>
      </c>
      <c r="BW59" s="572">
        <f t="shared" si="329"/>
        <v>0</v>
      </c>
      <c r="BX59" s="572">
        <f t="shared" si="329"/>
        <v>4.5</v>
      </c>
      <c r="BY59" s="586">
        <f>SUM(ROUND((AU59/BP59),2))</f>
        <v>-0.28999999999999998</v>
      </c>
      <c r="BZ59" s="586">
        <f>SUM(ROUND((AV59/BP59),2))</f>
        <v>-1.96</v>
      </c>
      <c r="CA59" s="583">
        <f t="shared" si="330"/>
        <v>0</v>
      </c>
      <c r="CB59" s="572">
        <f t="shared" si="330"/>
        <v>1575</v>
      </c>
      <c r="CC59" s="96"/>
      <c r="CD59" s="590">
        <v>3.45</v>
      </c>
      <c r="CE59" s="572">
        <f t="shared" si="331"/>
        <v>0</v>
      </c>
      <c r="CF59" s="572">
        <f t="shared" si="331"/>
        <v>0</v>
      </c>
      <c r="CG59" s="572">
        <f t="shared" si="331"/>
        <v>0</v>
      </c>
      <c r="CH59" s="572">
        <f t="shared" si="331"/>
        <v>0</v>
      </c>
      <c r="CI59" s="572">
        <f t="shared" si="331"/>
        <v>0</v>
      </c>
      <c r="CJ59" s="572">
        <f t="shared" si="331"/>
        <v>0</v>
      </c>
      <c r="CK59" s="572">
        <f t="shared" si="331"/>
        <v>0</v>
      </c>
      <c r="CL59" s="572">
        <f t="shared" si="331"/>
        <v>4</v>
      </c>
      <c r="CM59" s="586">
        <f>SUM(ROUND((AU59/CD59),2))</f>
        <v>-0.24</v>
      </c>
      <c r="CN59" s="586">
        <f>SUM(ROUND((AV59/CD59),2))</f>
        <v>-1.61</v>
      </c>
      <c r="CO59" s="583">
        <f t="shared" si="332"/>
        <v>0</v>
      </c>
      <c r="CP59" s="572">
        <f t="shared" si="332"/>
        <v>1400</v>
      </c>
      <c r="CQ59" s="96"/>
      <c r="CR59" s="590">
        <v>4.2300000000000004</v>
      </c>
      <c r="CS59" s="572">
        <f t="shared" si="333"/>
        <v>0</v>
      </c>
      <c r="CT59" s="572">
        <f t="shared" si="333"/>
        <v>0</v>
      </c>
      <c r="CU59" s="572">
        <f t="shared" si="333"/>
        <v>0</v>
      </c>
      <c r="CV59" s="572">
        <f t="shared" si="333"/>
        <v>0</v>
      </c>
      <c r="CW59" s="572">
        <f t="shared" si="333"/>
        <v>0</v>
      </c>
      <c r="CX59" s="572">
        <f t="shared" si="333"/>
        <v>0</v>
      </c>
      <c r="CY59" s="572">
        <f t="shared" si="333"/>
        <v>0</v>
      </c>
      <c r="CZ59" s="572">
        <f t="shared" si="333"/>
        <v>3.5</v>
      </c>
      <c r="DA59" s="586">
        <f>SUM(ROUND((AU59/CR59),2))</f>
        <v>-0.2</v>
      </c>
      <c r="DB59" s="586">
        <f>SUM(ROUND((AV59/CR59),2))</f>
        <v>-1.31</v>
      </c>
      <c r="DC59" s="583">
        <f t="shared" si="334"/>
        <v>0</v>
      </c>
      <c r="DD59" s="572">
        <f t="shared" si="334"/>
        <v>1225</v>
      </c>
      <c r="DE59" s="96"/>
      <c r="DF59" s="590">
        <v>5.2</v>
      </c>
      <c r="DG59" s="572">
        <f t="shared" si="335"/>
        <v>0</v>
      </c>
      <c r="DH59" s="572">
        <f t="shared" si="335"/>
        <v>0</v>
      </c>
      <c r="DI59" s="572">
        <f t="shared" si="335"/>
        <v>0</v>
      </c>
      <c r="DJ59" s="572">
        <f t="shared" si="335"/>
        <v>0</v>
      </c>
      <c r="DK59" s="572">
        <f t="shared" si="335"/>
        <v>0</v>
      </c>
      <c r="DL59" s="572">
        <f t="shared" si="335"/>
        <v>0</v>
      </c>
      <c r="DM59" s="572">
        <f t="shared" si="335"/>
        <v>0</v>
      </c>
      <c r="DN59" s="572">
        <f t="shared" si="335"/>
        <v>3</v>
      </c>
      <c r="DO59" s="586">
        <f>SUM(ROUND((AU59/DF59),2))</f>
        <v>-0.16</v>
      </c>
      <c r="DP59" s="586">
        <f>SUM(ROUND((AV59/DF59),2))</f>
        <v>-1.07</v>
      </c>
      <c r="DQ59" s="577">
        <f t="shared" si="336"/>
        <v>0</v>
      </c>
      <c r="DR59" s="96">
        <f t="shared" si="336"/>
        <v>1050</v>
      </c>
      <c r="DS59" s="96"/>
      <c r="DT59" s="96" t="e">
        <f t="shared" si="311"/>
        <v>#VALUE!</v>
      </c>
      <c r="DU59" s="96" t="e">
        <f t="shared" si="312"/>
        <v>#VALUE!</v>
      </c>
      <c r="DV59" s="96" t="e">
        <f t="shared" si="313"/>
        <v>#VALUE!</v>
      </c>
      <c r="DW59" s="96" t="e">
        <f t="shared" si="314"/>
        <v>#VALUE!</v>
      </c>
      <c r="DX59" s="96" t="e">
        <f t="shared" si="315"/>
        <v>#VALUE!</v>
      </c>
      <c r="DY59" s="96" t="e">
        <f t="shared" si="316"/>
        <v>#VALUE!</v>
      </c>
      <c r="DZ59" s="96" t="e">
        <f t="shared" si="317"/>
        <v>#VALUE!</v>
      </c>
      <c r="EA59" s="96" t="e">
        <f t="shared" si="318"/>
        <v>#VALUE!</v>
      </c>
      <c r="EB59" s="96" t="e">
        <f t="shared" si="319"/>
        <v>#VALUE!</v>
      </c>
      <c r="EC59" s="96" t="e">
        <f t="shared" si="320"/>
        <v>#VALUE!</v>
      </c>
      <c r="ED59" s="96" t="e">
        <f t="shared" si="321"/>
        <v>#VALUE!</v>
      </c>
      <c r="EE59" s="96" t="e">
        <f t="shared" si="322"/>
        <v>#VALUE!</v>
      </c>
    </row>
    <row r="60" spans="2:135">
      <c r="C60" s="1752">
        <v>316</v>
      </c>
      <c r="D60" s="1117" t="s">
        <v>106</v>
      </c>
      <c r="E60" s="325">
        <f t="shared" si="235"/>
        <v>55</v>
      </c>
      <c r="F60" s="325">
        <f t="shared" si="236"/>
        <v>150</v>
      </c>
      <c r="G60" s="325">
        <f t="shared" si="237"/>
        <v>35</v>
      </c>
      <c r="H60" s="326">
        <f t="shared" si="323"/>
        <v>0</v>
      </c>
      <c r="I60" s="325">
        <f t="shared" si="238"/>
        <v>200</v>
      </c>
      <c r="J60" s="325">
        <f t="shared" si="239"/>
        <v>2000</v>
      </c>
      <c r="K60" s="325"/>
      <c r="L60" s="325"/>
      <c r="M60" s="325">
        <f t="shared" si="242"/>
        <v>105.56</v>
      </c>
      <c r="N60" s="325">
        <f>IF((AL60&lt;10),SUM((AD60+(ROUNDDOWN((AL60*AU60),2)))),SUM((AD60+(ROUNDDOWN(((9*AU60)+EB60),2)))))</f>
        <v>17</v>
      </c>
      <c r="O60" s="325">
        <f t="shared" si="244"/>
        <v>94.44</v>
      </c>
      <c r="P60" s="325">
        <f t="shared" si="245"/>
        <v>180</v>
      </c>
      <c r="Q60" s="1643">
        <f t="shared" si="246"/>
        <v>19444.45</v>
      </c>
      <c r="R60" s="1643">
        <f t="shared" si="324"/>
        <v>0</v>
      </c>
      <c r="S60" s="1643">
        <f t="shared" si="325"/>
        <v>0</v>
      </c>
      <c r="T60" s="190"/>
      <c r="U60" s="568">
        <v>55</v>
      </c>
      <c r="V60" s="563">
        <v>150</v>
      </c>
      <c r="W60" s="563">
        <v>35</v>
      </c>
      <c r="X60" s="563">
        <v>0</v>
      </c>
      <c r="Y60" s="563">
        <v>200</v>
      </c>
      <c r="Z60" s="563">
        <v>2000</v>
      </c>
      <c r="AA60" s="563" t="s">
        <v>93</v>
      </c>
      <c r="AB60" s="563" t="s">
        <v>93</v>
      </c>
      <c r="AC60" s="563">
        <v>100</v>
      </c>
      <c r="AD60" s="563">
        <v>18</v>
      </c>
      <c r="AE60" s="563">
        <v>100</v>
      </c>
      <c r="AF60" s="563">
        <v>180</v>
      </c>
      <c r="AG60" s="850">
        <v>17500</v>
      </c>
      <c r="AH60" s="563"/>
      <c r="AI60" s="563"/>
      <c r="AJ60" s="96"/>
      <c r="AK60" s="96"/>
      <c r="AL60" s="576">
        <f t="shared" si="101"/>
        <v>1</v>
      </c>
      <c r="AM60" s="572"/>
      <c r="AN60" s="572"/>
      <c r="AO60" s="572"/>
      <c r="AP60" s="572"/>
      <c r="AQ60" s="572"/>
      <c r="AR60" s="572"/>
      <c r="AS60" s="572"/>
      <c r="AT60" s="572">
        <f>SUM((AC60/18))</f>
        <v>5.5555555555555554</v>
      </c>
      <c r="AU60" s="572">
        <f>SUM((-9/9))</f>
        <v>-1</v>
      </c>
      <c r="AV60" s="572">
        <f>SUM((-AE60/18))</f>
        <v>-5.5555555555555554</v>
      </c>
      <c r="AW60" s="583"/>
      <c r="AX60" s="572">
        <f t="shared" si="250"/>
        <v>1944.4444444444443</v>
      </c>
      <c r="AY60" s="572"/>
      <c r="AZ60" s="572"/>
      <c r="BA60" s="96"/>
      <c r="BB60" s="590">
        <v>2.33</v>
      </c>
      <c r="BC60" s="572">
        <f t="shared" si="327"/>
        <v>0</v>
      </c>
      <c r="BD60" s="572">
        <f t="shared" si="327"/>
        <v>0</v>
      </c>
      <c r="BE60" s="572">
        <f t="shared" si="327"/>
        <v>0</v>
      </c>
      <c r="BF60" s="572">
        <f t="shared" si="327"/>
        <v>0</v>
      </c>
      <c r="BG60" s="572">
        <f t="shared" si="327"/>
        <v>0</v>
      </c>
      <c r="BH60" s="572">
        <f t="shared" si="327"/>
        <v>0</v>
      </c>
      <c r="BI60" s="572">
        <f t="shared" si="327"/>
        <v>0</v>
      </c>
      <c r="BJ60" s="572">
        <f t="shared" si="327"/>
        <v>5</v>
      </c>
      <c r="BK60" s="586">
        <f>SUM(ROUND((AU59/BB60),2))</f>
        <v>-0.36</v>
      </c>
      <c r="BL60" s="586">
        <f>SUM(ROUND((AV60/BB60),2))</f>
        <v>-2.38</v>
      </c>
      <c r="BM60" s="583">
        <f t="shared" si="328"/>
        <v>0</v>
      </c>
      <c r="BN60" s="572">
        <f t="shared" si="328"/>
        <v>1750</v>
      </c>
      <c r="BO60" s="96"/>
      <c r="BP60" s="590">
        <v>2.84</v>
      </c>
      <c r="BQ60" s="572">
        <f t="shared" si="329"/>
        <v>0</v>
      </c>
      <c r="BR60" s="572">
        <f t="shared" si="329"/>
        <v>0</v>
      </c>
      <c r="BS60" s="572">
        <f t="shared" si="329"/>
        <v>0</v>
      </c>
      <c r="BT60" s="572">
        <f t="shared" si="329"/>
        <v>0</v>
      </c>
      <c r="BU60" s="572">
        <f t="shared" si="329"/>
        <v>0</v>
      </c>
      <c r="BV60" s="572">
        <f t="shared" si="329"/>
        <v>0</v>
      </c>
      <c r="BW60" s="572">
        <f t="shared" si="329"/>
        <v>0</v>
      </c>
      <c r="BX60" s="572">
        <f t="shared" si="329"/>
        <v>4.5</v>
      </c>
      <c r="BY60" s="586">
        <f>SUM(ROUND((AU59/BP60),2))</f>
        <v>-0.28999999999999998</v>
      </c>
      <c r="BZ60" s="586">
        <f>SUM(ROUND((AV60/BP60),2))</f>
        <v>-1.96</v>
      </c>
      <c r="CA60" s="583">
        <f t="shared" si="330"/>
        <v>0</v>
      </c>
      <c r="CB60" s="572">
        <f t="shared" si="330"/>
        <v>1575</v>
      </c>
      <c r="CC60" s="96"/>
      <c r="CD60" s="590">
        <v>3.45</v>
      </c>
      <c r="CE60" s="572">
        <f t="shared" si="331"/>
        <v>0</v>
      </c>
      <c r="CF60" s="572">
        <f t="shared" si="331"/>
        <v>0</v>
      </c>
      <c r="CG60" s="572">
        <f t="shared" si="331"/>
        <v>0</v>
      </c>
      <c r="CH60" s="572">
        <f t="shared" si="331"/>
        <v>0</v>
      </c>
      <c r="CI60" s="572">
        <f t="shared" si="331"/>
        <v>0</v>
      </c>
      <c r="CJ60" s="572">
        <f t="shared" si="331"/>
        <v>0</v>
      </c>
      <c r="CK60" s="572">
        <f t="shared" si="331"/>
        <v>0</v>
      </c>
      <c r="CL60" s="572">
        <f t="shared" si="331"/>
        <v>4</v>
      </c>
      <c r="CM60" s="586">
        <f>SUM(ROUND((AU59/CD60),2))</f>
        <v>-0.24</v>
      </c>
      <c r="CN60" s="586">
        <f>SUM(ROUND((AV60/CD60),2))</f>
        <v>-1.61</v>
      </c>
      <c r="CO60" s="583">
        <f t="shared" si="332"/>
        <v>0</v>
      </c>
      <c r="CP60" s="572">
        <f t="shared" si="332"/>
        <v>1400</v>
      </c>
      <c r="CQ60" s="96"/>
      <c r="CR60" s="590">
        <v>4.2300000000000004</v>
      </c>
      <c r="CS60" s="572">
        <f t="shared" si="333"/>
        <v>0</v>
      </c>
      <c r="CT60" s="572">
        <f t="shared" si="333"/>
        <v>0</v>
      </c>
      <c r="CU60" s="572">
        <f t="shared" si="333"/>
        <v>0</v>
      </c>
      <c r="CV60" s="572">
        <f t="shared" si="333"/>
        <v>0</v>
      </c>
      <c r="CW60" s="572">
        <f t="shared" si="333"/>
        <v>0</v>
      </c>
      <c r="CX60" s="572">
        <f t="shared" si="333"/>
        <v>0</v>
      </c>
      <c r="CY60" s="572">
        <f t="shared" si="333"/>
        <v>0</v>
      </c>
      <c r="CZ60" s="572">
        <f t="shared" si="333"/>
        <v>3.5</v>
      </c>
      <c r="DA60" s="586">
        <f>SUM(ROUND((AU59/CR60),2))</f>
        <v>-0.2</v>
      </c>
      <c r="DB60" s="586">
        <f>SUM(ROUND((AV60/CR60),2))</f>
        <v>-1.31</v>
      </c>
      <c r="DC60" s="583">
        <f t="shared" si="334"/>
        <v>0</v>
      </c>
      <c r="DD60" s="572">
        <f t="shared" si="334"/>
        <v>1225</v>
      </c>
      <c r="DE60" s="96"/>
      <c r="DF60" s="590">
        <v>5.2</v>
      </c>
      <c r="DG60" s="572">
        <f t="shared" si="335"/>
        <v>0</v>
      </c>
      <c r="DH60" s="572">
        <f t="shared" si="335"/>
        <v>0</v>
      </c>
      <c r="DI60" s="572">
        <f t="shared" si="335"/>
        <v>0</v>
      </c>
      <c r="DJ60" s="572">
        <f t="shared" si="335"/>
        <v>0</v>
      </c>
      <c r="DK60" s="572">
        <f t="shared" si="335"/>
        <v>0</v>
      </c>
      <c r="DL60" s="572">
        <f t="shared" si="335"/>
        <v>0</v>
      </c>
      <c r="DM60" s="572">
        <f t="shared" si="335"/>
        <v>0</v>
      </c>
      <c r="DN60" s="572">
        <f t="shared" si="335"/>
        <v>3</v>
      </c>
      <c r="DO60" s="586">
        <f>SUM(ROUND((AU59/DF60),2))</f>
        <v>-0.16</v>
      </c>
      <c r="DP60" s="586">
        <f>SUM(ROUND((AV60/DF60),2))</f>
        <v>-1.07</v>
      </c>
      <c r="DQ60" s="577">
        <f t="shared" si="336"/>
        <v>0</v>
      </c>
      <c r="DR60" s="96">
        <f t="shared" si="336"/>
        <v>1050</v>
      </c>
      <c r="DS60" s="96"/>
      <c r="DT60" s="96" t="e">
        <f t="shared" si="311"/>
        <v>#VALUE!</v>
      </c>
      <c r="DU60" s="96" t="e">
        <f t="shared" si="312"/>
        <v>#VALUE!</v>
      </c>
      <c r="DV60" s="96" t="e">
        <f t="shared" si="313"/>
        <v>#VALUE!</v>
      </c>
      <c r="DW60" s="96" t="e">
        <f t="shared" si="314"/>
        <v>#VALUE!</v>
      </c>
      <c r="DX60" s="96" t="e">
        <f t="shared" si="315"/>
        <v>#VALUE!</v>
      </c>
      <c r="DY60" s="96" t="e">
        <f t="shared" si="316"/>
        <v>#VALUE!</v>
      </c>
      <c r="DZ60" s="96" t="e">
        <f t="shared" si="317"/>
        <v>#VALUE!</v>
      </c>
      <c r="EA60" s="96" t="e">
        <f t="shared" si="318"/>
        <v>#VALUE!</v>
      </c>
      <c r="EB60" s="96" t="e">
        <f t="shared" si="319"/>
        <v>#VALUE!</v>
      </c>
      <c r="EC60" s="96" t="e">
        <f t="shared" si="320"/>
        <v>#VALUE!</v>
      </c>
      <c r="ED60" s="96" t="e">
        <f t="shared" si="321"/>
        <v>#VALUE!</v>
      </c>
      <c r="EE60" s="96" t="e">
        <f>CHOOSE((AL60-9),BN60,(BN60+CB60),((BN60+CB60)+CP60),(((BN60+CB60)+CP60)+DD60),((((BN60+CB60)+CP60)+DD60)+DR60),)</f>
        <v>#VALUE!</v>
      </c>
    </row>
    <row r="61" spans="2:135">
      <c r="C61" s="1752">
        <v>317</v>
      </c>
      <c r="D61" s="1117" t="s">
        <v>107</v>
      </c>
      <c r="E61" s="325">
        <f t="shared" si="235"/>
        <v>55</v>
      </c>
      <c r="F61" s="325">
        <f t="shared" si="236"/>
        <v>150</v>
      </c>
      <c r="G61" s="325">
        <f t="shared" si="237"/>
        <v>35</v>
      </c>
      <c r="H61" s="326">
        <f t="shared" si="323"/>
        <v>0</v>
      </c>
      <c r="I61" s="325">
        <f t="shared" si="238"/>
        <v>200</v>
      </c>
      <c r="J61" s="325">
        <f t="shared" si="239"/>
        <v>2055.56</v>
      </c>
      <c r="K61" s="325"/>
      <c r="L61" s="325"/>
      <c r="M61" s="325">
        <f t="shared" si="242"/>
        <v>100</v>
      </c>
      <c r="N61" s="325">
        <f>IF((AL61&lt;10),SUM((AD61+(ROUNDUP((AL61*AU61),2)))),SUM((AD61+(ROUNDUP(((9*AU61)+EB61),2)))))</f>
        <v>17</v>
      </c>
      <c r="O61" s="325">
        <f t="shared" si="244"/>
        <v>94.44</v>
      </c>
      <c r="P61" s="325">
        <f t="shared" si="245"/>
        <v>180</v>
      </c>
      <c r="Q61" s="1643">
        <f t="shared" si="246"/>
        <v>19444.45</v>
      </c>
      <c r="R61" s="1643">
        <f t="shared" si="324"/>
        <v>0</v>
      </c>
      <c r="S61" s="1643">
        <f t="shared" si="325"/>
        <v>0</v>
      </c>
      <c r="T61" s="190"/>
      <c r="U61" s="568">
        <v>55</v>
      </c>
      <c r="V61" s="563">
        <v>150</v>
      </c>
      <c r="W61" s="563">
        <v>35</v>
      </c>
      <c r="X61" s="563">
        <v>0</v>
      </c>
      <c r="Y61" s="563">
        <v>200</v>
      </c>
      <c r="Z61" s="563">
        <v>2000</v>
      </c>
      <c r="AA61" s="563" t="s">
        <v>93</v>
      </c>
      <c r="AB61" s="563" t="s">
        <v>93</v>
      </c>
      <c r="AC61" s="563">
        <v>100</v>
      </c>
      <c r="AD61" s="563">
        <v>18</v>
      </c>
      <c r="AE61" s="563">
        <v>100</v>
      </c>
      <c r="AF61" s="563">
        <v>180</v>
      </c>
      <c r="AG61" s="850">
        <v>17500</v>
      </c>
      <c r="AH61" s="563"/>
      <c r="AI61" s="563"/>
      <c r="AJ61" s="96"/>
      <c r="AK61" s="96"/>
      <c r="AL61" s="576">
        <f t="shared" si="101"/>
        <v>1</v>
      </c>
      <c r="AM61" s="572"/>
      <c r="AN61" s="572"/>
      <c r="AO61" s="572"/>
      <c r="AP61" s="572"/>
      <c r="AQ61" s="572">
        <f>SUM((500/9))</f>
        <v>55.555555555555557</v>
      </c>
      <c r="AR61" s="572"/>
      <c r="AS61" s="572"/>
      <c r="AT61" s="572"/>
      <c r="AU61" s="572">
        <f>SUM((-AD61/18))</f>
        <v>-1</v>
      </c>
      <c r="AV61" s="572">
        <f>SUM((-AE61/18))</f>
        <v>-5.5555555555555554</v>
      </c>
      <c r="AW61" s="583"/>
      <c r="AX61" s="572">
        <f t="shared" si="250"/>
        <v>1944.4444444444443</v>
      </c>
      <c r="AY61" s="572"/>
      <c r="AZ61" s="572"/>
      <c r="BA61" s="96"/>
      <c r="BB61" s="590">
        <v>2.33</v>
      </c>
      <c r="BC61" s="572">
        <f t="shared" si="327"/>
        <v>0</v>
      </c>
      <c r="BD61" s="572">
        <f t="shared" si="327"/>
        <v>0</v>
      </c>
      <c r="BE61" s="572">
        <f t="shared" si="327"/>
        <v>0</v>
      </c>
      <c r="BF61" s="572">
        <f t="shared" si="327"/>
        <v>0</v>
      </c>
      <c r="BG61" s="572">
        <f t="shared" si="327"/>
        <v>50</v>
      </c>
      <c r="BH61" s="572">
        <f t="shared" si="327"/>
        <v>0</v>
      </c>
      <c r="BI61" s="572">
        <f t="shared" si="327"/>
        <v>0</v>
      </c>
      <c r="BJ61" s="572">
        <f t="shared" si="327"/>
        <v>0</v>
      </c>
      <c r="BK61" s="586">
        <f>SUM(ROUND((AU61/BB61),2))</f>
        <v>-0.43</v>
      </c>
      <c r="BL61" s="586">
        <f>SUM(ROUND((AV61/BB61),2))</f>
        <v>-2.38</v>
      </c>
      <c r="BM61" s="583">
        <f t="shared" si="328"/>
        <v>0</v>
      </c>
      <c r="BN61" s="572">
        <f t="shared" si="328"/>
        <v>1750</v>
      </c>
      <c r="BO61" s="96"/>
      <c r="BP61" s="590">
        <v>2.84</v>
      </c>
      <c r="BQ61" s="572">
        <f t="shared" si="329"/>
        <v>0</v>
      </c>
      <c r="BR61" s="572">
        <f t="shared" si="329"/>
        <v>0</v>
      </c>
      <c r="BS61" s="572">
        <f t="shared" si="329"/>
        <v>0</v>
      </c>
      <c r="BT61" s="572">
        <f t="shared" si="329"/>
        <v>0</v>
      </c>
      <c r="BU61" s="572">
        <f t="shared" si="329"/>
        <v>45</v>
      </c>
      <c r="BV61" s="572">
        <f t="shared" si="329"/>
        <v>0</v>
      </c>
      <c r="BW61" s="572">
        <f t="shared" si="329"/>
        <v>0</v>
      </c>
      <c r="BX61" s="572">
        <f t="shared" si="329"/>
        <v>0</v>
      </c>
      <c r="BY61" s="586">
        <f>SUM(ROUND((AU61/BP61),2))</f>
        <v>-0.35</v>
      </c>
      <c r="BZ61" s="586">
        <f>SUM(ROUND((AV61/BP61),2))</f>
        <v>-1.96</v>
      </c>
      <c r="CA61" s="583">
        <f t="shared" si="330"/>
        <v>0</v>
      </c>
      <c r="CB61" s="572">
        <f t="shared" si="330"/>
        <v>1575</v>
      </c>
      <c r="CC61" s="96"/>
      <c r="CD61" s="590">
        <v>3.45</v>
      </c>
      <c r="CE61" s="572">
        <f t="shared" si="331"/>
        <v>0</v>
      </c>
      <c r="CF61" s="572">
        <f t="shared" si="331"/>
        <v>0</v>
      </c>
      <c r="CG61" s="572">
        <f t="shared" si="331"/>
        <v>0</v>
      </c>
      <c r="CH61" s="572">
        <f t="shared" si="331"/>
        <v>0</v>
      </c>
      <c r="CI61" s="572">
        <f t="shared" si="331"/>
        <v>40</v>
      </c>
      <c r="CJ61" s="572">
        <f t="shared" si="331"/>
        <v>0</v>
      </c>
      <c r="CK61" s="572">
        <f t="shared" si="331"/>
        <v>0</v>
      </c>
      <c r="CL61" s="572">
        <f t="shared" si="331"/>
        <v>0</v>
      </c>
      <c r="CM61" s="586">
        <f>SUM(ROUND((AU61/CD61),2))</f>
        <v>-0.28999999999999998</v>
      </c>
      <c r="CN61" s="586">
        <f>SUM(ROUND((AV61/CD61),2))</f>
        <v>-1.61</v>
      </c>
      <c r="CO61" s="583">
        <f t="shared" si="332"/>
        <v>0</v>
      </c>
      <c r="CP61" s="572">
        <f t="shared" si="332"/>
        <v>1400</v>
      </c>
      <c r="CQ61" s="96"/>
      <c r="CR61" s="590">
        <v>4.2300000000000004</v>
      </c>
      <c r="CS61" s="572">
        <f t="shared" si="333"/>
        <v>0</v>
      </c>
      <c r="CT61" s="572">
        <f t="shared" si="333"/>
        <v>0</v>
      </c>
      <c r="CU61" s="572">
        <f t="shared" si="333"/>
        <v>0</v>
      </c>
      <c r="CV61" s="572">
        <f t="shared" si="333"/>
        <v>0</v>
      </c>
      <c r="CW61" s="572">
        <f t="shared" si="333"/>
        <v>35</v>
      </c>
      <c r="CX61" s="572">
        <f t="shared" si="333"/>
        <v>0</v>
      </c>
      <c r="CY61" s="572">
        <f t="shared" si="333"/>
        <v>0</v>
      </c>
      <c r="CZ61" s="572">
        <f t="shared" si="333"/>
        <v>0</v>
      </c>
      <c r="DA61" s="586">
        <f>SUM(ROUND((AU61/CR61),2))</f>
        <v>-0.24</v>
      </c>
      <c r="DB61" s="586">
        <f>SUM(ROUND((AV61/CR61),2))</f>
        <v>-1.31</v>
      </c>
      <c r="DC61" s="583">
        <f t="shared" si="334"/>
        <v>0</v>
      </c>
      <c r="DD61" s="572">
        <f t="shared" si="334"/>
        <v>1225</v>
      </c>
      <c r="DE61" s="96"/>
      <c r="DF61" s="590">
        <v>5.2</v>
      </c>
      <c r="DG61" s="572">
        <f t="shared" si="335"/>
        <v>0</v>
      </c>
      <c r="DH61" s="572">
        <f t="shared" si="335"/>
        <v>0</v>
      </c>
      <c r="DI61" s="572">
        <f t="shared" si="335"/>
        <v>0</v>
      </c>
      <c r="DJ61" s="572">
        <f t="shared" si="335"/>
        <v>0</v>
      </c>
      <c r="DK61" s="572">
        <f t="shared" si="335"/>
        <v>30</v>
      </c>
      <c r="DL61" s="572">
        <f t="shared" si="335"/>
        <v>0</v>
      </c>
      <c r="DM61" s="572">
        <f t="shared" si="335"/>
        <v>0</v>
      </c>
      <c r="DN61" s="572">
        <f t="shared" si="335"/>
        <v>0</v>
      </c>
      <c r="DO61" s="586">
        <f>SUM(ROUND((AU61/DF61),2))</f>
        <v>-0.19</v>
      </c>
      <c r="DP61" s="586">
        <f>SUM(ROUND((AV61/DF61),2))</f>
        <v>-1.07</v>
      </c>
      <c r="DQ61" s="577">
        <f t="shared" si="336"/>
        <v>0</v>
      </c>
      <c r="DR61" s="96">
        <f t="shared" si="336"/>
        <v>1050</v>
      </c>
      <c r="DS61" s="96"/>
      <c r="DT61" s="96" t="e">
        <f t="shared" si="311"/>
        <v>#VALUE!</v>
      </c>
      <c r="DU61" s="96" t="e">
        <f t="shared" si="312"/>
        <v>#VALUE!</v>
      </c>
      <c r="DV61" s="96" t="e">
        <f t="shared" si="313"/>
        <v>#VALUE!</v>
      </c>
      <c r="DW61" s="96" t="e">
        <f t="shared" si="314"/>
        <v>#VALUE!</v>
      </c>
      <c r="DX61" s="96" t="e">
        <f t="shared" si="315"/>
        <v>#VALUE!</v>
      </c>
      <c r="DY61" s="96" t="e">
        <f t="shared" si="316"/>
        <v>#VALUE!</v>
      </c>
      <c r="DZ61" s="96" t="e">
        <f t="shared" si="317"/>
        <v>#VALUE!</v>
      </c>
      <c r="EA61" s="96" t="e">
        <f t="shared" si="318"/>
        <v>#VALUE!</v>
      </c>
      <c r="EB61" s="96" t="e">
        <f t="shared" si="319"/>
        <v>#VALUE!</v>
      </c>
      <c r="EC61" s="96" t="e">
        <f t="shared" si="320"/>
        <v>#VALUE!</v>
      </c>
      <c r="ED61" s="96" t="e">
        <f t="shared" si="321"/>
        <v>#VALUE!</v>
      </c>
      <c r="EE61" s="96" t="e">
        <f t="shared" si="322"/>
        <v>#VALUE!</v>
      </c>
    </row>
    <row r="62" spans="2:135">
      <c r="C62" s="1752">
        <v>318</v>
      </c>
      <c r="D62" s="1117" t="s">
        <v>108</v>
      </c>
      <c r="E62" s="325">
        <f t="shared" si="235"/>
        <v>55</v>
      </c>
      <c r="F62" s="325">
        <f t="shared" si="236"/>
        <v>150</v>
      </c>
      <c r="G62" s="325">
        <f t="shared" si="237"/>
        <v>35</v>
      </c>
      <c r="H62" s="326">
        <f t="shared" si="323"/>
        <v>0</v>
      </c>
      <c r="I62" s="325">
        <f t="shared" si="238"/>
        <v>200</v>
      </c>
      <c r="J62" s="325">
        <f t="shared" si="239"/>
        <v>2000</v>
      </c>
      <c r="K62" s="325"/>
      <c r="L62" s="325"/>
      <c r="M62" s="325">
        <f t="shared" si="242"/>
        <v>105.56</v>
      </c>
      <c r="N62" s="325">
        <f>IF((AL62&lt;10),SUM((AD62+(ROUNDUP((AL62*AU62),2)))),SUM((AD62+(ROUNDUP(((9*AU62)+EB62),2)))))</f>
        <v>17</v>
      </c>
      <c r="O62" s="325">
        <f t="shared" si="244"/>
        <v>94.44</v>
      </c>
      <c r="P62" s="1125">
        <f t="shared" si="245"/>
        <v>180</v>
      </c>
      <c r="Q62" s="1644">
        <f t="shared" si="246"/>
        <v>19444.45</v>
      </c>
      <c r="R62" s="1643">
        <f t="shared" si="324"/>
        <v>0</v>
      </c>
      <c r="S62" s="1643">
        <f t="shared" si="325"/>
        <v>0</v>
      </c>
      <c r="T62" s="194"/>
      <c r="U62" s="568">
        <v>55</v>
      </c>
      <c r="V62" s="563">
        <v>150</v>
      </c>
      <c r="W62" s="563">
        <v>35</v>
      </c>
      <c r="X62" s="563">
        <v>0</v>
      </c>
      <c r="Y62" s="563">
        <v>200</v>
      </c>
      <c r="Z62" s="563">
        <v>2000</v>
      </c>
      <c r="AA62" s="563" t="s">
        <v>93</v>
      </c>
      <c r="AB62" s="563" t="s">
        <v>93</v>
      </c>
      <c r="AC62" s="563">
        <v>100</v>
      </c>
      <c r="AD62" s="563">
        <v>18</v>
      </c>
      <c r="AE62" s="563">
        <v>100</v>
      </c>
      <c r="AF62" s="563">
        <v>180</v>
      </c>
      <c r="AG62" s="850">
        <v>17500</v>
      </c>
      <c r="AH62" s="563"/>
      <c r="AI62" s="563"/>
      <c r="AL62" s="576">
        <f t="shared" si="101"/>
        <v>1</v>
      </c>
      <c r="AM62" s="572"/>
      <c r="AN62" s="572"/>
      <c r="AO62" s="572"/>
      <c r="AP62" s="572"/>
      <c r="AQ62" s="572"/>
      <c r="AR62" s="572"/>
      <c r="AS62" s="572"/>
      <c r="AT62" s="572">
        <f>SUM((AC62/18))</f>
        <v>5.5555555555555554</v>
      </c>
      <c r="AU62" s="572">
        <f>SUM((-AD62/18))</f>
        <v>-1</v>
      </c>
      <c r="AV62" s="572">
        <f>SUM((-AE62/18))</f>
        <v>-5.5555555555555554</v>
      </c>
      <c r="AW62" s="583"/>
      <c r="AX62" s="572">
        <f t="shared" si="250"/>
        <v>1944.4444444444443</v>
      </c>
      <c r="AY62" s="572"/>
      <c r="AZ62" s="572"/>
      <c r="BA62" s="96"/>
      <c r="BB62" s="590">
        <v>2.33</v>
      </c>
      <c r="BC62" s="572">
        <f t="shared" si="327"/>
        <v>0</v>
      </c>
      <c r="BD62" s="572">
        <f t="shared" si="327"/>
        <v>0</v>
      </c>
      <c r="BE62" s="572">
        <f t="shared" si="327"/>
        <v>0</v>
      </c>
      <c r="BF62" s="572">
        <f t="shared" si="327"/>
        <v>0</v>
      </c>
      <c r="BG62" s="572">
        <f t="shared" si="327"/>
        <v>0</v>
      </c>
      <c r="BH62" s="572">
        <f t="shared" si="327"/>
        <v>0</v>
      </c>
      <c r="BI62" s="572">
        <f t="shared" si="327"/>
        <v>0</v>
      </c>
      <c r="BJ62" s="572">
        <f t="shared" si="327"/>
        <v>5</v>
      </c>
      <c r="BK62" s="586">
        <f>SUM(ROUND((AU62/BB62),2))</f>
        <v>-0.43</v>
      </c>
      <c r="BL62" s="586">
        <f>SUM(ROUND((AV62/BB62),2))</f>
        <v>-2.38</v>
      </c>
      <c r="BM62" s="596">
        <f t="shared" si="328"/>
        <v>0</v>
      </c>
      <c r="BN62" s="572">
        <f t="shared" si="328"/>
        <v>1750</v>
      </c>
      <c r="BO62" s="96"/>
      <c r="BP62" s="590">
        <v>2.84</v>
      </c>
      <c r="BQ62" s="572">
        <f t="shared" si="329"/>
        <v>0</v>
      </c>
      <c r="BR62" s="572">
        <f t="shared" si="329"/>
        <v>0</v>
      </c>
      <c r="BS62" s="572">
        <f t="shared" si="329"/>
        <v>0</v>
      </c>
      <c r="BT62" s="572">
        <f t="shared" si="329"/>
        <v>0</v>
      </c>
      <c r="BU62" s="572">
        <f t="shared" si="329"/>
        <v>0</v>
      </c>
      <c r="BV62" s="572">
        <f t="shared" si="329"/>
        <v>0</v>
      </c>
      <c r="BW62" s="572">
        <f t="shared" si="329"/>
        <v>0</v>
      </c>
      <c r="BX62" s="572">
        <f t="shared" si="329"/>
        <v>4.5</v>
      </c>
      <c r="BY62" s="586">
        <f>SUM(ROUND((AU62/BP62),2))</f>
        <v>-0.35</v>
      </c>
      <c r="BZ62" s="586">
        <f>SUM(ROUND((AV62/BP62),2))</f>
        <v>-1.96</v>
      </c>
      <c r="CA62" s="583">
        <f t="shared" si="330"/>
        <v>0</v>
      </c>
      <c r="CB62" s="572">
        <f t="shared" si="330"/>
        <v>1575</v>
      </c>
      <c r="CC62" s="96"/>
      <c r="CD62" s="590">
        <v>3.45</v>
      </c>
      <c r="CE62" s="572">
        <f t="shared" si="331"/>
        <v>0</v>
      </c>
      <c r="CF62" s="572">
        <f t="shared" si="331"/>
        <v>0</v>
      </c>
      <c r="CG62" s="572">
        <f t="shared" si="331"/>
        <v>0</v>
      </c>
      <c r="CH62" s="572">
        <f t="shared" si="331"/>
        <v>0</v>
      </c>
      <c r="CI62" s="572">
        <f t="shared" si="331"/>
        <v>0</v>
      </c>
      <c r="CJ62" s="572">
        <f t="shared" si="331"/>
        <v>0</v>
      </c>
      <c r="CK62" s="572">
        <f t="shared" si="331"/>
        <v>0</v>
      </c>
      <c r="CL62" s="572">
        <f t="shared" si="331"/>
        <v>4</v>
      </c>
      <c r="CM62" s="586">
        <f>SUM(ROUND((AU62/CD62),2))</f>
        <v>-0.28999999999999998</v>
      </c>
      <c r="CN62" s="586">
        <f>SUM(ROUND((AV62/CD62),2))</f>
        <v>-1.61</v>
      </c>
      <c r="CO62" s="583">
        <f t="shared" si="332"/>
        <v>0</v>
      </c>
      <c r="CP62" s="572">
        <f t="shared" si="332"/>
        <v>1400</v>
      </c>
      <c r="CQ62" s="96"/>
      <c r="CR62" s="590">
        <v>4.2300000000000004</v>
      </c>
      <c r="CS62" s="572">
        <f t="shared" si="333"/>
        <v>0</v>
      </c>
      <c r="CT62" s="572">
        <f t="shared" si="333"/>
        <v>0</v>
      </c>
      <c r="CU62" s="572">
        <f t="shared" si="333"/>
        <v>0</v>
      </c>
      <c r="CV62" s="572">
        <f t="shared" si="333"/>
        <v>0</v>
      </c>
      <c r="CW62" s="572">
        <f t="shared" si="333"/>
        <v>0</v>
      </c>
      <c r="CX62" s="572">
        <f t="shared" si="333"/>
        <v>0</v>
      </c>
      <c r="CY62" s="572">
        <f t="shared" si="333"/>
        <v>0</v>
      </c>
      <c r="CZ62" s="572">
        <f t="shared" si="333"/>
        <v>3.5</v>
      </c>
      <c r="DA62" s="586">
        <f>SUM(ROUND((AU62/CR62),2))</f>
        <v>-0.24</v>
      </c>
      <c r="DB62" s="586">
        <f>SUM(ROUND((AV62/CR62),2))</f>
        <v>-1.31</v>
      </c>
      <c r="DC62" s="583">
        <f t="shared" si="334"/>
        <v>0</v>
      </c>
      <c r="DD62" s="572">
        <f t="shared" si="334"/>
        <v>1225</v>
      </c>
      <c r="DE62" s="96"/>
      <c r="DF62" s="590">
        <v>5.2</v>
      </c>
      <c r="DG62" s="572">
        <f t="shared" si="335"/>
        <v>0</v>
      </c>
      <c r="DH62" s="572">
        <f t="shared" si="335"/>
        <v>0</v>
      </c>
      <c r="DI62" s="572">
        <f t="shared" si="335"/>
        <v>0</v>
      </c>
      <c r="DJ62" s="572">
        <f t="shared" si="335"/>
        <v>0</v>
      </c>
      <c r="DK62" s="572">
        <f t="shared" si="335"/>
        <v>0</v>
      </c>
      <c r="DL62" s="572">
        <f t="shared" si="335"/>
        <v>0</v>
      </c>
      <c r="DM62" s="572">
        <f t="shared" si="335"/>
        <v>0</v>
      </c>
      <c r="DN62" s="572">
        <f t="shared" si="335"/>
        <v>3</v>
      </c>
      <c r="DO62" s="586">
        <f>SUM(ROUND((AU62/DF62),2))</f>
        <v>-0.19</v>
      </c>
      <c r="DP62" s="586">
        <f>SUM(ROUND((AV62/DF62),2))</f>
        <v>-1.07</v>
      </c>
      <c r="DQ62" s="577">
        <f t="shared" si="336"/>
        <v>0</v>
      </c>
      <c r="DR62" s="96">
        <f t="shared" si="336"/>
        <v>1050</v>
      </c>
      <c r="DS62" s="96"/>
      <c r="DT62" s="96" t="e">
        <f t="shared" si="311"/>
        <v>#VALUE!</v>
      </c>
      <c r="DU62" s="96" t="e">
        <f t="shared" si="312"/>
        <v>#VALUE!</v>
      </c>
      <c r="DV62" s="96" t="e">
        <f t="shared" si="313"/>
        <v>#VALUE!</v>
      </c>
      <c r="DW62" s="96" t="e">
        <f t="shared" si="314"/>
        <v>#VALUE!</v>
      </c>
      <c r="DX62" s="96" t="e">
        <f t="shared" si="315"/>
        <v>#VALUE!</v>
      </c>
      <c r="DY62" s="96" t="e">
        <f t="shared" si="316"/>
        <v>#VALUE!</v>
      </c>
      <c r="DZ62" s="96" t="e">
        <f t="shared" si="317"/>
        <v>#VALUE!</v>
      </c>
      <c r="EA62" s="96" t="e">
        <f t="shared" si="318"/>
        <v>#VALUE!</v>
      </c>
      <c r="EB62" s="96" t="e">
        <f t="shared" si="319"/>
        <v>#VALUE!</v>
      </c>
      <c r="EC62" s="96" t="e">
        <f t="shared" si="320"/>
        <v>#VALUE!</v>
      </c>
      <c r="ED62" s="96" t="e">
        <f t="shared" si="321"/>
        <v>#VALUE!</v>
      </c>
      <c r="EE62" s="96" t="e">
        <f t="shared" si="322"/>
        <v>#VALUE!</v>
      </c>
    </row>
    <row r="63" spans="2:135" s="368" customFormat="1">
      <c r="B63" s="173"/>
      <c r="C63" s="1752">
        <v>319</v>
      </c>
      <c r="D63" s="1118" t="s">
        <v>989</v>
      </c>
      <c r="E63" s="325">
        <f t="shared" ref="E63" si="337">IF((AL63&lt;10),SUM((U63+(ROUNDUP((AL63*AM63),2)))),SUM((U63+(ROUNDUP(((9*AM63)+DT63),2)))))</f>
        <v>750</v>
      </c>
      <c r="F63" s="325">
        <f t="shared" ref="F63" si="338">IF((AL63&lt;10),SUM((V63+(ROUNDUP((AL63*AN63),2)))),SUM((V63+(ROUNDUP(((9*AN63)+DU63),2)))))</f>
        <v>1000</v>
      </c>
      <c r="G63" s="325">
        <f t="shared" ref="G63" si="339">W63</f>
        <v>0</v>
      </c>
      <c r="H63" s="326">
        <f t="shared" ref="H63" si="340">X63</f>
        <v>0</v>
      </c>
      <c r="I63" s="325">
        <f t="shared" ref="I63" si="341">Y63</f>
        <v>0</v>
      </c>
      <c r="J63" s="325">
        <f t="shared" ref="J63" si="342">IF((AL63&lt;10),SUM((Z63+(ROUNDUP((AL63*AQ63),2)))),SUM((Z63+(ROUNDUP(((9*AQ63)+DX63),2)))))</f>
        <v>0</v>
      </c>
      <c r="K63" s="325"/>
      <c r="L63" s="325"/>
      <c r="M63" s="325">
        <f t="shared" ref="M63" si="343">IF((AL63&lt;10),SUM((AC63+(ROUNDUP((AL63*AT63),2)))),SUM((AC63+(ROUNDUP(((9*AT63)+EA63),2)))))</f>
        <v>0</v>
      </c>
      <c r="N63" s="325">
        <f>IF((AL63&lt;10),SUM((AD63+(ROUNDUP((AL63*AU63),2)))),SUM((AD63+(ROUNDUP(((9*AU63)+EB63),2)))))</f>
        <v>0</v>
      </c>
      <c r="O63" s="325">
        <f t="shared" ref="O63" si="344">IF((AL63&lt;10),SUM((AE63+(ROUNDUP((AL63*AV63),2)))),SUM((AE63+(ROUNDUP(((9*AV63)+EC63),2)))))</f>
        <v>0</v>
      </c>
      <c r="P63" s="1125">
        <f t="shared" ref="P63" si="345">AF63</f>
        <v>0</v>
      </c>
      <c r="Q63" s="1644">
        <f t="shared" ref="Q63" si="346">IF((AL63&lt;10),SUM((AG63+(ROUNDUP((AL63*AX63),2)))),SUM((AG63+(ROUNDUP(((9*AX63)+EE63),2)))))</f>
        <v>0</v>
      </c>
      <c r="R63" s="1643">
        <f t="shared" si="324"/>
        <v>0</v>
      </c>
      <c r="S63" s="1643">
        <f t="shared" si="325"/>
        <v>0</v>
      </c>
      <c r="T63" s="194"/>
      <c r="U63" s="568">
        <v>750</v>
      </c>
      <c r="V63" s="563">
        <v>1000</v>
      </c>
      <c r="W63" s="563"/>
      <c r="X63" s="563"/>
      <c r="Y63" s="563"/>
      <c r="Z63" s="563"/>
      <c r="AA63" s="563"/>
      <c r="AB63" s="563"/>
      <c r="AC63" s="563"/>
      <c r="AD63" s="563"/>
      <c r="AE63" s="563"/>
      <c r="AF63" s="563"/>
      <c r="AG63" s="850"/>
      <c r="AH63" s="563"/>
      <c r="AI63" s="563"/>
      <c r="AJ63" s="92"/>
      <c r="AK63" s="92"/>
      <c r="AL63" s="576"/>
      <c r="AM63" s="572"/>
      <c r="AN63" s="572"/>
      <c r="AO63" s="572"/>
      <c r="AP63" s="572"/>
      <c r="AQ63" s="572"/>
      <c r="AR63" s="572"/>
      <c r="AS63" s="572"/>
      <c r="AT63" s="572"/>
      <c r="AU63" s="572"/>
      <c r="AV63" s="572"/>
      <c r="AW63" s="583"/>
      <c r="AX63" s="572"/>
      <c r="AY63" s="572"/>
      <c r="AZ63" s="572"/>
      <c r="BA63" s="96"/>
      <c r="BB63" s="590"/>
      <c r="BC63" s="572"/>
      <c r="BD63" s="572"/>
      <c r="BE63" s="572"/>
      <c r="BF63" s="572"/>
      <c r="BG63" s="572"/>
      <c r="BH63" s="572"/>
      <c r="BI63" s="572"/>
      <c r="BJ63" s="572"/>
      <c r="BK63" s="586"/>
      <c r="BL63" s="586"/>
      <c r="BM63" s="596"/>
      <c r="BN63" s="572"/>
      <c r="BO63" s="96"/>
      <c r="BP63" s="590"/>
      <c r="BQ63" s="572"/>
      <c r="BR63" s="572"/>
      <c r="BS63" s="572"/>
      <c r="BT63" s="572"/>
      <c r="BU63" s="572"/>
      <c r="BV63" s="572"/>
      <c r="BW63" s="572"/>
      <c r="BX63" s="572"/>
      <c r="BY63" s="586"/>
      <c r="BZ63" s="586"/>
      <c r="CA63" s="583"/>
      <c r="CB63" s="572"/>
      <c r="CC63" s="96"/>
      <c r="CD63" s="590"/>
      <c r="CE63" s="572"/>
      <c r="CF63" s="572"/>
      <c r="CG63" s="572"/>
      <c r="CH63" s="572"/>
      <c r="CI63" s="572"/>
      <c r="CJ63" s="572"/>
      <c r="CK63" s="572"/>
      <c r="CL63" s="572"/>
      <c r="CM63" s="586"/>
      <c r="CN63" s="586"/>
      <c r="CO63" s="583"/>
      <c r="CP63" s="572"/>
      <c r="CQ63" s="96"/>
      <c r="CR63" s="590"/>
      <c r="CS63" s="572"/>
      <c r="CT63" s="572"/>
      <c r="CU63" s="572"/>
      <c r="CV63" s="572"/>
      <c r="CW63" s="572"/>
      <c r="CX63" s="572"/>
      <c r="CY63" s="572"/>
      <c r="CZ63" s="572"/>
      <c r="DA63" s="586"/>
      <c r="DB63" s="586"/>
      <c r="DC63" s="583"/>
      <c r="DD63" s="572"/>
      <c r="DE63" s="96"/>
      <c r="DF63" s="590"/>
      <c r="DG63" s="572"/>
      <c r="DH63" s="572"/>
      <c r="DI63" s="572"/>
      <c r="DJ63" s="572"/>
      <c r="DK63" s="572"/>
      <c r="DL63" s="572"/>
      <c r="DM63" s="572"/>
      <c r="DN63" s="572"/>
      <c r="DO63" s="586"/>
      <c r="DP63" s="586"/>
      <c r="DQ63" s="577"/>
      <c r="DR63" s="96"/>
      <c r="DS63" s="96"/>
      <c r="DT63" s="96"/>
      <c r="DU63" s="96"/>
      <c r="DV63" s="96"/>
      <c r="DW63" s="96"/>
      <c r="DX63" s="96"/>
      <c r="DY63" s="96"/>
      <c r="DZ63" s="96"/>
      <c r="EA63" s="96"/>
      <c r="EB63" s="96"/>
      <c r="EC63" s="96"/>
      <c r="ED63" s="96"/>
      <c r="EE63" s="96"/>
    </row>
    <row r="64" spans="2:135" ht="26.25">
      <c r="D64" s="1784"/>
      <c r="E64" s="2528" t="s">
        <v>112</v>
      </c>
      <c r="F64" s="2528"/>
      <c r="G64" s="2528"/>
      <c r="H64" s="2528"/>
      <c r="I64" s="2528"/>
      <c r="J64" s="2528"/>
      <c r="K64" s="2528"/>
      <c r="L64" s="2528"/>
      <c r="M64" s="2528"/>
      <c r="N64" s="2528"/>
      <c r="O64" s="2528"/>
      <c r="P64" s="2528"/>
      <c r="Q64" s="2528"/>
      <c r="R64" s="2528"/>
      <c r="S64" s="1785"/>
      <c r="T64" s="194"/>
      <c r="U64" s="568"/>
      <c r="V64" s="563"/>
      <c r="W64" s="563"/>
      <c r="X64" s="563"/>
      <c r="Y64" s="563"/>
      <c r="Z64" s="563"/>
      <c r="AA64" s="563"/>
      <c r="AB64" s="563"/>
      <c r="AC64" s="563"/>
      <c r="AD64" s="563"/>
      <c r="AE64" s="563"/>
      <c r="AF64" s="563"/>
      <c r="AG64" s="850"/>
      <c r="AH64" s="563"/>
      <c r="AI64" s="563"/>
      <c r="AL64" s="576">
        <f t="shared" si="101"/>
        <v>1</v>
      </c>
      <c r="AM64" s="572"/>
      <c r="AN64" s="572"/>
      <c r="AO64" s="572"/>
      <c r="AP64" s="572"/>
      <c r="AQ64" s="572"/>
      <c r="AR64" s="572"/>
      <c r="AS64" s="572"/>
      <c r="AT64" s="572"/>
      <c r="AU64" s="572"/>
      <c r="AV64" s="572"/>
      <c r="AW64" s="583"/>
      <c r="AX64" s="572"/>
      <c r="AY64" s="572"/>
      <c r="AZ64" s="572"/>
      <c r="BA64" s="96"/>
      <c r="BB64" s="576"/>
      <c r="BC64" s="572"/>
      <c r="BD64" s="572"/>
      <c r="BE64" s="572"/>
      <c r="BF64" s="572"/>
      <c r="BG64" s="572"/>
      <c r="BH64" s="572"/>
      <c r="BI64" s="572"/>
      <c r="BJ64" s="572"/>
      <c r="BK64" s="572"/>
      <c r="BL64" s="572"/>
      <c r="BM64" s="595"/>
      <c r="BN64" s="572"/>
      <c r="BO64" s="96"/>
      <c r="BP64" s="576"/>
      <c r="BQ64" s="572"/>
      <c r="BR64" s="572"/>
      <c r="BS64" s="572"/>
      <c r="BT64" s="572"/>
      <c r="BU64" s="572"/>
      <c r="BV64" s="572"/>
      <c r="BW64" s="572"/>
      <c r="BX64" s="572"/>
      <c r="BY64" s="572"/>
      <c r="BZ64" s="572"/>
      <c r="CA64" s="583"/>
      <c r="CB64" s="572"/>
      <c r="CC64" s="96"/>
      <c r="CD64" s="576"/>
      <c r="CE64" s="572"/>
      <c r="CF64" s="572"/>
      <c r="CG64" s="572"/>
      <c r="CH64" s="572"/>
      <c r="CI64" s="572"/>
      <c r="CJ64" s="572"/>
      <c r="CK64" s="572"/>
      <c r="CL64" s="572"/>
      <c r="CM64" s="572"/>
      <c r="CN64" s="572"/>
      <c r="CO64" s="583"/>
      <c r="CP64" s="572"/>
      <c r="CQ64" s="96"/>
      <c r="CR64" s="576"/>
      <c r="CS64" s="572"/>
      <c r="CT64" s="572"/>
      <c r="CU64" s="572"/>
      <c r="CV64" s="572"/>
      <c r="CW64" s="572"/>
      <c r="CX64" s="572"/>
      <c r="CY64" s="572"/>
      <c r="CZ64" s="572"/>
      <c r="DA64" s="572"/>
      <c r="DB64" s="572"/>
      <c r="DC64" s="583"/>
      <c r="DD64" s="572"/>
      <c r="DE64" s="96"/>
      <c r="DF64" s="576"/>
      <c r="DG64" s="572"/>
      <c r="DH64" s="572"/>
      <c r="DI64" s="572"/>
      <c r="DJ64" s="572"/>
      <c r="DK64" s="572"/>
      <c r="DL64" s="572"/>
      <c r="DM64" s="572"/>
      <c r="DN64" s="572"/>
      <c r="DO64" s="572"/>
      <c r="DP64" s="572"/>
      <c r="DQ64" s="577"/>
      <c r="DR64" s="96"/>
      <c r="DS64" s="96"/>
      <c r="DT64" s="96"/>
      <c r="DU64" s="96"/>
      <c r="DV64" s="96"/>
      <c r="DW64" s="96"/>
      <c r="DX64" s="96"/>
      <c r="DY64" s="96"/>
      <c r="DZ64" s="96"/>
      <c r="EA64" s="96"/>
      <c r="EB64" s="96"/>
      <c r="EC64" s="96"/>
      <c r="ED64" s="96"/>
      <c r="EE64" s="96"/>
    </row>
    <row r="65" spans="2:135" s="368" customFormat="1" ht="15" customHeight="1" thickBot="1">
      <c r="B65" s="174" t="s">
        <v>1052</v>
      </c>
      <c r="C65" s="1752">
        <v>0</v>
      </c>
      <c r="D65" s="1785"/>
      <c r="E65" s="1786"/>
      <c r="F65" s="1786"/>
      <c r="G65" s="1786"/>
      <c r="H65" s="1787"/>
      <c r="I65" s="1786"/>
      <c r="J65" s="1786"/>
      <c r="K65" s="1786"/>
      <c r="L65" s="1786"/>
      <c r="M65" s="1786"/>
      <c r="N65" s="1786"/>
      <c r="O65" s="1786"/>
      <c r="P65" s="1786"/>
      <c r="Q65" s="1788"/>
      <c r="R65" s="1761"/>
      <c r="S65" s="1761"/>
      <c r="T65" s="194"/>
      <c r="U65" s="568"/>
      <c r="V65" s="563"/>
      <c r="W65" s="563"/>
      <c r="X65" s="563"/>
      <c r="Y65" s="563"/>
      <c r="Z65" s="563"/>
      <c r="AA65" s="563"/>
      <c r="AB65" s="563"/>
      <c r="AC65" s="563"/>
      <c r="AD65" s="563"/>
      <c r="AE65" s="563"/>
      <c r="AF65" s="563"/>
      <c r="AG65" s="850"/>
      <c r="AH65" s="563"/>
      <c r="AI65" s="563"/>
      <c r="AJ65" s="92"/>
      <c r="AK65" s="92"/>
      <c r="AL65" s="576"/>
      <c r="AM65" s="572"/>
      <c r="AN65" s="572"/>
      <c r="AO65" s="572"/>
      <c r="AP65" s="572"/>
      <c r="AQ65" s="572"/>
      <c r="AR65" s="572"/>
      <c r="AS65" s="572"/>
      <c r="AT65" s="572"/>
      <c r="AU65" s="572"/>
      <c r="AV65" s="572"/>
      <c r="AW65" s="583"/>
      <c r="AX65" s="572"/>
      <c r="AY65" s="572"/>
      <c r="AZ65" s="572"/>
      <c r="BA65" s="96"/>
      <c r="BB65" s="576"/>
      <c r="BC65" s="572"/>
      <c r="BD65" s="572"/>
      <c r="BE65" s="572"/>
      <c r="BF65" s="572"/>
      <c r="BG65" s="572"/>
      <c r="BH65" s="572"/>
      <c r="BI65" s="572"/>
      <c r="BJ65" s="572"/>
      <c r="BK65" s="572"/>
      <c r="BL65" s="572"/>
      <c r="BM65" s="595"/>
      <c r="BN65" s="572"/>
      <c r="BO65" s="96"/>
      <c r="BP65" s="576"/>
      <c r="BQ65" s="572"/>
      <c r="BR65" s="572"/>
      <c r="BS65" s="572"/>
      <c r="BT65" s="572"/>
      <c r="BU65" s="572"/>
      <c r="BV65" s="572"/>
      <c r="BW65" s="572"/>
      <c r="BX65" s="572"/>
      <c r="BY65" s="572"/>
      <c r="BZ65" s="572"/>
      <c r="CA65" s="583"/>
      <c r="CB65" s="572"/>
      <c r="CC65" s="96"/>
      <c r="CD65" s="576"/>
      <c r="CE65" s="572"/>
      <c r="CF65" s="572"/>
      <c r="CG65" s="572"/>
      <c r="CH65" s="572"/>
      <c r="CI65" s="572"/>
      <c r="CJ65" s="572"/>
      <c r="CK65" s="572"/>
      <c r="CL65" s="572"/>
      <c r="CM65" s="572"/>
      <c r="CN65" s="572"/>
      <c r="CO65" s="583"/>
      <c r="CP65" s="572"/>
      <c r="CQ65" s="96"/>
      <c r="CR65" s="576"/>
      <c r="CS65" s="572"/>
      <c r="CT65" s="572"/>
      <c r="CU65" s="572"/>
      <c r="CV65" s="572"/>
      <c r="CW65" s="572"/>
      <c r="CX65" s="572"/>
      <c r="CY65" s="572"/>
      <c r="CZ65" s="572"/>
      <c r="DA65" s="572"/>
      <c r="DB65" s="572"/>
      <c r="DC65" s="583"/>
      <c r="DD65" s="572"/>
      <c r="DE65" s="96"/>
      <c r="DF65" s="576"/>
      <c r="DG65" s="572"/>
      <c r="DH65" s="572"/>
      <c r="DI65" s="572"/>
      <c r="DJ65" s="572"/>
      <c r="DK65" s="572"/>
      <c r="DL65" s="572"/>
      <c r="DM65" s="572"/>
      <c r="DN65" s="572"/>
      <c r="DO65" s="572"/>
      <c r="DP65" s="572"/>
      <c r="DQ65" s="577"/>
      <c r="DR65" s="96"/>
      <c r="DS65" s="96"/>
      <c r="DT65" s="96"/>
      <c r="DU65" s="96"/>
      <c r="DV65" s="96"/>
      <c r="DW65" s="96"/>
      <c r="DX65" s="96"/>
      <c r="DY65" s="96"/>
      <c r="DZ65" s="96"/>
      <c r="EA65" s="96"/>
      <c r="EB65" s="96"/>
      <c r="EC65" s="96"/>
      <c r="ED65" s="96"/>
      <c r="EE65" s="96"/>
    </row>
    <row r="66" spans="2:135" ht="15" customHeight="1">
      <c r="B66" s="2517" t="s">
        <v>801</v>
      </c>
      <c r="C66" s="1771">
        <v>4001</v>
      </c>
      <c r="D66" s="1789"/>
      <c r="E66" s="1790"/>
      <c r="F66" s="1790"/>
      <c r="G66" s="1790"/>
      <c r="H66" s="1791"/>
      <c r="I66" s="1790"/>
      <c r="J66" s="1790"/>
      <c r="K66" s="1790"/>
      <c r="L66" s="1790"/>
      <c r="M66" s="1790"/>
      <c r="N66" s="1790"/>
      <c r="O66" s="1790"/>
      <c r="P66" s="1790"/>
      <c r="Q66" s="1788"/>
      <c r="R66" s="1767">
        <f t="shared" ref="R66" si="347">IF((AM66&lt;10),SUM((AH66+(ROUNDUP((AM66*AY66),2)))),SUM((AH66+(ROUNDUP(((9*AY66)+EF66),2)))))</f>
        <v>0</v>
      </c>
      <c r="S66" s="1767">
        <f t="shared" ref="S66" si="348">IF((AN66&lt;10),SUM((AI66+(ROUNDUP((AN66*AZ66),2)))),SUM((AI66+(ROUNDUP(((9*AZ66)+EG66),2)))))</f>
        <v>0</v>
      </c>
      <c r="T66" s="194"/>
      <c r="U66" s="568"/>
      <c r="V66" s="563"/>
      <c r="W66" s="563"/>
      <c r="X66" s="563"/>
      <c r="Y66" s="563"/>
      <c r="Z66" s="563"/>
      <c r="AA66" s="563"/>
      <c r="AB66" s="563"/>
      <c r="AC66" s="563"/>
      <c r="AD66" s="563"/>
      <c r="AE66" s="563"/>
      <c r="AF66" s="563"/>
      <c r="AG66" s="850"/>
      <c r="AH66" s="563"/>
      <c r="AI66" s="563"/>
      <c r="AL66" s="576">
        <f t="shared" si="101"/>
        <v>1</v>
      </c>
      <c r="AM66" s="572"/>
      <c r="AN66" s="572"/>
      <c r="AO66" s="572"/>
      <c r="AP66" s="572"/>
      <c r="AQ66" s="572"/>
      <c r="AR66" s="572"/>
      <c r="AS66" s="572"/>
      <c r="AT66" s="572"/>
      <c r="AU66" s="572"/>
      <c r="AV66" s="572"/>
      <c r="AW66" s="583"/>
      <c r="AX66" s="572"/>
      <c r="AY66" s="572"/>
      <c r="AZ66" s="572"/>
      <c r="BA66" s="96"/>
      <c r="BB66" s="576"/>
      <c r="BC66" s="572"/>
      <c r="BD66" s="572"/>
      <c r="BE66" s="572"/>
      <c r="BF66" s="572"/>
      <c r="BG66" s="572"/>
      <c r="BH66" s="572"/>
      <c r="BI66" s="572"/>
      <c r="BJ66" s="572"/>
      <c r="BK66" s="572"/>
      <c r="BL66" s="572"/>
      <c r="BM66" s="595"/>
      <c r="BN66" s="572"/>
      <c r="BO66" s="96"/>
      <c r="BP66" s="576"/>
      <c r="BQ66" s="572"/>
      <c r="BR66" s="572"/>
      <c r="BS66" s="572"/>
      <c r="BT66" s="572"/>
      <c r="BU66" s="572"/>
      <c r="BV66" s="572"/>
      <c r="BW66" s="572"/>
      <c r="BX66" s="572"/>
      <c r="BY66" s="572"/>
      <c r="BZ66" s="572"/>
      <c r="CA66" s="583"/>
      <c r="CB66" s="572"/>
      <c r="CC66" s="96"/>
      <c r="CD66" s="576"/>
      <c r="CE66" s="572"/>
      <c r="CF66" s="572"/>
      <c r="CG66" s="572"/>
      <c r="CH66" s="572"/>
      <c r="CI66" s="572"/>
      <c r="CJ66" s="572"/>
      <c r="CK66" s="572"/>
      <c r="CL66" s="572"/>
      <c r="CM66" s="572"/>
      <c r="CN66" s="572"/>
      <c r="CO66" s="583"/>
      <c r="CP66" s="572"/>
      <c r="CQ66" s="96"/>
      <c r="CR66" s="576"/>
      <c r="CS66" s="572"/>
      <c r="CT66" s="572"/>
      <c r="CU66" s="572"/>
      <c r="CV66" s="572"/>
      <c r="CW66" s="572"/>
      <c r="CX66" s="572"/>
      <c r="CY66" s="572"/>
      <c r="CZ66" s="572"/>
      <c r="DA66" s="572"/>
      <c r="DB66" s="572"/>
      <c r="DC66" s="583"/>
      <c r="DD66" s="572"/>
      <c r="DE66" s="96"/>
      <c r="DF66" s="576"/>
      <c r="DG66" s="572"/>
      <c r="DH66" s="572"/>
      <c r="DI66" s="572"/>
      <c r="DJ66" s="572"/>
      <c r="DK66" s="572"/>
      <c r="DL66" s="572"/>
      <c r="DM66" s="572"/>
      <c r="DN66" s="572"/>
      <c r="DO66" s="572"/>
      <c r="DP66" s="572"/>
      <c r="DQ66" s="577"/>
      <c r="DR66" s="96"/>
      <c r="DS66" s="96"/>
      <c r="DT66" s="96"/>
      <c r="DU66" s="96"/>
      <c r="DV66" s="96"/>
      <c r="DW66" s="96"/>
      <c r="DX66" s="96"/>
      <c r="DY66" s="96"/>
      <c r="DZ66" s="96"/>
      <c r="EA66" s="96"/>
      <c r="EB66" s="96"/>
      <c r="EC66" s="96"/>
      <c r="ED66" s="96"/>
      <c r="EE66" s="96"/>
    </row>
    <row r="67" spans="2:135">
      <c r="B67" s="2518"/>
      <c r="C67" s="1772">
        <v>4002</v>
      </c>
      <c r="D67" s="1762" t="s">
        <v>808</v>
      </c>
      <c r="E67" s="1767">
        <f>IF((AL67&lt;10),SUM((U67+(ROUNDUP((AL67*AM67),2)))),SUM((U67+(ROUNDUP(((9*AM67)+DT67),2)))))</f>
        <v>21</v>
      </c>
      <c r="F67" s="1767">
        <f>IF((AL67&lt;10),SUM((V67+(ROUNDUP((AL67*AN67),2)))),SUM((V67+(ROUNDUP(((9*AN67)+DU67),2)))))</f>
        <v>31.12</v>
      </c>
      <c r="G67" s="1767">
        <f>W67</f>
        <v>10</v>
      </c>
      <c r="H67" s="1766">
        <f>X67</f>
        <v>0</v>
      </c>
      <c r="I67" s="1767">
        <f>Y67</f>
        <v>900</v>
      </c>
      <c r="J67" s="1767">
        <f>IF((AL67&lt;10),SUM((Z67+(ROUNDUP((AL67*AQ67),2)))),SUM((Z67+(ROUNDUP(((9*AQ67)+DX67),2)))))</f>
        <v>1422.23</v>
      </c>
      <c r="K67" s="1767">
        <f>IF((AL67&lt;10),SUM((AA67+(ROUNDUP((AL67*AR67),2)))),SUM((AA67+(ROUNDUP(((9*AR67)+DY67),2)))))</f>
        <v>1133.3399999999999</v>
      </c>
      <c r="L67" s="1767">
        <f>AB67</f>
        <v>200</v>
      </c>
      <c r="M67" s="1767">
        <f>IF((AL67&lt;10),SUM((AC67+(ROUNDUP((AL67*AT67),2)))),SUM((AC67+(ROUNDUP(((9*AT67)+EA67),2)))))</f>
        <v>100</v>
      </c>
      <c r="N67" s="1767">
        <f>IF((AL67&lt;10),SUM((AD67+(ROUNDUP((AL67*AU67),2)))),SUM((AD67+(ROUNDUP(((9*AU67)+EB67),2)))))</f>
        <v>5</v>
      </c>
      <c r="O67" s="1767">
        <f>IF((AL67&lt;10),SUM((AE67+(ROUNDUP((AL67*AV67),2)))),SUM((AE67+(ROUNDUP(((9*AV67)+EC67),2)))))</f>
        <v>4</v>
      </c>
      <c r="P67" s="1767">
        <f>AF67</f>
        <v>45</v>
      </c>
      <c r="Q67" s="1767">
        <f>IF((AL67&lt;10),SUM((AG67+(ROUNDUP((AL67*AX67),2)))),SUM((AG67+(ROUNDUP(((9*AX67)+EE67),2)))))</f>
        <v>19444.45</v>
      </c>
      <c r="R67" s="1767">
        <f t="shared" ref="R67:S67" si="349">IF((AM67&lt;10),SUM((AH67+(ROUNDUP((AM67*AY67),2)))),SUM((AH67+(ROUNDUP(((9*AY67)+EF67),2)))))</f>
        <v>0</v>
      </c>
      <c r="S67" s="1767">
        <f t="shared" si="349"/>
        <v>0</v>
      </c>
      <c r="T67" s="190"/>
      <c r="U67" s="568">
        <v>20</v>
      </c>
      <c r="V67" s="563">
        <v>30</v>
      </c>
      <c r="W67" s="563">
        <v>10</v>
      </c>
      <c r="X67" s="563">
        <v>0</v>
      </c>
      <c r="Y67" s="563">
        <v>900</v>
      </c>
      <c r="Z67" s="563">
        <v>1400</v>
      </c>
      <c r="AA67" s="563">
        <v>1100</v>
      </c>
      <c r="AB67" s="563">
        <v>200</v>
      </c>
      <c r="AC67" s="563">
        <v>100</v>
      </c>
      <c r="AD67" s="563">
        <v>5</v>
      </c>
      <c r="AE67" s="563">
        <v>4</v>
      </c>
      <c r="AF67" s="563">
        <v>45</v>
      </c>
      <c r="AG67" s="850">
        <v>17500</v>
      </c>
      <c r="AH67" s="563"/>
      <c r="AI67" s="563"/>
      <c r="AJ67" s="96"/>
      <c r="AK67" s="96"/>
      <c r="AL67" s="576">
        <f t="shared" si="101"/>
        <v>1</v>
      </c>
      <c r="AM67" s="572">
        <f>SUM((U67/20))</f>
        <v>1</v>
      </c>
      <c r="AN67" s="572">
        <f>SUM((V67/27))</f>
        <v>1.1111111111111112</v>
      </c>
      <c r="AO67" s="572"/>
      <c r="AP67" s="572"/>
      <c r="AQ67" s="572">
        <f>SUM((200/9))</f>
        <v>22.222222222222221</v>
      </c>
      <c r="AR67" s="572">
        <f>SUM((300/9))</f>
        <v>33.333333333333336</v>
      </c>
      <c r="AS67" s="572"/>
      <c r="AT67" s="572"/>
      <c r="AU67" s="572"/>
      <c r="AV67" s="572"/>
      <c r="AW67" s="583"/>
      <c r="AX67" s="572">
        <f>SUM((AG67/9))</f>
        <v>1944.4444444444443</v>
      </c>
      <c r="AY67" s="572"/>
      <c r="AZ67" s="572"/>
      <c r="BA67" s="96"/>
      <c r="BB67" s="576"/>
      <c r="BC67" s="572">
        <f t="shared" ref="BC67:BN71" si="350">SUM(((AM67*0.9)*1))</f>
        <v>0.9</v>
      </c>
      <c r="BD67" s="572">
        <f t="shared" si="350"/>
        <v>1</v>
      </c>
      <c r="BE67" s="572">
        <f t="shared" si="350"/>
        <v>0</v>
      </c>
      <c r="BF67" s="572">
        <f t="shared" si="350"/>
        <v>0</v>
      </c>
      <c r="BG67" s="572">
        <f t="shared" si="350"/>
        <v>20</v>
      </c>
      <c r="BH67" s="572">
        <f t="shared" si="350"/>
        <v>30.000000000000004</v>
      </c>
      <c r="BI67" s="572">
        <f t="shared" si="350"/>
        <v>0</v>
      </c>
      <c r="BJ67" s="572">
        <f t="shared" si="350"/>
        <v>0</v>
      </c>
      <c r="BK67" s="572">
        <f t="shared" si="350"/>
        <v>0</v>
      </c>
      <c r="BL67" s="572">
        <f t="shared" si="350"/>
        <v>0</v>
      </c>
      <c r="BM67" s="583">
        <f t="shared" si="350"/>
        <v>0</v>
      </c>
      <c r="BN67" s="572">
        <f t="shared" si="350"/>
        <v>1750</v>
      </c>
      <c r="BO67" s="96"/>
      <c r="BP67" s="576"/>
      <c r="BQ67" s="572">
        <f t="shared" ref="BQ67:CB71" si="351">SUM(((AM67*0.9)*0.9))</f>
        <v>0.81</v>
      </c>
      <c r="BR67" s="572">
        <f t="shared" si="351"/>
        <v>0.9</v>
      </c>
      <c r="BS67" s="572">
        <f t="shared" si="351"/>
        <v>0</v>
      </c>
      <c r="BT67" s="572">
        <f t="shared" si="351"/>
        <v>0</v>
      </c>
      <c r="BU67" s="572">
        <f t="shared" si="351"/>
        <v>18</v>
      </c>
      <c r="BV67" s="572">
        <f t="shared" si="351"/>
        <v>27.000000000000004</v>
      </c>
      <c r="BW67" s="572">
        <f t="shared" si="351"/>
        <v>0</v>
      </c>
      <c r="BX67" s="572">
        <f t="shared" si="351"/>
        <v>0</v>
      </c>
      <c r="BY67" s="572">
        <f t="shared" si="351"/>
        <v>0</v>
      </c>
      <c r="BZ67" s="572">
        <f t="shared" si="351"/>
        <v>0</v>
      </c>
      <c r="CA67" s="583">
        <f t="shared" si="351"/>
        <v>0</v>
      </c>
      <c r="CB67" s="572">
        <f t="shared" si="351"/>
        <v>1575</v>
      </c>
      <c r="CC67" s="96"/>
      <c r="CD67" s="576"/>
      <c r="CE67" s="572">
        <f t="shared" ref="CE67:CP71" si="352">SUM(((AM67*0.9)*0.8))</f>
        <v>0.72000000000000008</v>
      </c>
      <c r="CF67" s="572">
        <f t="shared" si="352"/>
        <v>0.8</v>
      </c>
      <c r="CG67" s="572">
        <f t="shared" si="352"/>
        <v>0</v>
      </c>
      <c r="CH67" s="572">
        <f t="shared" si="352"/>
        <v>0</v>
      </c>
      <c r="CI67" s="572">
        <f t="shared" si="352"/>
        <v>16</v>
      </c>
      <c r="CJ67" s="572">
        <f t="shared" si="352"/>
        <v>24.000000000000004</v>
      </c>
      <c r="CK67" s="572">
        <f t="shared" si="352"/>
        <v>0</v>
      </c>
      <c r="CL67" s="572">
        <f t="shared" si="352"/>
        <v>0</v>
      </c>
      <c r="CM67" s="572">
        <f t="shared" si="352"/>
        <v>0</v>
      </c>
      <c r="CN67" s="572">
        <f t="shared" si="352"/>
        <v>0</v>
      </c>
      <c r="CO67" s="583">
        <f t="shared" si="352"/>
        <v>0</v>
      </c>
      <c r="CP67" s="572">
        <f t="shared" si="352"/>
        <v>1400</v>
      </c>
      <c r="CQ67" s="96"/>
      <c r="CR67" s="576"/>
      <c r="CS67" s="572">
        <f t="shared" ref="CS67:DD71" si="353">SUM(((AM67*0.9)*0.7))</f>
        <v>0.63</v>
      </c>
      <c r="CT67" s="572">
        <f t="shared" si="353"/>
        <v>0.7</v>
      </c>
      <c r="CU67" s="572">
        <f t="shared" si="353"/>
        <v>0</v>
      </c>
      <c r="CV67" s="572">
        <f t="shared" si="353"/>
        <v>0</v>
      </c>
      <c r="CW67" s="572">
        <f t="shared" si="353"/>
        <v>14</v>
      </c>
      <c r="CX67" s="572">
        <f t="shared" si="353"/>
        <v>21</v>
      </c>
      <c r="CY67" s="572">
        <f t="shared" si="353"/>
        <v>0</v>
      </c>
      <c r="CZ67" s="572">
        <f t="shared" si="353"/>
        <v>0</v>
      </c>
      <c r="DA67" s="572">
        <f t="shared" si="353"/>
        <v>0</v>
      </c>
      <c r="DB67" s="572">
        <f t="shared" si="353"/>
        <v>0</v>
      </c>
      <c r="DC67" s="583">
        <f t="shared" si="353"/>
        <v>0</v>
      </c>
      <c r="DD67" s="572">
        <f t="shared" si="353"/>
        <v>1225</v>
      </c>
      <c r="DE67" s="96"/>
      <c r="DF67" s="576"/>
      <c r="DG67" s="572">
        <f t="shared" ref="DG67:DR71" si="354">SUM(((AM67*0.9)*0.6))</f>
        <v>0.54</v>
      </c>
      <c r="DH67" s="572">
        <f t="shared" si="354"/>
        <v>0.6</v>
      </c>
      <c r="DI67" s="572">
        <f t="shared" si="354"/>
        <v>0</v>
      </c>
      <c r="DJ67" s="572">
        <f t="shared" si="354"/>
        <v>0</v>
      </c>
      <c r="DK67" s="572">
        <f t="shared" si="354"/>
        <v>12</v>
      </c>
      <c r="DL67" s="572">
        <f t="shared" si="354"/>
        <v>18</v>
      </c>
      <c r="DM67" s="572">
        <f t="shared" si="354"/>
        <v>0</v>
      </c>
      <c r="DN67" s="572">
        <f t="shared" si="354"/>
        <v>0</v>
      </c>
      <c r="DO67" s="572">
        <f t="shared" si="354"/>
        <v>0</v>
      </c>
      <c r="DP67" s="572">
        <f t="shared" si="354"/>
        <v>0</v>
      </c>
      <c r="DQ67" s="577">
        <f t="shared" si="354"/>
        <v>0</v>
      </c>
      <c r="DR67" s="96">
        <f t="shared" si="354"/>
        <v>1050</v>
      </c>
      <c r="DS67" s="96"/>
      <c r="DT67" s="96" t="e">
        <f>CHOOSE((AL67-9),BC67,(BC67+BQ67),((BC67+BQ67)+CE67),(((BC67+BQ67)+CE67)+CS67),((((BC67+BQ67)+CE67)+CS67)+DG67),)</f>
        <v>#VALUE!</v>
      </c>
      <c r="DU67" s="96" t="e">
        <f>CHOOSE((AL67-9),BD67,(BD67+BR67),((BD67+BR67)+CF67),(((BD67+BR67)+CF67)+CT67),((((BD67+BR67)+CF67)+CT67)+DH67),)</f>
        <v>#VALUE!</v>
      </c>
      <c r="DV67" s="96" t="e">
        <f>CHOOSE((AL67-9),BE67,(BE67+BS67),((BE67+BS67)+CG67),(((BE67+BS67)+CG67)+CU67),((((BE67+BS67)+CG67)+CU67)+DI67),)</f>
        <v>#VALUE!</v>
      </c>
      <c r="DW67" s="96" t="e">
        <f>CHOOSE((AL67-9),BF67,(BF67+BT67),((BF67+BT67)+CH67),(((BF67+BT67)+CH67)+CV67),((((BF67+BT67)+CH67)+CV67)+DJ67),)</f>
        <v>#VALUE!</v>
      </c>
      <c r="DX67" s="96" t="e">
        <f>CHOOSE((AL67-9),BG67,(BG67+BU67),((BG67+BU67)+CI67),(((BG67+BU67)+CI67)+CW67),((((BG67+BU67)+CI67)+CW67)+DK67),)</f>
        <v>#VALUE!</v>
      </c>
      <c r="DY67" s="96" t="e">
        <f>CHOOSE((AL67-9),BH67,(BH67+BV67),((BH67+BV67)+CJ67),(((BH67+BV67)+CJ67)+CX67),((((BH67+BV67)+CJ67)+CX67)+DL67),)</f>
        <v>#VALUE!</v>
      </c>
      <c r="DZ67" s="96" t="e">
        <f>CHOOSE((AL67-9),BI67,(BI67+BW67),((BI67+BW67)+CK67),(((BI67+BW67)+CK67)+CY67),((((BI67+BW67)+CK67)+CY67)+DM67),)</f>
        <v>#VALUE!</v>
      </c>
      <c r="EA67" s="96" t="e">
        <f>CHOOSE((AL67-9),BJ67,(BJ67+BX67),((BJ67+BX67)+CL67),(((BJ67+BX67)+CL67)+CZ67),((((BJ67+BX67)+CL67)+CZ67)+DN67),)</f>
        <v>#VALUE!</v>
      </c>
      <c r="EB67" s="96" t="e">
        <f>CHOOSE((AL67-9),BK67,(BK67+BY67),((BK67+BY67)+CM67),(((BK67+BY67)+CM67)+DA67),((((BK67+BY67)+CM67)+DA67)+DO67),)</f>
        <v>#VALUE!</v>
      </c>
      <c r="EC67" s="96" t="e">
        <f>CHOOSE((AL67-9),BL67,(BL67+BZ67),((BL67+BZ67)+CN67),(((BL67+BZ67)+CN67)+DB67),((((BL67+BZ67)+CN67)+DB67)+DP67),)</f>
        <v>#VALUE!</v>
      </c>
      <c r="ED67" s="96" t="e">
        <f>CHOOSE((AL67-9),BM67,(BM67+CA67),((BM67+CA67)+CO67),(((BM67+CA67)+CO67)+DC67),((((BM67+CA67)+CO67)+DC67)+DQ67),)</f>
        <v>#VALUE!</v>
      </c>
      <c r="EE67" s="96" t="e">
        <f>CHOOSE((AL67-9),BN67,(BN67+CB67),((BN67+CB67)+CP67),(((BN67+CB67)+CP67)+DD67),((((BN67+CB67)+CP67)+DD67)+DR67),)</f>
        <v>#VALUE!</v>
      </c>
    </row>
    <row r="68" spans="2:135">
      <c r="B68" s="2518"/>
      <c r="C68" s="1772">
        <v>4003</v>
      </c>
      <c r="D68" s="1763" t="s">
        <v>110</v>
      </c>
      <c r="E68" s="1767">
        <f>IF((AL68&lt;10),SUM((U68+(ROUNDUP((AL68*AM68),2)))),SUM((U68+(ROUNDUP(((9*AM68)+DT68),2)))))</f>
        <v>10</v>
      </c>
      <c r="F68" s="1767">
        <f>IF((AL68&lt;10),SUM((V68+(ROUNDUP((AL68*AN68),2)))),SUM((V68+(ROUNDUP(((9*AN68)+DU68),2)))))</f>
        <v>30</v>
      </c>
      <c r="G68" s="1767">
        <f>W68</f>
        <v>10</v>
      </c>
      <c r="H68" s="1766">
        <f t="shared" ref="H68:H69" si="355">X68</f>
        <v>0</v>
      </c>
      <c r="I68" s="1767">
        <f>Y68</f>
        <v>500</v>
      </c>
      <c r="J68" s="1767">
        <f>IF((AL68&lt;10),SUM((Z68+(ROUNDUP((AL68*AQ68),2)))),SUM((Z68+(ROUNDUP(((9*AQ68)+DX68),2)))))</f>
        <v>1527.78</v>
      </c>
      <c r="K68" s="1767">
        <f>IF((AL68&lt;10),SUM((AA68+(ROUNDUP((AL68*AR68),2)))),SUM((AA68+(ROUNDUP(((9*AR68)+DY68),2)))))</f>
        <v>1127.78</v>
      </c>
      <c r="L68" s="1767">
        <f>AB68</f>
        <v>200</v>
      </c>
      <c r="M68" s="1767">
        <f>IF((AL68&lt;10),SUM((AC68+(ROUNDUP((AL68*AT68),2)))),SUM((AC68+(ROUNDUP(((9*AT68)+EA68),2)))))</f>
        <v>100</v>
      </c>
      <c r="N68" s="1767">
        <f>IF((AL68&lt;10),SUM((AD68+(ROUNDUP((AL68*AU68),2)))),SUM((AD68+(ROUNDUP(((9*AU68)+EB68),2)))))</f>
        <v>5</v>
      </c>
      <c r="O68" s="1767">
        <f>IF((AL68&lt;10),SUM((AE68+(ROUNDUP((AL68*AV68),2)))),SUM((AE68+(ROUNDUP(((9*AV68)+EC68),2)))))</f>
        <v>7</v>
      </c>
      <c r="P68" s="1767">
        <f>AF68</f>
        <v>180</v>
      </c>
      <c r="Q68" s="1767">
        <f>IF((AL68&lt;10),SUM((AG68+(ROUNDUP((AL68*AX68),2)))),SUM((AG68+(ROUNDUP(((9*AX68)+EE68),2)))))</f>
        <v>19444.45</v>
      </c>
      <c r="R68" s="1767">
        <f t="shared" ref="R68:R75" si="356">IF((AM68&lt;10),SUM((AH68+(ROUNDUP((AM68*AY68),2)))),SUM((AH68+(ROUNDUP(((9*AY68)+EF68),2)))))</f>
        <v>0</v>
      </c>
      <c r="S68" s="1767">
        <f t="shared" ref="S68:S75" si="357">IF((AN68&lt;10),SUM((AI68+(ROUNDUP((AN68*AZ68),2)))),SUM((AI68+(ROUNDUP(((9*AZ68)+EG68),2)))))</f>
        <v>0</v>
      </c>
      <c r="T68" s="190"/>
      <c r="U68" s="568">
        <v>10</v>
      </c>
      <c r="V68" s="563">
        <v>30</v>
      </c>
      <c r="W68" s="563">
        <v>10</v>
      </c>
      <c r="X68" s="563">
        <v>0</v>
      </c>
      <c r="Y68" s="563">
        <v>500</v>
      </c>
      <c r="Z68" s="563">
        <v>1500</v>
      </c>
      <c r="AA68" s="563">
        <v>1100</v>
      </c>
      <c r="AB68" s="563">
        <v>200</v>
      </c>
      <c r="AC68" s="563">
        <v>100</v>
      </c>
      <c r="AD68" s="563">
        <v>5</v>
      </c>
      <c r="AE68" s="563">
        <v>7</v>
      </c>
      <c r="AF68" s="563">
        <v>180</v>
      </c>
      <c r="AG68" s="850">
        <v>17500</v>
      </c>
      <c r="AH68" s="563"/>
      <c r="AI68" s="563"/>
      <c r="AJ68" s="96"/>
      <c r="AK68" s="96"/>
      <c r="AL68" s="576">
        <f t="shared" si="101"/>
        <v>1</v>
      </c>
      <c r="AM68" s="572"/>
      <c r="AN68" s="572"/>
      <c r="AO68" s="572"/>
      <c r="AP68" s="572"/>
      <c r="AQ68" s="572">
        <f>SUM((250/9))</f>
        <v>27.777777777777779</v>
      </c>
      <c r="AR68" s="572">
        <f>SUM((250/9))</f>
        <v>27.777777777777779</v>
      </c>
      <c r="AS68" s="572"/>
      <c r="AT68" s="572"/>
      <c r="AU68" s="572"/>
      <c r="AV68" s="572"/>
      <c r="AW68" s="583"/>
      <c r="AX68" s="572">
        <f>SUM((AG68/9))</f>
        <v>1944.4444444444443</v>
      </c>
      <c r="AY68" s="572"/>
      <c r="AZ68" s="572"/>
      <c r="BA68" s="96"/>
      <c r="BB68" s="576"/>
      <c r="BC68" s="572">
        <f t="shared" si="350"/>
        <v>0</v>
      </c>
      <c r="BD68" s="572">
        <f t="shared" si="350"/>
        <v>0</v>
      </c>
      <c r="BE68" s="572">
        <f t="shared" si="350"/>
        <v>0</v>
      </c>
      <c r="BF68" s="572">
        <f t="shared" si="350"/>
        <v>0</v>
      </c>
      <c r="BG68" s="572">
        <f t="shared" si="350"/>
        <v>25</v>
      </c>
      <c r="BH68" s="572">
        <f t="shared" si="350"/>
        <v>25</v>
      </c>
      <c r="BI68" s="572">
        <f t="shared" si="350"/>
        <v>0</v>
      </c>
      <c r="BJ68" s="572">
        <f t="shared" si="350"/>
        <v>0</v>
      </c>
      <c r="BK68" s="572">
        <f t="shared" si="350"/>
        <v>0</v>
      </c>
      <c r="BL68" s="572">
        <f t="shared" si="350"/>
        <v>0</v>
      </c>
      <c r="BM68" s="583">
        <f t="shared" si="350"/>
        <v>0</v>
      </c>
      <c r="BN68" s="572">
        <f t="shared" si="350"/>
        <v>1750</v>
      </c>
      <c r="BO68" s="96"/>
      <c r="BP68" s="576"/>
      <c r="BQ68" s="572">
        <f t="shared" si="351"/>
        <v>0</v>
      </c>
      <c r="BR68" s="572">
        <f t="shared" si="351"/>
        <v>0</v>
      </c>
      <c r="BS68" s="572">
        <f t="shared" si="351"/>
        <v>0</v>
      </c>
      <c r="BT68" s="572">
        <f t="shared" si="351"/>
        <v>0</v>
      </c>
      <c r="BU68" s="572">
        <f t="shared" si="351"/>
        <v>22.5</v>
      </c>
      <c r="BV68" s="572">
        <f t="shared" si="351"/>
        <v>22.5</v>
      </c>
      <c r="BW68" s="572">
        <f t="shared" si="351"/>
        <v>0</v>
      </c>
      <c r="BX68" s="572">
        <f t="shared" si="351"/>
        <v>0</v>
      </c>
      <c r="BY68" s="572">
        <f t="shared" si="351"/>
        <v>0</v>
      </c>
      <c r="BZ68" s="572">
        <f t="shared" si="351"/>
        <v>0</v>
      </c>
      <c r="CA68" s="583">
        <f t="shared" si="351"/>
        <v>0</v>
      </c>
      <c r="CB68" s="572">
        <f t="shared" si="351"/>
        <v>1575</v>
      </c>
      <c r="CC68" s="96"/>
      <c r="CD68" s="576"/>
      <c r="CE68" s="572">
        <f t="shared" si="352"/>
        <v>0</v>
      </c>
      <c r="CF68" s="572">
        <f t="shared" si="352"/>
        <v>0</v>
      </c>
      <c r="CG68" s="572">
        <f t="shared" si="352"/>
        <v>0</v>
      </c>
      <c r="CH68" s="572">
        <f t="shared" si="352"/>
        <v>0</v>
      </c>
      <c r="CI68" s="572">
        <f t="shared" si="352"/>
        <v>20</v>
      </c>
      <c r="CJ68" s="572">
        <f t="shared" si="352"/>
        <v>20</v>
      </c>
      <c r="CK68" s="572">
        <f t="shared" si="352"/>
        <v>0</v>
      </c>
      <c r="CL68" s="572">
        <f t="shared" si="352"/>
        <v>0</v>
      </c>
      <c r="CM68" s="572">
        <f t="shared" si="352"/>
        <v>0</v>
      </c>
      <c r="CN68" s="572">
        <f t="shared" si="352"/>
        <v>0</v>
      </c>
      <c r="CO68" s="583">
        <f t="shared" si="352"/>
        <v>0</v>
      </c>
      <c r="CP68" s="572">
        <f t="shared" si="352"/>
        <v>1400</v>
      </c>
      <c r="CQ68" s="96"/>
      <c r="CR68" s="576"/>
      <c r="CS68" s="572">
        <f t="shared" si="353"/>
        <v>0</v>
      </c>
      <c r="CT68" s="572">
        <f t="shared" si="353"/>
        <v>0</v>
      </c>
      <c r="CU68" s="572">
        <f t="shared" si="353"/>
        <v>0</v>
      </c>
      <c r="CV68" s="572">
        <f t="shared" si="353"/>
        <v>0</v>
      </c>
      <c r="CW68" s="572">
        <f t="shared" si="353"/>
        <v>17.5</v>
      </c>
      <c r="CX68" s="572">
        <f t="shared" si="353"/>
        <v>17.5</v>
      </c>
      <c r="CY68" s="572">
        <f t="shared" si="353"/>
        <v>0</v>
      </c>
      <c r="CZ68" s="572">
        <f t="shared" si="353"/>
        <v>0</v>
      </c>
      <c r="DA68" s="572">
        <f t="shared" si="353"/>
        <v>0</v>
      </c>
      <c r="DB68" s="572">
        <f t="shared" si="353"/>
        <v>0</v>
      </c>
      <c r="DC68" s="583">
        <f t="shared" si="353"/>
        <v>0</v>
      </c>
      <c r="DD68" s="572">
        <f t="shared" si="353"/>
        <v>1225</v>
      </c>
      <c r="DE68" s="96"/>
      <c r="DF68" s="576"/>
      <c r="DG68" s="572">
        <f t="shared" si="354"/>
        <v>0</v>
      </c>
      <c r="DH68" s="572">
        <f t="shared" si="354"/>
        <v>0</v>
      </c>
      <c r="DI68" s="572">
        <f t="shared" si="354"/>
        <v>0</v>
      </c>
      <c r="DJ68" s="572">
        <f t="shared" si="354"/>
        <v>0</v>
      </c>
      <c r="DK68" s="572">
        <f t="shared" si="354"/>
        <v>15</v>
      </c>
      <c r="DL68" s="572">
        <f t="shared" si="354"/>
        <v>15</v>
      </c>
      <c r="DM68" s="572">
        <f t="shared" si="354"/>
        <v>0</v>
      </c>
      <c r="DN68" s="572">
        <f t="shared" si="354"/>
        <v>0</v>
      </c>
      <c r="DO68" s="572">
        <f t="shared" si="354"/>
        <v>0</v>
      </c>
      <c r="DP68" s="572">
        <f t="shared" si="354"/>
        <v>0</v>
      </c>
      <c r="DQ68" s="577">
        <f t="shared" si="354"/>
        <v>0</v>
      </c>
      <c r="DR68" s="96">
        <f t="shared" si="354"/>
        <v>1050</v>
      </c>
      <c r="DS68" s="96"/>
      <c r="DT68" s="96" t="e">
        <f>CHOOSE((AL68-9),BC68,(BC68+BQ68),((BC68+BQ68)+CE68),(((BC68+BQ68)+CE68)+CS68),((((BC68+BQ68)+CE68)+CS68)+DG68),)</f>
        <v>#VALUE!</v>
      </c>
      <c r="DU68" s="96" t="e">
        <f>CHOOSE((AL68-9),BD68,(BD68+BR68),((BD68+BR68)+CF68),(((BD68+BR68)+CF68)+CT68),((((BD68+BR68)+CF68)+CT68)+DH68),)</f>
        <v>#VALUE!</v>
      </c>
      <c r="DV68" s="96" t="e">
        <f>CHOOSE((AL68-9),BE68,(BE68+BS68),((BE68+BS68)+CG68),(((BE68+BS68)+CG68)+CU68),((((BE68+BS68)+CG68)+CU68)+DI68),)</f>
        <v>#VALUE!</v>
      </c>
      <c r="DW68" s="96" t="e">
        <f>CHOOSE((AL68-9),BF68,(BF68+BT68),((BF68+BT68)+CH68),(((BF68+BT68)+CH68)+CV68),((((BF68+BT68)+CH68)+CV68)+DJ68),)</f>
        <v>#VALUE!</v>
      </c>
      <c r="DX68" s="96" t="e">
        <f>CHOOSE((AL68-9),BG68,(BG68+BU68),((BG68+BU68)+CI68),(((BG68+BU68)+CI68)+CW68),((((BG68+BU68)+CI68)+CW68)+DK68),)</f>
        <v>#VALUE!</v>
      </c>
      <c r="DY68" s="96" t="e">
        <f>CHOOSE((AL68-9),BH68,(BH68+BV68),((BH68+BV68)+CJ68),(((BH68+BV68)+CJ68)+CX68),((((BH68+BV68)+CJ68)+CX68)+DL68),)</f>
        <v>#VALUE!</v>
      </c>
      <c r="DZ68" s="96" t="e">
        <f>CHOOSE((AL68-9),BI68,(BI68+BW68),((BI68+BW68)+CK68),(((BI68+BW68)+CK68)+CY68),((((BI68+BW68)+CK68)+CY68)+DM68),)</f>
        <v>#VALUE!</v>
      </c>
      <c r="EA68" s="96" t="e">
        <f>CHOOSE((AL68-9),BJ68,(BJ68+BX68),((BJ68+BX68)+CL68),(((BJ68+BX68)+CL68)+CZ68),((((BJ68+BX68)+CL68)+CZ68)+DN68),)</f>
        <v>#VALUE!</v>
      </c>
      <c r="EB68" s="96" t="e">
        <f>CHOOSE((AL68-9),BK68,(BK68+BY68),((BK68+BY68)+CM68),(((BK68+BY68)+CM68)+DA68),((((BK68+BY68)+CM68)+DA68)+DO68),)</f>
        <v>#VALUE!</v>
      </c>
      <c r="EC68" s="96" t="e">
        <f>CHOOSE((AL68-9),BL68,(BL68+BZ68),((BL68+BZ68)+CN68),(((BL68+BZ68)+CN68)+DB68),((((BL68+BZ68)+CN68)+DB68)+DP68),)</f>
        <v>#VALUE!</v>
      </c>
      <c r="ED68" s="96" t="e">
        <f>CHOOSE((AL68-9),BM68,(BM68+CA68),((BM68+CA68)+CO68),(((BM68+CA68)+CO68)+DC68),((((BM68+CA68)+CO68)+DC68)+DQ68),)</f>
        <v>#VALUE!</v>
      </c>
      <c r="EE68" s="96" t="e">
        <f>CHOOSE((AL68-9),BN68,(BN68+CB68),((BN68+CB68)+CP68),(((BN68+CB68)+CP68)+DD68),((((BN68+CB68)+CP68)+DD68)+DR68),)</f>
        <v>#VALUE!</v>
      </c>
    </row>
    <row r="69" spans="2:135" ht="15.75" thickBot="1">
      <c r="B69" s="2519"/>
      <c r="C69" s="1773">
        <v>4004</v>
      </c>
      <c r="D69" s="1763" t="s">
        <v>111</v>
      </c>
      <c r="E69" s="1767">
        <f>IF((AL69&lt;10),SUM((U69+(ROUNDUP((AL69*AM69),2)))),SUM((U69+(ROUNDUP(((9*AM69)+DT69),2)))))</f>
        <v>1</v>
      </c>
      <c r="F69" s="1767">
        <f>IF((AL69&lt;10),SUM((V69+(ROUNDUP((AL69*AN69),2)))),SUM((V69+(ROUNDUP(((9*AN69)+DU69),2)))))</f>
        <v>10</v>
      </c>
      <c r="G69" s="1767">
        <f>W69</f>
        <v>10</v>
      </c>
      <c r="H69" s="1766">
        <f t="shared" si="355"/>
        <v>0</v>
      </c>
      <c r="I69" s="1767">
        <f>Y69</f>
        <v>0</v>
      </c>
      <c r="J69" s="1767">
        <f>IF((AL69&lt;10),SUM((Z69+(ROUNDUP((AL69*AQ69),2)))),SUM((Z69+(ROUNDUP(((9*AQ69)+DX69),2)))))</f>
        <v>1033.3399999999999</v>
      </c>
      <c r="K69" s="1767">
        <f>IF((AL69&lt;10),SUM((AA69+(ROUNDUP((AL69*AR69),2)))),SUM((AA69+(ROUNDUP(((9*AR69)+DY69),2)))))</f>
        <v>733.34</v>
      </c>
      <c r="L69" s="1767">
        <f>AB69</f>
        <v>300</v>
      </c>
      <c r="M69" s="1767">
        <f>IF((AL69&lt;10),SUM((AC69+(ROUNDUP((AL69*AT69),2)))),SUM((AC69+(ROUNDUP(((9*AT69)+EA69),2)))))</f>
        <v>100</v>
      </c>
      <c r="N69" s="1767">
        <f>IF((AL69&lt;10),SUM((AD69+(ROUNDUP((AL69*AU69),2)))),SUM((AD69+(ROUNDUP(((9*AU69)+EB69),2)))))</f>
        <v>0.5</v>
      </c>
      <c r="O69" s="1767">
        <f>IF((AL69&lt;10),SUM((AE69+(ROUNDUP((AL69*AV69),2)))),SUM((AE69+(ROUNDUP(((9*AV69)+EC69),2)))))</f>
        <v>3</v>
      </c>
      <c r="P69" s="1767">
        <f>AF69</f>
        <v>180</v>
      </c>
      <c r="Q69" s="1767">
        <f>IF((AL69&lt;10),SUM((AG69+(ROUNDUP((AL69*AX69),2)))),SUM((AG69+(ROUNDUP(((9*AX69)+EE69),2)))))</f>
        <v>19444.45</v>
      </c>
      <c r="R69" s="1767">
        <f t="shared" si="356"/>
        <v>0</v>
      </c>
      <c r="S69" s="1767">
        <f t="shared" si="357"/>
        <v>0</v>
      </c>
      <c r="T69" s="190"/>
      <c r="U69" s="568">
        <v>1</v>
      </c>
      <c r="V69" s="563">
        <v>10</v>
      </c>
      <c r="W69" s="563">
        <v>10</v>
      </c>
      <c r="X69" s="563">
        <v>0</v>
      </c>
      <c r="Y69" s="563">
        <v>0</v>
      </c>
      <c r="Z69" s="563">
        <v>1000</v>
      </c>
      <c r="AA69" s="563">
        <v>700</v>
      </c>
      <c r="AB69" s="563">
        <v>300</v>
      </c>
      <c r="AC69" s="563">
        <v>100</v>
      </c>
      <c r="AD69" s="563">
        <v>0.5</v>
      </c>
      <c r="AE69" s="563">
        <v>3</v>
      </c>
      <c r="AF69" s="563">
        <v>180</v>
      </c>
      <c r="AG69" s="850">
        <v>17500</v>
      </c>
      <c r="AH69" s="563"/>
      <c r="AI69" s="563"/>
      <c r="AJ69" s="96"/>
      <c r="AK69" s="96"/>
      <c r="AL69" s="576">
        <f t="shared" si="101"/>
        <v>1</v>
      </c>
      <c r="AM69" s="572"/>
      <c r="AN69" s="572"/>
      <c r="AO69" s="572"/>
      <c r="AP69" s="572"/>
      <c r="AQ69" s="572">
        <f>SUM((300/9))</f>
        <v>33.333333333333336</v>
      </c>
      <c r="AR69" s="572">
        <f>SUM((300/9))</f>
        <v>33.333333333333336</v>
      </c>
      <c r="AS69" s="572"/>
      <c r="AT69" s="572"/>
      <c r="AU69" s="572"/>
      <c r="AV69" s="572"/>
      <c r="AW69" s="583"/>
      <c r="AX69" s="572">
        <f>SUM((AG69/9))</f>
        <v>1944.4444444444443</v>
      </c>
      <c r="AY69" s="572"/>
      <c r="AZ69" s="572"/>
      <c r="BA69" s="96"/>
      <c r="BB69" s="576"/>
      <c r="BC69" s="572">
        <f t="shared" si="350"/>
        <v>0</v>
      </c>
      <c r="BD69" s="572">
        <f t="shared" si="350"/>
        <v>0</v>
      </c>
      <c r="BE69" s="572">
        <f t="shared" si="350"/>
        <v>0</v>
      </c>
      <c r="BF69" s="572">
        <f t="shared" si="350"/>
        <v>0</v>
      </c>
      <c r="BG69" s="572">
        <f t="shared" si="350"/>
        <v>30.000000000000004</v>
      </c>
      <c r="BH69" s="572">
        <f t="shared" si="350"/>
        <v>30.000000000000004</v>
      </c>
      <c r="BI69" s="572">
        <f t="shared" si="350"/>
        <v>0</v>
      </c>
      <c r="BJ69" s="572">
        <f t="shared" si="350"/>
        <v>0</v>
      </c>
      <c r="BK69" s="572">
        <f t="shared" si="350"/>
        <v>0</v>
      </c>
      <c r="BL69" s="572">
        <f t="shared" si="350"/>
        <v>0</v>
      </c>
      <c r="BM69" s="583">
        <f t="shared" si="350"/>
        <v>0</v>
      </c>
      <c r="BN69" s="572">
        <f t="shared" si="350"/>
        <v>1750</v>
      </c>
      <c r="BO69" s="96"/>
      <c r="BP69" s="576"/>
      <c r="BQ69" s="572">
        <f t="shared" si="351"/>
        <v>0</v>
      </c>
      <c r="BR69" s="572">
        <f t="shared" si="351"/>
        <v>0</v>
      </c>
      <c r="BS69" s="572">
        <f t="shared" si="351"/>
        <v>0</v>
      </c>
      <c r="BT69" s="572">
        <f t="shared" si="351"/>
        <v>0</v>
      </c>
      <c r="BU69" s="572">
        <f t="shared" si="351"/>
        <v>27.000000000000004</v>
      </c>
      <c r="BV69" s="572">
        <f t="shared" si="351"/>
        <v>27.000000000000004</v>
      </c>
      <c r="BW69" s="572">
        <f t="shared" si="351"/>
        <v>0</v>
      </c>
      <c r="BX69" s="572">
        <f t="shared" si="351"/>
        <v>0</v>
      </c>
      <c r="BY69" s="572">
        <f t="shared" si="351"/>
        <v>0</v>
      </c>
      <c r="BZ69" s="572">
        <f t="shared" si="351"/>
        <v>0</v>
      </c>
      <c r="CA69" s="583">
        <f t="shared" si="351"/>
        <v>0</v>
      </c>
      <c r="CB69" s="572">
        <f t="shared" si="351"/>
        <v>1575</v>
      </c>
      <c r="CC69" s="96"/>
      <c r="CD69" s="576"/>
      <c r="CE69" s="572">
        <f t="shared" si="352"/>
        <v>0</v>
      </c>
      <c r="CF69" s="572">
        <f t="shared" si="352"/>
        <v>0</v>
      </c>
      <c r="CG69" s="572">
        <f t="shared" si="352"/>
        <v>0</v>
      </c>
      <c r="CH69" s="572">
        <f t="shared" si="352"/>
        <v>0</v>
      </c>
      <c r="CI69" s="572">
        <f t="shared" si="352"/>
        <v>24.000000000000004</v>
      </c>
      <c r="CJ69" s="572">
        <f t="shared" si="352"/>
        <v>24.000000000000004</v>
      </c>
      <c r="CK69" s="572">
        <f t="shared" si="352"/>
        <v>0</v>
      </c>
      <c r="CL69" s="572">
        <f t="shared" si="352"/>
        <v>0</v>
      </c>
      <c r="CM69" s="572">
        <f t="shared" si="352"/>
        <v>0</v>
      </c>
      <c r="CN69" s="572">
        <f t="shared" si="352"/>
        <v>0</v>
      </c>
      <c r="CO69" s="583">
        <f t="shared" si="352"/>
        <v>0</v>
      </c>
      <c r="CP69" s="572">
        <f t="shared" si="352"/>
        <v>1400</v>
      </c>
      <c r="CQ69" s="96"/>
      <c r="CR69" s="576"/>
      <c r="CS69" s="572">
        <f t="shared" si="353"/>
        <v>0</v>
      </c>
      <c r="CT69" s="572">
        <f t="shared" si="353"/>
        <v>0</v>
      </c>
      <c r="CU69" s="572">
        <f t="shared" si="353"/>
        <v>0</v>
      </c>
      <c r="CV69" s="572">
        <f t="shared" si="353"/>
        <v>0</v>
      </c>
      <c r="CW69" s="572">
        <f t="shared" si="353"/>
        <v>21</v>
      </c>
      <c r="CX69" s="572">
        <f t="shared" si="353"/>
        <v>21</v>
      </c>
      <c r="CY69" s="572">
        <f t="shared" si="353"/>
        <v>0</v>
      </c>
      <c r="CZ69" s="572">
        <f t="shared" si="353"/>
        <v>0</v>
      </c>
      <c r="DA69" s="572">
        <f t="shared" si="353"/>
        <v>0</v>
      </c>
      <c r="DB69" s="572">
        <f t="shared" si="353"/>
        <v>0</v>
      </c>
      <c r="DC69" s="583">
        <f t="shared" si="353"/>
        <v>0</v>
      </c>
      <c r="DD69" s="572">
        <f t="shared" si="353"/>
        <v>1225</v>
      </c>
      <c r="DE69" s="96"/>
      <c r="DF69" s="576"/>
      <c r="DG69" s="572">
        <f t="shared" si="354"/>
        <v>0</v>
      </c>
      <c r="DH69" s="572">
        <f t="shared" si="354"/>
        <v>0</v>
      </c>
      <c r="DI69" s="572">
        <f t="shared" si="354"/>
        <v>0</v>
      </c>
      <c r="DJ69" s="572">
        <f t="shared" si="354"/>
        <v>0</v>
      </c>
      <c r="DK69" s="572">
        <f t="shared" si="354"/>
        <v>18</v>
      </c>
      <c r="DL69" s="572">
        <f t="shared" si="354"/>
        <v>18</v>
      </c>
      <c r="DM69" s="572">
        <f t="shared" si="354"/>
        <v>0</v>
      </c>
      <c r="DN69" s="572">
        <f t="shared" si="354"/>
        <v>0</v>
      </c>
      <c r="DO69" s="572">
        <f t="shared" si="354"/>
        <v>0</v>
      </c>
      <c r="DP69" s="572">
        <f t="shared" si="354"/>
        <v>0</v>
      </c>
      <c r="DQ69" s="577">
        <f t="shared" si="354"/>
        <v>0</v>
      </c>
      <c r="DR69" s="96">
        <f t="shared" si="354"/>
        <v>1050</v>
      </c>
      <c r="DS69" s="96"/>
      <c r="DT69" s="96" t="e">
        <f>CHOOSE((AL69-9),BC69,(BC69+BQ69),((BC69+BQ69)+CE69),(((BC69+BQ69)+CE69)+CS69),((((BC69+BQ69)+CE69)+CS69)+DG69),)</f>
        <v>#VALUE!</v>
      </c>
      <c r="DU69" s="96" t="e">
        <f>CHOOSE((AL69-9),BD69,(BD69+BR69),((BD69+BR69)+CF69),(((BD69+BR69)+CF69)+CT69),((((BD69+BR69)+CF69)+CT69)+DH69),)</f>
        <v>#VALUE!</v>
      </c>
      <c r="DV69" s="96" t="e">
        <f>CHOOSE((AL69-9),BE69,(BE69+BS69),((BE69+BS69)+CG69),(((BE69+BS69)+CG69)+CU69),((((BE69+BS69)+CG69)+CU69)+DI69),)</f>
        <v>#VALUE!</v>
      </c>
      <c r="DW69" s="96" t="e">
        <f>CHOOSE((AL69-9),BF69,(BF69+BT69),((BF69+BT69)+CH69),(((BF69+BT69)+CH69)+CV69),((((BF69+BT69)+CH69)+CV69)+DJ69),)</f>
        <v>#VALUE!</v>
      </c>
      <c r="DX69" s="96" t="e">
        <f>CHOOSE((AL69-9),BG69,(BG69+BU69),((BG69+BU69)+CI69),(((BG69+BU69)+CI69)+CW69),((((BG69+BU69)+CI69)+CW69)+DK69),)</f>
        <v>#VALUE!</v>
      </c>
      <c r="DY69" s="96" t="e">
        <f>CHOOSE((AL69-9),BH69,(BH69+BV69),((BH69+BV69)+CJ69),(((BH69+BV69)+CJ69)+CX69),((((BH69+BV69)+CJ69)+CX69)+DL69),)</f>
        <v>#VALUE!</v>
      </c>
      <c r="DZ69" s="96" t="e">
        <f>CHOOSE((AL69-9),BI69,(BI69+BW69),((BI69+BW69)+CK69),(((BI69+BW69)+CK69)+CY69),((((BI69+BW69)+CK69)+CY69)+DM69),)</f>
        <v>#VALUE!</v>
      </c>
      <c r="EA69" s="96" t="e">
        <f>CHOOSE((AL69-9),BJ69,(BJ69+BX69),((BJ69+BX69)+CL69),(((BJ69+BX69)+CL69)+CZ69),((((BJ69+BX69)+CL69)+CZ69)+DN69),)</f>
        <v>#VALUE!</v>
      </c>
      <c r="EB69" s="96" t="e">
        <f>CHOOSE((AL69-9),BK69,(BK69+BY69),((BK69+BY69)+CM69),(((BK69+BY69)+CM69)+DA69),((((BK69+BY69)+CM69)+DA69)+DO69),)</f>
        <v>#VALUE!</v>
      </c>
      <c r="EC69" s="96" t="e">
        <f>CHOOSE((AL69-9),BL69,(BL69+BZ69),((BL69+BZ69)+CN69),(((BL69+BZ69)+CN69)+DB69),((((BL69+BZ69)+CN69)+DB69)+DP69),)</f>
        <v>#VALUE!</v>
      </c>
      <c r="ED69" s="96" t="e">
        <f>CHOOSE((AL69-9),BM69,(BM69+CA69),((BM69+CA69)+CO69),(((BM69+CA69)+CO69)+DC69),((((BM69+CA69)+CO69)+DC69)+DQ69),)</f>
        <v>#VALUE!</v>
      </c>
      <c r="EE69" s="96" t="e">
        <f>CHOOSE((AL69-9),BN69,(BN69+CB69),((BN69+CB69)+CP69),(((BN69+CB69)+CP69)+DD69),((((BN69+CB69)+CP69)+DD69)+DR69),)</f>
        <v>#VALUE!</v>
      </c>
    </row>
    <row r="70" spans="2:135" s="368" customFormat="1">
      <c r="B70" s="2517" t="s">
        <v>697</v>
      </c>
      <c r="C70" s="1771">
        <v>4010</v>
      </c>
      <c r="D70" s="1763"/>
      <c r="E70" s="1767"/>
      <c r="F70" s="1767"/>
      <c r="G70" s="1767"/>
      <c r="H70" s="1766"/>
      <c r="I70" s="1767"/>
      <c r="J70" s="1767"/>
      <c r="K70" s="1767"/>
      <c r="L70" s="1767"/>
      <c r="M70" s="1767"/>
      <c r="N70" s="1767"/>
      <c r="O70" s="1767"/>
      <c r="P70" s="1767"/>
      <c r="Q70" s="1767"/>
      <c r="R70" s="1767">
        <f t="shared" si="356"/>
        <v>0</v>
      </c>
      <c r="S70" s="1767">
        <f t="shared" si="357"/>
        <v>0</v>
      </c>
      <c r="T70" s="190"/>
      <c r="U70" s="568"/>
      <c r="V70" s="563"/>
      <c r="W70" s="563"/>
      <c r="X70" s="563"/>
      <c r="Y70" s="563"/>
      <c r="Z70" s="563"/>
      <c r="AA70" s="563"/>
      <c r="AB70" s="563"/>
      <c r="AC70" s="563"/>
      <c r="AD70" s="563"/>
      <c r="AE70" s="563"/>
      <c r="AF70" s="563"/>
      <c r="AG70" s="850"/>
      <c r="AH70" s="563"/>
      <c r="AI70" s="563"/>
      <c r="AJ70" s="96"/>
      <c r="AK70" s="96"/>
      <c r="AL70" s="576">
        <f t="shared" si="101"/>
        <v>1</v>
      </c>
      <c r="AM70" s="572"/>
      <c r="AN70" s="572"/>
      <c r="AO70" s="572"/>
      <c r="AP70" s="572"/>
      <c r="AQ70" s="572"/>
      <c r="AR70" s="572"/>
      <c r="AS70" s="572"/>
      <c r="AT70" s="572"/>
      <c r="AU70" s="572"/>
      <c r="AV70" s="572"/>
      <c r="AW70" s="583"/>
      <c r="AX70" s="572"/>
      <c r="AY70" s="572"/>
      <c r="AZ70" s="572"/>
      <c r="BA70" s="96"/>
      <c r="BB70" s="576"/>
      <c r="BC70" s="572"/>
      <c r="BD70" s="572"/>
      <c r="BE70" s="572"/>
      <c r="BF70" s="572"/>
      <c r="BG70" s="572"/>
      <c r="BH70" s="572"/>
      <c r="BI70" s="572"/>
      <c r="BJ70" s="572"/>
      <c r="BK70" s="572"/>
      <c r="BL70" s="572"/>
      <c r="BM70" s="583"/>
      <c r="BN70" s="572"/>
      <c r="BO70" s="96"/>
      <c r="BP70" s="576"/>
      <c r="BQ70" s="572"/>
      <c r="BR70" s="572"/>
      <c r="BS70" s="572"/>
      <c r="BT70" s="572"/>
      <c r="BU70" s="572"/>
      <c r="BV70" s="572"/>
      <c r="BW70" s="572"/>
      <c r="BX70" s="572"/>
      <c r="BY70" s="572"/>
      <c r="BZ70" s="572"/>
      <c r="CA70" s="583"/>
      <c r="CB70" s="572"/>
      <c r="CC70" s="96"/>
      <c r="CD70" s="576"/>
      <c r="CE70" s="572"/>
      <c r="CF70" s="572"/>
      <c r="CG70" s="572"/>
      <c r="CH70" s="572"/>
      <c r="CI70" s="572"/>
      <c r="CJ70" s="572"/>
      <c r="CK70" s="572"/>
      <c r="CL70" s="572"/>
      <c r="CM70" s="572"/>
      <c r="CN70" s="572"/>
      <c r="CO70" s="583"/>
      <c r="CP70" s="572"/>
      <c r="CQ70" s="96"/>
      <c r="CR70" s="576"/>
      <c r="CS70" s="572"/>
      <c r="CT70" s="572"/>
      <c r="CU70" s="572"/>
      <c r="CV70" s="572"/>
      <c r="CW70" s="572"/>
      <c r="CX70" s="572"/>
      <c r="CY70" s="572"/>
      <c r="CZ70" s="572"/>
      <c r="DA70" s="572"/>
      <c r="DB70" s="572"/>
      <c r="DC70" s="583"/>
      <c r="DD70" s="572"/>
      <c r="DE70" s="96"/>
      <c r="DF70" s="576"/>
      <c r="DG70" s="572"/>
      <c r="DH70" s="572"/>
      <c r="DI70" s="572"/>
      <c r="DJ70" s="572"/>
      <c r="DK70" s="572"/>
      <c r="DL70" s="572"/>
      <c r="DM70" s="572"/>
      <c r="DN70" s="572"/>
      <c r="DO70" s="572"/>
      <c r="DP70" s="572"/>
      <c r="DQ70" s="577"/>
      <c r="DR70" s="96"/>
      <c r="DS70" s="96"/>
      <c r="DT70" s="96"/>
      <c r="DU70" s="96"/>
      <c r="DV70" s="96"/>
      <c r="DW70" s="96"/>
      <c r="DX70" s="96"/>
      <c r="DY70" s="96"/>
      <c r="DZ70" s="96"/>
      <c r="EA70" s="96"/>
      <c r="EB70" s="96"/>
      <c r="EC70" s="96"/>
      <c r="ED70" s="96"/>
      <c r="EE70" s="96"/>
    </row>
    <row r="71" spans="2:135">
      <c r="B71" s="2518"/>
      <c r="C71" s="1772">
        <v>4020</v>
      </c>
      <c r="D71" s="1762" t="s">
        <v>1172</v>
      </c>
      <c r="E71" s="1767">
        <f>IF((AL71&lt;10),SUM((U71+(ROUNDUP((AL71*AM71),2)))),SUM((U71+(ROUNDUP(((9*AM71)+DT71),2)))))</f>
        <v>111.12</v>
      </c>
      <c r="F71" s="1767">
        <f>IF((AL71&lt;10),SUM((V71+(ROUNDUP((AL71*AN71),2)))),SUM((V71+(ROUNDUP(((9*AN71)+DU71),2)))))</f>
        <v>137.15</v>
      </c>
      <c r="G71" s="1767">
        <f t="shared" ref="G71:I72" si="358">W71</f>
        <v>50</v>
      </c>
      <c r="H71" s="1766">
        <f t="shared" si="358"/>
        <v>0</v>
      </c>
      <c r="I71" s="1767">
        <f t="shared" si="358"/>
        <v>2300</v>
      </c>
      <c r="J71" s="1767">
        <f>IF((AL71&lt;10),SUM((Z71+(ROUNDUP((AL71*AQ71),2)))),SUM((Z71+(ROUNDUP(((9*AQ71)+DX71),2)))))</f>
        <v>4000</v>
      </c>
      <c r="K71" s="1767">
        <f>IF((AL71&lt;10),SUM((AA71+(ROUNDUP((AL71*AR71),2)))),SUM((AA71+(ROUNDUP(((9*AR71)+DY71),2)))))</f>
        <v>2527.7800000000002</v>
      </c>
      <c r="L71" s="1767">
        <f>AB71</f>
        <v>125</v>
      </c>
      <c r="M71" s="1767">
        <f>IF((AL71&lt;10),SUM((AC71+(ROUNDUP((AL71*AT71),2)))),SUM((AC71+(ROUNDUP(((9*AT71)+EA71),2)))))</f>
        <v>100</v>
      </c>
      <c r="N71" s="1767">
        <f>IF((AL71&lt;10),SUM((AD71+(ROUNDUP((AL71*AU71),2)))),SUM((AD71+(ROUNDUP(((9*AU71)+EB71),2)))))</f>
        <v>15</v>
      </c>
      <c r="O71" s="1767">
        <f>IF((AL71&lt;10),SUM((AE71+(ROUNDUP((AL71*AV71),2)))),SUM((AE71+(ROUNDUP(((9*AV71)+EC71),2)))))</f>
        <v>100</v>
      </c>
      <c r="P71" s="1767">
        <f>AF71</f>
        <v>180</v>
      </c>
      <c r="Q71" s="1767">
        <f>IF((AL71&lt;10),SUM((AG71+(ROUNDUP((AL71*AX71),2)))),SUM((AG71+(ROUNDUP(((9*AX71)+EE71),2)))))</f>
        <v>19444.45</v>
      </c>
      <c r="R71" s="1767">
        <f t="shared" si="356"/>
        <v>0</v>
      </c>
      <c r="S71" s="1767">
        <f t="shared" si="357"/>
        <v>0</v>
      </c>
      <c r="T71" s="190"/>
      <c r="U71" s="568">
        <v>100</v>
      </c>
      <c r="V71" s="563">
        <v>120</v>
      </c>
      <c r="W71" s="563">
        <v>50</v>
      </c>
      <c r="X71" s="563">
        <v>0</v>
      </c>
      <c r="Y71" s="563">
        <v>2300</v>
      </c>
      <c r="Z71" s="563">
        <v>4000</v>
      </c>
      <c r="AA71" s="563">
        <v>2500</v>
      </c>
      <c r="AB71" s="563">
        <v>125</v>
      </c>
      <c r="AC71" s="563">
        <v>100</v>
      </c>
      <c r="AD71" s="563">
        <v>15</v>
      </c>
      <c r="AE71" s="563">
        <v>100</v>
      </c>
      <c r="AF71" s="563">
        <v>180</v>
      </c>
      <c r="AG71" s="850">
        <v>17500</v>
      </c>
      <c r="AH71" s="563"/>
      <c r="AI71" s="563"/>
      <c r="AJ71" s="96"/>
      <c r="AK71" s="96"/>
      <c r="AL71" s="576">
        <f t="shared" si="101"/>
        <v>1</v>
      </c>
      <c r="AM71" s="572">
        <f>SUM((U71/9))</f>
        <v>11.111111111111111</v>
      </c>
      <c r="AN71" s="572">
        <f>SUM((V71/7))</f>
        <v>17.142857142857142</v>
      </c>
      <c r="AO71" s="572"/>
      <c r="AP71" s="572"/>
      <c r="AQ71" s="572"/>
      <c r="AR71" s="572">
        <f>SUM((250/9))</f>
        <v>27.777777777777779</v>
      </c>
      <c r="AS71" s="572"/>
      <c r="AT71" s="572"/>
      <c r="AU71" s="572"/>
      <c r="AV71" s="572"/>
      <c r="AW71" s="583"/>
      <c r="AX71" s="572">
        <f>SUM((AG71/9))</f>
        <v>1944.4444444444443</v>
      </c>
      <c r="AY71" s="572"/>
      <c r="AZ71" s="572"/>
      <c r="BA71" s="96"/>
      <c r="BB71" s="576"/>
      <c r="BC71" s="572">
        <f t="shared" si="350"/>
        <v>10</v>
      </c>
      <c r="BD71" s="572">
        <f t="shared" si="350"/>
        <v>15.428571428571429</v>
      </c>
      <c r="BE71" s="572">
        <f t="shared" si="350"/>
        <v>0</v>
      </c>
      <c r="BF71" s="572">
        <f t="shared" si="350"/>
        <v>0</v>
      </c>
      <c r="BG71" s="572">
        <f t="shared" si="350"/>
        <v>0</v>
      </c>
      <c r="BH71" s="572">
        <f t="shared" si="350"/>
        <v>25</v>
      </c>
      <c r="BI71" s="572">
        <f t="shared" si="350"/>
        <v>0</v>
      </c>
      <c r="BJ71" s="572">
        <f t="shared" si="350"/>
        <v>0</v>
      </c>
      <c r="BK71" s="572">
        <f t="shared" si="350"/>
        <v>0</v>
      </c>
      <c r="BL71" s="572">
        <f t="shared" si="350"/>
        <v>0</v>
      </c>
      <c r="BM71" s="583">
        <f t="shared" si="350"/>
        <v>0</v>
      </c>
      <c r="BN71" s="572">
        <f t="shared" si="350"/>
        <v>1750</v>
      </c>
      <c r="BO71" s="96"/>
      <c r="BP71" s="576"/>
      <c r="BQ71" s="572">
        <f t="shared" si="351"/>
        <v>9</v>
      </c>
      <c r="BR71" s="572">
        <f t="shared" si="351"/>
        <v>13.885714285714286</v>
      </c>
      <c r="BS71" s="572">
        <f t="shared" si="351"/>
        <v>0</v>
      </c>
      <c r="BT71" s="572">
        <f t="shared" si="351"/>
        <v>0</v>
      </c>
      <c r="BU71" s="572">
        <f t="shared" si="351"/>
        <v>0</v>
      </c>
      <c r="BV71" s="572">
        <f t="shared" si="351"/>
        <v>22.5</v>
      </c>
      <c r="BW71" s="572">
        <f t="shared" si="351"/>
        <v>0</v>
      </c>
      <c r="BX71" s="572">
        <f t="shared" si="351"/>
        <v>0</v>
      </c>
      <c r="BY71" s="572">
        <f t="shared" si="351"/>
        <v>0</v>
      </c>
      <c r="BZ71" s="572">
        <f t="shared" si="351"/>
        <v>0</v>
      </c>
      <c r="CA71" s="583">
        <f t="shared" si="351"/>
        <v>0</v>
      </c>
      <c r="CB71" s="572">
        <f t="shared" si="351"/>
        <v>1575</v>
      </c>
      <c r="CC71" s="96"/>
      <c r="CD71" s="576"/>
      <c r="CE71" s="572">
        <f t="shared" si="352"/>
        <v>8</v>
      </c>
      <c r="CF71" s="572">
        <f t="shared" si="352"/>
        <v>12.342857142857143</v>
      </c>
      <c r="CG71" s="572">
        <f t="shared" si="352"/>
        <v>0</v>
      </c>
      <c r="CH71" s="572">
        <f t="shared" si="352"/>
        <v>0</v>
      </c>
      <c r="CI71" s="572">
        <f t="shared" si="352"/>
        <v>0</v>
      </c>
      <c r="CJ71" s="572">
        <f t="shared" si="352"/>
        <v>20</v>
      </c>
      <c r="CK71" s="572">
        <f t="shared" si="352"/>
        <v>0</v>
      </c>
      <c r="CL71" s="572">
        <f t="shared" si="352"/>
        <v>0</v>
      </c>
      <c r="CM71" s="572">
        <f t="shared" si="352"/>
        <v>0</v>
      </c>
      <c r="CN71" s="572">
        <f t="shared" si="352"/>
        <v>0</v>
      </c>
      <c r="CO71" s="583">
        <f t="shared" si="352"/>
        <v>0</v>
      </c>
      <c r="CP71" s="572">
        <f t="shared" si="352"/>
        <v>1400</v>
      </c>
      <c r="CQ71" s="96"/>
      <c r="CR71" s="576"/>
      <c r="CS71" s="572">
        <f t="shared" si="353"/>
        <v>7</v>
      </c>
      <c r="CT71" s="572">
        <f t="shared" si="353"/>
        <v>10.799999999999999</v>
      </c>
      <c r="CU71" s="572">
        <f t="shared" si="353"/>
        <v>0</v>
      </c>
      <c r="CV71" s="572">
        <f t="shared" si="353"/>
        <v>0</v>
      </c>
      <c r="CW71" s="572">
        <f t="shared" si="353"/>
        <v>0</v>
      </c>
      <c r="CX71" s="572">
        <f t="shared" si="353"/>
        <v>17.5</v>
      </c>
      <c r="CY71" s="572">
        <f t="shared" si="353"/>
        <v>0</v>
      </c>
      <c r="CZ71" s="572">
        <f t="shared" si="353"/>
        <v>0</v>
      </c>
      <c r="DA71" s="572">
        <f t="shared" si="353"/>
        <v>0</v>
      </c>
      <c r="DB71" s="572">
        <f t="shared" si="353"/>
        <v>0</v>
      </c>
      <c r="DC71" s="583">
        <f t="shared" si="353"/>
        <v>0</v>
      </c>
      <c r="DD71" s="572">
        <f t="shared" si="353"/>
        <v>1225</v>
      </c>
      <c r="DE71" s="96"/>
      <c r="DF71" s="576"/>
      <c r="DG71" s="572">
        <f t="shared" si="354"/>
        <v>6</v>
      </c>
      <c r="DH71" s="572">
        <f t="shared" si="354"/>
        <v>9.2571428571428562</v>
      </c>
      <c r="DI71" s="572">
        <f t="shared" si="354"/>
        <v>0</v>
      </c>
      <c r="DJ71" s="572">
        <f t="shared" si="354"/>
        <v>0</v>
      </c>
      <c r="DK71" s="572">
        <f t="shared" si="354"/>
        <v>0</v>
      </c>
      <c r="DL71" s="572">
        <f t="shared" si="354"/>
        <v>15</v>
      </c>
      <c r="DM71" s="572">
        <f t="shared" si="354"/>
        <v>0</v>
      </c>
      <c r="DN71" s="572">
        <f t="shared" si="354"/>
        <v>0</v>
      </c>
      <c r="DO71" s="572">
        <f t="shared" si="354"/>
        <v>0</v>
      </c>
      <c r="DP71" s="572">
        <f t="shared" si="354"/>
        <v>0</v>
      </c>
      <c r="DQ71" s="577">
        <f t="shared" si="354"/>
        <v>0</v>
      </c>
      <c r="DR71" s="96">
        <f t="shared" si="354"/>
        <v>1050</v>
      </c>
      <c r="DS71" s="96"/>
      <c r="DT71" s="96" t="e">
        <f t="shared" ref="DT71:DT76" si="359">CHOOSE((AL71-9),BC71,(BC71+BQ71),((BC71+BQ71)+CE71),(((BC71+BQ71)+CE71)+CS71),((((BC71+BQ71)+CE71)+CS71)+DG71),)</f>
        <v>#VALUE!</v>
      </c>
      <c r="DU71" s="96" t="e">
        <f t="shared" ref="DU71:DU76" si="360">CHOOSE((AL71-9),BD71,(BD71+BR71),((BD71+BR71)+CF71),(((BD71+BR71)+CF71)+CT71),((((BD71+BR71)+CF71)+CT71)+DH71),)</f>
        <v>#VALUE!</v>
      </c>
      <c r="DV71" s="96" t="e">
        <f t="shared" ref="DV71:DV76" si="361">CHOOSE((AL71-9),BE71,(BE71+BS71),((BE71+BS71)+CG71),(((BE71+BS71)+CG71)+CU71),((((BE71+BS71)+CG71)+CU71)+DI71),)</f>
        <v>#VALUE!</v>
      </c>
      <c r="DW71" s="96" t="e">
        <f t="shared" ref="DW71:DW76" si="362">CHOOSE((AL71-9),BF71,(BF71+BT71),((BF71+BT71)+CH71),(((BF71+BT71)+CH71)+CV71),((((BF71+BT71)+CH71)+CV71)+DJ71),)</f>
        <v>#VALUE!</v>
      </c>
      <c r="DX71" s="96" t="e">
        <f t="shared" ref="DX71:DX76" si="363">CHOOSE((AL71-9),BG71,(BG71+BU71),((BG71+BU71)+CI71),(((BG71+BU71)+CI71)+CW71),((((BG71+BU71)+CI71)+CW71)+DK71),)</f>
        <v>#VALUE!</v>
      </c>
      <c r="DY71" s="96" t="e">
        <f t="shared" ref="DY71:DY76" si="364">CHOOSE((AL71-9),BH71,(BH71+BV71),((BH71+BV71)+CJ71),(((BH71+BV71)+CJ71)+CX71),((((BH71+BV71)+CJ71)+CX71)+DL71),)</f>
        <v>#VALUE!</v>
      </c>
      <c r="DZ71" s="96" t="e">
        <f t="shared" ref="DZ71:DZ76" si="365">CHOOSE((AL71-9),BI71,(BI71+BW71),((BI71+BW71)+CK71),(((BI71+BW71)+CK71)+CY71),((((BI71+BW71)+CK71)+CY71)+DM71),)</f>
        <v>#VALUE!</v>
      </c>
      <c r="EA71" s="96" t="e">
        <f t="shared" ref="EA71:EA76" si="366">CHOOSE((AL71-9),BJ71,(BJ71+BX71),((BJ71+BX71)+CL71),(((BJ71+BX71)+CL71)+CZ71),((((BJ71+BX71)+CL71)+CZ71)+DN71),)</f>
        <v>#VALUE!</v>
      </c>
      <c r="EB71" s="96" t="e">
        <f t="shared" ref="EB71:EB76" si="367">CHOOSE((AL71-9),BK71,(BK71+BY71),((BK71+BY71)+CM71),(((BK71+BY71)+CM71)+DA71),((((BK71+BY71)+CM71)+DA71)+DO71),)</f>
        <v>#VALUE!</v>
      </c>
      <c r="EC71" s="96" t="e">
        <f t="shared" ref="EC71:EC76" si="368">CHOOSE((AL71-9),BL71,(BL71+BZ71),((BL71+BZ71)+CN71),(((BL71+BZ71)+CN71)+DB71),((((BL71+BZ71)+CN71)+DB71)+DP71),)</f>
        <v>#VALUE!</v>
      </c>
      <c r="ED71" s="96" t="e">
        <f t="shared" ref="ED71:ED76" si="369">CHOOSE((AL71-9),BM71,(BM71+CA71),((BM71+CA71)+CO71),(((BM71+CA71)+CO71)+DC71),((((BM71+CA71)+CO71)+DC71)+DQ71),)</f>
        <v>#VALUE!</v>
      </c>
      <c r="EE71" s="96" t="e">
        <f t="shared" ref="EE71:EE76" si="370">CHOOSE((AL71-9),BN71,(BN71+CB71),((BN71+CB71)+CP71),(((BN71+CB71)+CP71)+DD71),((((BN71+CB71)+CP71)+DD71)+DR71),)</f>
        <v>#VALUE!</v>
      </c>
    </row>
    <row r="72" spans="2:135" ht="15.75" thickBot="1">
      <c r="B72" s="2519"/>
      <c r="C72" s="1773">
        <v>4030</v>
      </c>
      <c r="D72" s="1762" t="s">
        <v>1173</v>
      </c>
      <c r="E72" s="1765">
        <f>IF((AL72&lt;10),SUM((U72+(ROUNDUP((AL72*AM72),2)))),SUM((U72+(ROUNDUP(((9*AM72)+DT72),2)))))</f>
        <v>61.12</v>
      </c>
      <c r="F72" s="1765">
        <f>IF((AL72&lt;10),SUM((V72+(ROUNDUP((AL72*AN72),2)))),SUM((V72+(ROUNDUP(((9*AN72)+DU72),2)))))</f>
        <v>166.67000000000002</v>
      </c>
      <c r="G72" s="1765">
        <f t="shared" si="358"/>
        <v>40</v>
      </c>
      <c r="H72" s="1766">
        <f t="shared" si="358"/>
        <v>0</v>
      </c>
      <c r="I72" s="1765">
        <f t="shared" si="358"/>
        <v>0</v>
      </c>
      <c r="J72" s="1765">
        <f>IF((AL72&lt;10),SUM((Z72+(ROUNDUP((AL72*AQ72),2)))),SUM((Z72+(ROUNDUP(((9*AQ72)+DX72),2)))))</f>
        <v>1044.45</v>
      </c>
      <c r="K72" s="1767">
        <f>IF((AL72&lt;10),SUM((AA72+(ROUNDUP((AL72*AR72),2)))),SUM((AA72+(ROUNDUP(((9*AR72)+DY72),2)))))</f>
        <v>500</v>
      </c>
      <c r="L72" s="1767">
        <f>AB72</f>
        <v>450</v>
      </c>
      <c r="M72" s="1765">
        <f>IF((AL72&lt;10),SUM((AC72+(ROUNDUP((AL72*AT72),2)))),SUM((AC72+(ROUNDUP(((9*AT72)+EA72),2)))))</f>
        <v>100</v>
      </c>
      <c r="N72" s="1765">
        <f>IF((AL72&lt;10),SUM((AD72+(ROUNDUP((AL72*AU72),2)))),SUM((AD72+(ROUNDUP(((9*AU72)+EB72),2)))))</f>
        <v>14.16</v>
      </c>
      <c r="O72" s="1765">
        <f>IF((AL72&lt;10),SUM((AE72+(ROUNDUP((AL72*AV72),2)))),SUM((AE72+(ROUNDUP(((9*AV72)+EC72),2)))))</f>
        <v>94.44</v>
      </c>
      <c r="P72" s="1765">
        <f>AF72</f>
        <v>180</v>
      </c>
      <c r="Q72" s="1765">
        <f>IF((AL72&lt;10),SUM((AG72+(ROUNDUP((AL72*AX72),2)))),SUM((AG72+(ROUNDUP(((9*AX72)+EE72),2)))))</f>
        <v>19444.45</v>
      </c>
      <c r="R72" s="1767">
        <f t="shared" si="356"/>
        <v>0</v>
      </c>
      <c r="S72" s="1767">
        <f t="shared" si="357"/>
        <v>0</v>
      </c>
      <c r="T72" s="190"/>
      <c r="U72" s="568">
        <v>55</v>
      </c>
      <c r="V72" s="563">
        <v>150</v>
      </c>
      <c r="W72" s="563">
        <v>40</v>
      </c>
      <c r="X72" s="563">
        <v>0</v>
      </c>
      <c r="Y72" s="563">
        <v>0</v>
      </c>
      <c r="Z72" s="563">
        <v>1000</v>
      </c>
      <c r="AA72" s="563">
        <v>500</v>
      </c>
      <c r="AB72" s="563">
        <v>450</v>
      </c>
      <c r="AC72" s="563">
        <v>100</v>
      </c>
      <c r="AD72" s="563">
        <v>15</v>
      </c>
      <c r="AE72" s="563">
        <v>100</v>
      </c>
      <c r="AF72" s="563">
        <v>180</v>
      </c>
      <c r="AG72" s="850">
        <v>17500</v>
      </c>
      <c r="AH72" s="563"/>
      <c r="AI72" s="563"/>
      <c r="AJ72" s="96"/>
      <c r="AK72" s="96"/>
      <c r="AL72" s="576">
        <f t="shared" si="101"/>
        <v>1</v>
      </c>
      <c r="AM72" s="572">
        <f t="shared" ref="AM72:AM86" si="371">SUM((U72/9))</f>
        <v>6.1111111111111107</v>
      </c>
      <c r="AN72" s="572">
        <f t="shared" ref="AN72:AN86" si="372">SUM((V72/9))</f>
        <v>16.666666666666668</v>
      </c>
      <c r="AO72" s="572"/>
      <c r="AP72" s="572"/>
      <c r="AQ72" s="572">
        <f>SUM((400/9))</f>
        <v>44.444444444444443</v>
      </c>
      <c r="AR72" s="572"/>
      <c r="AS72" s="572"/>
      <c r="AT72" s="572"/>
      <c r="AU72" s="572">
        <f>SUM((-AD72/18))</f>
        <v>-0.83333333333333337</v>
      </c>
      <c r="AV72" s="572">
        <f>SUM((-AE72/18))</f>
        <v>-5.5555555555555554</v>
      </c>
      <c r="AW72" s="583"/>
      <c r="AX72" s="572">
        <f>SUM((AG72/9))</f>
        <v>1944.4444444444443</v>
      </c>
      <c r="AY72" s="572"/>
      <c r="AZ72" s="572"/>
      <c r="BA72" s="96"/>
      <c r="BB72" s="590">
        <v>2.33</v>
      </c>
      <c r="BC72" s="572">
        <f t="shared" ref="BC72:BJ72" si="373">SUM(((AM72*0.9)*1))</f>
        <v>5.5</v>
      </c>
      <c r="BD72" s="572">
        <f t="shared" si="373"/>
        <v>15.000000000000002</v>
      </c>
      <c r="BE72" s="572">
        <f t="shared" si="373"/>
        <v>0</v>
      </c>
      <c r="BF72" s="572">
        <f t="shared" si="373"/>
        <v>0</v>
      </c>
      <c r="BG72" s="572">
        <f t="shared" si="373"/>
        <v>40</v>
      </c>
      <c r="BH72" s="572">
        <f t="shared" si="373"/>
        <v>0</v>
      </c>
      <c r="BI72" s="572">
        <f t="shared" si="373"/>
        <v>0</v>
      </c>
      <c r="BJ72" s="572">
        <f t="shared" si="373"/>
        <v>0</v>
      </c>
      <c r="BK72" s="586">
        <f>SUM(ROUND((AU72/BB72),2))</f>
        <v>-0.36</v>
      </c>
      <c r="BL72" s="586">
        <f>SUM(ROUND((AV72/BB72),2))</f>
        <v>-2.38</v>
      </c>
      <c r="BM72" s="583">
        <f>SUM(((AW72*0.9)*1))</f>
        <v>0</v>
      </c>
      <c r="BN72" s="572">
        <f>SUM(((AX72*0.9)*1))</f>
        <v>1750</v>
      </c>
      <c r="BO72" s="96"/>
      <c r="BP72" s="590">
        <v>2.84</v>
      </c>
      <c r="BQ72" s="572">
        <f t="shared" ref="BQ72:BX72" si="374">SUM(((AM72*0.9)*0.9))</f>
        <v>4.95</v>
      </c>
      <c r="BR72" s="572">
        <f t="shared" si="374"/>
        <v>13.500000000000002</v>
      </c>
      <c r="BS72" s="572">
        <f t="shared" si="374"/>
        <v>0</v>
      </c>
      <c r="BT72" s="572">
        <f t="shared" si="374"/>
        <v>0</v>
      </c>
      <c r="BU72" s="572">
        <f t="shared" si="374"/>
        <v>36</v>
      </c>
      <c r="BV72" s="572">
        <f t="shared" si="374"/>
        <v>0</v>
      </c>
      <c r="BW72" s="572">
        <f t="shared" si="374"/>
        <v>0</v>
      </c>
      <c r="BX72" s="572">
        <f t="shared" si="374"/>
        <v>0</v>
      </c>
      <c r="BY72" s="586">
        <f>SUM(ROUND((AU72/BP72),2))</f>
        <v>-0.28999999999999998</v>
      </c>
      <c r="BZ72" s="586">
        <f>SUM(ROUND((AV72/BP72),2))</f>
        <v>-1.96</v>
      </c>
      <c r="CA72" s="583">
        <f>SUM(((AW72*0.9)*0.9))</f>
        <v>0</v>
      </c>
      <c r="CB72" s="572">
        <f>SUM(((AX72*0.9)*0.9))</f>
        <v>1575</v>
      </c>
      <c r="CC72" s="96"/>
      <c r="CD72" s="590">
        <v>3.45</v>
      </c>
      <c r="CE72" s="572">
        <f t="shared" ref="CE72:CL72" si="375">SUM(((AM72*0.9)*0.8))</f>
        <v>4.4000000000000004</v>
      </c>
      <c r="CF72" s="572">
        <f t="shared" si="375"/>
        <v>12.000000000000002</v>
      </c>
      <c r="CG72" s="572">
        <f t="shared" si="375"/>
        <v>0</v>
      </c>
      <c r="CH72" s="572">
        <f t="shared" si="375"/>
        <v>0</v>
      </c>
      <c r="CI72" s="572">
        <f t="shared" si="375"/>
        <v>32</v>
      </c>
      <c r="CJ72" s="572">
        <f t="shared" si="375"/>
        <v>0</v>
      </c>
      <c r="CK72" s="572">
        <f t="shared" si="375"/>
        <v>0</v>
      </c>
      <c r="CL72" s="572">
        <f t="shared" si="375"/>
        <v>0</v>
      </c>
      <c r="CM72" s="586">
        <f>SUM(ROUND((AU72/CD72),2))</f>
        <v>-0.24</v>
      </c>
      <c r="CN72" s="586">
        <f>SUM(ROUND((AV72/CD72),2))</f>
        <v>-1.61</v>
      </c>
      <c r="CO72" s="583">
        <f>SUM(((AW72*0.9)*0.8))</f>
        <v>0</v>
      </c>
      <c r="CP72" s="572">
        <f>SUM(((AX72*0.9)*0.8))</f>
        <v>1400</v>
      </c>
      <c r="CQ72" s="96"/>
      <c r="CR72" s="590">
        <v>4.2300000000000004</v>
      </c>
      <c r="CS72" s="572">
        <f t="shared" ref="CS72:CZ72" si="376">SUM(((AM72*0.9)*0.7))</f>
        <v>3.8499999999999996</v>
      </c>
      <c r="CT72" s="572">
        <f t="shared" si="376"/>
        <v>10.5</v>
      </c>
      <c r="CU72" s="572">
        <f t="shared" si="376"/>
        <v>0</v>
      </c>
      <c r="CV72" s="572">
        <f t="shared" si="376"/>
        <v>0</v>
      </c>
      <c r="CW72" s="572">
        <f t="shared" si="376"/>
        <v>28</v>
      </c>
      <c r="CX72" s="572">
        <f t="shared" si="376"/>
        <v>0</v>
      </c>
      <c r="CY72" s="572">
        <f t="shared" si="376"/>
        <v>0</v>
      </c>
      <c r="CZ72" s="572">
        <f t="shared" si="376"/>
        <v>0</v>
      </c>
      <c r="DA72" s="586">
        <f>SUM(ROUND((AU72/CR72),2))</f>
        <v>-0.2</v>
      </c>
      <c r="DB72" s="586">
        <f>SUM(ROUND((AV72/CR72),2))</f>
        <v>-1.31</v>
      </c>
      <c r="DC72" s="583">
        <f>SUM(((AW72*0.9)*0.7))</f>
        <v>0</v>
      </c>
      <c r="DD72" s="572">
        <f>SUM(((AX72*0.9)*0.7))</f>
        <v>1225</v>
      </c>
      <c r="DE72" s="96"/>
      <c r="DF72" s="590">
        <v>5.2</v>
      </c>
      <c r="DG72" s="572">
        <f t="shared" ref="DG72:DN72" si="377">SUM(((AM72*0.9)*0.6))</f>
        <v>3.3</v>
      </c>
      <c r="DH72" s="572">
        <f t="shared" si="377"/>
        <v>9</v>
      </c>
      <c r="DI72" s="572">
        <f t="shared" si="377"/>
        <v>0</v>
      </c>
      <c r="DJ72" s="572">
        <f t="shared" si="377"/>
        <v>0</v>
      </c>
      <c r="DK72" s="572">
        <f t="shared" si="377"/>
        <v>24</v>
      </c>
      <c r="DL72" s="572">
        <f t="shared" si="377"/>
        <v>0</v>
      </c>
      <c r="DM72" s="572">
        <f t="shared" si="377"/>
        <v>0</v>
      </c>
      <c r="DN72" s="572">
        <f t="shared" si="377"/>
        <v>0</v>
      </c>
      <c r="DO72" s="586">
        <f>SUM(ROUND((AU72/DF72),2))</f>
        <v>-0.16</v>
      </c>
      <c r="DP72" s="586">
        <f>SUM(ROUND((AV72/DF72),2))</f>
        <v>-1.07</v>
      </c>
      <c r="DQ72" s="577">
        <f>SUM(((AW72*0.9)*0.6))</f>
        <v>0</v>
      </c>
      <c r="DR72" s="96">
        <f>SUM(((AX72*0.9)*0.6))</f>
        <v>1050</v>
      </c>
      <c r="DS72" s="96"/>
      <c r="DT72" s="96" t="e">
        <f t="shared" si="359"/>
        <v>#VALUE!</v>
      </c>
      <c r="DU72" s="96" t="e">
        <f t="shared" si="360"/>
        <v>#VALUE!</v>
      </c>
      <c r="DV72" s="96" t="e">
        <f t="shared" si="361"/>
        <v>#VALUE!</v>
      </c>
      <c r="DW72" s="96" t="e">
        <f t="shared" si="362"/>
        <v>#VALUE!</v>
      </c>
      <c r="DX72" s="96" t="e">
        <f t="shared" si="363"/>
        <v>#VALUE!</v>
      </c>
      <c r="DY72" s="96" t="e">
        <f t="shared" si="364"/>
        <v>#VALUE!</v>
      </c>
      <c r="DZ72" s="96" t="e">
        <f t="shared" si="365"/>
        <v>#VALUE!</v>
      </c>
      <c r="EA72" s="96" t="e">
        <f t="shared" si="366"/>
        <v>#VALUE!</v>
      </c>
      <c r="EB72" s="96" t="e">
        <f t="shared" si="367"/>
        <v>#VALUE!</v>
      </c>
      <c r="EC72" s="96" t="e">
        <f t="shared" si="368"/>
        <v>#VALUE!</v>
      </c>
      <c r="ED72" s="96" t="e">
        <f t="shared" si="369"/>
        <v>#VALUE!</v>
      </c>
      <c r="EE72" s="96" t="e">
        <f t="shared" si="370"/>
        <v>#VALUE!</v>
      </c>
    </row>
    <row r="73" spans="2:135" s="368" customFormat="1" ht="17.25" customHeight="1">
      <c r="B73" s="2517" t="s">
        <v>789</v>
      </c>
      <c r="C73" s="1771">
        <v>4100</v>
      </c>
      <c r="D73" s="1792"/>
      <c r="E73" s="1765">
        <f>IF((AL73&lt;10),SUM((U73+(ROUNDUP((AL73*AM73),2)))),SUM((U73+(ROUNDUP(((9*AM73)+DT73),2)))))</f>
        <v>0</v>
      </c>
      <c r="F73" s="1765">
        <f>IF((AL73&lt;10),SUM((V73+(ROUNDUP((AL73*AN73),2)))),SUM((V73+(ROUNDUP(((9*AN73)+DU73),2)))))</f>
        <v>0</v>
      </c>
      <c r="G73" s="1765">
        <f>W73</f>
        <v>0</v>
      </c>
      <c r="H73" s="1766"/>
      <c r="I73" s="1765">
        <f>Y73</f>
        <v>0</v>
      </c>
      <c r="J73" s="1765">
        <f>IF((AL73&lt;10),SUM((Z73+(ROUNDUP((AL73*AQ73),2)))),SUM((Z73+(ROUNDUP(((9*AQ73)+DX73),2)))))</f>
        <v>44.449999999999996</v>
      </c>
      <c r="K73" s="1767">
        <f>IF((AL73&lt;10),SUM((AA73+(ROUNDUP((AL73*AR73),2)))),SUM((AA73+(ROUNDUP(((9*AR73)+DY73),2)))))</f>
        <v>27.78</v>
      </c>
      <c r="L73" s="1767">
        <f>AB73</f>
        <v>0</v>
      </c>
      <c r="M73" s="1765">
        <f>IF((AL73&lt;10),SUM((AC73+(ROUNDUP((AL73*AT73),2)))),SUM((AC73+(ROUNDUP(((9*AT73)+EA73),2)))))</f>
        <v>0</v>
      </c>
      <c r="N73" s="1765">
        <f>IF((AL73&lt;10),SUM((AD73+(ROUNDUP((AL73*AU73),2)))),SUM((AD73+(ROUNDUP(((9*AU73)+EB73),2)))))</f>
        <v>0</v>
      </c>
      <c r="O73" s="1765">
        <f>IF((AL73&lt;10),SUM((AE73+(ROUNDUP((AL73*AV73),2)))),SUM((AE73+(ROUNDUP(((9*AV73)+EC73),2)))))</f>
        <v>0</v>
      </c>
      <c r="P73" s="1765">
        <f>AF73</f>
        <v>0</v>
      </c>
      <c r="Q73" s="1765">
        <f>IF((AL73&lt;10),SUM((AG73+(ROUNDUP((AL73*AX73),2)))),SUM((AG73+(ROUNDUP(((9*AX73)+EE73),2)))))</f>
        <v>0</v>
      </c>
      <c r="R73" s="1767">
        <f t="shared" si="356"/>
        <v>0</v>
      </c>
      <c r="S73" s="1767">
        <f t="shared" si="357"/>
        <v>0</v>
      </c>
      <c r="T73" s="190"/>
      <c r="U73" s="568"/>
      <c r="V73" s="563"/>
      <c r="W73" s="563"/>
      <c r="X73" s="563"/>
      <c r="Y73" s="563"/>
      <c r="Z73" s="563"/>
      <c r="AA73" s="563"/>
      <c r="AB73" s="563"/>
      <c r="AC73" s="563"/>
      <c r="AD73" s="563"/>
      <c r="AE73" s="563"/>
      <c r="AF73" s="563"/>
      <c r="AG73" s="850"/>
      <c r="AH73" s="563"/>
      <c r="AI73" s="563"/>
      <c r="AJ73" s="96"/>
      <c r="AK73" s="96"/>
      <c r="AL73" s="576">
        <f t="shared" si="101"/>
        <v>1</v>
      </c>
      <c r="AM73" s="572">
        <f t="shared" si="371"/>
        <v>0</v>
      </c>
      <c r="AN73" s="572">
        <f t="shared" si="372"/>
        <v>0</v>
      </c>
      <c r="AO73" s="572"/>
      <c r="AP73" s="572"/>
      <c r="AQ73" s="572">
        <f t="shared" ref="AQ73:AQ76" si="378">SUM((400/9))</f>
        <v>44.444444444444443</v>
      </c>
      <c r="AR73" s="572">
        <f t="shared" ref="AR73:AR76" si="379">SUM((250/9))</f>
        <v>27.777777777777779</v>
      </c>
      <c r="AS73" s="572"/>
      <c r="AT73" s="572"/>
      <c r="AU73" s="572">
        <f t="shared" ref="AU73:AU86" si="380">SUM((-AD73/18))</f>
        <v>0</v>
      </c>
      <c r="AV73" s="572">
        <f t="shared" ref="AV73:AV86" si="381">SUM((-AE73/18))</f>
        <v>0</v>
      </c>
      <c r="AW73" s="583"/>
      <c r="AX73" s="572">
        <f t="shared" ref="AX73:AX86" si="382">SUM((AG73/9))</f>
        <v>0</v>
      </c>
      <c r="AY73" s="572"/>
      <c r="AZ73" s="572"/>
      <c r="BA73" s="96"/>
      <c r="BB73" s="590">
        <v>2.33</v>
      </c>
      <c r="BC73" s="572">
        <f t="shared" ref="BC73:BC86" si="383">SUM(((AM73*0.9)*1))</f>
        <v>0</v>
      </c>
      <c r="BD73" s="572">
        <f t="shared" ref="BD73:BD86" si="384">SUM(((AN73*0.9)*1))</f>
        <v>0</v>
      </c>
      <c r="BE73" s="572">
        <f t="shared" ref="BE73:BE85" si="385">SUM(((AO73*0.9)*1))</f>
        <v>0</v>
      </c>
      <c r="BF73" s="572">
        <f t="shared" ref="BF73:BF85" si="386">SUM(((AP73*0.9)*1))</f>
        <v>0</v>
      </c>
      <c r="BG73" s="572">
        <f t="shared" ref="BG73:BG85" si="387">SUM(((AQ73*0.9)*1))</f>
        <v>40</v>
      </c>
      <c r="BH73" s="572">
        <f t="shared" ref="BH73:BH85" si="388">SUM(((AR73*0.9)*1))</f>
        <v>25</v>
      </c>
      <c r="BI73" s="572">
        <f t="shared" ref="BI73:BI85" si="389">SUM(((AS73*0.9)*1))</f>
        <v>0</v>
      </c>
      <c r="BJ73" s="572">
        <f t="shared" ref="BJ73:BJ86" si="390">SUM(((AT73*0.9)*1))</f>
        <v>0</v>
      </c>
      <c r="BK73" s="586">
        <f t="shared" ref="BK73:BK85" si="391">SUM(ROUND((AU73/BB73),2))</f>
        <v>0</v>
      </c>
      <c r="BL73" s="586">
        <f t="shared" ref="BL73:BL85" si="392">SUM(ROUND((AV73/BB73),2))</f>
        <v>0</v>
      </c>
      <c r="BM73" s="583">
        <f t="shared" ref="BM73:BM85" si="393">SUM(((AW73*0.9)*1))</f>
        <v>0</v>
      </c>
      <c r="BN73" s="572">
        <f t="shared" ref="BN73:BN86" si="394">SUM(((AX73*0.9)*1))</f>
        <v>0</v>
      </c>
      <c r="BO73" s="96"/>
      <c r="BP73" s="590">
        <v>3.84</v>
      </c>
      <c r="BQ73" s="572">
        <f t="shared" ref="BQ73:BQ86" si="395">SUM(((AM73*0.9)*0.9))</f>
        <v>0</v>
      </c>
      <c r="BR73" s="572">
        <f t="shared" ref="BR73:BR86" si="396">SUM(((AN73*0.9)*0.9))</f>
        <v>0</v>
      </c>
      <c r="BS73" s="572">
        <f t="shared" ref="BS73:BS85" si="397">SUM(((AO73*0.9)*0.9))</f>
        <v>0</v>
      </c>
      <c r="BT73" s="572">
        <f t="shared" ref="BT73:BT85" si="398">SUM(((AP73*0.9)*0.9))</f>
        <v>0</v>
      </c>
      <c r="BU73" s="572">
        <f t="shared" ref="BU73:BU85" si="399">SUM(((AQ73*0.9)*0.9))</f>
        <v>36</v>
      </c>
      <c r="BV73" s="572">
        <f t="shared" ref="BV73:BV85" si="400">SUM(((AR73*0.9)*0.9))</f>
        <v>22.5</v>
      </c>
      <c r="BW73" s="572">
        <f t="shared" ref="BW73:BW85" si="401">SUM(((AS73*0.9)*0.9))</f>
        <v>0</v>
      </c>
      <c r="BX73" s="572">
        <f t="shared" ref="BX73:BX86" si="402">SUM(((AT73*0.9)*0.9))</f>
        <v>0</v>
      </c>
      <c r="BY73" s="586">
        <f t="shared" ref="BY73:BY85" si="403">SUM(ROUND((AU73/BP73),2))</f>
        <v>0</v>
      </c>
      <c r="BZ73" s="586">
        <f t="shared" ref="BZ73:BZ85" si="404">SUM(ROUND((AV73/BP73),2))</f>
        <v>0</v>
      </c>
      <c r="CA73" s="583">
        <f t="shared" ref="CA73:CA85" si="405">SUM(((AW73*0.9)*0.9))</f>
        <v>0</v>
      </c>
      <c r="CB73" s="572">
        <f t="shared" ref="CB73:CB86" si="406">SUM(((AX73*0.9)*0.9))</f>
        <v>0</v>
      </c>
      <c r="CC73" s="96"/>
      <c r="CD73" s="590">
        <v>4.45</v>
      </c>
      <c r="CE73" s="572">
        <f t="shared" ref="CE73:CE86" si="407">SUM(((AM73*0.9)*0.8))</f>
        <v>0</v>
      </c>
      <c r="CF73" s="572">
        <f t="shared" ref="CF73:CF86" si="408">SUM(((AN73*0.9)*0.8))</f>
        <v>0</v>
      </c>
      <c r="CG73" s="572">
        <f t="shared" ref="CG73:CG85" si="409">SUM(((AO73*0.9)*0.8))</f>
        <v>0</v>
      </c>
      <c r="CH73" s="572">
        <f t="shared" ref="CH73:CH85" si="410">SUM(((AP73*0.9)*0.8))</f>
        <v>0</v>
      </c>
      <c r="CI73" s="572">
        <f t="shared" ref="CI73:CI85" si="411">SUM(((AQ73*0.9)*0.8))</f>
        <v>32</v>
      </c>
      <c r="CJ73" s="572">
        <f t="shared" ref="CJ73:CJ85" si="412">SUM(((AR73*0.9)*0.8))</f>
        <v>20</v>
      </c>
      <c r="CK73" s="572">
        <f t="shared" ref="CK73:CK85" si="413">SUM(((AS73*0.9)*0.8))</f>
        <v>0</v>
      </c>
      <c r="CL73" s="572">
        <f t="shared" ref="CL73:CL86" si="414">SUM(((AT73*0.9)*0.8))</f>
        <v>0</v>
      </c>
      <c r="CM73" s="586">
        <f t="shared" ref="CM73:CM85" si="415">SUM(ROUND((AU73/CD73),2))</f>
        <v>0</v>
      </c>
      <c r="CN73" s="586">
        <f t="shared" ref="CN73:CN85" si="416">SUM(ROUND((AV73/CD73),2))</f>
        <v>0</v>
      </c>
      <c r="CO73" s="583">
        <f t="shared" ref="CO73:CO85" si="417">SUM(((AW73*0.9)*0.8))</f>
        <v>0</v>
      </c>
      <c r="CP73" s="572">
        <f t="shared" ref="CP73:CP86" si="418">SUM(((AX73*0.9)*0.8))</f>
        <v>0</v>
      </c>
      <c r="CQ73" s="96"/>
      <c r="CR73" s="590">
        <v>5.23</v>
      </c>
      <c r="CS73" s="572">
        <f t="shared" ref="CS73:CS86" si="419">SUM(((AM73*0.9)*0.7))</f>
        <v>0</v>
      </c>
      <c r="CT73" s="572">
        <f t="shared" ref="CT73:CT86" si="420">SUM(((AN73*0.9)*0.7))</f>
        <v>0</v>
      </c>
      <c r="CU73" s="572">
        <f t="shared" ref="CU73:CU85" si="421">SUM(((AO73*0.9)*0.7))</f>
        <v>0</v>
      </c>
      <c r="CV73" s="572">
        <f t="shared" ref="CV73:CV85" si="422">SUM(((AP73*0.9)*0.7))</f>
        <v>0</v>
      </c>
      <c r="CW73" s="572">
        <f t="shared" ref="CW73:CW85" si="423">SUM(((AQ73*0.9)*0.7))</f>
        <v>28</v>
      </c>
      <c r="CX73" s="572">
        <f t="shared" ref="CX73:CX85" si="424">SUM(((AR73*0.9)*0.7))</f>
        <v>17.5</v>
      </c>
      <c r="CY73" s="572">
        <f t="shared" ref="CY73:CY85" si="425">SUM(((AS73*0.9)*0.7))</f>
        <v>0</v>
      </c>
      <c r="CZ73" s="572">
        <f t="shared" ref="CZ73:CZ86" si="426">SUM(((AT73*0.9)*0.7))</f>
        <v>0</v>
      </c>
      <c r="DA73" s="586">
        <f t="shared" ref="DA73:DA85" si="427">SUM(ROUND((AU73/CR73),2))</f>
        <v>0</v>
      </c>
      <c r="DB73" s="586">
        <f t="shared" ref="DB73:DB85" si="428">SUM(ROUND((AV73/CR73),2))</f>
        <v>0</v>
      </c>
      <c r="DC73" s="583">
        <f t="shared" ref="DC73:DC85" si="429">SUM(((AW73*0.9)*0.7))</f>
        <v>0</v>
      </c>
      <c r="DD73" s="572">
        <f t="shared" ref="DD73:DD86" si="430">SUM(((AX73*0.9)*0.7))</f>
        <v>0</v>
      </c>
      <c r="DE73" s="96"/>
      <c r="DF73" s="590">
        <v>6.2</v>
      </c>
      <c r="DG73" s="572">
        <f t="shared" ref="DG73:DG86" si="431">SUM(((AM73*0.9)*0.6))</f>
        <v>0</v>
      </c>
      <c r="DH73" s="572">
        <f t="shared" ref="DH73:DH86" si="432">SUM(((AN73*0.9)*0.6))</f>
        <v>0</v>
      </c>
      <c r="DI73" s="572">
        <f t="shared" ref="DI73:DI85" si="433">SUM(((AO73*0.9)*0.6))</f>
        <v>0</v>
      </c>
      <c r="DJ73" s="572">
        <f t="shared" ref="DJ73:DJ85" si="434">SUM(((AP73*0.9)*0.6))</f>
        <v>0</v>
      </c>
      <c r="DK73" s="572">
        <f t="shared" ref="DK73:DK85" si="435">SUM(((AQ73*0.9)*0.6))</f>
        <v>24</v>
      </c>
      <c r="DL73" s="572">
        <f t="shared" ref="DL73:DL85" si="436">SUM(((AR73*0.9)*0.6))</f>
        <v>15</v>
      </c>
      <c r="DM73" s="572">
        <f t="shared" ref="DM73:DM85" si="437">SUM(((AS73*0.9)*0.6))</f>
        <v>0</v>
      </c>
      <c r="DN73" s="572">
        <f t="shared" ref="DN73:DN86" si="438">SUM(((AT73*0.9)*0.6))</f>
        <v>0</v>
      </c>
      <c r="DO73" s="586">
        <f t="shared" ref="DO73:DO85" si="439">SUM(ROUND((AU73/DF73),2))</f>
        <v>0</v>
      </c>
      <c r="DP73" s="586">
        <f t="shared" ref="DP73:DP85" si="440">SUM(ROUND((AV73/DF73),2))</f>
        <v>0</v>
      </c>
      <c r="DQ73" s="577">
        <f t="shared" ref="DQ73:DQ85" si="441">SUM(((AW73*0.9)*0.6))</f>
        <v>0</v>
      </c>
      <c r="DR73" s="96">
        <f t="shared" ref="DR73:DR86" si="442">SUM(((AX73*0.9)*0.6))</f>
        <v>0</v>
      </c>
      <c r="DS73" s="96"/>
      <c r="DT73" s="96" t="e">
        <f t="shared" si="359"/>
        <v>#VALUE!</v>
      </c>
      <c r="DU73" s="96" t="e">
        <f t="shared" si="360"/>
        <v>#VALUE!</v>
      </c>
      <c r="DV73" s="96" t="e">
        <f t="shared" si="361"/>
        <v>#VALUE!</v>
      </c>
      <c r="DW73" s="96" t="e">
        <f t="shared" si="362"/>
        <v>#VALUE!</v>
      </c>
      <c r="DX73" s="96" t="e">
        <f t="shared" si="363"/>
        <v>#VALUE!</v>
      </c>
      <c r="DY73" s="96" t="e">
        <f t="shared" si="364"/>
        <v>#VALUE!</v>
      </c>
      <c r="DZ73" s="96" t="e">
        <f t="shared" si="365"/>
        <v>#VALUE!</v>
      </c>
      <c r="EA73" s="96" t="e">
        <f t="shared" si="366"/>
        <v>#VALUE!</v>
      </c>
      <c r="EB73" s="96" t="e">
        <f t="shared" si="367"/>
        <v>#VALUE!</v>
      </c>
      <c r="EC73" s="96" t="e">
        <f t="shared" si="368"/>
        <v>#VALUE!</v>
      </c>
      <c r="ED73" s="96" t="e">
        <f t="shared" si="369"/>
        <v>#VALUE!</v>
      </c>
      <c r="EE73" s="96" t="e">
        <f t="shared" si="370"/>
        <v>#VALUE!</v>
      </c>
    </row>
    <row r="74" spans="2:135">
      <c r="B74" s="2518"/>
      <c r="C74" s="1772">
        <v>4200</v>
      </c>
      <c r="D74" s="1762" t="s">
        <v>807</v>
      </c>
      <c r="E74" s="1765">
        <f>IF((AL74&lt;10),SUM((U74+(ROUNDUP((AL74*AM74),2)))),SUM((U74+(ROUNDUP(((9*AM74)+DT74),2)))))</f>
        <v>440</v>
      </c>
      <c r="F74" s="1765">
        <f>IF((AL74&lt;10),SUM((V74+(ROUNDUP((AL74*AN74),2)))),SUM((V74+(ROUNDUP(((9*AN74)+DU74),2)))))</f>
        <v>440</v>
      </c>
      <c r="G74" s="1765">
        <f>W74</f>
        <v>40</v>
      </c>
      <c r="H74" s="1766">
        <f>X74</f>
        <v>0</v>
      </c>
      <c r="I74" s="1765">
        <f>Y74</f>
        <v>2400</v>
      </c>
      <c r="J74" s="1765">
        <f>IF((AL74&lt;10),SUM((Z74+(ROUNDUP((AL74*AQ74),2)))),SUM((Z74+(ROUNDUP(((9*AQ74)+DX74),2)))))</f>
        <v>4040</v>
      </c>
      <c r="K74" s="1767">
        <f>IF((AL74&lt;10),SUM((AA74+(ROUNDUP((AL74*AR74),2)))),SUM((AA74+(ROUNDUP(((9*AR74)+DY74),2)))))</f>
        <v>0</v>
      </c>
      <c r="L74" s="1767">
        <f>AB74</f>
        <v>0</v>
      </c>
      <c r="M74" s="1765">
        <f>IF((AL74&lt;10),SUM((AC74+(ROUNDUP((AL74*AT74),2)))),SUM((AC74+(ROUNDUP(((9*AT74)+EA74),2)))))</f>
        <v>100</v>
      </c>
      <c r="N74" s="1765">
        <f>IF((AL74&lt;10),SUM((AD74+(ROUNDUP((AL74*AU74),2)))),SUM((AD74+(ROUNDUP(((9*AU74)+EB74),2)))))</f>
        <v>23.61</v>
      </c>
      <c r="O74" s="1765">
        <f>IF((AL74&lt;10),SUM((AE74+(ROUNDUP((AL74*AV74),2)))),SUM((AE74+(ROUNDUP(((9*AV74)+EC74),2)))))</f>
        <v>113.33</v>
      </c>
      <c r="P74" s="1765">
        <f>AF74</f>
        <v>120</v>
      </c>
      <c r="Q74" s="1765">
        <f>IF((AL74&lt;10),SUM((AG74+(ROUNDUP((AL74*AX74),2)))),SUM((AG74+(ROUNDUP(((9*AX74)+EE74),2)))))</f>
        <v>22222.23</v>
      </c>
      <c r="R74" s="1767">
        <f t="shared" si="356"/>
        <v>0</v>
      </c>
      <c r="S74" s="1767">
        <f t="shared" si="357"/>
        <v>0</v>
      </c>
      <c r="T74" s="190"/>
      <c r="U74" s="568">
        <v>400</v>
      </c>
      <c r="V74" s="563">
        <v>400</v>
      </c>
      <c r="W74" s="563">
        <v>40</v>
      </c>
      <c r="X74" s="563">
        <v>0</v>
      </c>
      <c r="Y74" s="563">
        <v>2400</v>
      </c>
      <c r="Z74" s="563">
        <v>4000</v>
      </c>
      <c r="AA74" s="563">
        <v>0</v>
      </c>
      <c r="AB74" s="563">
        <v>0</v>
      </c>
      <c r="AC74" s="563">
        <v>100</v>
      </c>
      <c r="AD74" s="563">
        <v>25</v>
      </c>
      <c r="AE74" s="563">
        <v>120</v>
      </c>
      <c r="AF74" s="563">
        <v>120</v>
      </c>
      <c r="AG74" s="850">
        <v>20000</v>
      </c>
      <c r="AH74" s="563"/>
      <c r="AI74" s="563"/>
      <c r="AJ74" s="96"/>
      <c r="AK74" s="96"/>
      <c r="AL74" s="576">
        <f t="shared" si="101"/>
        <v>1</v>
      </c>
      <c r="AM74" s="572">
        <f>SUM((U74/10))</f>
        <v>40</v>
      </c>
      <c r="AN74" s="572">
        <f>SUM((V74/10))</f>
        <v>40</v>
      </c>
      <c r="AO74" s="572"/>
      <c r="AP74" s="572"/>
      <c r="AQ74" s="572">
        <f>SUM((400/10))</f>
        <v>40</v>
      </c>
      <c r="AR74" s="572">
        <v>0</v>
      </c>
      <c r="AS74" s="572">
        <v>0</v>
      </c>
      <c r="AT74" s="572">
        <v>0</v>
      </c>
      <c r="AU74" s="572">
        <f>SUM((-AD74/18))</f>
        <v>-1.3888888888888888</v>
      </c>
      <c r="AV74" s="572">
        <f t="shared" si="381"/>
        <v>-6.666666666666667</v>
      </c>
      <c r="AW74" s="583"/>
      <c r="AX74" s="572">
        <f t="shared" si="382"/>
        <v>2222.2222222222222</v>
      </c>
      <c r="AY74" s="572"/>
      <c r="AZ74" s="572"/>
      <c r="BA74" s="96"/>
      <c r="BB74" s="590">
        <v>2.33</v>
      </c>
      <c r="BC74" s="572">
        <f t="shared" si="383"/>
        <v>36</v>
      </c>
      <c r="BD74" s="572">
        <f t="shared" si="384"/>
        <v>36</v>
      </c>
      <c r="BE74" s="572">
        <f t="shared" si="385"/>
        <v>0</v>
      </c>
      <c r="BF74" s="572">
        <f t="shared" si="386"/>
        <v>0</v>
      </c>
      <c r="BG74" s="572">
        <f t="shared" si="387"/>
        <v>36</v>
      </c>
      <c r="BH74" s="572">
        <f t="shared" si="388"/>
        <v>0</v>
      </c>
      <c r="BI74" s="572">
        <f t="shared" si="389"/>
        <v>0</v>
      </c>
      <c r="BJ74" s="572">
        <f t="shared" si="390"/>
        <v>0</v>
      </c>
      <c r="BK74" s="586">
        <f t="shared" si="391"/>
        <v>-0.6</v>
      </c>
      <c r="BL74" s="586">
        <f t="shared" si="392"/>
        <v>-2.86</v>
      </c>
      <c r="BM74" s="583">
        <f t="shared" si="393"/>
        <v>0</v>
      </c>
      <c r="BN74" s="572">
        <f t="shared" si="394"/>
        <v>2000</v>
      </c>
      <c r="BO74" s="96"/>
      <c r="BP74" s="590">
        <v>4.84</v>
      </c>
      <c r="BQ74" s="572">
        <f t="shared" si="395"/>
        <v>32.4</v>
      </c>
      <c r="BR74" s="572">
        <f t="shared" si="396"/>
        <v>32.4</v>
      </c>
      <c r="BS74" s="572">
        <f t="shared" si="397"/>
        <v>0</v>
      </c>
      <c r="BT74" s="572">
        <f t="shared" si="398"/>
        <v>0</v>
      </c>
      <c r="BU74" s="572">
        <f t="shared" si="399"/>
        <v>32.4</v>
      </c>
      <c r="BV74" s="572">
        <f t="shared" si="400"/>
        <v>0</v>
      </c>
      <c r="BW74" s="572">
        <f t="shared" si="401"/>
        <v>0</v>
      </c>
      <c r="BX74" s="572">
        <f t="shared" si="402"/>
        <v>0</v>
      </c>
      <c r="BY74" s="586">
        <f t="shared" si="403"/>
        <v>-0.28999999999999998</v>
      </c>
      <c r="BZ74" s="586">
        <f t="shared" si="404"/>
        <v>-1.38</v>
      </c>
      <c r="CA74" s="583">
        <f t="shared" si="405"/>
        <v>0</v>
      </c>
      <c r="CB74" s="572">
        <f t="shared" si="406"/>
        <v>1800</v>
      </c>
      <c r="CC74" s="96"/>
      <c r="CD74" s="590">
        <v>5.45</v>
      </c>
      <c r="CE74" s="572">
        <f t="shared" si="407"/>
        <v>28.8</v>
      </c>
      <c r="CF74" s="572">
        <f t="shared" si="408"/>
        <v>28.8</v>
      </c>
      <c r="CG74" s="572">
        <f t="shared" si="409"/>
        <v>0</v>
      </c>
      <c r="CH74" s="572">
        <f t="shared" si="410"/>
        <v>0</v>
      </c>
      <c r="CI74" s="572">
        <f t="shared" si="411"/>
        <v>28.8</v>
      </c>
      <c r="CJ74" s="572">
        <f t="shared" si="412"/>
        <v>0</v>
      </c>
      <c r="CK74" s="572">
        <f t="shared" si="413"/>
        <v>0</v>
      </c>
      <c r="CL74" s="572">
        <f t="shared" si="414"/>
        <v>0</v>
      </c>
      <c r="CM74" s="586">
        <f t="shared" si="415"/>
        <v>-0.25</v>
      </c>
      <c r="CN74" s="586">
        <f t="shared" si="416"/>
        <v>-1.22</v>
      </c>
      <c r="CO74" s="583">
        <f t="shared" si="417"/>
        <v>0</v>
      </c>
      <c r="CP74" s="572">
        <f t="shared" si="418"/>
        <v>1600</v>
      </c>
      <c r="CQ74" s="96"/>
      <c r="CR74" s="590">
        <v>6.23</v>
      </c>
      <c r="CS74" s="572">
        <f t="shared" si="419"/>
        <v>25.2</v>
      </c>
      <c r="CT74" s="572">
        <f t="shared" si="420"/>
        <v>25.2</v>
      </c>
      <c r="CU74" s="572">
        <f t="shared" si="421"/>
        <v>0</v>
      </c>
      <c r="CV74" s="572">
        <f t="shared" si="422"/>
        <v>0</v>
      </c>
      <c r="CW74" s="572">
        <f t="shared" si="423"/>
        <v>25.2</v>
      </c>
      <c r="CX74" s="572">
        <f t="shared" si="424"/>
        <v>0</v>
      </c>
      <c r="CY74" s="572">
        <f t="shared" si="425"/>
        <v>0</v>
      </c>
      <c r="CZ74" s="572">
        <f t="shared" si="426"/>
        <v>0</v>
      </c>
      <c r="DA74" s="586">
        <f t="shared" si="427"/>
        <v>-0.22</v>
      </c>
      <c r="DB74" s="586">
        <f t="shared" si="428"/>
        <v>-1.07</v>
      </c>
      <c r="DC74" s="583">
        <f t="shared" si="429"/>
        <v>0</v>
      </c>
      <c r="DD74" s="572">
        <f t="shared" si="430"/>
        <v>1400</v>
      </c>
      <c r="DE74" s="96"/>
      <c r="DF74" s="590">
        <v>7.2</v>
      </c>
      <c r="DG74" s="572">
        <f t="shared" si="431"/>
        <v>21.599999999999998</v>
      </c>
      <c r="DH74" s="572">
        <f t="shared" si="432"/>
        <v>21.599999999999998</v>
      </c>
      <c r="DI74" s="572">
        <f t="shared" si="433"/>
        <v>0</v>
      </c>
      <c r="DJ74" s="572">
        <f t="shared" si="434"/>
        <v>0</v>
      </c>
      <c r="DK74" s="572">
        <f t="shared" si="435"/>
        <v>21.599999999999998</v>
      </c>
      <c r="DL74" s="572">
        <f t="shared" si="436"/>
        <v>0</v>
      </c>
      <c r="DM74" s="572">
        <f t="shared" si="437"/>
        <v>0</v>
      </c>
      <c r="DN74" s="572">
        <f t="shared" si="438"/>
        <v>0</v>
      </c>
      <c r="DO74" s="586">
        <f t="shared" si="439"/>
        <v>-0.19</v>
      </c>
      <c r="DP74" s="586">
        <f t="shared" si="440"/>
        <v>-0.93</v>
      </c>
      <c r="DQ74" s="577">
        <f t="shared" si="441"/>
        <v>0</v>
      </c>
      <c r="DR74" s="96">
        <f t="shared" si="442"/>
        <v>1200</v>
      </c>
      <c r="DS74" s="96"/>
      <c r="DT74" s="96" t="e">
        <f t="shared" si="359"/>
        <v>#VALUE!</v>
      </c>
      <c r="DU74" s="96" t="e">
        <f t="shared" si="360"/>
        <v>#VALUE!</v>
      </c>
      <c r="DV74" s="96" t="e">
        <f t="shared" si="361"/>
        <v>#VALUE!</v>
      </c>
      <c r="DW74" s="96" t="e">
        <f t="shared" si="362"/>
        <v>#VALUE!</v>
      </c>
      <c r="DX74" s="96" t="e">
        <f t="shared" si="363"/>
        <v>#VALUE!</v>
      </c>
      <c r="DY74" s="96" t="e">
        <f t="shared" si="364"/>
        <v>#VALUE!</v>
      </c>
      <c r="DZ74" s="96" t="e">
        <f t="shared" si="365"/>
        <v>#VALUE!</v>
      </c>
      <c r="EA74" s="96" t="e">
        <f t="shared" si="366"/>
        <v>#VALUE!</v>
      </c>
      <c r="EB74" s="96" t="e">
        <f t="shared" si="367"/>
        <v>#VALUE!</v>
      </c>
      <c r="EC74" s="96" t="e">
        <f t="shared" si="368"/>
        <v>#VALUE!</v>
      </c>
      <c r="ED74" s="96" t="e">
        <f t="shared" si="369"/>
        <v>#VALUE!</v>
      </c>
      <c r="EE74" s="96" t="e">
        <f t="shared" si="370"/>
        <v>#VALUE!</v>
      </c>
    </row>
    <row r="75" spans="2:135" ht="15.75" thickBot="1">
      <c r="B75" s="2519"/>
      <c r="C75" s="1773">
        <v>4300</v>
      </c>
      <c r="D75" s="1762" t="s">
        <v>803</v>
      </c>
      <c r="E75" s="1765">
        <f>IF((AL75&lt;10),SUM((U75+(ROUNDUP((AL75*AM75),2)))),SUM((U75+(ROUNDUP(((9*AM75)+DT75),2)))))</f>
        <v>305</v>
      </c>
      <c r="F75" s="1765">
        <f>IF((AL75&lt;10),SUM((V75+(ROUNDUP((AL75*AN75),2)))),SUM((V75+(ROUNDUP(((9*AN75)+DU75),2)))))</f>
        <v>305</v>
      </c>
      <c r="G75" s="1765">
        <f>W75</f>
        <v>40</v>
      </c>
      <c r="H75" s="1766">
        <f>X75</f>
        <v>0</v>
      </c>
      <c r="I75" s="1765">
        <f t="shared" ref="I75" si="443">Y75</f>
        <v>0</v>
      </c>
      <c r="J75" s="1765">
        <f>IF((AL75&lt;10),SUM((Z75+(ROUNDUP((AL75*AQ75),2)))),SUM((Z75+(ROUNDUP(((9*AQ75)+DX75),2)))))</f>
        <v>1500</v>
      </c>
      <c r="K75" s="1767">
        <f>IF((AL75&lt;10),SUM((AA75+(ROUNDUP((AL75*AR75),2)))),SUM((AA75+(ROUNDUP(((9*AR75)+DY75),2)))))</f>
        <v>0</v>
      </c>
      <c r="L75" s="1767">
        <f t="shared" ref="L75" si="444">AB75</f>
        <v>0</v>
      </c>
      <c r="M75" s="1765">
        <f>IF((AL75&lt;10),SUM((AC75+(ROUNDUP((AL75*AT75),2)))),SUM((AC75+(ROUNDUP(((9*AT75)+EA75),2)))))</f>
        <v>100</v>
      </c>
      <c r="N75" s="1765">
        <f>IF((AL75&lt;10),SUM((AD75+(ROUNDUP((AL75*AU75),2)))),SUM((AD75+(ROUNDUP(((9*AU75)+EB75),2)))))</f>
        <v>18.82</v>
      </c>
      <c r="O75" s="1765">
        <f>IF((AL75&lt;10),SUM((AE75+(ROUNDUP((AL75*AV75),2)))),SUM((AE75+(ROUNDUP(((9*AV75)+EC75),2)))))</f>
        <v>236.11</v>
      </c>
      <c r="P75" s="1765">
        <f t="shared" ref="P75" si="445">AF75</f>
        <v>360</v>
      </c>
      <c r="Q75" s="1765">
        <f>IF((AL75&lt;10),SUM((AG75+(ROUNDUP((AL75*AX75),2)))),SUM((AG75+(ROUNDUP(((9*AX75)+EE75),2)))))</f>
        <v>22222.23</v>
      </c>
      <c r="R75" s="1767">
        <f t="shared" si="356"/>
        <v>0</v>
      </c>
      <c r="S75" s="1767">
        <f t="shared" si="357"/>
        <v>0</v>
      </c>
      <c r="T75" s="190"/>
      <c r="U75" s="568">
        <v>300</v>
      </c>
      <c r="V75" s="563">
        <v>300</v>
      </c>
      <c r="W75" s="563">
        <v>40</v>
      </c>
      <c r="X75" s="563">
        <v>0</v>
      </c>
      <c r="Y75" s="563">
        <v>0</v>
      </c>
      <c r="Z75" s="563">
        <v>1500</v>
      </c>
      <c r="AA75" s="563">
        <v>0</v>
      </c>
      <c r="AB75" s="563">
        <v>0</v>
      </c>
      <c r="AC75" s="563">
        <v>100</v>
      </c>
      <c r="AD75" s="563">
        <v>20</v>
      </c>
      <c r="AE75" s="563">
        <v>250</v>
      </c>
      <c r="AF75" s="563">
        <v>360</v>
      </c>
      <c r="AG75" s="850">
        <v>20000</v>
      </c>
      <c r="AH75" s="563"/>
      <c r="AI75" s="563"/>
      <c r="AJ75" s="96"/>
      <c r="AK75" s="96"/>
      <c r="AL75" s="576">
        <f t="shared" si="101"/>
        <v>1</v>
      </c>
      <c r="AM75" s="572">
        <f>SUM((U75/60))</f>
        <v>5</v>
      </c>
      <c r="AN75" s="572">
        <f>SUM((V75/60))</f>
        <v>5</v>
      </c>
      <c r="AO75" s="572"/>
      <c r="AP75" s="572"/>
      <c r="AQ75" s="572">
        <v>0</v>
      </c>
      <c r="AR75" s="572">
        <v>0</v>
      </c>
      <c r="AS75" s="572">
        <v>0</v>
      </c>
      <c r="AT75" s="572">
        <v>0</v>
      </c>
      <c r="AU75" s="572">
        <f>SUM((-AD75/17))</f>
        <v>-1.1764705882352942</v>
      </c>
      <c r="AV75" s="572">
        <f t="shared" si="381"/>
        <v>-13.888888888888889</v>
      </c>
      <c r="AW75" s="583"/>
      <c r="AX75" s="572">
        <f t="shared" si="382"/>
        <v>2222.2222222222222</v>
      </c>
      <c r="AY75" s="572"/>
      <c r="AZ75" s="572"/>
      <c r="BA75" s="96"/>
      <c r="BB75" s="590">
        <v>2.33</v>
      </c>
      <c r="BC75" s="572">
        <f t="shared" si="383"/>
        <v>4.5</v>
      </c>
      <c r="BD75" s="572">
        <f t="shared" si="384"/>
        <v>4.5</v>
      </c>
      <c r="BE75" s="572">
        <f t="shared" si="385"/>
        <v>0</v>
      </c>
      <c r="BF75" s="572">
        <f t="shared" si="386"/>
        <v>0</v>
      </c>
      <c r="BG75" s="572">
        <f t="shared" si="387"/>
        <v>0</v>
      </c>
      <c r="BH75" s="572">
        <f t="shared" si="388"/>
        <v>0</v>
      </c>
      <c r="BI75" s="572">
        <f t="shared" si="389"/>
        <v>0</v>
      </c>
      <c r="BJ75" s="572">
        <f t="shared" si="390"/>
        <v>0</v>
      </c>
      <c r="BK75" s="586">
        <f t="shared" si="391"/>
        <v>-0.5</v>
      </c>
      <c r="BL75" s="586">
        <f t="shared" si="392"/>
        <v>-5.96</v>
      </c>
      <c r="BM75" s="583">
        <f t="shared" si="393"/>
        <v>0</v>
      </c>
      <c r="BN75" s="572">
        <f t="shared" si="394"/>
        <v>2000</v>
      </c>
      <c r="BO75" s="96"/>
      <c r="BP75" s="590">
        <v>5.84</v>
      </c>
      <c r="BQ75" s="572">
        <f t="shared" si="395"/>
        <v>4.05</v>
      </c>
      <c r="BR75" s="572">
        <f t="shared" si="396"/>
        <v>4.05</v>
      </c>
      <c r="BS75" s="572">
        <f t="shared" si="397"/>
        <v>0</v>
      </c>
      <c r="BT75" s="572">
        <f t="shared" si="398"/>
        <v>0</v>
      </c>
      <c r="BU75" s="572">
        <f t="shared" si="399"/>
        <v>0</v>
      </c>
      <c r="BV75" s="572">
        <f t="shared" si="400"/>
        <v>0</v>
      </c>
      <c r="BW75" s="572">
        <f t="shared" si="401"/>
        <v>0</v>
      </c>
      <c r="BX75" s="572">
        <f t="shared" si="402"/>
        <v>0</v>
      </c>
      <c r="BY75" s="586">
        <f t="shared" si="403"/>
        <v>-0.2</v>
      </c>
      <c r="BZ75" s="586">
        <f t="shared" si="404"/>
        <v>-2.38</v>
      </c>
      <c r="CA75" s="583">
        <f t="shared" si="405"/>
        <v>0</v>
      </c>
      <c r="CB75" s="572">
        <f t="shared" si="406"/>
        <v>1800</v>
      </c>
      <c r="CC75" s="96"/>
      <c r="CD75" s="590">
        <v>6.45</v>
      </c>
      <c r="CE75" s="572">
        <f t="shared" si="407"/>
        <v>3.6</v>
      </c>
      <c r="CF75" s="572">
        <f t="shared" si="408"/>
        <v>3.6</v>
      </c>
      <c r="CG75" s="572">
        <f t="shared" si="409"/>
        <v>0</v>
      </c>
      <c r="CH75" s="572">
        <f t="shared" si="410"/>
        <v>0</v>
      </c>
      <c r="CI75" s="572">
        <f t="shared" si="411"/>
        <v>0</v>
      </c>
      <c r="CJ75" s="572">
        <f t="shared" si="412"/>
        <v>0</v>
      </c>
      <c r="CK75" s="572">
        <f t="shared" si="413"/>
        <v>0</v>
      </c>
      <c r="CL75" s="572">
        <f t="shared" si="414"/>
        <v>0</v>
      </c>
      <c r="CM75" s="586">
        <f t="shared" si="415"/>
        <v>-0.18</v>
      </c>
      <c r="CN75" s="586">
        <f t="shared" si="416"/>
        <v>-2.15</v>
      </c>
      <c r="CO75" s="583">
        <f t="shared" si="417"/>
        <v>0</v>
      </c>
      <c r="CP75" s="572">
        <f t="shared" si="418"/>
        <v>1600</v>
      </c>
      <c r="CQ75" s="96"/>
      <c r="CR75" s="590">
        <v>7.23</v>
      </c>
      <c r="CS75" s="572">
        <f t="shared" si="419"/>
        <v>3.15</v>
      </c>
      <c r="CT75" s="572">
        <f t="shared" si="420"/>
        <v>3.15</v>
      </c>
      <c r="CU75" s="572">
        <f t="shared" si="421"/>
        <v>0</v>
      </c>
      <c r="CV75" s="572">
        <f t="shared" si="422"/>
        <v>0</v>
      </c>
      <c r="CW75" s="572">
        <f t="shared" si="423"/>
        <v>0</v>
      </c>
      <c r="CX75" s="572">
        <f t="shared" si="424"/>
        <v>0</v>
      </c>
      <c r="CY75" s="572">
        <f t="shared" si="425"/>
        <v>0</v>
      </c>
      <c r="CZ75" s="572">
        <f t="shared" si="426"/>
        <v>0</v>
      </c>
      <c r="DA75" s="586">
        <f t="shared" si="427"/>
        <v>-0.16</v>
      </c>
      <c r="DB75" s="586">
        <f t="shared" si="428"/>
        <v>-1.92</v>
      </c>
      <c r="DC75" s="583">
        <f t="shared" si="429"/>
        <v>0</v>
      </c>
      <c r="DD75" s="572">
        <f t="shared" si="430"/>
        <v>1400</v>
      </c>
      <c r="DE75" s="96"/>
      <c r="DF75" s="590">
        <v>8.1999999999999993</v>
      </c>
      <c r="DG75" s="572">
        <f t="shared" si="431"/>
        <v>2.6999999999999997</v>
      </c>
      <c r="DH75" s="572">
        <f t="shared" si="432"/>
        <v>2.6999999999999997</v>
      </c>
      <c r="DI75" s="572">
        <f t="shared" si="433"/>
        <v>0</v>
      </c>
      <c r="DJ75" s="572">
        <f t="shared" si="434"/>
        <v>0</v>
      </c>
      <c r="DK75" s="572">
        <f t="shared" si="435"/>
        <v>0</v>
      </c>
      <c r="DL75" s="572">
        <f t="shared" si="436"/>
        <v>0</v>
      </c>
      <c r="DM75" s="572">
        <f t="shared" si="437"/>
        <v>0</v>
      </c>
      <c r="DN75" s="572">
        <f t="shared" si="438"/>
        <v>0</v>
      </c>
      <c r="DO75" s="586">
        <f t="shared" si="439"/>
        <v>-0.14000000000000001</v>
      </c>
      <c r="DP75" s="586">
        <f t="shared" si="440"/>
        <v>-1.69</v>
      </c>
      <c r="DQ75" s="577">
        <f t="shared" si="441"/>
        <v>0</v>
      </c>
      <c r="DR75" s="96">
        <f t="shared" si="442"/>
        <v>1200</v>
      </c>
      <c r="DS75" s="96"/>
      <c r="DT75" s="96" t="e">
        <f t="shared" si="359"/>
        <v>#VALUE!</v>
      </c>
      <c r="DU75" s="96" t="e">
        <f t="shared" si="360"/>
        <v>#VALUE!</v>
      </c>
      <c r="DV75" s="96" t="e">
        <f t="shared" si="361"/>
        <v>#VALUE!</v>
      </c>
      <c r="DW75" s="96" t="e">
        <f t="shared" si="362"/>
        <v>#VALUE!</v>
      </c>
      <c r="DX75" s="96" t="e">
        <f t="shared" si="363"/>
        <v>#VALUE!</v>
      </c>
      <c r="DY75" s="96" t="e">
        <f t="shared" si="364"/>
        <v>#VALUE!</v>
      </c>
      <c r="DZ75" s="96" t="e">
        <f t="shared" si="365"/>
        <v>#VALUE!</v>
      </c>
      <c r="EA75" s="96" t="e">
        <f t="shared" si="366"/>
        <v>#VALUE!</v>
      </c>
      <c r="EB75" s="96" t="e">
        <f t="shared" si="367"/>
        <v>#VALUE!</v>
      </c>
      <c r="EC75" s="96" t="e">
        <f t="shared" si="368"/>
        <v>#VALUE!</v>
      </c>
      <c r="ED75" s="96" t="e">
        <f t="shared" si="369"/>
        <v>#VALUE!</v>
      </c>
      <c r="EE75" s="96" t="e">
        <f t="shared" si="370"/>
        <v>#VALUE!</v>
      </c>
    </row>
    <row r="76" spans="2:135" ht="47.25" customHeight="1" thickBot="1">
      <c r="D76" s="1784"/>
      <c r="E76" s="2529" t="s">
        <v>802</v>
      </c>
      <c r="F76" s="2529"/>
      <c r="G76" s="2529"/>
      <c r="H76" s="2529"/>
      <c r="I76" s="2529"/>
      <c r="J76" s="2529"/>
      <c r="K76" s="2529"/>
      <c r="L76" s="2529"/>
      <c r="M76" s="2529"/>
      <c r="N76" s="2529"/>
      <c r="O76" s="2529"/>
      <c r="P76" s="2529"/>
      <c r="Q76" s="2529"/>
      <c r="R76" s="2529"/>
      <c r="S76" s="1793"/>
      <c r="T76" s="190"/>
      <c r="U76" s="456"/>
      <c r="V76" s="456"/>
      <c r="W76" s="456"/>
      <c r="X76" s="456"/>
      <c r="Y76" s="456"/>
      <c r="Z76" s="456"/>
      <c r="AA76" s="456"/>
      <c r="AB76" s="456"/>
      <c r="AC76" s="456"/>
      <c r="AD76" s="456"/>
      <c r="AE76" s="456"/>
      <c r="AF76" s="456"/>
      <c r="AG76" s="613"/>
      <c r="AH76" s="456"/>
      <c r="AI76" s="456"/>
      <c r="AJ76" s="96"/>
      <c r="AK76" s="96"/>
      <c r="AL76" s="576">
        <f t="shared" si="101"/>
        <v>1</v>
      </c>
      <c r="AM76" s="572">
        <f>SUM((U76/9))</f>
        <v>0</v>
      </c>
      <c r="AN76" s="572">
        <f t="shared" si="372"/>
        <v>0</v>
      </c>
      <c r="AO76" s="572"/>
      <c r="AP76" s="572"/>
      <c r="AQ76" s="572">
        <f t="shared" si="378"/>
        <v>44.444444444444443</v>
      </c>
      <c r="AR76" s="572">
        <f t="shared" si="379"/>
        <v>27.777777777777779</v>
      </c>
      <c r="AS76" s="572"/>
      <c r="AT76" s="572">
        <f t="shared" ref="AT76:AT86" si="446">SUM((AC76/18))</f>
        <v>0</v>
      </c>
      <c r="AU76" s="572">
        <f t="shared" si="380"/>
        <v>0</v>
      </c>
      <c r="AV76" s="572">
        <f t="shared" si="381"/>
        <v>0</v>
      </c>
      <c r="AW76" s="583"/>
      <c r="AX76" s="572">
        <f t="shared" si="382"/>
        <v>0</v>
      </c>
      <c r="AY76" s="572"/>
      <c r="AZ76" s="572"/>
      <c r="BA76" s="96"/>
      <c r="BB76" s="590">
        <v>2.33</v>
      </c>
      <c r="BC76" s="572">
        <f t="shared" ref="BC76:BJ76" si="447">SUM(((AM76*0.9)*1))</f>
        <v>0</v>
      </c>
      <c r="BD76" s="572">
        <f t="shared" si="447"/>
        <v>0</v>
      </c>
      <c r="BE76" s="572">
        <f t="shared" si="447"/>
        <v>0</v>
      </c>
      <c r="BF76" s="572">
        <f t="shared" si="447"/>
        <v>0</v>
      </c>
      <c r="BG76" s="572">
        <f t="shared" si="447"/>
        <v>40</v>
      </c>
      <c r="BH76" s="572">
        <f t="shared" si="447"/>
        <v>25</v>
      </c>
      <c r="BI76" s="572">
        <f t="shared" si="447"/>
        <v>0</v>
      </c>
      <c r="BJ76" s="572">
        <f t="shared" si="447"/>
        <v>0</v>
      </c>
      <c r="BK76" s="586">
        <f>SUM(ROUND((AU76/BB76),2))</f>
        <v>0</v>
      </c>
      <c r="BL76" s="586">
        <f>SUM(ROUND((AV76/BB76),2))</f>
        <v>0</v>
      </c>
      <c r="BM76" s="583">
        <f>SUM(((AW76*0.9)*1))</f>
        <v>0</v>
      </c>
      <c r="BN76" s="572">
        <f>SUM(((AX76*0.9)*1))</f>
        <v>0</v>
      </c>
      <c r="BO76" s="96"/>
      <c r="BP76" s="590">
        <v>6.84</v>
      </c>
      <c r="BQ76" s="572">
        <f t="shared" ref="BQ76:BX76" si="448">SUM(((AM76*0.9)*0.9))</f>
        <v>0</v>
      </c>
      <c r="BR76" s="572">
        <f t="shared" si="448"/>
        <v>0</v>
      </c>
      <c r="BS76" s="572">
        <f t="shared" si="448"/>
        <v>0</v>
      </c>
      <c r="BT76" s="572">
        <f t="shared" si="448"/>
        <v>0</v>
      </c>
      <c r="BU76" s="572">
        <f t="shared" si="448"/>
        <v>36</v>
      </c>
      <c r="BV76" s="572">
        <f t="shared" si="448"/>
        <v>22.5</v>
      </c>
      <c r="BW76" s="572">
        <f t="shared" si="448"/>
        <v>0</v>
      </c>
      <c r="BX76" s="572">
        <f t="shared" si="448"/>
        <v>0</v>
      </c>
      <c r="BY76" s="586">
        <f>SUM(ROUND((AU76/BP76),2))</f>
        <v>0</v>
      </c>
      <c r="BZ76" s="586">
        <f>SUM(ROUND((AV76/BP76),2))</f>
        <v>0</v>
      </c>
      <c r="CA76" s="583">
        <f>SUM(((AW76*0.9)*0.9))</f>
        <v>0</v>
      </c>
      <c r="CB76" s="572">
        <f>SUM(((AX76*0.9)*0.9))</f>
        <v>0</v>
      </c>
      <c r="CC76" s="96"/>
      <c r="CD76" s="590">
        <v>7.45</v>
      </c>
      <c r="CE76" s="572">
        <f t="shared" ref="CE76:CL76" si="449">SUM(((AM76*0.9)*0.8))</f>
        <v>0</v>
      </c>
      <c r="CF76" s="572">
        <f t="shared" si="449"/>
        <v>0</v>
      </c>
      <c r="CG76" s="572">
        <f t="shared" si="449"/>
        <v>0</v>
      </c>
      <c r="CH76" s="572">
        <f t="shared" si="449"/>
        <v>0</v>
      </c>
      <c r="CI76" s="572">
        <f t="shared" si="449"/>
        <v>32</v>
      </c>
      <c r="CJ76" s="572">
        <f t="shared" si="449"/>
        <v>20</v>
      </c>
      <c r="CK76" s="572">
        <f t="shared" si="449"/>
        <v>0</v>
      </c>
      <c r="CL76" s="572">
        <f t="shared" si="449"/>
        <v>0</v>
      </c>
      <c r="CM76" s="586">
        <f>SUM(ROUND((AU76/CD76),2))</f>
        <v>0</v>
      </c>
      <c r="CN76" s="586">
        <f>SUM(ROUND((AV76/CD76),2))</f>
        <v>0</v>
      </c>
      <c r="CO76" s="583">
        <f>SUM(((AW76*0.9)*0.8))</f>
        <v>0</v>
      </c>
      <c r="CP76" s="572">
        <f>SUM(((AX76*0.9)*0.8))</f>
        <v>0</v>
      </c>
      <c r="CQ76" s="96"/>
      <c r="CR76" s="590">
        <v>8.23</v>
      </c>
      <c r="CS76" s="572">
        <f t="shared" ref="CS76:CZ76" si="450">SUM(((AM76*0.9)*0.7))</f>
        <v>0</v>
      </c>
      <c r="CT76" s="572">
        <f t="shared" si="450"/>
        <v>0</v>
      </c>
      <c r="CU76" s="572">
        <f t="shared" si="450"/>
        <v>0</v>
      </c>
      <c r="CV76" s="572">
        <f t="shared" si="450"/>
        <v>0</v>
      </c>
      <c r="CW76" s="572">
        <f t="shared" si="450"/>
        <v>28</v>
      </c>
      <c r="CX76" s="572">
        <f t="shared" si="450"/>
        <v>17.5</v>
      </c>
      <c r="CY76" s="572">
        <f t="shared" si="450"/>
        <v>0</v>
      </c>
      <c r="CZ76" s="572">
        <f t="shared" si="450"/>
        <v>0</v>
      </c>
      <c r="DA76" s="586">
        <f>SUM(ROUND((AU76/CR76),2))</f>
        <v>0</v>
      </c>
      <c r="DB76" s="586">
        <f>SUM(ROUND((AV76/CR76),2))</f>
        <v>0</v>
      </c>
      <c r="DC76" s="583">
        <f>SUM(((AW76*0.9)*0.7))</f>
        <v>0</v>
      </c>
      <c r="DD76" s="572">
        <f>SUM(((AX76*0.9)*0.7))</f>
        <v>0</v>
      </c>
      <c r="DE76" s="96"/>
      <c r="DF76" s="590">
        <v>9.1999999999999993</v>
      </c>
      <c r="DG76" s="572">
        <f t="shared" ref="DG76:DN76" si="451">SUM(((AM76*0.9)*0.6))</f>
        <v>0</v>
      </c>
      <c r="DH76" s="572">
        <f t="shared" si="451"/>
        <v>0</v>
      </c>
      <c r="DI76" s="572">
        <f t="shared" si="451"/>
        <v>0</v>
      </c>
      <c r="DJ76" s="572">
        <f t="shared" si="451"/>
        <v>0</v>
      </c>
      <c r="DK76" s="572">
        <f t="shared" si="451"/>
        <v>24</v>
      </c>
      <c r="DL76" s="572">
        <f t="shared" si="451"/>
        <v>15</v>
      </c>
      <c r="DM76" s="572">
        <f t="shared" si="451"/>
        <v>0</v>
      </c>
      <c r="DN76" s="572">
        <f t="shared" si="451"/>
        <v>0</v>
      </c>
      <c r="DO76" s="586">
        <f>SUM(ROUND((AU76/DF76),2))</f>
        <v>0</v>
      </c>
      <c r="DP76" s="586">
        <f>SUM(ROUND((AV76/DF76),2))</f>
        <v>0</v>
      </c>
      <c r="DQ76" s="577">
        <f>SUM(((AW76*0.9)*0.6))</f>
        <v>0</v>
      </c>
      <c r="DR76" s="96">
        <f>SUM(((AX76*0.9)*0.6))</f>
        <v>0</v>
      </c>
      <c r="DS76" s="96"/>
      <c r="DT76" s="96" t="e">
        <f t="shared" si="359"/>
        <v>#VALUE!</v>
      </c>
      <c r="DU76" s="96" t="e">
        <f t="shared" si="360"/>
        <v>#VALUE!</v>
      </c>
      <c r="DV76" s="96" t="e">
        <f t="shared" si="361"/>
        <v>#VALUE!</v>
      </c>
      <c r="DW76" s="96" t="e">
        <f t="shared" si="362"/>
        <v>#VALUE!</v>
      </c>
      <c r="DX76" s="96" t="e">
        <f t="shared" si="363"/>
        <v>#VALUE!</v>
      </c>
      <c r="DY76" s="96" t="e">
        <f t="shared" si="364"/>
        <v>#VALUE!</v>
      </c>
      <c r="DZ76" s="96" t="e">
        <f t="shared" si="365"/>
        <v>#VALUE!</v>
      </c>
      <c r="EA76" s="96" t="e">
        <f t="shared" si="366"/>
        <v>#VALUE!</v>
      </c>
      <c r="EB76" s="96" t="e">
        <f t="shared" si="367"/>
        <v>#VALUE!</v>
      </c>
      <c r="EC76" s="96" t="e">
        <f t="shared" si="368"/>
        <v>#VALUE!</v>
      </c>
      <c r="ED76" s="96" t="e">
        <f t="shared" si="369"/>
        <v>#VALUE!</v>
      </c>
      <c r="EE76" s="96" t="e">
        <f t="shared" si="370"/>
        <v>#VALUE!</v>
      </c>
    </row>
    <row r="77" spans="2:135" s="368" customFormat="1" ht="47.25" customHeight="1" thickBot="1">
      <c r="B77" s="616" t="s">
        <v>800</v>
      </c>
      <c r="C77" s="1756">
        <v>5001</v>
      </c>
      <c r="D77" s="1794"/>
      <c r="E77" s="1794"/>
      <c r="F77" s="1794"/>
      <c r="G77" s="1794"/>
      <c r="H77" s="1794"/>
      <c r="I77" s="1794"/>
      <c r="J77" s="1794"/>
      <c r="K77" s="1794"/>
      <c r="L77" s="1794"/>
      <c r="M77" s="1794"/>
      <c r="N77" s="1794"/>
      <c r="O77" s="1794"/>
      <c r="P77" s="1794"/>
      <c r="Q77" s="1794"/>
      <c r="R77" s="1764"/>
      <c r="S77" s="1764"/>
      <c r="T77" s="190"/>
      <c r="U77" s="564" t="s">
        <v>79</v>
      </c>
      <c r="V77" s="565" t="s">
        <v>80</v>
      </c>
      <c r="W77" s="565" t="s">
        <v>81</v>
      </c>
      <c r="X77" s="566" t="s">
        <v>82</v>
      </c>
      <c r="Y77" s="565" t="s">
        <v>83</v>
      </c>
      <c r="Z77" s="565" t="s">
        <v>84</v>
      </c>
      <c r="AA77" s="565" t="s">
        <v>85</v>
      </c>
      <c r="AB77" s="744" t="s">
        <v>967</v>
      </c>
      <c r="AC77" s="565" t="s">
        <v>87</v>
      </c>
      <c r="AD77" s="565" t="s">
        <v>72</v>
      </c>
      <c r="AE77" s="565" t="s">
        <v>88</v>
      </c>
      <c r="AF77" s="565" t="s">
        <v>89</v>
      </c>
      <c r="AG77" s="848" t="s">
        <v>48</v>
      </c>
      <c r="AH77" s="847" t="s">
        <v>1121</v>
      </c>
      <c r="AI77" s="847" t="s">
        <v>1122</v>
      </c>
      <c r="AJ77" s="96"/>
      <c r="AK77" s="96"/>
      <c r="AL77" s="576"/>
      <c r="AM77" s="572"/>
      <c r="AN77" s="572"/>
      <c r="AO77" s="572"/>
      <c r="AP77" s="572"/>
      <c r="AQ77" s="572"/>
      <c r="AR77" s="572"/>
      <c r="AS77" s="572"/>
      <c r="AT77" s="572"/>
      <c r="AU77" s="572"/>
      <c r="AV77" s="572"/>
      <c r="AW77" s="583"/>
      <c r="AX77" s="572"/>
      <c r="AY77" s="572"/>
      <c r="AZ77" s="572"/>
      <c r="BA77" s="96"/>
      <c r="BB77" s="590"/>
      <c r="BC77" s="572"/>
      <c r="BD77" s="572"/>
      <c r="BE77" s="572"/>
      <c r="BF77" s="572"/>
      <c r="BG77" s="572"/>
      <c r="BH77" s="572"/>
      <c r="BI77" s="572"/>
      <c r="BJ77" s="572"/>
      <c r="BK77" s="586"/>
      <c r="BL77" s="586"/>
      <c r="BM77" s="583"/>
      <c r="BN77" s="572"/>
      <c r="BO77" s="96"/>
      <c r="BP77" s="590"/>
      <c r="BQ77" s="572"/>
      <c r="BR77" s="572"/>
      <c r="BS77" s="572"/>
      <c r="BT77" s="572"/>
      <c r="BU77" s="572"/>
      <c r="BV77" s="572"/>
      <c r="BW77" s="572"/>
      <c r="BX77" s="572"/>
      <c r="BY77" s="586"/>
      <c r="BZ77" s="586"/>
      <c r="CA77" s="583"/>
      <c r="CB77" s="572"/>
      <c r="CC77" s="96"/>
      <c r="CD77" s="590"/>
      <c r="CE77" s="572"/>
      <c r="CF77" s="572"/>
      <c r="CG77" s="572"/>
      <c r="CH77" s="572"/>
      <c r="CI77" s="572"/>
      <c r="CJ77" s="572"/>
      <c r="CK77" s="572"/>
      <c r="CL77" s="572"/>
      <c r="CM77" s="586"/>
      <c r="CN77" s="586"/>
      <c r="CO77" s="583"/>
      <c r="CP77" s="572"/>
      <c r="CQ77" s="96"/>
      <c r="CR77" s="590"/>
      <c r="CS77" s="572"/>
      <c r="CT77" s="572"/>
      <c r="CU77" s="572"/>
      <c r="CV77" s="572"/>
      <c r="CW77" s="572"/>
      <c r="CX77" s="572"/>
      <c r="CY77" s="572"/>
      <c r="CZ77" s="572"/>
      <c r="DA77" s="586"/>
      <c r="DB77" s="586"/>
      <c r="DC77" s="583"/>
      <c r="DD77" s="572"/>
      <c r="DE77" s="96"/>
      <c r="DF77" s="590"/>
      <c r="DG77" s="572"/>
      <c r="DH77" s="572"/>
      <c r="DI77" s="572"/>
      <c r="DJ77" s="572"/>
      <c r="DK77" s="572"/>
      <c r="DL77" s="572"/>
      <c r="DM77" s="572"/>
      <c r="DN77" s="572"/>
      <c r="DO77" s="586"/>
      <c r="DP77" s="586"/>
      <c r="DQ77" s="577"/>
      <c r="DR77" s="96"/>
      <c r="DS77" s="96"/>
      <c r="DT77" s="96"/>
      <c r="DU77" s="96"/>
      <c r="DV77" s="96"/>
      <c r="DW77" s="96"/>
      <c r="DX77" s="96"/>
      <c r="DY77" s="96"/>
      <c r="DZ77" s="96"/>
      <c r="EA77" s="96"/>
      <c r="EB77" s="96"/>
      <c r="EC77" s="96"/>
      <c r="ED77" s="96"/>
      <c r="EE77" s="96"/>
    </row>
    <row r="78" spans="2:135" ht="47.25" customHeight="1">
      <c r="B78" s="2517" t="s">
        <v>697</v>
      </c>
      <c r="C78" s="1771">
        <v>5010</v>
      </c>
      <c r="D78" s="1795"/>
      <c r="E78" s="1765">
        <f t="shared" ref="E78:E85" si="452">IF((AL78&lt;10),SUM((U78+(ROUNDUP((AL78*AM78),2)))),SUM((U78+(ROUNDUP(((9*AM78)+DT78),2)))))</f>
        <v>0</v>
      </c>
      <c r="F78" s="1765">
        <f t="shared" ref="F78:F85" si="453">IF((AL78&lt;10),SUM((V78+(ROUNDUP((AL78*AN78),2)))),SUM((V78+(ROUNDUP(((9*AN78)+DU78),2)))))</f>
        <v>0</v>
      </c>
      <c r="G78" s="1765">
        <f t="shared" ref="G78:H85" si="454">W78</f>
        <v>0</v>
      </c>
      <c r="H78" s="1766">
        <f t="shared" si="454"/>
        <v>0</v>
      </c>
      <c r="I78" s="1765">
        <f t="shared" ref="I78" si="455">Y78</f>
        <v>0</v>
      </c>
      <c r="J78" s="1765">
        <f t="shared" ref="J78" si="456">IF((AL78&lt;10),SUM((Z78+(ROUNDUP((AL78*AQ78),2)))),SUM((Z78+(ROUNDUP(((9*AQ78)+DX78),2)))))</f>
        <v>0</v>
      </c>
      <c r="K78" s="1767">
        <f t="shared" ref="K78" si="457">IF((AL78&lt;10),SUM((AA78+(ROUNDUP((AL78*AR78),2)))),SUM((AA78+(ROUNDUP(((9*AR78)+DY78),2)))))</f>
        <v>0</v>
      </c>
      <c r="L78" s="1767">
        <f t="shared" ref="L78" si="458">AB78</f>
        <v>0</v>
      </c>
      <c r="M78" s="1765">
        <f t="shared" ref="M78" si="459">IF((AL78&lt;10),SUM((AC78+(ROUNDUP((AL78*AT78),2)))),SUM((AC78+(ROUNDUP(((9*AT78)+EA78),2)))))</f>
        <v>0</v>
      </c>
      <c r="N78" s="1765">
        <f t="shared" ref="N78" si="460">IF((AL78&lt;10),SUM((AD78+(ROUNDUP((AL78*AU78),2)))),SUM((AD78+(ROUNDUP(((9*AU78)+EB78),2)))))</f>
        <v>0</v>
      </c>
      <c r="O78" s="1765">
        <f t="shared" ref="O78" si="461">IF((AL78&lt;10),SUM((AE78+(ROUNDUP((AL78*AV78),2)))),SUM((AE78+(ROUNDUP(((9*AV78)+EC78),2)))))</f>
        <v>0</v>
      </c>
      <c r="P78" s="1765">
        <f t="shared" ref="P78" si="462">AF78</f>
        <v>0</v>
      </c>
      <c r="Q78" s="1765">
        <f t="shared" ref="Q78" si="463">IF((AL78&lt;10),SUM((AG78+(ROUNDUP((AL78*AX78),2)))),SUM((AG78+(ROUNDUP(((9*AX78)+EE78),2)))))</f>
        <v>0</v>
      </c>
      <c r="R78" s="1765">
        <f t="shared" ref="R78" si="464">IF((AM78&lt;10),SUM((AH78+(ROUNDUP((AM78*AY78),2)))),SUM((AH78+(ROUNDUP(((9*AY78)+EF78),2)))))</f>
        <v>0</v>
      </c>
      <c r="S78" s="1765">
        <f t="shared" ref="S78" si="465">IF((AN78&lt;10),SUM((AI78+(ROUNDUP((AN78*AZ78),2)))),SUM((AI78+(ROUNDUP(((9*AZ78)+EG78),2)))))</f>
        <v>0</v>
      </c>
      <c r="T78" s="190"/>
      <c r="AJ78" s="96"/>
      <c r="AK78" s="96"/>
      <c r="AL78" s="576">
        <f t="shared" si="101"/>
        <v>1</v>
      </c>
      <c r="AM78" s="572">
        <f>SUM((U78/9))</f>
        <v>0</v>
      </c>
      <c r="AN78" s="572">
        <f>SUM((V78/9))</f>
        <v>0</v>
      </c>
      <c r="AO78" s="572"/>
      <c r="AP78" s="572"/>
      <c r="AQ78" s="572"/>
      <c r="AR78" s="572"/>
      <c r="AS78" s="572"/>
      <c r="AT78" s="572">
        <f>SUM((AC78/18))</f>
        <v>0</v>
      </c>
      <c r="AU78" s="572">
        <f>SUM((-AD78/18))</f>
        <v>0</v>
      </c>
      <c r="AV78" s="572">
        <f>SUM((-AE78/18))</f>
        <v>0</v>
      </c>
      <c r="AW78" s="583"/>
      <c r="AX78" s="572">
        <f>SUM((AG78/9))</f>
        <v>0</v>
      </c>
      <c r="AY78" s="572"/>
      <c r="AZ78" s="572"/>
      <c r="BA78" s="96"/>
      <c r="BB78" s="590">
        <v>2.33</v>
      </c>
      <c r="BC78" s="572">
        <f t="shared" si="383"/>
        <v>0</v>
      </c>
      <c r="BD78" s="572">
        <f t="shared" si="384"/>
        <v>0</v>
      </c>
      <c r="BE78" s="572">
        <f t="shared" si="385"/>
        <v>0</v>
      </c>
      <c r="BF78" s="572">
        <f t="shared" si="386"/>
        <v>0</v>
      </c>
      <c r="BG78" s="572">
        <f t="shared" si="387"/>
        <v>0</v>
      </c>
      <c r="BH78" s="572">
        <f t="shared" si="388"/>
        <v>0</v>
      </c>
      <c r="BI78" s="572">
        <f t="shared" si="389"/>
        <v>0</v>
      </c>
      <c r="BJ78" s="572">
        <f t="shared" si="390"/>
        <v>0</v>
      </c>
      <c r="BK78" s="586">
        <f t="shared" si="391"/>
        <v>0</v>
      </c>
      <c r="BL78" s="586">
        <f t="shared" si="392"/>
        <v>0</v>
      </c>
      <c r="BM78" s="583">
        <f t="shared" si="393"/>
        <v>0</v>
      </c>
      <c r="BN78" s="572">
        <f t="shared" si="394"/>
        <v>0</v>
      </c>
      <c r="BO78" s="96"/>
      <c r="BP78" s="590">
        <v>7.84</v>
      </c>
      <c r="BQ78" s="572">
        <f t="shared" si="395"/>
        <v>0</v>
      </c>
      <c r="BR78" s="572">
        <f t="shared" si="396"/>
        <v>0</v>
      </c>
      <c r="BS78" s="572">
        <f t="shared" si="397"/>
        <v>0</v>
      </c>
      <c r="BT78" s="572">
        <f t="shared" si="398"/>
        <v>0</v>
      </c>
      <c r="BU78" s="572">
        <f t="shared" si="399"/>
        <v>0</v>
      </c>
      <c r="BV78" s="572">
        <f t="shared" si="400"/>
        <v>0</v>
      </c>
      <c r="BW78" s="572">
        <f t="shared" si="401"/>
        <v>0</v>
      </c>
      <c r="BX78" s="572">
        <f t="shared" si="402"/>
        <v>0</v>
      </c>
      <c r="BY78" s="586">
        <f t="shared" si="403"/>
        <v>0</v>
      </c>
      <c r="BZ78" s="586">
        <f t="shared" si="404"/>
        <v>0</v>
      </c>
      <c r="CA78" s="583">
        <f t="shared" si="405"/>
        <v>0</v>
      </c>
      <c r="CB78" s="572">
        <f t="shared" si="406"/>
        <v>0</v>
      </c>
      <c r="CC78" s="96"/>
      <c r="CD78" s="590">
        <v>8.4499999999999993</v>
      </c>
      <c r="CE78" s="572">
        <f t="shared" si="407"/>
        <v>0</v>
      </c>
      <c r="CF78" s="572">
        <f t="shared" si="408"/>
        <v>0</v>
      </c>
      <c r="CG78" s="572">
        <f t="shared" si="409"/>
        <v>0</v>
      </c>
      <c r="CH78" s="572">
        <f t="shared" si="410"/>
        <v>0</v>
      </c>
      <c r="CI78" s="572">
        <f t="shared" si="411"/>
        <v>0</v>
      </c>
      <c r="CJ78" s="572">
        <f t="shared" si="412"/>
        <v>0</v>
      </c>
      <c r="CK78" s="572">
        <f t="shared" si="413"/>
        <v>0</v>
      </c>
      <c r="CL78" s="572">
        <f t="shared" si="414"/>
        <v>0</v>
      </c>
      <c r="CM78" s="586">
        <f t="shared" si="415"/>
        <v>0</v>
      </c>
      <c r="CN78" s="586">
        <f t="shared" si="416"/>
        <v>0</v>
      </c>
      <c r="CO78" s="583">
        <f t="shared" si="417"/>
        <v>0</v>
      </c>
      <c r="CP78" s="572">
        <f t="shared" si="418"/>
        <v>0</v>
      </c>
      <c r="CQ78" s="96"/>
      <c r="CR78" s="590">
        <v>9.23</v>
      </c>
      <c r="CS78" s="572">
        <f t="shared" si="419"/>
        <v>0</v>
      </c>
      <c r="CT78" s="572">
        <f t="shared" si="420"/>
        <v>0</v>
      </c>
      <c r="CU78" s="572">
        <f t="shared" si="421"/>
        <v>0</v>
      </c>
      <c r="CV78" s="572">
        <f t="shared" si="422"/>
        <v>0</v>
      </c>
      <c r="CW78" s="572">
        <f t="shared" si="423"/>
        <v>0</v>
      </c>
      <c r="CX78" s="572">
        <f t="shared" si="424"/>
        <v>0</v>
      </c>
      <c r="CY78" s="572">
        <f t="shared" si="425"/>
        <v>0</v>
      </c>
      <c r="CZ78" s="572">
        <f t="shared" si="426"/>
        <v>0</v>
      </c>
      <c r="DA78" s="586">
        <f t="shared" si="427"/>
        <v>0</v>
      </c>
      <c r="DB78" s="586">
        <f t="shared" si="428"/>
        <v>0</v>
      </c>
      <c r="DC78" s="583">
        <f t="shared" si="429"/>
        <v>0</v>
      </c>
      <c r="DD78" s="572">
        <f t="shared" si="430"/>
        <v>0</v>
      </c>
      <c r="DE78" s="96"/>
      <c r="DF78" s="590">
        <v>10.199999999999999</v>
      </c>
      <c r="DG78" s="572">
        <f t="shared" si="431"/>
        <v>0</v>
      </c>
      <c r="DH78" s="572">
        <f t="shared" si="432"/>
        <v>0</v>
      </c>
      <c r="DI78" s="572">
        <f t="shared" si="433"/>
        <v>0</v>
      </c>
      <c r="DJ78" s="572">
        <f t="shared" si="434"/>
        <v>0</v>
      </c>
      <c r="DK78" s="572">
        <f t="shared" si="435"/>
        <v>0</v>
      </c>
      <c r="DL78" s="572">
        <f t="shared" si="436"/>
        <v>0</v>
      </c>
      <c r="DM78" s="572">
        <f t="shared" si="437"/>
        <v>0</v>
      </c>
      <c r="DN78" s="572">
        <f t="shared" si="438"/>
        <v>0</v>
      </c>
      <c r="DO78" s="586">
        <f t="shared" si="439"/>
        <v>0</v>
      </c>
      <c r="DP78" s="586">
        <f t="shared" si="440"/>
        <v>0</v>
      </c>
      <c r="DQ78" s="577">
        <f t="shared" si="441"/>
        <v>0</v>
      </c>
      <c r="DR78" s="96">
        <f t="shared" si="442"/>
        <v>0</v>
      </c>
      <c r="DS78" s="96"/>
      <c r="DT78" s="96" t="e">
        <f t="shared" ref="DT78:DT85" si="466">CHOOSE((AL78-9),BC78,(BC78+BQ78),((BC78+BQ78)+CE78),(((BC78+BQ78)+CE78)+CS78),((((BC78+BQ78)+CE78)+CS78)+DG78),)</f>
        <v>#VALUE!</v>
      </c>
      <c r="DU78" s="96" t="e">
        <f t="shared" ref="DU78:DU85" si="467">CHOOSE((AL78-9),BD78,(BD78+BR78),((BD78+BR78)+CF78),(((BD78+BR78)+CF78)+CT78),((((BD78+BR78)+CF78)+CT78)+DH78),)</f>
        <v>#VALUE!</v>
      </c>
      <c r="DV78" s="96" t="e">
        <f t="shared" ref="DV78:DV85" si="468">CHOOSE((AL78-9),BE78,(BE78+BS78),((BE78+BS78)+CG78),(((BE78+BS78)+CG78)+CU78),((((BE78+BS78)+CG78)+CU78)+DI78),)</f>
        <v>#VALUE!</v>
      </c>
      <c r="DW78" s="96" t="e">
        <f t="shared" ref="DW78:DW85" si="469">CHOOSE((AL78-9),BF78,(BF78+BT78),((BF78+BT78)+CH78),(((BF78+BT78)+CH78)+CV78),((((BF78+BT78)+CH78)+CV78)+DJ78),)</f>
        <v>#VALUE!</v>
      </c>
      <c r="DX78" s="96" t="e">
        <f t="shared" ref="DX78:DX85" si="470">CHOOSE((AL78-9),BG78,(BG78+BU78),((BG78+BU78)+CI78),(((BG78+BU78)+CI78)+CW78),((((BG78+BU78)+CI78)+CW78)+DK78),)</f>
        <v>#VALUE!</v>
      </c>
      <c r="DY78" s="96" t="e">
        <f t="shared" ref="DY78:DY85" si="471">CHOOSE((AL78-9),BH78,(BH78+BV78),((BH78+BV78)+CJ78),(((BH78+BV78)+CJ78)+CX78),((((BH78+BV78)+CJ78)+CX78)+DL78),)</f>
        <v>#VALUE!</v>
      </c>
      <c r="DZ78" s="96" t="e">
        <f t="shared" ref="DZ78:DZ85" si="472">CHOOSE((AL78-9),BI78,(BI78+BW78),((BI78+BW78)+CK78),(((BI78+BW78)+CK78)+CY78),((((BI78+BW78)+CK78)+CY78)+DM78),)</f>
        <v>#VALUE!</v>
      </c>
      <c r="EA78" s="96" t="e">
        <f t="shared" ref="EA78:EA85" si="473">CHOOSE((AL78-9),BJ78,(BJ78+BX78),((BJ78+BX78)+CL78),(((BJ78+BX78)+CL78)+CZ78),((((BJ78+BX78)+CL78)+CZ78)+DN78),)</f>
        <v>#VALUE!</v>
      </c>
      <c r="EB78" s="96" t="e">
        <f t="shared" ref="EB78:EB85" si="474">CHOOSE((AL78-9),BK78,(BK78+BY78),((BK78+BY78)+CM78),(((BK78+BY78)+CM78)+DA78),((((BK78+BY78)+CM78)+DA78)+DO78),)</f>
        <v>#VALUE!</v>
      </c>
      <c r="EC78" s="96" t="e">
        <f t="shared" ref="EC78:EC85" si="475">CHOOSE((AL78-9),BL78,(BL78+BZ78),((BL78+BZ78)+CN78),(((BL78+BZ78)+CN78)+DB78),((((BL78+BZ78)+CN78)+DB78)+DP78),)</f>
        <v>#VALUE!</v>
      </c>
      <c r="ED78" s="96" t="e">
        <f t="shared" ref="ED78:ED85" si="476">CHOOSE((AL78-9),BM78,(BM78+CA78),((BM78+CA78)+CO78),(((BM78+CA78)+CO78)+DC78),((((BM78+CA78)+CO78)+DC78)+DQ78),)</f>
        <v>#VALUE!</v>
      </c>
      <c r="EE78" s="96" t="e">
        <f t="shared" ref="EE78:EE85" si="477">CHOOSE((AL78-9),BN78,(BN78+CB78),((BN78+CB78)+CP78),(((BN78+CB78)+CP78)+DD78),((((BN78+CB78)+CP78)+DD78)+DR78),)</f>
        <v>#VALUE!</v>
      </c>
    </row>
    <row r="79" spans="2:135" ht="15.75" thickBot="1">
      <c r="B79" s="2518"/>
      <c r="C79" s="1772">
        <v>5020</v>
      </c>
      <c r="D79" s="1796" t="s">
        <v>1174</v>
      </c>
      <c r="E79" s="1765">
        <f t="shared" si="452"/>
        <v>5.5600000000000005</v>
      </c>
      <c r="F79" s="1765">
        <f t="shared" si="453"/>
        <v>11.120000000000001</v>
      </c>
      <c r="G79" s="1765">
        <f t="shared" si="454"/>
        <v>0</v>
      </c>
      <c r="H79" s="1766">
        <f t="shared" si="454"/>
        <v>0</v>
      </c>
      <c r="I79" s="1765">
        <f t="shared" ref="I79:I85" si="478">Y79</f>
        <v>0</v>
      </c>
      <c r="J79" s="1765">
        <f t="shared" ref="J79:J85" si="479">IF((AL79&lt;10),SUM((Z79+(ROUNDUP((AL79*AQ79),2)))),SUM((Z79+(ROUNDUP(((9*AQ79)+DX79),2)))))</f>
        <v>100</v>
      </c>
      <c r="K79" s="1767">
        <f t="shared" ref="K79:K85" si="480">IF((AL79&lt;10),SUM((AA79+(ROUNDUP((AL79*AR79),2)))),SUM((AA79+(ROUNDUP(((9*AR79)+DY79),2)))))</f>
        <v>0</v>
      </c>
      <c r="L79" s="1767">
        <f t="shared" ref="L79:L85" si="481">AB79</f>
        <v>400</v>
      </c>
      <c r="M79" s="1765">
        <f t="shared" ref="M79:M85" si="482">IF((AL79&lt;10),SUM((AC79+(ROUNDUP((AL79*AT79),2)))),SUM((AC79+(ROUNDUP(((9*AT79)+EA79),2)))))</f>
        <v>0</v>
      </c>
      <c r="N79" s="1765">
        <f t="shared" ref="N79:N85" si="483">IF((AL79&lt;10),SUM((AD79+(ROUNDUP((AL79*AU79),2)))),SUM((AD79+(ROUNDUP(((9*AU79)+EB79),2)))))</f>
        <v>0.2</v>
      </c>
      <c r="O79" s="1765">
        <f t="shared" ref="O79:O85" si="484">IF((AL79&lt;10),SUM((AE79+(ROUNDUP((AL79*AV79),2)))),SUM((AE79+(ROUNDUP(((9*AV79)+EC79),2)))))</f>
        <v>0</v>
      </c>
      <c r="P79" s="1765">
        <f t="shared" ref="P79:P85" si="485">AF79</f>
        <v>0</v>
      </c>
      <c r="Q79" s="1765">
        <f t="shared" ref="Q79:Q85" si="486">IF((AL79&lt;10),SUM((AG79+(ROUNDUP((AL79*AX79),2)))),SUM((AG79+(ROUNDUP(((9*AX79)+EE79),2)))))</f>
        <v>0</v>
      </c>
      <c r="R79" s="1765">
        <f t="shared" ref="R79:R93" si="487">IF((AM79&lt;10),SUM((AH79+(ROUNDUP((AM79*AY79),2)))),SUM((AH79+(ROUNDUP(((9*AY79)+EF79),2)))))</f>
        <v>0</v>
      </c>
      <c r="S79" s="1765">
        <f t="shared" ref="S79:S93" si="488">IF((AN79&lt;10),SUM((AI79+(ROUNDUP((AN79*AZ79),2)))),SUM((AI79+(ROUNDUP(((9*AZ79)+EG79),2)))))</f>
        <v>0</v>
      </c>
      <c r="T79" s="190"/>
      <c r="U79" s="568">
        <v>5</v>
      </c>
      <c r="V79" s="563">
        <v>10</v>
      </c>
      <c r="W79" s="563">
        <v>0</v>
      </c>
      <c r="X79" s="563">
        <v>0</v>
      </c>
      <c r="Y79" s="563">
        <v>0</v>
      </c>
      <c r="Z79" s="563">
        <v>100</v>
      </c>
      <c r="AA79" s="563"/>
      <c r="AB79" s="563">
        <v>400</v>
      </c>
      <c r="AC79" s="563"/>
      <c r="AD79" s="563">
        <v>0.2</v>
      </c>
      <c r="AE79" s="563"/>
      <c r="AF79" s="563"/>
      <c r="AG79" s="850"/>
      <c r="AH79" s="563"/>
      <c r="AI79" s="563"/>
      <c r="AJ79" s="96"/>
      <c r="AK79" s="96"/>
      <c r="AL79" s="576">
        <f t="shared" si="101"/>
        <v>1</v>
      </c>
      <c r="AM79" s="572">
        <f t="shared" si="371"/>
        <v>0.55555555555555558</v>
      </c>
      <c r="AN79" s="572">
        <f t="shared" si="372"/>
        <v>1.1111111111111112</v>
      </c>
      <c r="AO79" s="572"/>
      <c r="AP79" s="572"/>
      <c r="AQ79" s="572"/>
      <c r="AR79" s="572"/>
      <c r="AS79" s="572"/>
      <c r="AT79" s="572">
        <f t="shared" si="446"/>
        <v>0</v>
      </c>
      <c r="AU79" s="572"/>
      <c r="AV79" s="572">
        <f t="shared" si="381"/>
        <v>0</v>
      </c>
      <c r="AW79" s="583"/>
      <c r="AX79" s="572">
        <f t="shared" si="382"/>
        <v>0</v>
      </c>
      <c r="AY79" s="572"/>
      <c r="AZ79" s="572"/>
      <c r="BA79" s="96"/>
      <c r="BB79" s="590">
        <v>2.33</v>
      </c>
      <c r="BC79" s="572">
        <f t="shared" si="383"/>
        <v>0.5</v>
      </c>
      <c r="BD79" s="572">
        <f t="shared" si="384"/>
        <v>1</v>
      </c>
      <c r="BE79" s="572">
        <f t="shared" si="385"/>
        <v>0</v>
      </c>
      <c r="BF79" s="572">
        <f t="shared" si="386"/>
        <v>0</v>
      </c>
      <c r="BG79" s="572">
        <f t="shared" si="387"/>
        <v>0</v>
      </c>
      <c r="BH79" s="572">
        <f t="shared" si="388"/>
        <v>0</v>
      </c>
      <c r="BI79" s="572">
        <f t="shared" si="389"/>
        <v>0</v>
      </c>
      <c r="BJ79" s="572">
        <f t="shared" si="390"/>
        <v>0</v>
      </c>
      <c r="BK79" s="586">
        <f t="shared" si="391"/>
        <v>0</v>
      </c>
      <c r="BL79" s="586">
        <f t="shared" si="392"/>
        <v>0</v>
      </c>
      <c r="BM79" s="583">
        <f t="shared" si="393"/>
        <v>0</v>
      </c>
      <c r="BN79" s="572">
        <f t="shared" si="394"/>
        <v>0</v>
      </c>
      <c r="BO79" s="96"/>
      <c r="BP79" s="590">
        <v>8.84</v>
      </c>
      <c r="BQ79" s="572">
        <f t="shared" si="395"/>
        <v>0.45</v>
      </c>
      <c r="BR79" s="572">
        <f t="shared" si="396"/>
        <v>0.9</v>
      </c>
      <c r="BS79" s="572">
        <f t="shared" si="397"/>
        <v>0</v>
      </c>
      <c r="BT79" s="572">
        <f t="shared" si="398"/>
        <v>0</v>
      </c>
      <c r="BU79" s="572">
        <f t="shared" si="399"/>
        <v>0</v>
      </c>
      <c r="BV79" s="572">
        <f t="shared" si="400"/>
        <v>0</v>
      </c>
      <c r="BW79" s="572">
        <f t="shared" si="401"/>
        <v>0</v>
      </c>
      <c r="BX79" s="572">
        <f t="shared" si="402"/>
        <v>0</v>
      </c>
      <c r="BY79" s="586">
        <f t="shared" si="403"/>
        <v>0</v>
      </c>
      <c r="BZ79" s="586">
        <f t="shared" si="404"/>
        <v>0</v>
      </c>
      <c r="CA79" s="583">
        <f t="shared" si="405"/>
        <v>0</v>
      </c>
      <c r="CB79" s="572">
        <f t="shared" si="406"/>
        <v>0</v>
      </c>
      <c r="CC79" s="96"/>
      <c r="CD79" s="590">
        <v>9.4499999999999993</v>
      </c>
      <c r="CE79" s="572">
        <f t="shared" si="407"/>
        <v>0.4</v>
      </c>
      <c r="CF79" s="572">
        <f t="shared" si="408"/>
        <v>0.8</v>
      </c>
      <c r="CG79" s="572">
        <f t="shared" si="409"/>
        <v>0</v>
      </c>
      <c r="CH79" s="572">
        <f t="shared" si="410"/>
        <v>0</v>
      </c>
      <c r="CI79" s="572">
        <f t="shared" si="411"/>
        <v>0</v>
      </c>
      <c r="CJ79" s="572">
        <f t="shared" si="412"/>
        <v>0</v>
      </c>
      <c r="CK79" s="572">
        <f t="shared" si="413"/>
        <v>0</v>
      </c>
      <c r="CL79" s="572">
        <f t="shared" si="414"/>
        <v>0</v>
      </c>
      <c r="CM79" s="586">
        <f t="shared" si="415"/>
        <v>0</v>
      </c>
      <c r="CN79" s="586">
        <f t="shared" si="416"/>
        <v>0</v>
      </c>
      <c r="CO79" s="583">
        <f t="shared" si="417"/>
        <v>0</v>
      </c>
      <c r="CP79" s="572">
        <f t="shared" si="418"/>
        <v>0</v>
      </c>
      <c r="CQ79" s="96"/>
      <c r="CR79" s="590">
        <v>10.23</v>
      </c>
      <c r="CS79" s="572">
        <f t="shared" si="419"/>
        <v>0.35</v>
      </c>
      <c r="CT79" s="572">
        <f t="shared" si="420"/>
        <v>0.7</v>
      </c>
      <c r="CU79" s="572">
        <f t="shared" si="421"/>
        <v>0</v>
      </c>
      <c r="CV79" s="572">
        <f t="shared" si="422"/>
        <v>0</v>
      </c>
      <c r="CW79" s="572">
        <f t="shared" si="423"/>
        <v>0</v>
      </c>
      <c r="CX79" s="572">
        <f t="shared" si="424"/>
        <v>0</v>
      </c>
      <c r="CY79" s="572">
        <f t="shared" si="425"/>
        <v>0</v>
      </c>
      <c r="CZ79" s="572">
        <f t="shared" si="426"/>
        <v>0</v>
      </c>
      <c r="DA79" s="586">
        <f t="shared" si="427"/>
        <v>0</v>
      </c>
      <c r="DB79" s="586">
        <f t="shared" si="428"/>
        <v>0</v>
      </c>
      <c r="DC79" s="583">
        <f t="shared" si="429"/>
        <v>0</v>
      </c>
      <c r="DD79" s="572">
        <f t="shared" si="430"/>
        <v>0</v>
      </c>
      <c r="DE79" s="96"/>
      <c r="DF79" s="590">
        <v>11.2</v>
      </c>
      <c r="DG79" s="572">
        <f t="shared" si="431"/>
        <v>0.3</v>
      </c>
      <c r="DH79" s="572">
        <f t="shared" si="432"/>
        <v>0.6</v>
      </c>
      <c r="DI79" s="572">
        <f t="shared" si="433"/>
        <v>0</v>
      </c>
      <c r="DJ79" s="572">
        <f t="shared" si="434"/>
        <v>0</v>
      </c>
      <c r="DK79" s="572">
        <f t="shared" si="435"/>
        <v>0</v>
      </c>
      <c r="DL79" s="572">
        <f t="shared" si="436"/>
        <v>0</v>
      </c>
      <c r="DM79" s="572">
        <f t="shared" si="437"/>
        <v>0</v>
      </c>
      <c r="DN79" s="572">
        <f t="shared" si="438"/>
        <v>0</v>
      </c>
      <c r="DO79" s="586">
        <f t="shared" si="439"/>
        <v>0</v>
      </c>
      <c r="DP79" s="586">
        <f t="shared" si="440"/>
        <v>0</v>
      </c>
      <c r="DQ79" s="577">
        <f t="shared" si="441"/>
        <v>0</v>
      </c>
      <c r="DR79" s="96">
        <f t="shared" si="442"/>
        <v>0</v>
      </c>
      <c r="DS79" s="96"/>
      <c r="DT79" s="96" t="e">
        <f t="shared" si="466"/>
        <v>#VALUE!</v>
      </c>
      <c r="DU79" s="96" t="e">
        <f t="shared" si="467"/>
        <v>#VALUE!</v>
      </c>
      <c r="DV79" s="96" t="e">
        <f t="shared" si="468"/>
        <v>#VALUE!</v>
      </c>
      <c r="DW79" s="96" t="e">
        <f t="shared" si="469"/>
        <v>#VALUE!</v>
      </c>
      <c r="DX79" s="96" t="e">
        <f t="shared" si="470"/>
        <v>#VALUE!</v>
      </c>
      <c r="DY79" s="96" t="e">
        <f t="shared" si="471"/>
        <v>#VALUE!</v>
      </c>
      <c r="DZ79" s="96" t="e">
        <f t="shared" si="472"/>
        <v>#VALUE!</v>
      </c>
      <c r="EA79" s="96" t="e">
        <f t="shared" si="473"/>
        <v>#VALUE!</v>
      </c>
      <c r="EB79" s="96" t="e">
        <f t="shared" si="474"/>
        <v>#VALUE!</v>
      </c>
      <c r="EC79" s="96" t="e">
        <f t="shared" si="475"/>
        <v>#VALUE!</v>
      </c>
      <c r="ED79" s="96" t="e">
        <f t="shared" si="476"/>
        <v>#VALUE!</v>
      </c>
      <c r="EE79" s="96" t="e">
        <f t="shared" si="477"/>
        <v>#VALUE!</v>
      </c>
    </row>
    <row r="80" spans="2:135">
      <c r="B80" s="2518"/>
      <c r="C80" s="1771">
        <v>5030</v>
      </c>
      <c r="D80" s="1796" t="s">
        <v>1175</v>
      </c>
      <c r="E80" s="1765">
        <f t="shared" si="452"/>
        <v>22.23</v>
      </c>
      <c r="F80" s="1765">
        <f t="shared" si="453"/>
        <v>44.45</v>
      </c>
      <c r="G80" s="1765">
        <f t="shared" si="454"/>
        <v>0</v>
      </c>
      <c r="H80" s="1766">
        <f t="shared" si="454"/>
        <v>1</v>
      </c>
      <c r="I80" s="1765">
        <f t="shared" si="478"/>
        <v>0</v>
      </c>
      <c r="J80" s="1765">
        <f t="shared" si="479"/>
        <v>300</v>
      </c>
      <c r="K80" s="1767">
        <f t="shared" si="480"/>
        <v>0</v>
      </c>
      <c r="L80" s="1767">
        <f t="shared" si="481"/>
        <v>400</v>
      </c>
      <c r="M80" s="1765">
        <f t="shared" si="482"/>
        <v>0</v>
      </c>
      <c r="N80" s="1765">
        <f t="shared" si="483"/>
        <v>0.35</v>
      </c>
      <c r="O80" s="1765">
        <f t="shared" si="484"/>
        <v>0</v>
      </c>
      <c r="P80" s="1765">
        <f t="shared" si="485"/>
        <v>0</v>
      </c>
      <c r="Q80" s="1765">
        <f t="shared" si="486"/>
        <v>0</v>
      </c>
      <c r="R80" s="1765">
        <f t="shared" si="487"/>
        <v>0</v>
      </c>
      <c r="S80" s="1765">
        <f t="shared" si="488"/>
        <v>0</v>
      </c>
      <c r="T80" s="190"/>
      <c r="U80" s="568">
        <v>20</v>
      </c>
      <c r="V80" s="563">
        <v>40</v>
      </c>
      <c r="W80" s="563">
        <v>0</v>
      </c>
      <c r="X80" s="563">
        <v>1</v>
      </c>
      <c r="Y80" s="563"/>
      <c r="Z80" s="563">
        <v>300</v>
      </c>
      <c r="AA80" s="563"/>
      <c r="AB80" s="563">
        <v>400</v>
      </c>
      <c r="AC80" s="563"/>
      <c r="AD80" s="563">
        <v>0.35</v>
      </c>
      <c r="AE80" s="563"/>
      <c r="AF80" s="563"/>
      <c r="AG80" s="850"/>
      <c r="AH80" s="563"/>
      <c r="AI80" s="563"/>
      <c r="AJ80" s="96"/>
      <c r="AK80" s="96"/>
      <c r="AL80" s="576">
        <f t="shared" si="101"/>
        <v>1</v>
      </c>
      <c r="AM80" s="572">
        <f t="shared" si="371"/>
        <v>2.2222222222222223</v>
      </c>
      <c r="AN80" s="572">
        <f t="shared" si="372"/>
        <v>4.4444444444444446</v>
      </c>
      <c r="AO80" s="572"/>
      <c r="AP80" s="572"/>
      <c r="AQ80" s="572"/>
      <c r="AR80" s="572"/>
      <c r="AS80" s="572"/>
      <c r="AT80" s="572">
        <f t="shared" si="446"/>
        <v>0</v>
      </c>
      <c r="AU80" s="572"/>
      <c r="AV80" s="572">
        <f t="shared" si="381"/>
        <v>0</v>
      </c>
      <c r="AW80" s="583"/>
      <c r="AX80" s="572">
        <f t="shared" si="382"/>
        <v>0</v>
      </c>
      <c r="AY80" s="572"/>
      <c r="AZ80" s="572"/>
      <c r="BA80" s="96"/>
      <c r="BB80" s="590">
        <v>2.33</v>
      </c>
      <c r="BC80" s="572">
        <f t="shared" si="383"/>
        <v>2</v>
      </c>
      <c r="BD80" s="572">
        <f t="shared" si="384"/>
        <v>4</v>
      </c>
      <c r="BE80" s="572">
        <f t="shared" si="385"/>
        <v>0</v>
      </c>
      <c r="BF80" s="572">
        <f t="shared" si="386"/>
        <v>0</v>
      </c>
      <c r="BG80" s="572">
        <f t="shared" si="387"/>
        <v>0</v>
      </c>
      <c r="BH80" s="572">
        <f t="shared" si="388"/>
        <v>0</v>
      </c>
      <c r="BI80" s="572">
        <f t="shared" si="389"/>
        <v>0</v>
      </c>
      <c r="BJ80" s="572">
        <f t="shared" si="390"/>
        <v>0</v>
      </c>
      <c r="BK80" s="586">
        <f t="shared" si="391"/>
        <v>0</v>
      </c>
      <c r="BL80" s="586">
        <f t="shared" si="392"/>
        <v>0</v>
      </c>
      <c r="BM80" s="583">
        <f t="shared" si="393"/>
        <v>0</v>
      </c>
      <c r="BN80" s="572">
        <f t="shared" si="394"/>
        <v>0</v>
      </c>
      <c r="BO80" s="96"/>
      <c r="BP80" s="590">
        <v>9.84</v>
      </c>
      <c r="BQ80" s="572">
        <f t="shared" si="395"/>
        <v>1.8</v>
      </c>
      <c r="BR80" s="572">
        <f t="shared" si="396"/>
        <v>3.6</v>
      </c>
      <c r="BS80" s="572">
        <f t="shared" si="397"/>
        <v>0</v>
      </c>
      <c r="BT80" s="572">
        <f t="shared" si="398"/>
        <v>0</v>
      </c>
      <c r="BU80" s="572">
        <f t="shared" si="399"/>
        <v>0</v>
      </c>
      <c r="BV80" s="572">
        <f t="shared" si="400"/>
        <v>0</v>
      </c>
      <c r="BW80" s="572">
        <f t="shared" si="401"/>
        <v>0</v>
      </c>
      <c r="BX80" s="572">
        <f t="shared" si="402"/>
        <v>0</v>
      </c>
      <c r="BY80" s="586">
        <f t="shared" si="403"/>
        <v>0</v>
      </c>
      <c r="BZ80" s="586">
        <f t="shared" si="404"/>
        <v>0</v>
      </c>
      <c r="CA80" s="583">
        <f t="shared" si="405"/>
        <v>0</v>
      </c>
      <c r="CB80" s="572">
        <f t="shared" si="406"/>
        <v>0</v>
      </c>
      <c r="CC80" s="96"/>
      <c r="CD80" s="590">
        <v>10.45</v>
      </c>
      <c r="CE80" s="572">
        <f t="shared" si="407"/>
        <v>1.6</v>
      </c>
      <c r="CF80" s="572">
        <f t="shared" si="408"/>
        <v>3.2</v>
      </c>
      <c r="CG80" s="572">
        <f t="shared" si="409"/>
        <v>0</v>
      </c>
      <c r="CH80" s="572">
        <f t="shared" si="410"/>
        <v>0</v>
      </c>
      <c r="CI80" s="572">
        <f t="shared" si="411"/>
        <v>0</v>
      </c>
      <c r="CJ80" s="572">
        <f t="shared" si="412"/>
        <v>0</v>
      </c>
      <c r="CK80" s="572">
        <f t="shared" si="413"/>
        <v>0</v>
      </c>
      <c r="CL80" s="572">
        <f t="shared" si="414"/>
        <v>0</v>
      </c>
      <c r="CM80" s="586">
        <f t="shared" si="415"/>
        <v>0</v>
      </c>
      <c r="CN80" s="586">
        <f t="shared" si="416"/>
        <v>0</v>
      </c>
      <c r="CO80" s="583">
        <f t="shared" si="417"/>
        <v>0</v>
      </c>
      <c r="CP80" s="572">
        <f t="shared" si="418"/>
        <v>0</v>
      </c>
      <c r="CQ80" s="96"/>
      <c r="CR80" s="590">
        <v>11.23</v>
      </c>
      <c r="CS80" s="572">
        <f t="shared" si="419"/>
        <v>1.4</v>
      </c>
      <c r="CT80" s="572">
        <f t="shared" si="420"/>
        <v>2.8</v>
      </c>
      <c r="CU80" s="572">
        <f t="shared" si="421"/>
        <v>0</v>
      </c>
      <c r="CV80" s="572">
        <f t="shared" si="422"/>
        <v>0</v>
      </c>
      <c r="CW80" s="572">
        <f t="shared" si="423"/>
        <v>0</v>
      </c>
      <c r="CX80" s="572">
        <f t="shared" si="424"/>
        <v>0</v>
      </c>
      <c r="CY80" s="572">
        <f t="shared" si="425"/>
        <v>0</v>
      </c>
      <c r="CZ80" s="572">
        <f t="shared" si="426"/>
        <v>0</v>
      </c>
      <c r="DA80" s="586">
        <f t="shared" si="427"/>
        <v>0</v>
      </c>
      <c r="DB80" s="586">
        <f t="shared" si="428"/>
        <v>0</v>
      </c>
      <c r="DC80" s="583">
        <f t="shared" si="429"/>
        <v>0</v>
      </c>
      <c r="DD80" s="572">
        <f t="shared" si="430"/>
        <v>0</v>
      </c>
      <c r="DE80" s="96"/>
      <c r="DF80" s="590">
        <v>12.2</v>
      </c>
      <c r="DG80" s="572">
        <f t="shared" si="431"/>
        <v>1.2</v>
      </c>
      <c r="DH80" s="572">
        <f t="shared" si="432"/>
        <v>2.4</v>
      </c>
      <c r="DI80" s="572">
        <f t="shared" si="433"/>
        <v>0</v>
      </c>
      <c r="DJ80" s="572">
        <f t="shared" si="434"/>
        <v>0</v>
      </c>
      <c r="DK80" s="572">
        <f t="shared" si="435"/>
        <v>0</v>
      </c>
      <c r="DL80" s="572">
        <f t="shared" si="436"/>
        <v>0</v>
      </c>
      <c r="DM80" s="572">
        <f t="shared" si="437"/>
        <v>0</v>
      </c>
      <c r="DN80" s="572">
        <f t="shared" si="438"/>
        <v>0</v>
      </c>
      <c r="DO80" s="586">
        <f t="shared" si="439"/>
        <v>0</v>
      </c>
      <c r="DP80" s="586">
        <f t="shared" si="440"/>
        <v>0</v>
      </c>
      <c r="DQ80" s="577">
        <f t="shared" si="441"/>
        <v>0</v>
      </c>
      <c r="DR80" s="96">
        <f t="shared" si="442"/>
        <v>0</v>
      </c>
      <c r="DS80" s="96"/>
      <c r="DT80" s="96" t="e">
        <f t="shared" si="466"/>
        <v>#VALUE!</v>
      </c>
      <c r="DU80" s="96" t="e">
        <f t="shared" si="467"/>
        <v>#VALUE!</v>
      </c>
      <c r="DV80" s="96" t="e">
        <f t="shared" si="468"/>
        <v>#VALUE!</v>
      </c>
      <c r="DW80" s="96" t="e">
        <f t="shared" si="469"/>
        <v>#VALUE!</v>
      </c>
      <c r="DX80" s="96" t="e">
        <f t="shared" si="470"/>
        <v>#VALUE!</v>
      </c>
      <c r="DY80" s="96" t="e">
        <f t="shared" si="471"/>
        <v>#VALUE!</v>
      </c>
      <c r="DZ80" s="96" t="e">
        <f t="shared" si="472"/>
        <v>#VALUE!</v>
      </c>
      <c r="EA80" s="96" t="e">
        <f t="shared" si="473"/>
        <v>#VALUE!</v>
      </c>
      <c r="EB80" s="96" t="e">
        <f t="shared" si="474"/>
        <v>#VALUE!</v>
      </c>
      <c r="EC80" s="96" t="e">
        <f t="shared" si="475"/>
        <v>#VALUE!</v>
      </c>
      <c r="ED80" s="96" t="e">
        <f t="shared" si="476"/>
        <v>#VALUE!</v>
      </c>
      <c r="EE80" s="96" t="e">
        <f t="shared" si="477"/>
        <v>#VALUE!</v>
      </c>
    </row>
    <row r="81" spans="2:159" ht="15.75" thickBot="1">
      <c r="B81" s="2521"/>
      <c r="C81" s="1772">
        <v>5040</v>
      </c>
      <c r="D81" s="1796" t="s">
        <v>1176</v>
      </c>
      <c r="E81" s="1765">
        <f t="shared" si="452"/>
        <v>55.56</v>
      </c>
      <c r="F81" s="1765">
        <f t="shared" si="453"/>
        <v>111.12</v>
      </c>
      <c r="G81" s="1765">
        <f t="shared" si="454"/>
        <v>0</v>
      </c>
      <c r="H81" s="1766">
        <f t="shared" si="454"/>
        <v>1</v>
      </c>
      <c r="I81" s="1765">
        <f t="shared" si="478"/>
        <v>0</v>
      </c>
      <c r="J81" s="1765">
        <f t="shared" si="479"/>
        <v>600</v>
      </c>
      <c r="K81" s="1767">
        <f t="shared" si="480"/>
        <v>0</v>
      </c>
      <c r="L81" s="1767">
        <f t="shared" si="481"/>
        <v>400</v>
      </c>
      <c r="M81" s="1765">
        <f t="shared" si="482"/>
        <v>0</v>
      </c>
      <c r="N81" s="1765">
        <f t="shared" si="483"/>
        <v>0.5</v>
      </c>
      <c r="O81" s="1765">
        <f t="shared" si="484"/>
        <v>0</v>
      </c>
      <c r="P81" s="1765">
        <f t="shared" si="485"/>
        <v>0</v>
      </c>
      <c r="Q81" s="1765">
        <f t="shared" si="486"/>
        <v>0</v>
      </c>
      <c r="R81" s="1765">
        <f t="shared" si="487"/>
        <v>0</v>
      </c>
      <c r="S81" s="1765">
        <f t="shared" si="488"/>
        <v>0</v>
      </c>
      <c r="T81" s="190"/>
      <c r="U81" s="568">
        <v>50</v>
      </c>
      <c r="V81" s="563">
        <v>100</v>
      </c>
      <c r="W81" s="563">
        <v>0</v>
      </c>
      <c r="X81" s="563">
        <v>1</v>
      </c>
      <c r="Y81" s="563"/>
      <c r="Z81" s="563">
        <v>600</v>
      </c>
      <c r="AA81" s="563"/>
      <c r="AB81" s="563">
        <v>400</v>
      </c>
      <c r="AC81" s="563"/>
      <c r="AD81" s="563">
        <v>0.5</v>
      </c>
      <c r="AE81" s="563"/>
      <c r="AF81" s="563"/>
      <c r="AG81" s="850"/>
      <c r="AH81" s="563"/>
      <c r="AI81" s="563"/>
      <c r="AJ81" s="96"/>
      <c r="AK81" s="96"/>
      <c r="AL81" s="576">
        <f t="shared" si="101"/>
        <v>1</v>
      </c>
      <c r="AM81" s="572">
        <f t="shared" si="371"/>
        <v>5.5555555555555554</v>
      </c>
      <c r="AN81" s="572">
        <f t="shared" si="372"/>
        <v>11.111111111111111</v>
      </c>
      <c r="AO81" s="572"/>
      <c r="AP81" s="572"/>
      <c r="AQ81" s="572"/>
      <c r="AR81" s="572"/>
      <c r="AS81" s="572"/>
      <c r="AT81" s="572">
        <f t="shared" si="446"/>
        <v>0</v>
      </c>
      <c r="AU81" s="572"/>
      <c r="AV81" s="572">
        <f t="shared" si="381"/>
        <v>0</v>
      </c>
      <c r="AW81" s="583"/>
      <c r="AX81" s="572">
        <f t="shared" si="382"/>
        <v>0</v>
      </c>
      <c r="AY81" s="572"/>
      <c r="AZ81" s="572"/>
      <c r="BA81" s="96"/>
      <c r="BB81" s="590">
        <v>2.33</v>
      </c>
      <c r="BC81" s="572">
        <f t="shared" si="383"/>
        <v>5</v>
      </c>
      <c r="BD81" s="572">
        <f t="shared" si="384"/>
        <v>10</v>
      </c>
      <c r="BE81" s="572">
        <f t="shared" si="385"/>
        <v>0</v>
      </c>
      <c r="BF81" s="572">
        <f t="shared" si="386"/>
        <v>0</v>
      </c>
      <c r="BG81" s="572">
        <f t="shared" si="387"/>
        <v>0</v>
      </c>
      <c r="BH81" s="572">
        <f t="shared" si="388"/>
        <v>0</v>
      </c>
      <c r="BI81" s="572">
        <f t="shared" si="389"/>
        <v>0</v>
      </c>
      <c r="BJ81" s="572">
        <f t="shared" si="390"/>
        <v>0</v>
      </c>
      <c r="BK81" s="586">
        <f t="shared" si="391"/>
        <v>0</v>
      </c>
      <c r="BL81" s="586">
        <f t="shared" si="392"/>
        <v>0</v>
      </c>
      <c r="BM81" s="583">
        <f t="shared" si="393"/>
        <v>0</v>
      </c>
      <c r="BN81" s="572">
        <f t="shared" si="394"/>
        <v>0</v>
      </c>
      <c r="BO81" s="96"/>
      <c r="BP81" s="590">
        <v>10.84</v>
      </c>
      <c r="BQ81" s="572">
        <f t="shared" si="395"/>
        <v>4.5</v>
      </c>
      <c r="BR81" s="572">
        <f t="shared" si="396"/>
        <v>9</v>
      </c>
      <c r="BS81" s="572">
        <f t="shared" si="397"/>
        <v>0</v>
      </c>
      <c r="BT81" s="572">
        <f t="shared" si="398"/>
        <v>0</v>
      </c>
      <c r="BU81" s="572">
        <f t="shared" si="399"/>
        <v>0</v>
      </c>
      <c r="BV81" s="572">
        <f t="shared" si="400"/>
        <v>0</v>
      </c>
      <c r="BW81" s="572">
        <f t="shared" si="401"/>
        <v>0</v>
      </c>
      <c r="BX81" s="572">
        <f t="shared" si="402"/>
        <v>0</v>
      </c>
      <c r="BY81" s="586">
        <f t="shared" si="403"/>
        <v>0</v>
      </c>
      <c r="BZ81" s="586">
        <f t="shared" si="404"/>
        <v>0</v>
      </c>
      <c r="CA81" s="583">
        <f t="shared" si="405"/>
        <v>0</v>
      </c>
      <c r="CB81" s="572">
        <f t="shared" si="406"/>
        <v>0</v>
      </c>
      <c r="CC81" s="96"/>
      <c r="CD81" s="590">
        <v>11.45</v>
      </c>
      <c r="CE81" s="572">
        <f t="shared" si="407"/>
        <v>4</v>
      </c>
      <c r="CF81" s="572">
        <f t="shared" si="408"/>
        <v>8</v>
      </c>
      <c r="CG81" s="572">
        <f t="shared" si="409"/>
        <v>0</v>
      </c>
      <c r="CH81" s="572">
        <f t="shared" si="410"/>
        <v>0</v>
      </c>
      <c r="CI81" s="572">
        <f t="shared" si="411"/>
        <v>0</v>
      </c>
      <c r="CJ81" s="572">
        <f t="shared" si="412"/>
        <v>0</v>
      </c>
      <c r="CK81" s="572">
        <f t="shared" si="413"/>
        <v>0</v>
      </c>
      <c r="CL81" s="572">
        <f t="shared" si="414"/>
        <v>0</v>
      </c>
      <c r="CM81" s="586">
        <f t="shared" si="415"/>
        <v>0</v>
      </c>
      <c r="CN81" s="586">
        <f t="shared" si="416"/>
        <v>0</v>
      </c>
      <c r="CO81" s="583">
        <f t="shared" si="417"/>
        <v>0</v>
      </c>
      <c r="CP81" s="572">
        <f t="shared" si="418"/>
        <v>0</v>
      </c>
      <c r="CQ81" s="96"/>
      <c r="CR81" s="590">
        <v>12.23</v>
      </c>
      <c r="CS81" s="572">
        <f t="shared" si="419"/>
        <v>3.5</v>
      </c>
      <c r="CT81" s="572">
        <f t="shared" si="420"/>
        <v>7</v>
      </c>
      <c r="CU81" s="572">
        <f t="shared" si="421"/>
        <v>0</v>
      </c>
      <c r="CV81" s="572">
        <f t="shared" si="422"/>
        <v>0</v>
      </c>
      <c r="CW81" s="572">
        <f t="shared" si="423"/>
        <v>0</v>
      </c>
      <c r="CX81" s="572">
        <f t="shared" si="424"/>
        <v>0</v>
      </c>
      <c r="CY81" s="572">
        <f t="shared" si="425"/>
        <v>0</v>
      </c>
      <c r="CZ81" s="572">
        <f t="shared" si="426"/>
        <v>0</v>
      </c>
      <c r="DA81" s="586">
        <f t="shared" si="427"/>
        <v>0</v>
      </c>
      <c r="DB81" s="586">
        <f t="shared" si="428"/>
        <v>0</v>
      </c>
      <c r="DC81" s="583">
        <f t="shared" si="429"/>
        <v>0</v>
      </c>
      <c r="DD81" s="572">
        <f t="shared" si="430"/>
        <v>0</v>
      </c>
      <c r="DE81" s="96"/>
      <c r="DF81" s="590">
        <v>13.2</v>
      </c>
      <c r="DG81" s="572">
        <f t="shared" si="431"/>
        <v>3</v>
      </c>
      <c r="DH81" s="572">
        <f t="shared" si="432"/>
        <v>6</v>
      </c>
      <c r="DI81" s="572">
        <f t="shared" si="433"/>
        <v>0</v>
      </c>
      <c r="DJ81" s="572">
        <f t="shared" si="434"/>
        <v>0</v>
      </c>
      <c r="DK81" s="572">
        <f t="shared" si="435"/>
        <v>0</v>
      </c>
      <c r="DL81" s="572">
        <f t="shared" si="436"/>
        <v>0</v>
      </c>
      <c r="DM81" s="572">
        <f t="shared" si="437"/>
        <v>0</v>
      </c>
      <c r="DN81" s="572">
        <f t="shared" si="438"/>
        <v>0</v>
      </c>
      <c r="DO81" s="586">
        <f t="shared" si="439"/>
        <v>0</v>
      </c>
      <c r="DP81" s="586">
        <f t="shared" si="440"/>
        <v>0</v>
      </c>
      <c r="DQ81" s="577">
        <f t="shared" si="441"/>
        <v>0</v>
      </c>
      <c r="DR81" s="96">
        <f t="shared" si="442"/>
        <v>0</v>
      </c>
      <c r="DS81" s="96"/>
      <c r="DT81" s="96" t="e">
        <f t="shared" si="466"/>
        <v>#VALUE!</v>
      </c>
      <c r="DU81" s="96" t="e">
        <f t="shared" si="467"/>
        <v>#VALUE!</v>
      </c>
      <c r="DV81" s="96" t="e">
        <f t="shared" si="468"/>
        <v>#VALUE!</v>
      </c>
      <c r="DW81" s="96" t="e">
        <f t="shared" si="469"/>
        <v>#VALUE!</v>
      </c>
      <c r="DX81" s="96" t="e">
        <f t="shared" si="470"/>
        <v>#VALUE!</v>
      </c>
      <c r="DY81" s="96" t="e">
        <f t="shared" si="471"/>
        <v>#VALUE!</v>
      </c>
      <c r="DZ81" s="96" t="e">
        <f t="shared" si="472"/>
        <v>#VALUE!</v>
      </c>
      <c r="EA81" s="96" t="e">
        <f t="shared" si="473"/>
        <v>#VALUE!</v>
      </c>
      <c r="EB81" s="96" t="e">
        <f t="shared" si="474"/>
        <v>#VALUE!</v>
      </c>
      <c r="EC81" s="96" t="e">
        <f t="shared" si="475"/>
        <v>#VALUE!</v>
      </c>
      <c r="ED81" s="96" t="e">
        <f t="shared" si="476"/>
        <v>#VALUE!</v>
      </c>
      <c r="EE81" s="96" t="e">
        <f t="shared" si="477"/>
        <v>#VALUE!</v>
      </c>
    </row>
    <row r="82" spans="2:159" ht="15" customHeight="1">
      <c r="B82" s="2517" t="s">
        <v>789</v>
      </c>
      <c r="C82" s="1771">
        <v>5100</v>
      </c>
      <c r="D82" s="1795"/>
      <c r="E82" s="1765">
        <f t="shared" si="452"/>
        <v>0</v>
      </c>
      <c r="F82" s="1765">
        <f t="shared" si="453"/>
        <v>0</v>
      </c>
      <c r="G82" s="1765">
        <f t="shared" si="454"/>
        <v>0</v>
      </c>
      <c r="H82" s="1766">
        <f t="shared" si="454"/>
        <v>0</v>
      </c>
      <c r="I82" s="1765">
        <f t="shared" si="478"/>
        <v>0</v>
      </c>
      <c r="J82" s="1765">
        <f t="shared" si="479"/>
        <v>0</v>
      </c>
      <c r="K82" s="1767">
        <f t="shared" si="480"/>
        <v>0</v>
      </c>
      <c r="L82" s="1767">
        <f t="shared" si="481"/>
        <v>0</v>
      </c>
      <c r="M82" s="1765">
        <f t="shared" si="482"/>
        <v>0</v>
      </c>
      <c r="N82" s="1765">
        <f t="shared" si="483"/>
        <v>0</v>
      </c>
      <c r="O82" s="1765">
        <f t="shared" si="484"/>
        <v>0</v>
      </c>
      <c r="P82" s="1765">
        <f t="shared" si="485"/>
        <v>0</v>
      </c>
      <c r="Q82" s="1765">
        <f t="shared" si="486"/>
        <v>0</v>
      </c>
      <c r="R82" s="1765">
        <f t="shared" si="487"/>
        <v>0</v>
      </c>
      <c r="S82" s="1765">
        <f t="shared" si="488"/>
        <v>0</v>
      </c>
      <c r="T82" s="190"/>
      <c r="U82" s="568"/>
      <c r="V82" s="563"/>
      <c r="W82" s="563"/>
      <c r="X82" s="563"/>
      <c r="Y82" s="563"/>
      <c r="Z82" s="563"/>
      <c r="AA82" s="563"/>
      <c r="AB82" s="563"/>
      <c r="AC82" s="563"/>
      <c r="AD82" s="563"/>
      <c r="AE82" s="563"/>
      <c r="AF82" s="563"/>
      <c r="AG82" s="850"/>
      <c r="AH82" s="563"/>
      <c r="AI82" s="563"/>
      <c r="AJ82" s="96"/>
      <c r="AK82" s="96"/>
      <c r="AL82" s="576">
        <f t="shared" ref="AL82:AL85" si="489">$M$2-1</f>
        <v>1</v>
      </c>
      <c r="AM82" s="572">
        <f t="shared" si="371"/>
        <v>0</v>
      </c>
      <c r="AN82" s="572">
        <f t="shared" si="372"/>
        <v>0</v>
      </c>
      <c r="AO82" s="572"/>
      <c r="AP82" s="572"/>
      <c r="AQ82" s="572"/>
      <c r="AR82" s="572"/>
      <c r="AS82" s="572"/>
      <c r="AT82" s="572">
        <f t="shared" si="446"/>
        <v>0</v>
      </c>
      <c r="AU82" s="572">
        <f t="shared" si="380"/>
        <v>0</v>
      </c>
      <c r="AV82" s="572">
        <f t="shared" si="381"/>
        <v>0</v>
      </c>
      <c r="AW82" s="583"/>
      <c r="AX82" s="572">
        <f t="shared" si="382"/>
        <v>0</v>
      </c>
      <c r="AY82" s="572"/>
      <c r="AZ82" s="572"/>
      <c r="BA82" s="96"/>
      <c r="BB82" s="590">
        <v>2.33</v>
      </c>
      <c r="BC82" s="572">
        <f t="shared" si="383"/>
        <v>0</v>
      </c>
      <c r="BD82" s="572">
        <f t="shared" si="384"/>
        <v>0</v>
      </c>
      <c r="BE82" s="572">
        <f t="shared" si="385"/>
        <v>0</v>
      </c>
      <c r="BF82" s="572">
        <f t="shared" si="386"/>
        <v>0</v>
      </c>
      <c r="BG82" s="572">
        <f t="shared" si="387"/>
        <v>0</v>
      </c>
      <c r="BH82" s="572">
        <f t="shared" si="388"/>
        <v>0</v>
      </c>
      <c r="BI82" s="572">
        <f t="shared" si="389"/>
        <v>0</v>
      </c>
      <c r="BJ82" s="572">
        <f t="shared" si="390"/>
        <v>0</v>
      </c>
      <c r="BK82" s="586">
        <f t="shared" si="391"/>
        <v>0</v>
      </c>
      <c r="BL82" s="586">
        <f t="shared" si="392"/>
        <v>0</v>
      </c>
      <c r="BM82" s="583">
        <f t="shared" si="393"/>
        <v>0</v>
      </c>
      <c r="BN82" s="572">
        <f t="shared" si="394"/>
        <v>0</v>
      </c>
      <c r="BO82" s="96"/>
      <c r="BP82" s="590">
        <v>11.84</v>
      </c>
      <c r="BQ82" s="572">
        <f t="shared" si="395"/>
        <v>0</v>
      </c>
      <c r="BR82" s="572">
        <f t="shared" si="396"/>
        <v>0</v>
      </c>
      <c r="BS82" s="572">
        <f t="shared" si="397"/>
        <v>0</v>
      </c>
      <c r="BT82" s="572">
        <f t="shared" si="398"/>
        <v>0</v>
      </c>
      <c r="BU82" s="572">
        <f t="shared" si="399"/>
        <v>0</v>
      </c>
      <c r="BV82" s="572">
        <f t="shared" si="400"/>
        <v>0</v>
      </c>
      <c r="BW82" s="572">
        <f t="shared" si="401"/>
        <v>0</v>
      </c>
      <c r="BX82" s="572">
        <f t="shared" si="402"/>
        <v>0</v>
      </c>
      <c r="BY82" s="586">
        <f t="shared" si="403"/>
        <v>0</v>
      </c>
      <c r="BZ82" s="586">
        <f t="shared" si="404"/>
        <v>0</v>
      </c>
      <c r="CA82" s="583">
        <f t="shared" si="405"/>
        <v>0</v>
      </c>
      <c r="CB82" s="572">
        <f t="shared" si="406"/>
        <v>0</v>
      </c>
      <c r="CC82" s="96"/>
      <c r="CD82" s="590">
        <v>12.45</v>
      </c>
      <c r="CE82" s="572">
        <f t="shared" si="407"/>
        <v>0</v>
      </c>
      <c r="CF82" s="572">
        <f t="shared" si="408"/>
        <v>0</v>
      </c>
      <c r="CG82" s="572">
        <f t="shared" si="409"/>
        <v>0</v>
      </c>
      <c r="CH82" s="572">
        <f t="shared" si="410"/>
        <v>0</v>
      </c>
      <c r="CI82" s="572">
        <f t="shared" si="411"/>
        <v>0</v>
      </c>
      <c r="CJ82" s="572">
        <f t="shared" si="412"/>
        <v>0</v>
      </c>
      <c r="CK82" s="572">
        <f t="shared" si="413"/>
        <v>0</v>
      </c>
      <c r="CL82" s="572">
        <f t="shared" si="414"/>
        <v>0</v>
      </c>
      <c r="CM82" s="586">
        <f t="shared" si="415"/>
        <v>0</v>
      </c>
      <c r="CN82" s="586">
        <f t="shared" si="416"/>
        <v>0</v>
      </c>
      <c r="CO82" s="583">
        <f t="shared" si="417"/>
        <v>0</v>
      </c>
      <c r="CP82" s="572">
        <f t="shared" si="418"/>
        <v>0</v>
      </c>
      <c r="CQ82" s="96"/>
      <c r="CR82" s="590">
        <v>13.23</v>
      </c>
      <c r="CS82" s="572">
        <f t="shared" si="419"/>
        <v>0</v>
      </c>
      <c r="CT82" s="572">
        <f t="shared" si="420"/>
        <v>0</v>
      </c>
      <c r="CU82" s="572">
        <f t="shared" si="421"/>
        <v>0</v>
      </c>
      <c r="CV82" s="572">
        <f t="shared" si="422"/>
        <v>0</v>
      </c>
      <c r="CW82" s="572">
        <f t="shared" si="423"/>
        <v>0</v>
      </c>
      <c r="CX82" s="572">
        <f t="shared" si="424"/>
        <v>0</v>
      </c>
      <c r="CY82" s="572">
        <f t="shared" si="425"/>
        <v>0</v>
      </c>
      <c r="CZ82" s="572">
        <f t="shared" si="426"/>
        <v>0</v>
      </c>
      <c r="DA82" s="586">
        <f t="shared" si="427"/>
        <v>0</v>
      </c>
      <c r="DB82" s="586">
        <f t="shared" si="428"/>
        <v>0</v>
      </c>
      <c r="DC82" s="583">
        <f t="shared" si="429"/>
        <v>0</v>
      </c>
      <c r="DD82" s="572">
        <f t="shared" si="430"/>
        <v>0</v>
      </c>
      <c r="DE82" s="96"/>
      <c r="DF82" s="590">
        <v>14.2</v>
      </c>
      <c r="DG82" s="572">
        <f t="shared" si="431"/>
        <v>0</v>
      </c>
      <c r="DH82" s="572">
        <f t="shared" si="432"/>
        <v>0</v>
      </c>
      <c r="DI82" s="572">
        <f t="shared" si="433"/>
        <v>0</v>
      </c>
      <c r="DJ82" s="572">
        <f t="shared" si="434"/>
        <v>0</v>
      </c>
      <c r="DK82" s="572">
        <f t="shared" si="435"/>
        <v>0</v>
      </c>
      <c r="DL82" s="572">
        <f t="shared" si="436"/>
        <v>0</v>
      </c>
      <c r="DM82" s="572">
        <f t="shared" si="437"/>
        <v>0</v>
      </c>
      <c r="DN82" s="572">
        <f t="shared" si="438"/>
        <v>0</v>
      </c>
      <c r="DO82" s="586">
        <f t="shared" si="439"/>
        <v>0</v>
      </c>
      <c r="DP82" s="586">
        <f t="shared" si="440"/>
        <v>0</v>
      </c>
      <c r="DQ82" s="577">
        <f t="shared" si="441"/>
        <v>0</v>
      </c>
      <c r="DR82" s="96">
        <f t="shared" si="442"/>
        <v>0</v>
      </c>
      <c r="DS82" s="96"/>
      <c r="DT82" s="96" t="e">
        <f t="shared" si="466"/>
        <v>#VALUE!</v>
      </c>
      <c r="DU82" s="96" t="e">
        <f t="shared" si="467"/>
        <v>#VALUE!</v>
      </c>
      <c r="DV82" s="96" t="e">
        <f t="shared" si="468"/>
        <v>#VALUE!</v>
      </c>
      <c r="DW82" s="96" t="e">
        <f t="shared" si="469"/>
        <v>#VALUE!</v>
      </c>
      <c r="DX82" s="96" t="e">
        <f t="shared" si="470"/>
        <v>#VALUE!</v>
      </c>
      <c r="DY82" s="96" t="e">
        <f t="shared" si="471"/>
        <v>#VALUE!</v>
      </c>
      <c r="DZ82" s="96" t="e">
        <f t="shared" si="472"/>
        <v>#VALUE!</v>
      </c>
      <c r="EA82" s="96" t="e">
        <f t="shared" si="473"/>
        <v>#VALUE!</v>
      </c>
      <c r="EB82" s="96" t="e">
        <f t="shared" si="474"/>
        <v>#VALUE!</v>
      </c>
      <c r="EC82" s="96" t="e">
        <f t="shared" si="475"/>
        <v>#VALUE!</v>
      </c>
      <c r="ED82" s="96" t="e">
        <f t="shared" si="476"/>
        <v>#VALUE!</v>
      </c>
      <c r="EE82" s="96" t="e">
        <f t="shared" si="477"/>
        <v>#VALUE!</v>
      </c>
    </row>
    <row r="83" spans="2:159" ht="15.75" thickBot="1">
      <c r="B83" s="2518"/>
      <c r="C83" s="1772">
        <v>5200</v>
      </c>
      <c r="D83" s="1762" t="s">
        <v>1179</v>
      </c>
      <c r="E83" s="1765">
        <f t="shared" si="452"/>
        <v>222.23</v>
      </c>
      <c r="F83" s="1765">
        <f t="shared" si="453"/>
        <v>222.23</v>
      </c>
      <c r="G83" s="1765">
        <f t="shared" si="454"/>
        <v>20</v>
      </c>
      <c r="H83" s="1766">
        <f t="shared" si="454"/>
        <v>0</v>
      </c>
      <c r="I83" s="1765">
        <f t="shared" si="478"/>
        <v>0</v>
      </c>
      <c r="J83" s="1765">
        <f t="shared" si="479"/>
        <v>1900</v>
      </c>
      <c r="K83" s="1767">
        <f t="shared" si="480"/>
        <v>0</v>
      </c>
      <c r="L83" s="1767">
        <f t="shared" si="481"/>
        <v>0</v>
      </c>
      <c r="M83" s="1765">
        <f t="shared" si="482"/>
        <v>105.56</v>
      </c>
      <c r="N83" s="1765">
        <f t="shared" si="483"/>
        <v>3.77</v>
      </c>
      <c r="O83" s="1765">
        <f t="shared" si="484"/>
        <v>15.299999999999999</v>
      </c>
      <c r="P83" s="1765">
        <f t="shared" si="485"/>
        <v>1</v>
      </c>
      <c r="Q83" s="1765">
        <f t="shared" si="486"/>
        <v>6666.67</v>
      </c>
      <c r="R83" s="1765">
        <f t="shared" si="487"/>
        <v>0</v>
      </c>
      <c r="S83" s="1765">
        <f t="shared" si="488"/>
        <v>0</v>
      </c>
      <c r="T83" s="190"/>
      <c r="U83" s="568">
        <v>200</v>
      </c>
      <c r="V83" s="563">
        <v>200</v>
      </c>
      <c r="W83" s="563">
        <v>20</v>
      </c>
      <c r="X83" s="563">
        <v>0</v>
      </c>
      <c r="Y83" s="563">
        <v>0</v>
      </c>
      <c r="Z83" s="563">
        <v>1900</v>
      </c>
      <c r="AA83" s="563"/>
      <c r="AB83" s="563"/>
      <c r="AC83" s="563">
        <v>100</v>
      </c>
      <c r="AD83" s="563">
        <v>4</v>
      </c>
      <c r="AE83" s="563">
        <v>16.2</v>
      </c>
      <c r="AF83" s="563">
        <v>1</v>
      </c>
      <c r="AG83" s="850">
        <v>6000</v>
      </c>
      <c r="AH83" s="563"/>
      <c r="AI83" s="563"/>
      <c r="AJ83" s="96"/>
      <c r="AK83" s="96"/>
      <c r="AL83" s="576">
        <f t="shared" si="489"/>
        <v>1</v>
      </c>
      <c r="AM83" s="572">
        <f t="shared" si="371"/>
        <v>22.222222222222221</v>
      </c>
      <c r="AN83" s="572">
        <f t="shared" si="372"/>
        <v>22.222222222222221</v>
      </c>
      <c r="AO83" s="572"/>
      <c r="AP83" s="572"/>
      <c r="AQ83" s="572"/>
      <c r="AR83" s="572"/>
      <c r="AS83" s="572"/>
      <c r="AT83" s="572">
        <f t="shared" si="446"/>
        <v>5.5555555555555554</v>
      </c>
      <c r="AU83" s="572">
        <f t="shared" si="380"/>
        <v>-0.22222222222222221</v>
      </c>
      <c r="AV83" s="572">
        <f t="shared" si="381"/>
        <v>-0.89999999999999991</v>
      </c>
      <c r="AW83" s="583"/>
      <c r="AX83" s="572">
        <f t="shared" si="382"/>
        <v>666.66666666666663</v>
      </c>
      <c r="AY83" s="572"/>
      <c r="AZ83" s="572"/>
      <c r="BA83" s="96"/>
      <c r="BB83" s="590">
        <v>2.33</v>
      </c>
      <c r="BC83" s="572">
        <f t="shared" si="383"/>
        <v>20</v>
      </c>
      <c r="BD83" s="572">
        <f t="shared" si="384"/>
        <v>20</v>
      </c>
      <c r="BE83" s="572">
        <f t="shared" si="385"/>
        <v>0</v>
      </c>
      <c r="BF83" s="572">
        <f t="shared" si="386"/>
        <v>0</v>
      </c>
      <c r="BG83" s="572">
        <f t="shared" si="387"/>
        <v>0</v>
      </c>
      <c r="BH83" s="572">
        <f t="shared" si="388"/>
        <v>0</v>
      </c>
      <c r="BI83" s="572">
        <f t="shared" si="389"/>
        <v>0</v>
      </c>
      <c r="BJ83" s="572">
        <f t="shared" si="390"/>
        <v>5</v>
      </c>
      <c r="BK83" s="586">
        <f t="shared" si="391"/>
        <v>-0.1</v>
      </c>
      <c r="BL83" s="586">
        <f t="shared" si="392"/>
        <v>-0.39</v>
      </c>
      <c r="BM83" s="583">
        <f t="shared" si="393"/>
        <v>0</v>
      </c>
      <c r="BN83" s="572">
        <f t="shared" si="394"/>
        <v>600</v>
      </c>
      <c r="BO83" s="96"/>
      <c r="BP83" s="590">
        <v>12.84</v>
      </c>
      <c r="BQ83" s="572">
        <f t="shared" si="395"/>
        <v>18</v>
      </c>
      <c r="BR83" s="572">
        <f t="shared" si="396"/>
        <v>18</v>
      </c>
      <c r="BS83" s="572">
        <f t="shared" si="397"/>
        <v>0</v>
      </c>
      <c r="BT83" s="572">
        <f t="shared" si="398"/>
        <v>0</v>
      </c>
      <c r="BU83" s="572">
        <f t="shared" si="399"/>
        <v>0</v>
      </c>
      <c r="BV83" s="572">
        <f t="shared" si="400"/>
        <v>0</v>
      </c>
      <c r="BW83" s="572">
        <f t="shared" si="401"/>
        <v>0</v>
      </c>
      <c r="BX83" s="572">
        <f t="shared" si="402"/>
        <v>4.5</v>
      </c>
      <c r="BY83" s="586">
        <f t="shared" si="403"/>
        <v>-0.02</v>
      </c>
      <c r="BZ83" s="586">
        <f t="shared" si="404"/>
        <v>-7.0000000000000007E-2</v>
      </c>
      <c r="CA83" s="583">
        <f t="shared" si="405"/>
        <v>0</v>
      </c>
      <c r="CB83" s="572">
        <f t="shared" si="406"/>
        <v>540</v>
      </c>
      <c r="CC83" s="96"/>
      <c r="CD83" s="590">
        <v>13.45</v>
      </c>
      <c r="CE83" s="572">
        <f t="shared" si="407"/>
        <v>16</v>
      </c>
      <c r="CF83" s="572">
        <f t="shared" si="408"/>
        <v>16</v>
      </c>
      <c r="CG83" s="572">
        <f t="shared" si="409"/>
        <v>0</v>
      </c>
      <c r="CH83" s="572">
        <f t="shared" si="410"/>
        <v>0</v>
      </c>
      <c r="CI83" s="572">
        <f t="shared" si="411"/>
        <v>0</v>
      </c>
      <c r="CJ83" s="572">
        <f t="shared" si="412"/>
        <v>0</v>
      </c>
      <c r="CK83" s="572">
        <f t="shared" si="413"/>
        <v>0</v>
      </c>
      <c r="CL83" s="572">
        <f t="shared" si="414"/>
        <v>4</v>
      </c>
      <c r="CM83" s="586">
        <f t="shared" si="415"/>
        <v>-0.02</v>
      </c>
      <c r="CN83" s="586">
        <f t="shared" si="416"/>
        <v>-7.0000000000000007E-2</v>
      </c>
      <c r="CO83" s="583">
        <f t="shared" si="417"/>
        <v>0</v>
      </c>
      <c r="CP83" s="572">
        <f t="shared" si="418"/>
        <v>480</v>
      </c>
      <c r="CQ83" s="96"/>
      <c r="CR83" s="590">
        <v>14.23</v>
      </c>
      <c r="CS83" s="572">
        <f t="shared" si="419"/>
        <v>14</v>
      </c>
      <c r="CT83" s="572">
        <f t="shared" si="420"/>
        <v>14</v>
      </c>
      <c r="CU83" s="572">
        <f t="shared" si="421"/>
        <v>0</v>
      </c>
      <c r="CV83" s="572">
        <f t="shared" si="422"/>
        <v>0</v>
      </c>
      <c r="CW83" s="572">
        <f t="shared" si="423"/>
        <v>0</v>
      </c>
      <c r="CX83" s="572">
        <f t="shared" si="424"/>
        <v>0</v>
      </c>
      <c r="CY83" s="572">
        <f t="shared" si="425"/>
        <v>0</v>
      </c>
      <c r="CZ83" s="572">
        <f t="shared" si="426"/>
        <v>3.5</v>
      </c>
      <c r="DA83" s="586">
        <f t="shared" si="427"/>
        <v>-0.02</v>
      </c>
      <c r="DB83" s="586">
        <f t="shared" si="428"/>
        <v>-0.06</v>
      </c>
      <c r="DC83" s="583">
        <f t="shared" si="429"/>
        <v>0</v>
      </c>
      <c r="DD83" s="572">
        <f t="shared" si="430"/>
        <v>420</v>
      </c>
      <c r="DE83" s="96"/>
      <c r="DF83" s="590">
        <v>15.2</v>
      </c>
      <c r="DG83" s="572">
        <f t="shared" si="431"/>
        <v>12</v>
      </c>
      <c r="DH83" s="572">
        <f t="shared" si="432"/>
        <v>12</v>
      </c>
      <c r="DI83" s="572">
        <f t="shared" si="433"/>
        <v>0</v>
      </c>
      <c r="DJ83" s="572">
        <f t="shared" si="434"/>
        <v>0</v>
      </c>
      <c r="DK83" s="572">
        <f t="shared" si="435"/>
        <v>0</v>
      </c>
      <c r="DL83" s="572">
        <f t="shared" si="436"/>
        <v>0</v>
      </c>
      <c r="DM83" s="572">
        <f t="shared" si="437"/>
        <v>0</v>
      </c>
      <c r="DN83" s="572">
        <f t="shared" si="438"/>
        <v>3</v>
      </c>
      <c r="DO83" s="586">
        <f t="shared" si="439"/>
        <v>-0.01</v>
      </c>
      <c r="DP83" s="586">
        <f t="shared" si="440"/>
        <v>-0.06</v>
      </c>
      <c r="DQ83" s="577">
        <f t="shared" si="441"/>
        <v>0</v>
      </c>
      <c r="DR83" s="96">
        <f t="shared" si="442"/>
        <v>360</v>
      </c>
      <c r="DS83" s="96"/>
      <c r="DT83" s="96" t="e">
        <f t="shared" si="466"/>
        <v>#VALUE!</v>
      </c>
      <c r="DU83" s="96" t="e">
        <f t="shared" si="467"/>
        <v>#VALUE!</v>
      </c>
      <c r="DV83" s="96" t="e">
        <f t="shared" si="468"/>
        <v>#VALUE!</v>
      </c>
      <c r="DW83" s="96" t="e">
        <f t="shared" si="469"/>
        <v>#VALUE!</v>
      </c>
      <c r="DX83" s="96" t="e">
        <f t="shared" si="470"/>
        <v>#VALUE!</v>
      </c>
      <c r="DY83" s="96" t="e">
        <f t="shared" si="471"/>
        <v>#VALUE!</v>
      </c>
      <c r="DZ83" s="96" t="e">
        <f t="shared" si="472"/>
        <v>#VALUE!</v>
      </c>
      <c r="EA83" s="96" t="e">
        <f t="shared" si="473"/>
        <v>#VALUE!</v>
      </c>
      <c r="EB83" s="96" t="e">
        <f t="shared" si="474"/>
        <v>#VALUE!</v>
      </c>
      <c r="EC83" s="96" t="e">
        <f t="shared" si="475"/>
        <v>#VALUE!</v>
      </c>
      <c r="ED83" s="96" t="e">
        <f t="shared" si="476"/>
        <v>#VALUE!</v>
      </c>
      <c r="EE83" s="96" t="e">
        <f t="shared" si="477"/>
        <v>#VALUE!</v>
      </c>
    </row>
    <row r="84" spans="2:159">
      <c r="B84" s="2518"/>
      <c r="C84" s="1771">
        <v>5300</v>
      </c>
      <c r="D84" s="1762" t="s">
        <v>1180</v>
      </c>
      <c r="E84" s="1765">
        <f t="shared" si="452"/>
        <v>333.34</v>
      </c>
      <c r="F84" s="1765">
        <f t="shared" si="453"/>
        <v>333.34</v>
      </c>
      <c r="G84" s="1765">
        <f t="shared" si="454"/>
        <v>15</v>
      </c>
      <c r="H84" s="1766">
        <f t="shared" si="454"/>
        <v>0</v>
      </c>
      <c r="I84" s="1765">
        <f t="shared" si="478"/>
        <v>300</v>
      </c>
      <c r="J84" s="1765">
        <f t="shared" si="479"/>
        <v>1000</v>
      </c>
      <c r="K84" s="1767">
        <f t="shared" si="480"/>
        <v>0</v>
      </c>
      <c r="L84" s="1767">
        <f t="shared" si="481"/>
        <v>0</v>
      </c>
      <c r="M84" s="1765">
        <f t="shared" si="482"/>
        <v>105.56</v>
      </c>
      <c r="N84" s="1765">
        <f t="shared" si="483"/>
        <v>28.33</v>
      </c>
      <c r="O84" s="1765">
        <f t="shared" si="484"/>
        <v>4.72</v>
      </c>
      <c r="P84" s="1765">
        <f t="shared" si="485"/>
        <v>75</v>
      </c>
      <c r="Q84" s="1765">
        <f t="shared" si="486"/>
        <v>6666.67</v>
      </c>
      <c r="R84" s="1765">
        <f t="shared" si="487"/>
        <v>0</v>
      </c>
      <c r="S84" s="1765">
        <f t="shared" si="488"/>
        <v>0</v>
      </c>
      <c r="T84" s="190"/>
      <c r="U84" s="568">
        <v>300</v>
      </c>
      <c r="V84" s="563">
        <v>300</v>
      </c>
      <c r="W84" s="563">
        <v>15</v>
      </c>
      <c r="X84" s="563">
        <v>0</v>
      </c>
      <c r="Y84" s="563">
        <v>300</v>
      </c>
      <c r="Z84" s="563">
        <v>1000</v>
      </c>
      <c r="AA84" s="563"/>
      <c r="AB84" s="563"/>
      <c r="AC84" s="563">
        <v>100</v>
      </c>
      <c r="AD84" s="563">
        <v>30</v>
      </c>
      <c r="AE84" s="563">
        <v>5</v>
      </c>
      <c r="AF84" s="563">
        <v>75</v>
      </c>
      <c r="AG84" s="850">
        <v>6000</v>
      </c>
      <c r="AH84" s="563"/>
      <c r="AI84" s="563"/>
      <c r="AJ84" s="96"/>
      <c r="AK84" s="96"/>
      <c r="AL84" s="576">
        <f t="shared" si="489"/>
        <v>1</v>
      </c>
      <c r="AM84" s="572">
        <f t="shared" si="371"/>
        <v>33.333333333333336</v>
      </c>
      <c r="AN84" s="572">
        <f t="shared" si="372"/>
        <v>33.333333333333336</v>
      </c>
      <c r="AO84" s="572"/>
      <c r="AP84" s="572"/>
      <c r="AQ84" s="572"/>
      <c r="AR84" s="572"/>
      <c r="AS84" s="572"/>
      <c r="AT84" s="572">
        <f t="shared" si="446"/>
        <v>5.5555555555555554</v>
      </c>
      <c r="AU84" s="572">
        <f t="shared" si="380"/>
        <v>-1.6666666666666667</v>
      </c>
      <c r="AV84" s="572">
        <f t="shared" si="381"/>
        <v>-0.27777777777777779</v>
      </c>
      <c r="AW84" s="583"/>
      <c r="AX84" s="572">
        <f t="shared" si="382"/>
        <v>666.66666666666663</v>
      </c>
      <c r="AY84" s="572"/>
      <c r="AZ84" s="572"/>
      <c r="BA84" s="96"/>
      <c r="BB84" s="590">
        <v>2.33</v>
      </c>
      <c r="BC84" s="572">
        <f t="shared" si="383"/>
        <v>30.000000000000004</v>
      </c>
      <c r="BD84" s="572">
        <f t="shared" si="384"/>
        <v>30.000000000000004</v>
      </c>
      <c r="BE84" s="572">
        <f t="shared" si="385"/>
        <v>0</v>
      </c>
      <c r="BF84" s="572">
        <f t="shared" si="386"/>
        <v>0</v>
      </c>
      <c r="BG84" s="572">
        <f t="shared" si="387"/>
        <v>0</v>
      </c>
      <c r="BH84" s="572">
        <f t="shared" si="388"/>
        <v>0</v>
      </c>
      <c r="BI84" s="572">
        <f t="shared" si="389"/>
        <v>0</v>
      </c>
      <c r="BJ84" s="572">
        <f t="shared" si="390"/>
        <v>5</v>
      </c>
      <c r="BK84" s="586">
        <f t="shared" si="391"/>
        <v>-0.72</v>
      </c>
      <c r="BL84" s="586">
        <f t="shared" si="392"/>
        <v>-0.12</v>
      </c>
      <c r="BM84" s="583">
        <f t="shared" si="393"/>
        <v>0</v>
      </c>
      <c r="BN84" s="572">
        <f t="shared" si="394"/>
        <v>600</v>
      </c>
      <c r="BO84" s="96"/>
      <c r="BP84" s="590">
        <v>13.84</v>
      </c>
      <c r="BQ84" s="572">
        <f t="shared" si="395"/>
        <v>27.000000000000004</v>
      </c>
      <c r="BR84" s="572">
        <f t="shared" si="396"/>
        <v>27.000000000000004</v>
      </c>
      <c r="BS84" s="572">
        <f t="shared" si="397"/>
        <v>0</v>
      </c>
      <c r="BT84" s="572">
        <f t="shared" si="398"/>
        <v>0</v>
      </c>
      <c r="BU84" s="572">
        <f t="shared" si="399"/>
        <v>0</v>
      </c>
      <c r="BV84" s="572">
        <f t="shared" si="400"/>
        <v>0</v>
      </c>
      <c r="BW84" s="572">
        <f t="shared" si="401"/>
        <v>0</v>
      </c>
      <c r="BX84" s="572">
        <f t="shared" si="402"/>
        <v>4.5</v>
      </c>
      <c r="BY84" s="586">
        <f t="shared" si="403"/>
        <v>-0.12</v>
      </c>
      <c r="BZ84" s="586">
        <f t="shared" si="404"/>
        <v>-0.02</v>
      </c>
      <c r="CA84" s="583">
        <f t="shared" si="405"/>
        <v>0</v>
      </c>
      <c r="CB84" s="572">
        <f t="shared" si="406"/>
        <v>540</v>
      </c>
      <c r="CC84" s="96"/>
      <c r="CD84" s="590">
        <v>14.45</v>
      </c>
      <c r="CE84" s="572">
        <f t="shared" si="407"/>
        <v>24.000000000000004</v>
      </c>
      <c r="CF84" s="572">
        <f t="shared" si="408"/>
        <v>24.000000000000004</v>
      </c>
      <c r="CG84" s="572">
        <f t="shared" si="409"/>
        <v>0</v>
      </c>
      <c r="CH84" s="572">
        <f t="shared" si="410"/>
        <v>0</v>
      </c>
      <c r="CI84" s="572">
        <f t="shared" si="411"/>
        <v>0</v>
      </c>
      <c r="CJ84" s="572">
        <f t="shared" si="412"/>
        <v>0</v>
      </c>
      <c r="CK84" s="572">
        <f t="shared" si="413"/>
        <v>0</v>
      </c>
      <c r="CL84" s="572">
        <f t="shared" si="414"/>
        <v>4</v>
      </c>
      <c r="CM84" s="586">
        <f t="shared" si="415"/>
        <v>-0.12</v>
      </c>
      <c r="CN84" s="586">
        <f t="shared" si="416"/>
        <v>-0.02</v>
      </c>
      <c r="CO84" s="583">
        <f t="shared" si="417"/>
        <v>0</v>
      </c>
      <c r="CP84" s="572">
        <f t="shared" si="418"/>
        <v>480</v>
      </c>
      <c r="CQ84" s="96"/>
      <c r="CR84" s="590">
        <v>15.23</v>
      </c>
      <c r="CS84" s="572">
        <f t="shared" si="419"/>
        <v>21</v>
      </c>
      <c r="CT84" s="572">
        <f t="shared" si="420"/>
        <v>21</v>
      </c>
      <c r="CU84" s="572">
        <f t="shared" si="421"/>
        <v>0</v>
      </c>
      <c r="CV84" s="572">
        <f t="shared" si="422"/>
        <v>0</v>
      </c>
      <c r="CW84" s="572">
        <f t="shared" si="423"/>
        <v>0</v>
      </c>
      <c r="CX84" s="572">
        <f t="shared" si="424"/>
        <v>0</v>
      </c>
      <c r="CY84" s="572">
        <f t="shared" si="425"/>
        <v>0</v>
      </c>
      <c r="CZ84" s="572">
        <f t="shared" si="426"/>
        <v>3.5</v>
      </c>
      <c r="DA84" s="586">
        <f t="shared" si="427"/>
        <v>-0.11</v>
      </c>
      <c r="DB84" s="586">
        <f t="shared" si="428"/>
        <v>-0.02</v>
      </c>
      <c r="DC84" s="583">
        <f t="shared" si="429"/>
        <v>0</v>
      </c>
      <c r="DD84" s="572">
        <f t="shared" si="430"/>
        <v>420</v>
      </c>
      <c r="DE84" s="96"/>
      <c r="DF84" s="590">
        <v>16.2</v>
      </c>
      <c r="DG84" s="572">
        <f t="shared" si="431"/>
        <v>18</v>
      </c>
      <c r="DH84" s="572">
        <f t="shared" si="432"/>
        <v>18</v>
      </c>
      <c r="DI84" s="572">
        <f t="shared" si="433"/>
        <v>0</v>
      </c>
      <c r="DJ84" s="572">
        <f t="shared" si="434"/>
        <v>0</v>
      </c>
      <c r="DK84" s="572">
        <f t="shared" si="435"/>
        <v>0</v>
      </c>
      <c r="DL84" s="572">
        <f t="shared" si="436"/>
        <v>0</v>
      </c>
      <c r="DM84" s="572">
        <f t="shared" si="437"/>
        <v>0</v>
      </c>
      <c r="DN84" s="572">
        <f t="shared" si="438"/>
        <v>3</v>
      </c>
      <c r="DO84" s="586">
        <f t="shared" si="439"/>
        <v>-0.1</v>
      </c>
      <c r="DP84" s="586">
        <f t="shared" si="440"/>
        <v>-0.02</v>
      </c>
      <c r="DQ84" s="577">
        <f t="shared" si="441"/>
        <v>0</v>
      </c>
      <c r="DR84" s="96">
        <f t="shared" si="442"/>
        <v>360</v>
      </c>
      <c r="DS84" s="96"/>
      <c r="DT84" s="96" t="e">
        <f t="shared" si="466"/>
        <v>#VALUE!</v>
      </c>
      <c r="DU84" s="96" t="e">
        <f t="shared" si="467"/>
        <v>#VALUE!</v>
      </c>
      <c r="DV84" s="96" t="e">
        <f t="shared" si="468"/>
        <v>#VALUE!</v>
      </c>
      <c r="DW84" s="96" t="e">
        <f t="shared" si="469"/>
        <v>#VALUE!</v>
      </c>
      <c r="DX84" s="96" t="e">
        <f t="shared" si="470"/>
        <v>#VALUE!</v>
      </c>
      <c r="DY84" s="96" t="e">
        <f t="shared" si="471"/>
        <v>#VALUE!</v>
      </c>
      <c r="DZ84" s="96" t="e">
        <f t="shared" si="472"/>
        <v>#VALUE!</v>
      </c>
      <c r="EA84" s="96" t="e">
        <f t="shared" si="473"/>
        <v>#VALUE!</v>
      </c>
      <c r="EB84" s="96" t="e">
        <f t="shared" si="474"/>
        <v>#VALUE!</v>
      </c>
      <c r="EC84" s="96" t="e">
        <f t="shared" si="475"/>
        <v>#VALUE!</v>
      </c>
      <c r="ED84" s="96" t="e">
        <f t="shared" si="476"/>
        <v>#VALUE!</v>
      </c>
      <c r="EE84" s="96" t="e">
        <f t="shared" si="477"/>
        <v>#VALUE!</v>
      </c>
    </row>
    <row r="85" spans="2:159" ht="15.75" thickBot="1">
      <c r="B85" s="2518"/>
      <c r="C85" s="1772">
        <v>5400</v>
      </c>
      <c r="D85" s="1762" t="s">
        <v>804</v>
      </c>
      <c r="E85" s="1765">
        <f t="shared" si="452"/>
        <v>555.55999999999995</v>
      </c>
      <c r="F85" s="1765">
        <f t="shared" si="453"/>
        <v>555.55999999999995</v>
      </c>
      <c r="G85" s="1765">
        <f t="shared" si="454"/>
        <v>35</v>
      </c>
      <c r="H85" s="1766">
        <f t="shared" si="454"/>
        <v>0</v>
      </c>
      <c r="I85" s="1765">
        <f t="shared" si="478"/>
        <v>500</v>
      </c>
      <c r="J85" s="1765">
        <f t="shared" si="479"/>
        <v>1200</v>
      </c>
      <c r="K85" s="1767">
        <f t="shared" si="480"/>
        <v>0</v>
      </c>
      <c r="L85" s="1767">
        <f t="shared" si="481"/>
        <v>0</v>
      </c>
      <c r="M85" s="1765">
        <f t="shared" si="482"/>
        <v>21.12</v>
      </c>
      <c r="N85" s="1765">
        <f t="shared" si="483"/>
        <v>70.83</v>
      </c>
      <c r="O85" s="1765">
        <f t="shared" si="484"/>
        <v>4.72</v>
      </c>
      <c r="P85" s="1765">
        <f t="shared" si="485"/>
        <v>75</v>
      </c>
      <c r="Q85" s="1765">
        <f t="shared" si="486"/>
        <v>6666.67</v>
      </c>
      <c r="R85" s="1765">
        <f t="shared" si="487"/>
        <v>0</v>
      </c>
      <c r="S85" s="1765">
        <f t="shared" si="488"/>
        <v>0</v>
      </c>
      <c r="T85" s="190"/>
      <c r="U85" s="569">
        <v>500</v>
      </c>
      <c r="V85" s="570">
        <v>500</v>
      </c>
      <c r="W85" s="570">
        <v>35</v>
      </c>
      <c r="X85" s="570">
        <v>0</v>
      </c>
      <c r="Y85" s="570">
        <v>500</v>
      </c>
      <c r="Z85" s="570">
        <v>1200</v>
      </c>
      <c r="AA85" s="571"/>
      <c r="AB85" s="571"/>
      <c r="AC85" s="570">
        <v>20</v>
      </c>
      <c r="AD85" s="570">
        <v>75</v>
      </c>
      <c r="AE85" s="570">
        <v>5</v>
      </c>
      <c r="AF85" s="570">
        <v>75</v>
      </c>
      <c r="AG85" s="851">
        <v>6000</v>
      </c>
      <c r="AH85" s="563"/>
      <c r="AI85" s="563"/>
      <c r="AJ85" s="96"/>
      <c r="AK85" s="96"/>
      <c r="AL85" s="576">
        <f t="shared" si="489"/>
        <v>1</v>
      </c>
      <c r="AM85" s="580">
        <f t="shared" si="371"/>
        <v>55.555555555555557</v>
      </c>
      <c r="AN85" s="580">
        <f t="shared" si="372"/>
        <v>55.555555555555557</v>
      </c>
      <c r="AO85" s="580"/>
      <c r="AP85" s="580"/>
      <c r="AQ85" s="580"/>
      <c r="AR85" s="580"/>
      <c r="AS85" s="580"/>
      <c r="AT85" s="580">
        <f t="shared" si="446"/>
        <v>1.1111111111111112</v>
      </c>
      <c r="AU85" s="580">
        <f t="shared" si="380"/>
        <v>-4.166666666666667</v>
      </c>
      <c r="AV85" s="580">
        <f t="shared" si="381"/>
        <v>-0.27777777777777779</v>
      </c>
      <c r="AW85" s="585"/>
      <c r="AX85" s="572">
        <f t="shared" si="382"/>
        <v>666.66666666666663</v>
      </c>
      <c r="AY85" s="572"/>
      <c r="AZ85" s="572"/>
      <c r="BA85" s="96"/>
      <c r="BB85" s="592">
        <v>2.33</v>
      </c>
      <c r="BC85" s="580">
        <f t="shared" si="383"/>
        <v>50</v>
      </c>
      <c r="BD85" s="580">
        <f t="shared" si="384"/>
        <v>50</v>
      </c>
      <c r="BE85" s="580">
        <f t="shared" si="385"/>
        <v>0</v>
      </c>
      <c r="BF85" s="580">
        <f t="shared" si="386"/>
        <v>0</v>
      </c>
      <c r="BG85" s="580">
        <f t="shared" si="387"/>
        <v>0</v>
      </c>
      <c r="BH85" s="580">
        <f t="shared" si="388"/>
        <v>0</v>
      </c>
      <c r="BI85" s="580">
        <f t="shared" si="389"/>
        <v>0</v>
      </c>
      <c r="BJ85" s="580">
        <f t="shared" si="390"/>
        <v>1</v>
      </c>
      <c r="BK85" s="593">
        <f t="shared" si="391"/>
        <v>-1.79</v>
      </c>
      <c r="BL85" s="593">
        <f t="shared" si="392"/>
        <v>-0.12</v>
      </c>
      <c r="BM85" s="585">
        <f t="shared" si="393"/>
        <v>0</v>
      </c>
      <c r="BN85" s="572">
        <f t="shared" si="394"/>
        <v>600</v>
      </c>
      <c r="BO85" s="96"/>
      <c r="BP85" s="592">
        <v>14.84</v>
      </c>
      <c r="BQ85" s="580">
        <f t="shared" si="395"/>
        <v>45</v>
      </c>
      <c r="BR85" s="580">
        <f t="shared" si="396"/>
        <v>45</v>
      </c>
      <c r="BS85" s="580">
        <f t="shared" si="397"/>
        <v>0</v>
      </c>
      <c r="BT85" s="580">
        <f t="shared" si="398"/>
        <v>0</v>
      </c>
      <c r="BU85" s="580">
        <f t="shared" si="399"/>
        <v>0</v>
      </c>
      <c r="BV85" s="580">
        <f t="shared" si="400"/>
        <v>0</v>
      </c>
      <c r="BW85" s="580">
        <f t="shared" si="401"/>
        <v>0</v>
      </c>
      <c r="BX85" s="580">
        <f t="shared" si="402"/>
        <v>0.9</v>
      </c>
      <c r="BY85" s="593">
        <f t="shared" si="403"/>
        <v>-0.28000000000000003</v>
      </c>
      <c r="BZ85" s="593">
        <f t="shared" si="404"/>
        <v>-0.02</v>
      </c>
      <c r="CA85" s="585">
        <f t="shared" si="405"/>
        <v>0</v>
      </c>
      <c r="CB85" s="572">
        <f t="shared" si="406"/>
        <v>540</v>
      </c>
      <c r="CC85" s="96"/>
      <c r="CD85" s="592">
        <v>15.45</v>
      </c>
      <c r="CE85" s="580">
        <f t="shared" si="407"/>
        <v>40</v>
      </c>
      <c r="CF85" s="580">
        <f t="shared" si="408"/>
        <v>40</v>
      </c>
      <c r="CG85" s="580">
        <f t="shared" si="409"/>
        <v>0</v>
      </c>
      <c r="CH85" s="580">
        <f t="shared" si="410"/>
        <v>0</v>
      </c>
      <c r="CI85" s="580">
        <f t="shared" si="411"/>
        <v>0</v>
      </c>
      <c r="CJ85" s="580">
        <f t="shared" si="412"/>
        <v>0</v>
      </c>
      <c r="CK85" s="580">
        <f t="shared" si="413"/>
        <v>0</v>
      </c>
      <c r="CL85" s="580">
        <f t="shared" si="414"/>
        <v>0.8</v>
      </c>
      <c r="CM85" s="593">
        <f t="shared" si="415"/>
        <v>-0.27</v>
      </c>
      <c r="CN85" s="593">
        <f t="shared" si="416"/>
        <v>-0.02</v>
      </c>
      <c r="CO85" s="585">
        <f t="shared" si="417"/>
        <v>0</v>
      </c>
      <c r="CP85" s="572">
        <f t="shared" si="418"/>
        <v>480</v>
      </c>
      <c r="CQ85" s="96"/>
      <c r="CR85" s="592">
        <v>16.23</v>
      </c>
      <c r="CS85" s="580">
        <f t="shared" si="419"/>
        <v>35</v>
      </c>
      <c r="CT85" s="580">
        <f t="shared" si="420"/>
        <v>35</v>
      </c>
      <c r="CU85" s="580">
        <f t="shared" si="421"/>
        <v>0</v>
      </c>
      <c r="CV85" s="580">
        <f t="shared" si="422"/>
        <v>0</v>
      </c>
      <c r="CW85" s="580">
        <f t="shared" si="423"/>
        <v>0</v>
      </c>
      <c r="CX85" s="580">
        <f t="shared" si="424"/>
        <v>0</v>
      </c>
      <c r="CY85" s="580">
        <f t="shared" si="425"/>
        <v>0</v>
      </c>
      <c r="CZ85" s="580">
        <f t="shared" si="426"/>
        <v>0.7</v>
      </c>
      <c r="DA85" s="593">
        <f t="shared" si="427"/>
        <v>-0.26</v>
      </c>
      <c r="DB85" s="593">
        <f t="shared" si="428"/>
        <v>-0.02</v>
      </c>
      <c r="DC85" s="585">
        <f t="shared" si="429"/>
        <v>0</v>
      </c>
      <c r="DD85" s="572">
        <f t="shared" si="430"/>
        <v>420</v>
      </c>
      <c r="DE85" s="96"/>
      <c r="DF85" s="592">
        <v>17.2</v>
      </c>
      <c r="DG85" s="580">
        <f t="shared" si="431"/>
        <v>30</v>
      </c>
      <c r="DH85" s="580">
        <f t="shared" si="432"/>
        <v>30</v>
      </c>
      <c r="DI85" s="580">
        <f t="shared" si="433"/>
        <v>0</v>
      </c>
      <c r="DJ85" s="580">
        <f t="shared" si="434"/>
        <v>0</v>
      </c>
      <c r="DK85" s="580">
        <f t="shared" si="435"/>
        <v>0</v>
      </c>
      <c r="DL85" s="580">
        <f t="shared" si="436"/>
        <v>0</v>
      </c>
      <c r="DM85" s="580">
        <f t="shared" si="437"/>
        <v>0</v>
      </c>
      <c r="DN85" s="580">
        <f t="shared" si="438"/>
        <v>0.6</v>
      </c>
      <c r="DO85" s="593">
        <f t="shared" si="439"/>
        <v>-0.24</v>
      </c>
      <c r="DP85" s="593">
        <f t="shared" si="440"/>
        <v>-0.02</v>
      </c>
      <c r="DQ85" s="581">
        <f t="shared" si="441"/>
        <v>0</v>
      </c>
      <c r="DR85" s="96">
        <f t="shared" si="442"/>
        <v>360</v>
      </c>
      <c r="DS85" s="96"/>
      <c r="DT85" s="96" t="e">
        <f t="shared" si="466"/>
        <v>#VALUE!</v>
      </c>
      <c r="DU85" s="96" t="e">
        <f t="shared" si="467"/>
        <v>#VALUE!</v>
      </c>
      <c r="DV85" s="96" t="e">
        <f t="shared" si="468"/>
        <v>#VALUE!</v>
      </c>
      <c r="DW85" s="96" t="e">
        <f t="shared" si="469"/>
        <v>#VALUE!</v>
      </c>
      <c r="DX85" s="96" t="e">
        <f t="shared" si="470"/>
        <v>#VALUE!</v>
      </c>
      <c r="DY85" s="96" t="e">
        <f t="shared" si="471"/>
        <v>#VALUE!</v>
      </c>
      <c r="DZ85" s="96" t="e">
        <f t="shared" si="472"/>
        <v>#VALUE!</v>
      </c>
      <c r="EA85" s="96" t="e">
        <f t="shared" si="473"/>
        <v>#VALUE!</v>
      </c>
      <c r="EB85" s="96" t="e">
        <f t="shared" si="474"/>
        <v>#VALUE!</v>
      </c>
      <c r="EC85" s="96" t="e">
        <f t="shared" si="475"/>
        <v>#VALUE!</v>
      </c>
      <c r="ED85" s="96" t="e">
        <f t="shared" si="476"/>
        <v>#VALUE!</v>
      </c>
      <c r="EE85" s="96" t="e">
        <f t="shared" si="477"/>
        <v>#VALUE!</v>
      </c>
    </row>
    <row r="86" spans="2:159" ht="15.75" thickBot="1">
      <c r="B86" s="2519"/>
      <c r="C86" s="1771">
        <v>5500</v>
      </c>
      <c r="D86" s="1797" t="s">
        <v>1181</v>
      </c>
      <c r="E86" s="1765">
        <f t="shared" ref="E86" si="490">IF((AL86&lt;10),SUM((U86+(ROUNDUP((AL86*AM86),2)))),SUM((U86+(ROUNDUP(((9*AM86)+DT86),2)))))</f>
        <v>0</v>
      </c>
      <c r="F86" s="1765">
        <f t="shared" ref="F86" si="491">IF((AL86&lt;10),SUM((V86+(ROUNDUP((AL86*AN86),2)))),SUM((V86+(ROUNDUP(((9*AN86)+DU86),2)))))</f>
        <v>0</v>
      </c>
      <c r="G86" s="1765">
        <f t="shared" ref="G86" si="492">W86</f>
        <v>0</v>
      </c>
      <c r="H86" s="1766">
        <f t="shared" ref="H86" si="493">X86</f>
        <v>0</v>
      </c>
      <c r="I86" s="1765">
        <f t="shared" ref="I86" si="494">Y86</f>
        <v>0</v>
      </c>
      <c r="J86" s="1765">
        <f t="shared" ref="J86" si="495">IF((AL86&lt;10),SUM((Z86+(ROUNDUP((AL86*AQ86),2)))),SUM((Z86+(ROUNDUP(((9*AQ86)+DX86),2)))))</f>
        <v>0</v>
      </c>
      <c r="K86" s="1767">
        <f t="shared" ref="K86" si="496">IF((AL86&lt;10),SUM((AA86+(ROUNDUP((AL86*AR86),2)))),SUM((AA86+(ROUNDUP(((9*AR86)+DY86),2)))))</f>
        <v>0</v>
      </c>
      <c r="L86" s="1767">
        <f t="shared" ref="L86" si="497">AB86</f>
        <v>0</v>
      </c>
      <c r="M86" s="1765">
        <f t="shared" ref="M86" si="498">IF((AL86&lt;10),SUM((AC86+(ROUNDUP((AL86*AT86),2)))),SUM((AC86+(ROUNDUP(((9*AT86)+EA86),2)))))</f>
        <v>0</v>
      </c>
      <c r="N86" s="1765">
        <f t="shared" ref="N86" si="499">IF((AL86&lt;10),SUM((AD86+(ROUNDUP((AL86*AU86),2)))),SUM((AD86+(ROUNDUP(((9*AU86)+EB86),2)))))</f>
        <v>45</v>
      </c>
      <c r="O86" s="1765">
        <f t="shared" ref="O86" si="500">IF((AL86&lt;10),SUM((AE86+(ROUNDUP((AL86*AV86),2)))),SUM((AE86+(ROUNDUP(((9*AV86)+EC86),2)))))</f>
        <v>10</v>
      </c>
      <c r="P86" s="1765">
        <f t="shared" ref="P86" si="501">AF86</f>
        <v>0</v>
      </c>
      <c r="Q86" s="1765">
        <f t="shared" ref="Q86" si="502">IF((AL86&lt;10),SUM((AG86+(ROUNDUP((AL86*AX86),2)))),SUM((AG86+(ROUNDUP(((9*AX86)+EE86),2)))))</f>
        <v>6000</v>
      </c>
      <c r="R86" s="1765">
        <f t="shared" si="487"/>
        <v>30</v>
      </c>
      <c r="S86" s="1765">
        <f t="shared" si="488"/>
        <v>50</v>
      </c>
      <c r="T86" s="190"/>
      <c r="U86" s="67">
        <v>0</v>
      </c>
      <c r="V86" s="67">
        <v>0</v>
      </c>
      <c r="W86" s="67">
        <v>0</v>
      </c>
      <c r="X86" s="67">
        <v>0</v>
      </c>
      <c r="Y86" s="67">
        <v>0</v>
      </c>
      <c r="Z86" s="67">
        <v>0</v>
      </c>
      <c r="AA86" s="67">
        <v>0</v>
      </c>
      <c r="AB86" s="67">
        <v>0</v>
      </c>
      <c r="AC86" s="67">
        <v>0</v>
      </c>
      <c r="AD86" s="67">
        <v>45</v>
      </c>
      <c r="AE86" s="67">
        <v>10</v>
      </c>
      <c r="AF86" s="67">
        <v>0</v>
      </c>
      <c r="AG86" s="67">
        <v>6000</v>
      </c>
      <c r="AH86" s="67">
        <v>30</v>
      </c>
      <c r="AI86" s="67">
        <v>50</v>
      </c>
      <c r="AJ86" s="96"/>
      <c r="AK86" s="96"/>
      <c r="AL86" s="96"/>
      <c r="AM86" s="96">
        <f t="shared" si="371"/>
        <v>0</v>
      </c>
      <c r="AN86" s="96">
        <f t="shared" si="372"/>
        <v>0</v>
      </c>
      <c r="AO86" s="96"/>
      <c r="AP86" s="96"/>
      <c r="AQ86" s="96"/>
      <c r="AR86" s="96"/>
      <c r="AS86" s="96"/>
      <c r="AT86" s="96">
        <f t="shared" si="446"/>
        <v>0</v>
      </c>
      <c r="AU86" s="96">
        <f t="shared" si="380"/>
        <v>-2.5</v>
      </c>
      <c r="AV86" s="96">
        <f t="shared" si="381"/>
        <v>-0.55555555555555558</v>
      </c>
      <c r="AW86" s="96"/>
      <c r="AX86" s="96">
        <f t="shared" si="382"/>
        <v>666.66666666666663</v>
      </c>
      <c r="AY86" s="96"/>
      <c r="AZ86" s="96"/>
      <c r="BA86" s="96"/>
      <c r="BB86" s="52"/>
      <c r="BC86" s="96">
        <f t="shared" si="383"/>
        <v>0</v>
      </c>
      <c r="BD86" s="96">
        <f t="shared" si="384"/>
        <v>0</v>
      </c>
      <c r="BE86" s="96"/>
      <c r="BF86" s="96"/>
      <c r="BG86" s="96"/>
      <c r="BH86" s="96"/>
      <c r="BI86" s="96"/>
      <c r="BJ86" s="96">
        <f t="shared" si="390"/>
        <v>0</v>
      </c>
      <c r="BK86" s="52"/>
      <c r="BL86" s="52"/>
      <c r="BM86" s="96"/>
      <c r="BN86" s="96">
        <f t="shared" si="394"/>
        <v>600</v>
      </c>
      <c r="BO86" s="96"/>
      <c r="BP86" s="52"/>
      <c r="BQ86" s="96">
        <f t="shared" si="395"/>
        <v>0</v>
      </c>
      <c r="BR86" s="96">
        <f t="shared" si="396"/>
        <v>0</v>
      </c>
      <c r="BS86" s="96"/>
      <c r="BT86" s="96"/>
      <c r="BU86" s="96"/>
      <c r="BV86" s="96"/>
      <c r="BW86" s="96"/>
      <c r="BX86" s="96">
        <f t="shared" si="402"/>
        <v>0</v>
      </c>
      <c r="BY86" s="52"/>
      <c r="BZ86" s="52"/>
      <c r="CA86" s="96"/>
      <c r="CB86" s="96">
        <f t="shared" si="406"/>
        <v>540</v>
      </c>
      <c r="CC86" s="96"/>
      <c r="CD86" s="52"/>
      <c r="CE86" s="96">
        <f t="shared" si="407"/>
        <v>0</v>
      </c>
      <c r="CF86" s="96">
        <f t="shared" si="408"/>
        <v>0</v>
      </c>
      <c r="CG86" s="96"/>
      <c r="CH86" s="96"/>
      <c r="CI86" s="96"/>
      <c r="CJ86" s="96"/>
      <c r="CK86" s="96"/>
      <c r="CL86" s="96">
        <f t="shared" si="414"/>
        <v>0</v>
      </c>
      <c r="CM86" s="52"/>
      <c r="CN86" s="52"/>
      <c r="CO86" s="96"/>
      <c r="CP86" s="96">
        <f t="shared" si="418"/>
        <v>480</v>
      </c>
      <c r="CQ86" s="96"/>
      <c r="CR86" s="52"/>
      <c r="CS86" s="96">
        <f t="shared" si="419"/>
        <v>0</v>
      </c>
      <c r="CT86" s="96">
        <f t="shared" si="420"/>
        <v>0</v>
      </c>
      <c r="CU86" s="96"/>
      <c r="CV86" s="96"/>
      <c r="CW86" s="96"/>
      <c r="CX86" s="96"/>
      <c r="CY86" s="96"/>
      <c r="CZ86" s="96">
        <f t="shared" si="426"/>
        <v>0</v>
      </c>
      <c r="DA86" s="52"/>
      <c r="DB86" s="52"/>
      <c r="DC86" s="96"/>
      <c r="DD86" s="96">
        <f t="shared" si="430"/>
        <v>420</v>
      </c>
      <c r="DE86" s="96"/>
      <c r="DF86" s="52"/>
      <c r="DG86" s="96">
        <f t="shared" si="431"/>
        <v>0</v>
      </c>
      <c r="DH86" s="96">
        <f t="shared" si="432"/>
        <v>0</v>
      </c>
      <c r="DI86" s="96"/>
      <c r="DJ86" s="96"/>
      <c r="DK86" s="96"/>
      <c r="DL86" s="96"/>
      <c r="DM86" s="96"/>
      <c r="DN86" s="96">
        <f t="shared" si="438"/>
        <v>0</v>
      </c>
      <c r="DO86" s="52"/>
      <c r="DP86" s="52"/>
      <c r="DQ86" s="96"/>
      <c r="DR86" s="96">
        <f t="shared" si="442"/>
        <v>360</v>
      </c>
      <c r="DS86" s="96"/>
      <c r="DT86" s="96"/>
      <c r="DU86" s="96"/>
      <c r="DV86" s="96"/>
      <c r="DW86" s="96"/>
      <c r="DX86" s="96"/>
      <c r="DY86" s="96"/>
      <c r="DZ86" s="96"/>
      <c r="EA86" s="96"/>
      <c r="EB86" s="96"/>
      <c r="EC86" s="96"/>
      <c r="ED86" s="96"/>
      <c r="EE86" s="96"/>
    </row>
    <row r="87" spans="2:159">
      <c r="B87" s="174"/>
      <c r="D87" s="1768"/>
      <c r="E87" s="1769"/>
      <c r="F87" s="1769"/>
      <c r="G87" s="1769"/>
      <c r="H87" s="1766">
        <f t="shared" ref="H87:H93" si="503">X87</f>
        <v>0</v>
      </c>
      <c r="I87" s="1769"/>
      <c r="J87" s="1769"/>
      <c r="K87" s="1769"/>
      <c r="L87" s="1769"/>
      <c r="M87" s="1769"/>
      <c r="N87" s="1769"/>
      <c r="O87" s="1769"/>
      <c r="P87" s="1769"/>
      <c r="Q87" s="1798"/>
      <c r="R87" s="1765">
        <f t="shared" si="487"/>
        <v>0</v>
      </c>
      <c r="S87" s="1765">
        <f t="shared" si="488"/>
        <v>0</v>
      </c>
      <c r="T87" s="190"/>
      <c r="U87" s="67"/>
      <c r="V87" s="67"/>
      <c r="W87" s="67"/>
      <c r="X87" s="67"/>
      <c r="Y87" s="67"/>
      <c r="Z87" s="67"/>
      <c r="AA87" s="67"/>
      <c r="AB87" s="67"/>
      <c r="AC87" s="67"/>
      <c r="AD87" s="67"/>
      <c r="AE87" s="67"/>
      <c r="AF87" s="67"/>
      <c r="AG87" s="67"/>
      <c r="AH87" s="67"/>
      <c r="AI87" s="67"/>
      <c r="AJ87" s="96"/>
      <c r="AK87" s="96"/>
      <c r="AL87" s="2503"/>
      <c r="AM87" s="2503"/>
      <c r="AN87" s="2503"/>
      <c r="AO87" s="2503"/>
      <c r="AP87" s="2503"/>
      <c r="AQ87" s="2503"/>
      <c r="AR87" s="2503"/>
      <c r="AS87" s="2503"/>
      <c r="AT87" s="2503"/>
      <c r="AU87" s="2503"/>
      <c r="AV87" s="2503"/>
      <c r="AW87" s="2503"/>
      <c r="AX87" s="96"/>
      <c r="AY87" s="96"/>
      <c r="AZ87" s="96"/>
      <c r="BA87" s="96"/>
      <c r="BB87" s="2502"/>
      <c r="BC87" s="2502"/>
      <c r="BD87" s="2502"/>
      <c r="BE87" s="2502"/>
      <c r="BF87" s="2502"/>
      <c r="BG87" s="2502"/>
      <c r="BH87" s="2502"/>
      <c r="BI87" s="2502"/>
      <c r="BJ87" s="2502"/>
      <c r="BK87" s="2502"/>
      <c r="BL87" s="2502"/>
      <c r="BM87" s="2502"/>
      <c r="BN87" s="96"/>
      <c r="BO87" s="96"/>
      <c r="BP87" s="2502"/>
      <c r="BQ87" s="2502"/>
      <c r="BR87" s="2502"/>
      <c r="BS87" s="2502"/>
      <c r="BT87" s="2502"/>
      <c r="BU87" s="2502"/>
      <c r="BV87" s="2502"/>
      <c r="BW87" s="2502"/>
      <c r="BX87" s="2502"/>
      <c r="BY87" s="2502"/>
      <c r="BZ87" s="2502"/>
      <c r="CA87" s="2502"/>
      <c r="CB87" s="96"/>
      <c r="CC87" s="96"/>
      <c r="CD87" s="2502"/>
      <c r="CE87" s="2502"/>
      <c r="CF87" s="2502"/>
      <c r="CG87" s="2502"/>
      <c r="CH87" s="2502"/>
      <c r="CI87" s="2502"/>
      <c r="CJ87" s="2502"/>
      <c r="CK87" s="2502"/>
      <c r="CL87" s="2502"/>
      <c r="CM87" s="2502"/>
      <c r="CN87" s="2502"/>
      <c r="CO87" s="2502"/>
      <c r="CP87" s="96"/>
      <c r="CQ87" s="96"/>
      <c r="CR87" s="2502"/>
      <c r="CS87" s="2502"/>
      <c r="CT87" s="2502"/>
      <c r="CU87" s="2502"/>
      <c r="CV87" s="2502"/>
      <c r="CW87" s="2502"/>
      <c r="CX87" s="2502"/>
      <c r="CY87" s="2502"/>
      <c r="CZ87" s="2502"/>
      <c r="DA87" s="2502"/>
      <c r="DB87" s="2502"/>
      <c r="DC87" s="2502"/>
      <c r="DD87" s="96"/>
      <c r="DE87" s="96"/>
      <c r="DF87" s="2502"/>
      <c r="DG87" s="2502"/>
      <c r="DH87" s="2502"/>
      <c r="DI87" s="2502"/>
      <c r="DJ87" s="2502"/>
      <c r="DK87" s="2502"/>
      <c r="DL87" s="2502"/>
      <c r="DM87" s="2502"/>
      <c r="DN87" s="2502"/>
      <c r="DO87" s="2502"/>
      <c r="DP87" s="2502"/>
      <c r="DQ87" s="2502"/>
      <c r="DR87" s="96"/>
      <c r="DS87" s="96"/>
      <c r="DT87" s="2503"/>
      <c r="DU87" s="2503"/>
      <c r="DV87" s="2503"/>
      <c r="DW87" s="2503"/>
      <c r="DX87" s="2503"/>
      <c r="DY87" s="2503"/>
      <c r="DZ87" s="2503"/>
      <c r="EA87" s="2503"/>
      <c r="EB87" s="2503"/>
      <c r="EC87" s="2503"/>
      <c r="ED87" s="2503"/>
      <c r="EE87" s="96"/>
      <c r="EG87" s="2503"/>
      <c r="EH87" s="2503"/>
      <c r="EI87" s="2503"/>
      <c r="EJ87" s="2503"/>
      <c r="EK87" s="2503"/>
      <c r="EL87" s="2503"/>
      <c r="EM87" s="2503"/>
      <c r="EN87" s="2503"/>
      <c r="EO87" s="2503"/>
      <c r="EP87" s="2503"/>
      <c r="EQ87" s="2503"/>
      <c r="ES87" s="2503"/>
      <c r="ET87" s="2503"/>
      <c r="EU87" s="2503"/>
      <c r="EV87" s="2503"/>
      <c r="EW87" s="2503"/>
      <c r="EX87" s="2503"/>
      <c r="EY87" s="2503"/>
      <c r="EZ87" s="2503"/>
      <c r="FA87" s="2503"/>
      <c r="FB87" s="2503"/>
      <c r="FC87" s="2503"/>
    </row>
    <row r="88" spans="2:159">
      <c r="D88" s="1768"/>
      <c r="E88" s="1769"/>
      <c r="F88" s="1769"/>
      <c r="G88" s="1769"/>
      <c r="H88" s="1766">
        <f t="shared" si="503"/>
        <v>0</v>
      </c>
      <c r="I88" s="1769"/>
      <c r="J88" s="1769"/>
      <c r="K88" s="1769"/>
      <c r="L88" s="1769"/>
      <c r="M88" s="1769"/>
      <c r="N88" s="1769"/>
      <c r="O88" s="1769"/>
      <c r="P88" s="1769"/>
      <c r="Q88" s="1798"/>
      <c r="R88" s="1765">
        <f t="shared" si="487"/>
        <v>0</v>
      </c>
      <c r="S88" s="1765">
        <f t="shared" si="488"/>
        <v>0</v>
      </c>
      <c r="T88" s="190"/>
      <c r="U88" s="67"/>
      <c r="V88" s="67"/>
      <c r="W88" s="67"/>
      <c r="X88" s="67"/>
      <c r="Y88" s="67"/>
      <c r="Z88" s="67"/>
      <c r="AA88" s="67"/>
      <c r="AB88" s="67"/>
      <c r="AC88" s="67"/>
      <c r="AD88" s="67"/>
      <c r="AE88" s="67"/>
      <c r="AF88" s="67"/>
      <c r="AG88" s="67"/>
      <c r="AH88" s="67"/>
      <c r="AI88" s="67"/>
      <c r="AJ88" s="96"/>
      <c r="AK88" s="527"/>
      <c r="AL88" s="622"/>
      <c r="AM88" s="623"/>
      <c r="AN88" s="623"/>
      <c r="AO88" s="623"/>
      <c r="AP88" s="623"/>
      <c r="AQ88" s="623"/>
      <c r="AR88" s="623"/>
      <c r="AS88" s="623"/>
      <c r="AT88" s="623"/>
      <c r="AU88" s="623"/>
      <c r="AV88" s="623"/>
      <c r="AW88" s="624"/>
      <c r="AX88" s="623"/>
      <c r="AY88" s="865"/>
      <c r="AZ88" s="865"/>
      <c r="BB88" s="587"/>
      <c r="BC88" s="562"/>
      <c r="BD88" s="562"/>
      <c r="BE88" s="562"/>
      <c r="BF88" s="562"/>
      <c r="BG88" s="562"/>
      <c r="BH88" s="562"/>
      <c r="BI88" s="562"/>
      <c r="BJ88" s="562"/>
      <c r="BK88" s="562"/>
      <c r="BL88" s="562"/>
      <c r="BM88" s="594"/>
      <c r="BN88" s="562"/>
      <c r="BO88" s="621"/>
      <c r="BP88" s="587"/>
      <c r="BQ88" s="562"/>
      <c r="BR88" s="562"/>
      <c r="BS88" s="562"/>
      <c r="BT88" s="562"/>
      <c r="BU88" s="562"/>
      <c r="BV88" s="562"/>
      <c r="BW88" s="562"/>
      <c r="BX88" s="562"/>
      <c r="BY88" s="562"/>
      <c r="BZ88" s="562"/>
      <c r="CA88" s="582"/>
      <c r="CB88" s="562"/>
      <c r="CD88" s="587"/>
      <c r="CE88" s="562"/>
      <c r="CF88" s="562"/>
      <c r="CG88" s="562"/>
      <c r="CH88" s="562"/>
      <c r="CI88" s="562"/>
      <c r="CJ88" s="562"/>
      <c r="CK88" s="562"/>
      <c r="CL88" s="562"/>
      <c r="CM88" s="562"/>
      <c r="CN88" s="562"/>
      <c r="CO88" s="582"/>
      <c r="CP88" s="562"/>
      <c r="CR88" s="587"/>
      <c r="CS88" s="562"/>
      <c r="CT88" s="562"/>
      <c r="CU88" s="562"/>
      <c r="CV88" s="562"/>
      <c r="CW88" s="562"/>
      <c r="CX88" s="562"/>
      <c r="CY88" s="562"/>
      <c r="CZ88" s="562"/>
      <c r="DA88" s="562"/>
      <c r="DB88" s="562"/>
      <c r="DC88" s="582"/>
      <c r="DD88" s="562"/>
      <c r="DF88" s="587"/>
      <c r="DG88" s="562"/>
      <c r="DH88" s="562"/>
      <c r="DI88" s="562"/>
      <c r="DJ88" s="562"/>
      <c r="DK88" s="562"/>
      <c r="DL88" s="562"/>
      <c r="DM88" s="562"/>
      <c r="DN88" s="562"/>
      <c r="DO88" s="562"/>
      <c r="DP88" s="562"/>
      <c r="DQ88" s="575"/>
      <c r="DR88" s="621"/>
      <c r="DT88" s="621"/>
      <c r="DU88" s="621"/>
      <c r="DV88" s="621"/>
      <c r="DW88" s="621"/>
      <c r="DX88" s="621"/>
      <c r="DY88" s="621"/>
      <c r="DZ88" s="621"/>
      <c r="EA88" s="621"/>
      <c r="EB88" s="621"/>
      <c r="EC88" s="621"/>
      <c r="ED88" s="621"/>
      <c r="EE88" s="621"/>
    </row>
    <row r="89" spans="2:159">
      <c r="D89" s="1768"/>
      <c r="E89" s="1769"/>
      <c r="F89" s="1769"/>
      <c r="G89" s="1769"/>
      <c r="H89" s="1766">
        <f t="shared" si="503"/>
        <v>0</v>
      </c>
      <c r="I89" s="1769"/>
      <c r="J89" s="1769"/>
      <c r="K89" s="1769"/>
      <c r="L89" s="1769"/>
      <c r="M89" s="1769"/>
      <c r="N89" s="1769"/>
      <c r="O89" s="1769"/>
      <c r="P89" s="1769"/>
      <c r="Q89" s="1798"/>
      <c r="R89" s="1765">
        <f t="shared" si="487"/>
        <v>0</v>
      </c>
      <c r="S89" s="1765">
        <f t="shared" si="488"/>
        <v>0</v>
      </c>
      <c r="T89" s="190"/>
      <c r="U89" s="67"/>
      <c r="V89" s="67"/>
      <c r="W89" s="67"/>
      <c r="X89" s="67"/>
      <c r="Y89" s="67"/>
      <c r="Z89" s="67"/>
      <c r="AA89" s="67"/>
      <c r="AB89" s="67"/>
      <c r="AC89" s="67"/>
      <c r="AD89" s="67"/>
      <c r="AE89" s="67"/>
      <c r="AF89" s="67"/>
      <c r="AG89" s="67"/>
      <c r="AH89" s="67"/>
      <c r="AI89" s="67"/>
      <c r="AJ89" s="96"/>
      <c r="AK89" s="2509"/>
      <c r="AL89" s="2509"/>
      <c r="AM89" s="2509"/>
      <c r="AN89" s="2509"/>
      <c r="AO89" s="2509"/>
      <c r="AP89" s="2509"/>
      <c r="AQ89" s="2509"/>
      <c r="AR89" s="2509"/>
      <c r="AS89" s="2509"/>
      <c r="AT89" s="2509"/>
      <c r="AU89" s="2509"/>
      <c r="AV89" s="2509"/>
      <c r="AW89" s="2509"/>
      <c r="AX89" s="2509"/>
      <c r="AY89" s="1547"/>
      <c r="AZ89" s="1547"/>
      <c r="BA89" s="156"/>
      <c r="BB89" s="588"/>
      <c r="BC89" s="572"/>
      <c r="BD89" s="572"/>
      <c r="BE89" s="572"/>
      <c r="BF89" s="572"/>
      <c r="BG89" s="572"/>
      <c r="BH89" s="572"/>
      <c r="BI89" s="572"/>
      <c r="BJ89" s="572"/>
      <c r="BK89" s="572"/>
      <c r="BL89" s="572"/>
      <c r="BM89" s="595"/>
      <c r="BN89" s="572"/>
      <c r="BO89" s="96"/>
      <c r="BP89" s="588"/>
      <c r="BQ89" s="572"/>
      <c r="BR89" s="572"/>
      <c r="BS89" s="572"/>
      <c r="BT89" s="572"/>
      <c r="BU89" s="572"/>
      <c r="BV89" s="572"/>
      <c r="BW89" s="572"/>
      <c r="BX89" s="572"/>
      <c r="BY89" s="572"/>
      <c r="BZ89" s="572"/>
      <c r="CA89" s="583"/>
      <c r="CB89" s="572"/>
      <c r="CC89" s="156"/>
      <c r="CD89" s="588"/>
      <c r="CE89" s="572"/>
      <c r="CF89" s="572"/>
      <c r="CG89" s="572"/>
      <c r="CH89" s="572"/>
      <c r="CI89" s="572"/>
      <c r="CJ89" s="572"/>
      <c r="CK89" s="572"/>
      <c r="CL89" s="572"/>
      <c r="CM89" s="572"/>
      <c r="CN89" s="572"/>
      <c r="CO89" s="583"/>
      <c r="CP89" s="572"/>
      <c r="CQ89" s="156"/>
      <c r="CR89" s="588"/>
      <c r="CS89" s="572"/>
      <c r="CT89" s="572"/>
      <c r="CU89" s="572"/>
      <c r="CV89" s="572"/>
      <c r="CW89" s="572"/>
      <c r="CX89" s="572"/>
      <c r="CY89" s="572"/>
      <c r="CZ89" s="572"/>
      <c r="DA89" s="572"/>
      <c r="DB89" s="572"/>
      <c r="DC89" s="583"/>
      <c r="DD89" s="572"/>
      <c r="DE89" s="156"/>
      <c r="DF89" s="588"/>
      <c r="DG89" s="572"/>
      <c r="DH89" s="572"/>
      <c r="DI89" s="572"/>
      <c r="DJ89" s="572"/>
      <c r="DK89" s="572"/>
      <c r="DL89" s="572"/>
      <c r="DM89" s="572"/>
      <c r="DN89" s="572"/>
      <c r="DO89" s="572"/>
      <c r="DP89" s="572"/>
      <c r="DQ89" s="577"/>
      <c r="DR89" s="96"/>
      <c r="DS89" s="156"/>
      <c r="DT89" s="96"/>
      <c r="DU89" s="96"/>
      <c r="DV89" s="96"/>
      <c r="DW89" s="96"/>
      <c r="DX89" s="96"/>
      <c r="DY89" s="96"/>
      <c r="DZ89" s="96"/>
      <c r="EA89" s="96"/>
      <c r="EB89" s="96"/>
      <c r="EC89" s="96"/>
      <c r="ED89" s="96"/>
      <c r="EE89" s="96"/>
    </row>
    <row r="90" spans="2:159">
      <c r="D90" s="1768"/>
      <c r="E90" s="1769"/>
      <c r="F90" s="1769"/>
      <c r="G90" s="1769"/>
      <c r="H90" s="1766">
        <f t="shared" si="503"/>
        <v>0</v>
      </c>
      <c r="I90" s="1769"/>
      <c r="J90" s="1769"/>
      <c r="K90" s="1769"/>
      <c r="L90" s="1769"/>
      <c r="M90" s="1769"/>
      <c r="N90" s="1769"/>
      <c r="O90" s="1769"/>
      <c r="P90" s="1769"/>
      <c r="Q90" s="1798"/>
      <c r="R90" s="1765">
        <f t="shared" si="487"/>
        <v>0</v>
      </c>
      <c r="S90" s="1765">
        <f t="shared" si="488"/>
        <v>0</v>
      </c>
      <c r="T90" s="190"/>
      <c r="U90" s="67"/>
      <c r="V90" s="67"/>
      <c r="W90" s="67"/>
      <c r="X90" s="67"/>
      <c r="Y90" s="67"/>
      <c r="Z90" s="67"/>
      <c r="AA90" s="67"/>
      <c r="AB90" s="67"/>
      <c r="AC90" s="67"/>
      <c r="AD90" s="67"/>
      <c r="AE90" s="67"/>
      <c r="AF90" s="67"/>
      <c r="AG90" s="67"/>
      <c r="AH90" s="67"/>
      <c r="AI90" s="67"/>
      <c r="AK90" s="572">
        <v>1</v>
      </c>
      <c r="AL90" s="456"/>
      <c r="AM90" s="572"/>
      <c r="AN90" s="572"/>
      <c r="AO90" s="572"/>
      <c r="AP90" s="572"/>
      <c r="AQ90" s="572"/>
      <c r="AR90" s="572"/>
      <c r="AS90" s="572"/>
      <c r="AT90" s="572"/>
      <c r="AU90" s="572"/>
      <c r="AV90" s="572"/>
      <c r="AW90" s="572"/>
      <c r="AX90" s="572"/>
      <c r="AY90" s="1545"/>
      <c r="AZ90" s="1545"/>
      <c r="BA90" s="156"/>
      <c r="BB90" s="588"/>
      <c r="BC90" s="572"/>
      <c r="BD90" s="572"/>
      <c r="BE90" s="572"/>
      <c r="BF90" s="572"/>
      <c r="BG90" s="572"/>
      <c r="BH90" s="572"/>
      <c r="BI90" s="572"/>
      <c r="BJ90" s="572"/>
      <c r="BK90" s="572"/>
      <c r="BL90" s="572"/>
      <c r="BM90" s="595"/>
      <c r="BN90" s="572"/>
      <c r="BO90" s="96"/>
      <c r="BP90" s="588"/>
      <c r="BQ90" s="572"/>
      <c r="BR90" s="572"/>
      <c r="BS90" s="572"/>
      <c r="BT90" s="572"/>
      <c r="BU90" s="572"/>
      <c r="BV90" s="572"/>
      <c r="BW90" s="572"/>
      <c r="BX90" s="572"/>
      <c r="BY90" s="572"/>
      <c r="BZ90" s="572"/>
      <c r="CA90" s="583"/>
      <c r="CB90" s="572"/>
      <c r="CC90" s="156"/>
      <c r="CD90" s="588"/>
      <c r="CE90" s="572"/>
      <c r="CF90" s="572"/>
      <c r="CG90" s="572"/>
      <c r="CH90" s="572"/>
      <c r="CI90" s="572"/>
      <c r="CJ90" s="572"/>
      <c r="CK90" s="572"/>
      <c r="CL90" s="572"/>
      <c r="CM90" s="572"/>
      <c r="CN90" s="572"/>
      <c r="CO90" s="583"/>
      <c r="CP90" s="572"/>
      <c r="CQ90" s="156"/>
      <c r="CR90" s="588"/>
      <c r="CS90" s="572"/>
      <c r="CT90" s="572"/>
      <c r="CU90" s="572"/>
      <c r="CV90" s="572"/>
      <c r="CW90" s="572"/>
      <c r="CX90" s="572"/>
      <c r="CY90" s="572"/>
      <c r="CZ90" s="572"/>
      <c r="DA90" s="572"/>
      <c r="DB90" s="572"/>
      <c r="DC90" s="583"/>
      <c r="DD90" s="572"/>
      <c r="DE90" s="156"/>
      <c r="DF90" s="588"/>
      <c r="DG90" s="572"/>
      <c r="DH90" s="572"/>
      <c r="DI90" s="572"/>
      <c r="DJ90" s="572"/>
      <c r="DK90" s="572"/>
      <c r="DL90" s="572"/>
      <c r="DM90" s="572"/>
      <c r="DN90" s="572"/>
      <c r="DO90" s="572"/>
      <c r="DP90" s="572"/>
      <c r="DQ90" s="577"/>
      <c r="DR90" s="96"/>
      <c r="DS90" s="156"/>
      <c r="DT90" s="96"/>
      <c r="DU90" s="96"/>
      <c r="DV90" s="96"/>
      <c r="DW90" s="96"/>
      <c r="DX90" s="96"/>
      <c r="DY90" s="96"/>
      <c r="DZ90" s="96"/>
      <c r="EA90" s="96"/>
      <c r="EB90" s="96"/>
      <c r="EC90" s="96"/>
      <c r="ED90" s="96"/>
      <c r="EE90" s="96"/>
    </row>
    <row r="91" spans="2:159">
      <c r="D91" s="1768"/>
      <c r="E91" s="1769"/>
      <c r="F91" s="1769"/>
      <c r="G91" s="1769"/>
      <c r="H91" s="1766">
        <f t="shared" si="503"/>
        <v>0</v>
      </c>
      <c r="I91" s="1769"/>
      <c r="J91" s="1769"/>
      <c r="K91" s="1769"/>
      <c r="L91" s="1769"/>
      <c r="M91" s="1769"/>
      <c r="N91" s="1769"/>
      <c r="O91" s="1769"/>
      <c r="P91" s="1769"/>
      <c r="Q91" s="1798"/>
      <c r="R91" s="1765">
        <f t="shared" si="487"/>
        <v>0</v>
      </c>
      <c r="S91" s="1765">
        <f t="shared" si="488"/>
        <v>0</v>
      </c>
      <c r="T91" s="190"/>
      <c r="U91" s="67"/>
      <c r="V91" s="67"/>
      <c r="W91" s="67"/>
      <c r="X91" s="67"/>
      <c r="Y91" s="67"/>
      <c r="Z91" s="67"/>
      <c r="AA91" s="67"/>
      <c r="AB91" s="67"/>
      <c r="AC91" s="67"/>
      <c r="AD91" s="67"/>
      <c r="AE91" s="67"/>
      <c r="AF91" s="67"/>
      <c r="AG91" s="67"/>
      <c r="AH91" s="67"/>
      <c r="AI91" s="67"/>
      <c r="AK91" s="572">
        <v>2</v>
      </c>
      <c r="AL91" s="456"/>
      <c r="AM91" s="572"/>
      <c r="AN91" s="572"/>
      <c r="AO91" s="572"/>
      <c r="AP91" s="572"/>
      <c r="AQ91" s="572"/>
      <c r="AR91" s="572"/>
      <c r="AS91" s="572"/>
      <c r="AT91" s="572"/>
      <c r="AU91" s="572"/>
      <c r="AV91" s="572"/>
      <c r="AW91" s="572"/>
      <c r="AX91" s="572"/>
      <c r="AY91" s="1545"/>
      <c r="AZ91" s="1545"/>
      <c r="BA91" s="96"/>
      <c r="BB91" s="589"/>
      <c r="BC91" s="572">
        <f t="shared" ref="BC91:BC100" si="504">SUM(((AM91*0.9)*1))</f>
        <v>0</v>
      </c>
      <c r="BD91" s="572">
        <f t="shared" ref="BD91:BD100" si="505">SUM(((AN91*0.9)*1))</f>
        <v>0</v>
      </c>
      <c r="BE91" s="572">
        <f t="shared" ref="BE91:BE100" si="506">SUM(((AO91*0.9)*1))</f>
        <v>0</v>
      </c>
      <c r="BF91" s="572">
        <f t="shared" ref="BF91:BF100" si="507">SUM(((AP91*0.9)*1))</f>
        <v>0</v>
      </c>
      <c r="BG91" s="572">
        <f t="shared" ref="BG91:BG100" si="508">SUM(((AQ91*0.9)*1))</f>
        <v>0</v>
      </c>
      <c r="BH91" s="572">
        <f t="shared" ref="BH91:BH100" si="509">SUM(((AR91*0.9)*1))</f>
        <v>0</v>
      </c>
      <c r="BI91" s="572">
        <f t="shared" ref="BI91:BI100" si="510">SUM(((AS91*0.9)*1))</f>
        <v>0</v>
      </c>
      <c r="BJ91" s="572">
        <f t="shared" ref="BJ91:BJ100" si="511">SUM(((AT91*0.9)*1))</f>
        <v>0</v>
      </c>
      <c r="BK91" s="572">
        <f t="shared" ref="BK91:BK100" si="512">SUM(((AU91*0.9)*1))</f>
        <v>0</v>
      </c>
      <c r="BL91" s="572">
        <f t="shared" ref="BL91:BL100" si="513">SUM(((AV91*0.9)*1))</f>
        <v>0</v>
      </c>
      <c r="BM91" s="583">
        <f t="shared" ref="BM91:BM106" si="514">SUM(((AW91*0.9)*1))</f>
        <v>0</v>
      </c>
      <c r="BN91" s="572">
        <f t="shared" ref="BN91:BN106" si="515">SUM(((AX91*0.9)*1))</f>
        <v>0</v>
      </c>
      <c r="BO91" s="96"/>
      <c r="BP91" s="589"/>
      <c r="BQ91" s="572">
        <f t="shared" ref="BQ91:BQ106" si="516">SUM(((AM91*0.9)*0.9))</f>
        <v>0</v>
      </c>
      <c r="BR91" s="572">
        <f t="shared" ref="BR91:BR106" si="517">SUM(((AN91*0.9)*0.9))</f>
        <v>0</v>
      </c>
      <c r="BS91" s="572">
        <f t="shared" ref="BS91:BS106" si="518">SUM(((AO91*0.9)*0.9))</f>
        <v>0</v>
      </c>
      <c r="BT91" s="572">
        <f t="shared" ref="BT91:BT106" si="519">SUM(((AP91*0.9)*0.9))</f>
        <v>0</v>
      </c>
      <c r="BU91" s="572">
        <f t="shared" ref="BU91:BU106" si="520">SUM(((AQ91*0.9)*0.9))</f>
        <v>0</v>
      </c>
      <c r="BV91" s="572">
        <f t="shared" ref="BV91:BV106" si="521">SUM(((AR91*0.9)*0.9))</f>
        <v>0</v>
      </c>
      <c r="BW91" s="572">
        <f t="shared" ref="BW91:BW106" si="522">SUM(((AS91*0.9)*0.9))</f>
        <v>0</v>
      </c>
      <c r="BX91" s="572">
        <f t="shared" ref="BX91:BX106" si="523">SUM(((AT91*0.9)*0.9))</f>
        <v>0</v>
      </c>
      <c r="BY91" s="572">
        <f t="shared" ref="BY91:BY100" si="524">SUM(((AU91*0.9)*0.9))</f>
        <v>0</v>
      </c>
      <c r="BZ91" s="572">
        <f t="shared" ref="BZ91:BZ100" si="525">SUM(((AV91*0.9)*0.9))</f>
        <v>0</v>
      </c>
      <c r="CA91" s="583">
        <f t="shared" ref="CA91:CA106" si="526">SUM(((AW91*0.9)*0.9))</f>
        <v>0</v>
      </c>
      <c r="CB91" s="572">
        <f t="shared" ref="CB91:CB106" si="527">SUM(((AX91*0.9)*0.9))</f>
        <v>0</v>
      </c>
      <c r="CC91" s="96"/>
      <c r="CD91" s="589"/>
      <c r="CE91" s="572">
        <f t="shared" ref="CE91:CE106" si="528">SUM(((AM91*0.9)*0.8))</f>
        <v>0</v>
      </c>
      <c r="CF91" s="572">
        <f t="shared" ref="CF91:CF106" si="529">SUM(((AN91*0.9)*0.8))</f>
        <v>0</v>
      </c>
      <c r="CG91" s="572">
        <f t="shared" ref="CG91:CG106" si="530">SUM(((AO91*0.9)*0.8))</f>
        <v>0</v>
      </c>
      <c r="CH91" s="572">
        <f t="shared" ref="CH91:CH106" si="531">SUM(((AP91*0.9)*0.8))</f>
        <v>0</v>
      </c>
      <c r="CI91" s="572">
        <f t="shared" ref="CI91:CI106" si="532">SUM(((AQ91*0.9)*0.8))</f>
        <v>0</v>
      </c>
      <c r="CJ91" s="572">
        <f t="shared" ref="CJ91:CJ106" si="533">SUM(((AR91*0.9)*0.8))</f>
        <v>0</v>
      </c>
      <c r="CK91" s="572">
        <f t="shared" ref="CK91:CK106" si="534">SUM(((AS91*0.9)*0.8))</f>
        <v>0</v>
      </c>
      <c r="CL91" s="572">
        <f t="shared" ref="CL91:CL106" si="535">SUM(((AT91*0.9)*0.8))</f>
        <v>0</v>
      </c>
      <c r="CM91" s="572">
        <f t="shared" ref="CM91:CM100" si="536">SUM(((AU91*0.9)*0.8))</f>
        <v>0</v>
      </c>
      <c r="CN91" s="572">
        <f t="shared" ref="CN91:CN100" si="537">SUM(((AV91*0.9)*0.8))</f>
        <v>0</v>
      </c>
      <c r="CO91" s="583">
        <f t="shared" ref="CO91:CO106" si="538">SUM(((AW91*0.9)*0.8))</f>
        <v>0</v>
      </c>
      <c r="CP91" s="572">
        <f t="shared" ref="CP91:CP106" si="539">SUM(((AX91*0.9)*0.8))</f>
        <v>0</v>
      </c>
      <c r="CQ91" s="96"/>
      <c r="CR91" s="589"/>
      <c r="CS91" s="572">
        <f t="shared" ref="CS91:CS106" si="540">SUM(((AM91*0.9)*0.7))</f>
        <v>0</v>
      </c>
      <c r="CT91" s="572">
        <f t="shared" ref="CT91:CT106" si="541">SUM(((AN91*0.9)*0.7))</f>
        <v>0</v>
      </c>
      <c r="CU91" s="572">
        <f t="shared" ref="CU91:CU106" si="542">SUM(((AO91*0.9)*0.7))</f>
        <v>0</v>
      </c>
      <c r="CV91" s="572">
        <f t="shared" ref="CV91:CV106" si="543">SUM(((AP91*0.9)*0.7))</f>
        <v>0</v>
      </c>
      <c r="CW91" s="572">
        <f t="shared" ref="CW91:CW106" si="544">SUM(((AQ91*0.9)*0.7))</f>
        <v>0</v>
      </c>
      <c r="CX91" s="572">
        <f t="shared" ref="CX91:CX106" si="545">SUM(((AR91*0.9)*0.7))</f>
        <v>0</v>
      </c>
      <c r="CY91" s="572">
        <f t="shared" ref="CY91:CY106" si="546">SUM(((AS91*0.9)*0.7))</f>
        <v>0</v>
      </c>
      <c r="CZ91" s="572">
        <f t="shared" ref="CZ91:CZ106" si="547">SUM(((AT91*0.9)*0.7))</f>
        <v>0</v>
      </c>
      <c r="DA91" s="572">
        <f t="shared" ref="DA91:DA100" si="548">SUM(((AU91*0.9)*0.7))</f>
        <v>0</v>
      </c>
      <c r="DB91" s="572">
        <f t="shared" ref="DB91:DB100" si="549">SUM(((AV91*0.9)*0.7))</f>
        <v>0</v>
      </c>
      <c r="DC91" s="583">
        <f t="shared" ref="DC91:DC106" si="550">SUM(((AW91*0.9)*0.7))</f>
        <v>0</v>
      </c>
      <c r="DD91" s="572">
        <f t="shared" ref="DD91:DD106" si="551">SUM(((AX91*0.9)*0.7))</f>
        <v>0</v>
      </c>
      <c r="DE91" s="96"/>
      <c r="DF91" s="589"/>
      <c r="DG91" s="572">
        <f t="shared" ref="DG91:DG106" si="552">SUM(((AM91*0.9)*0.6))</f>
        <v>0</v>
      </c>
      <c r="DH91" s="572">
        <f t="shared" ref="DH91:DH106" si="553">SUM(((AN91*0.9)*0.6))</f>
        <v>0</v>
      </c>
      <c r="DI91" s="572">
        <f t="shared" ref="DI91:DI106" si="554">SUM(((AO91*0.9)*0.6))</f>
        <v>0</v>
      </c>
      <c r="DJ91" s="572">
        <f t="shared" ref="DJ91:DJ106" si="555">SUM(((AP91*0.9)*0.6))</f>
        <v>0</v>
      </c>
      <c r="DK91" s="572">
        <f t="shared" ref="DK91:DK106" si="556">SUM(((AQ91*0.9)*0.6))</f>
        <v>0</v>
      </c>
      <c r="DL91" s="572">
        <f t="shared" ref="DL91:DL106" si="557">SUM(((AR91*0.9)*0.6))</f>
        <v>0</v>
      </c>
      <c r="DM91" s="572">
        <f t="shared" ref="DM91:DM106" si="558">SUM(((AS91*0.9)*0.6))</f>
        <v>0</v>
      </c>
      <c r="DN91" s="572">
        <f t="shared" ref="DN91:DN106" si="559">SUM(((AT91*0.9)*0.6))</f>
        <v>0</v>
      </c>
      <c r="DO91" s="572">
        <f t="shared" ref="DO91:DO100" si="560">SUM(((AU91*0.9)*0.6))</f>
        <v>0</v>
      </c>
      <c r="DP91" s="572">
        <f t="shared" ref="DP91:DP100" si="561">SUM(((AV91*0.9)*0.6))</f>
        <v>0</v>
      </c>
      <c r="DQ91" s="577">
        <f t="shared" ref="DQ91:DQ106" si="562">SUM(((AW91*0.9)*0.6))</f>
        <v>0</v>
      </c>
      <c r="DR91" s="96">
        <f t="shared" ref="DR91:DR106" si="563">SUM(((AX91*0.9)*0.6))</f>
        <v>0</v>
      </c>
      <c r="DS91" s="96"/>
      <c r="DT91" s="96" t="e">
        <f t="shared" ref="DT91:DT106" si="564">CHOOSE((AK91-9),BC91,(BC91+BQ91),((BC91+BQ91)+CE91),(((BC91+BQ91)+CE91)+CS91),((((BC91+BQ91)+CE91)+CS91)+DG91),)</f>
        <v>#VALUE!</v>
      </c>
      <c r="DU91" s="96" t="e">
        <f t="shared" ref="DU91:DU106" si="565">CHOOSE((AK91-9),BD91,(BD91+BR91),((BD91+BR91)+CF91),(((BD91+BR91)+CF91)+CT91),((((BD91+BR91)+CF91)+CT91)+DH91),)</f>
        <v>#VALUE!</v>
      </c>
      <c r="DV91" s="96" t="e">
        <f t="shared" ref="DV91:DV106" si="566">CHOOSE((AK91-9),BE91,(BE91+BS91),((BE91+BS91)+CG91),(((BE91+BS91)+CG91)+CU91),((((BE91+BS91)+CG91)+CU91)+DI91),)</f>
        <v>#VALUE!</v>
      </c>
      <c r="DW91" s="96" t="e">
        <f t="shared" ref="DW91:DW106" si="567">CHOOSE((AK91-9),BF91,(BF91+BT91),((BF91+BT91)+CH91),(((BF91+BT91)+CH91)+CV91),((((BF91+BT91)+CH91)+CV91)+DJ91),)</f>
        <v>#VALUE!</v>
      </c>
      <c r="DX91" s="96" t="e">
        <f t="shared" ref="DX91:DX106" si="568">CHOOSE((AK91-9),BG91,(BG91+BU91),((BG91+BU91)+CI91),(((BG91+BU91)+CI91)+CW91),((((BG91+BU91)+CI91)+CW91)+DK91),)</f>
        <v>#VALUE!</v>
      </c>
      <c r="DY91" s="96" t="e">
        <f t="shared" ref="DY91:DY106" si="569">CHOOSE((AK91-9),BH91,(BH91+BV91),((BH91+BV91)+CJ91),(((BH91+BV91)+CJ91)+CX91),((((BH91+BV91)+CJ91)+CX91)+DL91),)</f>
        <v>#VALUE!</v>
      </c>
      <c r="DZ91" s="96" t="e">
        <f t="shared" ref="DZ91:DZ106" si="570">CHOOSE((AK91-9),BI91,(BI91+BW91),((BI91+BW91)+CK91),(((BI91+BW91)+CK91)+CY91),((((BI91+BW91)+CK91)+CY91)+DM91),)</f>
        <v>#VALUE!</v>
      </c>
      <c r="EA91" s="96" t="e">
        <f t="shared" ref="EA91:EA106" si="571">CHOOSE((AK91-9),BJ91,(BJ91+BX91),((BJ91+BX91)+CL91),(((BJ91+BX91)+CL91)+CZ91),((((BJ91+BX91)+CL91)+CZ91)+DN91),)</f>
        <v>#VALUE!</v>
      </c>
      <c r="EB91" s="96" t="e">
        <f t="shared" ref="EB91:EB106" si="572">CHOOSE((AK91-9),BK91,(BK91+BY91),((BK91+BY91)+CM91),(((BK91+BY91)+CM91)+DA91),((((BK91+BY91)+CM91)+DA91)+DO91),)</f>
        <v>#VALUE!</v>
      </c>
      <c r="EC91" s="96" t="e">
        <f t="shared" ref="EC91:EC106" si="573">CHOOSE((AK91-9),BL91,(BL91+BZ91),((BL91+BZ91)+CN91),(((BL91+BZ91)+CN91)+DB91),((((BL91+BZ91)+CN91)+DB91)+DP91),)</f>
        <v>#VALUE!</v>
      </c>
      <c r="ED91" s="96" t="e">
        <f t="shared" ref="ED91:ED106" si="574">CHOOSE((AK91-9),BM91,(BM91+CA91),((BM91+CA91)+CO91),(((BM91+CA91)+CO91)+DC91),((((BM91+CA91)+CO91)+DC91)+DQ91),)</f>
        <v>#VALUE!</v>
      </c>
      <c r="EE91" s="96" t="e">
        <f t="shared" ref="EE91:EE106" si="575">CHOOSE((AK91-9),BN91,(BN91+CB91),((BN91+CB91)+CP91),(((BN91+CB91)+CP91)+DD91),((((BN91+CB91)+CP91)+DD91)+DR91),)</f>
        <v>#VALUE!</v>
      </c>
    </row>
    <row r="92" spans="2:159">
      <c r="D92" s="1768"/>
      <c r="E92" s="1769"/>
      <c r="F92" s="1769"/>
      <c r="G92" s="1769"/>
      <c r="H92" s="1766">
        <f t="shared" si="503"/>
        <v>0</v>
      </c>
      <c r="I92" s="1769"/>
      <c r="J92" s="1769"/>
      <c r="K92" s="1769"/>
      <c r="L92" s="1769"/>
      <c r="M92" s="1769"/>
      <c r="N92" s="1769"/>
      <c r="O92" s="1769"/>
      <c r="P92" s="1769"/>
      <c r="Q92" s="1798"/>
      <c r="R92" s="1765">
        <f t="shared" si="487"/>
        <v>0</v>
      </c>
      <c r="S92" s="1765">
        <f t="shared" si="488"/>
        <v>0</v>
      </c>
      <c r="T92" s="190"/>
      <c r="U92" s="67"/>
      <c r="V92" s="67"/>
      <c r="W92" s="67"/>
      <c r="X92" s="67"/>
      <c r="Y92" s="67"/>
      <c r="Z92" s="67"/>
      <c r="AA92" s="67"/>
      <c r="AB92" s="67"/>
      <c r="AC92" s="67"/>
      <c r="AD92" s="67"/>
      <c r="AE92" s="67"/>
      <c r="AF92" s="67"/>
      <c r="AG92" s="67"/>
      <c r="AH92" s="67"/>
      <c r="AI92" s="67"/>
      <c r="AK92" s="572">
        <v>3</v>
      </c>
      <c r="AL92" s="456"/>
      <c r="AM92" s="572"/>
      <c r="AN92" s="572"/>
      <c r="AO92" s="572"/>
      <c r="AP92" s="572"/>
      <c r="AQ92" s="572"/>
      <c r="AR92" s="572"/>
      <c r="AS92" s="572"/>
      <c r="AT92" s="572"/>
      <c r="AU92" s="572"/>
      <c r="AV92" s="572"/>
      <c r="AW92" s="572"/>
      <c r="AX92" s="572"/>
      <c r="AY92" s="1545"/>
      <c r="AZ92" s="1545"/>
      <c r="BA92" s="96"/>
      <c r="BB92" s="576"/>
      <c r="BC92" s="572">
        <f t="shared" si="504"/>
        <v>0</v>
      </c>
      <c r="BD92" s="572">
        <f t="shared" si="505"/>
        <v>0</v>
      </c>
      <c r="BE92" s="572">
        <f t="shared" si="506"/>
        <v>0</v>
      </c>
      <c r="BF92" s="572">
        <f t="shared" si="507"/>
        <v>0</v>
      </c>
      <c r="BG92" s="572">
        <f t="shared" si="508"/>
        <v>0</v>
      </c>
      <c r="BH92" s="572">
        <f t="shared" si="509"/>
        <v>0</v>
      </c>
      <c r="BI92" s="572">
        <f t="shared" si="510"/>
        <v>0</v>
      </c>
      <c r="BJ92" s="572">
        <f t="shared" si="511"/>
        <v>0</v>
      </c>
      <c r="BK92" s="572">
        <f t="shared" si="512"/>
        <v>0</v>
      </c>
      <c r="BL92" s="572">
        <f t="shared" si="513"/>
        <v>0</v>
      </c>
      <c r="BM92" s="583">
        <f t="shared" si="514"/>
        <v>0</v>
      </c>
      <c r="BN92" s="572">
        <f t="shared" si="515"/>
        <v>0</v>
      </c>
      <c r="BO92" s="96"/>
      <c r="BP92" s="576"/>
      <c r="BQ92" s="572">
        <f t="shared" si="516"/>
        <v>0</v>
      </c>
      <c r="BR92" s="572">
        <f t="shared" si="517"/>
        <v>0</v>
      </c>
      <c r="BS92" s="572">
        <f t="shared" si="518"/>
        <v>0</v>
      </c>
      <c r="BT92" s="572">
        <f t="shared" si="519"/>
        <v>0</v>
      </c>
      <c r="BU92" s="572">
        <f t="shared" si="520"/>
        <v>0</v>
      </c>
      <c r="BV92" s="572">
        <f t="shared" si="521"/>
        <v>0</v>
      </c>
      <c r="BW92" s="572">
        <f t="shared" si="522"/>
        <v>0</v>
      </c>
      <c r="BX92" s="572">
        <f t="shared" si="523"/>
        <v>0</v>
      </c>
      <c r="BY92" s="572">
        <f t="shared" si="524"/>
        <v>0</v>
      </c>
      <c r="BZ92" s="572">
        <f t="shared" si="525"/>
        <v>0</v>
      </c>
      <c r="CA92" s="583">
        <f t="shared" si="526"/>
        <v>0</v>
      </c>
      <c r="CB92" s="572">
        <f t="shared" si="527"/>
        <v>0</v>
      </c>
      <c r="CC92" s="96"/>
      <c r="CD92" s="589"/>
      <c r="CE92" s="572">
        <f t="shared" si="528"/>
        <v>0</v>
      </c>
      <c r="CF92" s="572">
        <f t="shared" si="529"/>
        <v>0</v>
      </c>
      <c r="CG92" s="572">
        <f t="shared" si="530"/>
        <v>0</v>
      </c>
      <c r="CH92" s="572">
        <f t="shared" si="531"/>
        <v>0</v>
      </c>
      <c r="CI92" s="572">
        <f t="shared" si="532"/>
        <v>0</v>
      </c>
      <c r="CJ92" s="572">
        <f t="shared" si="533"/>
        <v>0</v>
      </c>
      <c r="CK92" s="572">
        <f t="shared" si="534"/>
        <v>0</v>
      </c>
      <c r="CL92" s="572">
        <f t="shared" si="535"/>
        <v>0</v>
      </c>
      <c r="CM92" s="572">
        <f t="shared" si="536"/>
        <v>0</v>
      </c>
      <c r="CN92" s="572">
        <f t="shared" si="537"/>
        <v>0</v>
      </c>
      <c r="CO92" s="583">
        <f t="shared" si="538"/>
        <v>0</v>
      </c>
      <c r="CP92" s="572">
        <f t="shared" si="539"/>
        <v>0</v>
      </c>
      <c r="CQ92" s="96"/>
      <c r="CR92" s="589"/>
      <c r="CS92" s="572">
        <f t="shared" si="540"/>
        <v>0</v>
      </c>
      <c r="CT92" s="572">
        <f t="shared" si="541"/>
        <v>0</v>
      </c>
      <c r="CU92" s="572">
        <f t="shared" si="542"/>
        <v>0</v>
      </c>
      <c r="CV92" s="572">
        <f t="shared" si="543"/>
        <v>0</v>
      </c>
      <c r="CW92" s="572">
        <f t="shared" si="544"/>
        <v>0</v>
      </c>
      <c r="CX92" s="572">
        <f t="shared" si="545"/>
        <v>0</v>
      </c>
      <c r="CY92" s="572">
        <f t="shared" si="546"/>
        <v>0</v>
      </c>
      <c r="CZ92" s="572">
        <f t="shared" si="547"/>
        <v>0</v>
      </c>
      <c r="DA92" s="572">
        <f t="shared" si="548"/>
        <v>0</v>
      </c>
      <c r="DB92" s="572">
        <f t="shared" si="549"/>
        <v>0</v>
      </c>
      <c r="DC92" s="583">
        <f t="shared" si="550"/>
        <v>0</v>
      </c>
      <c r="DD92" s="572">
        <f t="shared" si="551"/>
        <v>0</v>
      </c>
      <c r="DE92" s="96"/>
      <c r="DF92" s="576"/>
      <c r="DG92" s="572">
        <f t="shared" si="552"/>
        <v>0</v>
      </c>
      <c r="DH92" s="572">
        <f t="shared" si="553"/>
        <v>0</v>
      </c>
      <c r="DI92" s="572">
        <f t="shared" si="554"/>
        <v>0</v>
      </c>
      <c r="DJ92" s="572">
        <f t="shared" si="555"/>
        <v>0</v>
      </c>
      <c r="DK92" s="572">
        <f t="shared" si="556"/>
        <v>0</v>
      </c>
      <c r="DL92" s="572">
        <f t="shared" si="557"/>
        <v>0</v>
      </c>
      <c r="DM92" s="572">
        <f t="shared" si="558"/>
        <v>0</v>
      </c>
      <c r="DN92" s="572">
        <f t="shared" si="559"/>
        <v>0</v>
      </c>
      <c r="DO92" s="572">
        <f t="shared" si="560"/>
        <v>0</v>
      </c>
      <c r="DP92" s="572">
        <f t="shared" si="561"/>
        <v>0</v>
      </c>
      <c r="DQ92" s="577">
        <f t="shared" si="562"/>
        <v>0</v>
      </c>
      <c r="DR92" s="96">
        <f t="shared" si="563"/>
        <v>0</v>
      </c>
      <c r="DS92" s="96"/>
      <c r="DT92" s="96" t="e">
        <f t="shared" si="564"/>
        <v>#VALUE!</v>
      </c>
      <c r="DU92" s="96" t="e">
        <f t="shared" si="565"/>
        <v>#VALUE!</v>
      </c>
      <c r="DV92" s="96" t="e">
        <f t="shared" si="566"/>
        <v>#VALUE!</v>
      </c>
      <c r="DW92" s="96" t="e">
        <f t="shared" si="567"/>
        <v>#VALUE!</v>
      </c>
      <c r="DX92" s="96" t="e">
        <f t="shared" si="568"/>
        <v>#VALUE!</v>
      </c>
      <c r="DY92" s="96" t="e">
        <f t="shared" si="569"/>
        <v>#VALUE!</v>
      </c>
      <c r="DZ92" s="96" t="e">
        <f t="shared" si="570"/>
        <v>#VALUE!</v>
      </c>
      <c r="EA92" s="96" t="e">
        <f t="shared" si="571"/>
        <v>#VALUE!</v>
      </c>
      <c r="EB92" s="96" t="e">
        <f t="shared" si="572"/>
        <v>#VALUE!</v>
      </c>
      <c r="EC92" s="96" t="e">
        <f t="shared" si="573"/>
        <v>#VALUE!</v>
      </c>
      <c r="ED92" s="96" t="e">
        <f t="shared" si="574"/>
        <v>#VALUE!</v>
      </c>
      <c r="EE92" s="96" t="e">
        <f t="shared" si="575"/>
        <v>#VALUE!</v>
      </c>
    </row>
    <row r="93" spans="2:159">
      <c r="D93" s="1770"/>
      <c r="E93" s="1769"/>
      <c r="F93" s="1769"/>
      <c r="G93" s="1769"/>
      <c r="H93" s="1766">
        <f t="shared" si="503"/>
        <v>0</v>
      </c>
      <c r="I93" s="1769"/>
      <c r="J93" s="1769"/>
      <c r="K93" s="1769"/>
      <c r="L93" s="1769"/>
      <c r="M93" s="1769"/>
      <c r="N93" s="1769"/>
      <c r="O93" s="1769"/>
      <c r="P93" s="1769"/>
      <c r="Q93" s="1798"/>
      <c r="R93" s="1765">
        <f t="shared" si="487"/>
        <v>0</v>
      </c>
      <c r="S93" s="1765">
        <f t="shared" si="488"/>
        <v>0</v>
      </c>
      <c r="T93" s="190"/>
      <c r="U93" s="67"/>
      <c r="V93" s="67"/>
      <c r="W93" s="67"/>
      <c r="X93" s="67"/>
      <c r="Y93" s="67"/>
      <c r="Z93" s="67"/>
      <c r="AA93" s="67"/>
      <c r="AB93" s="67"/>
      <c r="AC93" s="67"/>
      <c r="AD93" s="67"/>
      <c r="AE93" s="67"/>
      <c r="AF93" s="67"/>
      <c r="AG93" s="67"/>
      <c r="AH93" s="67"/>
      <c r="AI93" s="67"/>
      <c r="AK93" s="572">
        <v>4</v>
      </c>
      <c r="AL93" s="456"/>
      <c r="AM93" s="572"/>
      <c r="AN93" s="572"/>
      <c r="AO93" s="572"/>
      <c r="AP93" s="572"/>
      <c r="AQ93" s="572"/>
      <c r="AR93" s="572"/>
      <c r="AS93" s="572"/>
      <c r="AT93" s="572"/>
      <c r="AU93" s="572"/>
      <c r="AV93" s="572"/>
      <c r="AW93" s="572"/>
      <c r="AX93" s="572"/>
      <c r="AY93" s="1545"/>
      <c r="AZ93" s="1545"/>
      <c r="BA93" s="96"/>
      <c r="BB93" s="576"/>
      <c r="BC93" s="572">
        <f t="shared" si="504"/>
        <v>0</v>
      </c>
      <c r="BD93" s="572">
        <f t="shared" si="505"/>
        <v>0</v>
      </c>
      <c r="BE93" s="572">
        <f t="shared" si="506"/>
        <v>0</v>
      </c>
      <c r="BF93" s="572">
        <f t="shared" si="507"/>
        <v>0</v>
      </c>
      <c r="BG93" s="572">
        <f t="shared" si="508"/>
        <v>0</v>
      </c>
      <c r="BH93" s="572">
        <f t="shared" si="509"/>
        <v>0</v>
      </c>
      <c r="BI93" s="572">
        <f t="shared" si="510"/>
        <v>0</v>
      </c>
      <c r="BJ93" s="572">
        <f t="shared" si="511"/>
        <v>0</v>
      </c>
      <c r="BK93" s="572">
        <f t="shared" si="512"/>
        <v>0</v>
      </c>
      <c r="BL93" s="572">
        <f t="shared" si="513"/>
        <v>0</v>
      </c>
      <c r="BM93" s="583">
        <f t="shared" si="514"/>
        <v>0</v>
      </c>
      <c r="BN93" s="572">
        <f t="shared" si="515"/>
        <v>0</v>
      </c>
      <c r="BO93" s="96"/>
      <c r="BP93" s="576"/>
      <c r="BQ93" s="572">
        <f t="shared" si="516"/>
        <v>0</v>
      </c>
      <c r="BR93" s="572">
        <f t="shared" si="517"/>
        <v>0</v>
      </c>
      <c r="BS93" s="572">
        <f t="shared" si="518"/>
        <v>0</v>
      </c>
      <c r="BT93" s="572">
        <f t="shared" si="519"/>
        <v>0</v>
      </c>
      <c r="BU93" s="572">
        <f t="shared" si="520"/>
        <v>0</v>
      </c>
      <c r="BV93" s="572">
        <f t="shared" si="521"/>
        <v>0</v>
      </c>
      <c r="BW93" s="572">
        <f t="shared" si="522"/>
        <v>0</v>
      </c>
      <c r="BX93" s="572">
        <f t="shared" si="523"/>
        <v>0</v>
      </c>
      <c r="BY93" s="572">
        <f t="shared" si="524"/>
        <v>0</v>
      </c>
      <c r="BZ93" s="572">
        <f t="shared" si="525"/>
        <v>0</v>
      </c>
      <c r="CA93" s="583">
        <f t="shared" si="526"/>
        <v>0</v>
      </c>
      <c r="CB93" s="572">
        <f t="shared" si="527"/>
        <v>0</v>
      </c>
      <c r="CC93" s="96"/>
      <c r="CD93" s="589"/>
      <c r="CE93" s="572">
        <f t="shared" si="528"/>
        <v>0</v>
      </c>
      <c r="CF93" s="572">
        <f t="shared" si="529"/>
        <v>0</v>
      </c>
      <c r="CG93" s="572">
        <f t="shared" si="530"/>
        <v>0</v>
      </c>
      <c r="CH93" s="572">
        <f t="shared" si="531"/>
        <v>0</v>
      </c>
      <c r="CI93" s="572">
        <f t="shared" si="532"/>
        <v>0</v>
      </c>
      <c r="CJ93" s="572">
        <f t="shared" si="533"/>
        <v>0</v>
      </c>
      <c r="CK93" s="572">
        <f t="shared" si="534"/>
        <v>0</v>
      </c>
      <c r="CL93" s="572">
        <f t="shared" si="535"/>
        <v>0</v>
      </c>
      <c r="CM93" s="572">
        <f t="shared" si="536"/>
        <v>0</v>
      </c>
      <c r="CN93" s="572">
        <f t="shared" si="537"/>
        <v>0</v>
      </c>
      <c r="CO93" s="583">
        <f t="shared" si="538"/>
        <v>0</v>
      </c>
      <c r="CP93" s="572">
        <f t="shared" si="539"/>
        <v>0</v>
      </c>
      <c r="CQ93" s="96"/>
      <c r="CR93" s="589"/>
      <c r="CS93" s="572">
        <f t="shared" si="540"/>
        <v>0</v>
      </c>
      <c r="CT93" s="572">
        <f t="shared" si="541"/>
        <v>0</v>
      </c>
      <c r="CU93" s="572">
        <f t="shared" si="542"/>
        <v>0</v>
      </c>
      <c r="CV93" s="572">
        <f t="shared" si="543"/>
        <v>0</v>
      </c>
      <c r="CW93" s="572">
        <f t="shared" si="544"/>
        <v>0</v>
      </c>
      <c r="CX93" s="572">
        <f t="shared" si="545"/>
        <v>0</v>
      </c>
      <c r="CY93" s="572">
        <f t="shared" si="546"/>
        <v>0</v>
      </c>
      <c r="CZ93" s="572">
        <f t="shared" si="547"/>
        <v>0</v>
      </c>
      <c r="DA93" s="572">
        <f t="shared" si="548"/>
        <v>0</v>
      </c>
      <c r="DB93" s="572">
        <f t="shared" si="549"/>
        <v>0</v>
      </c>
      <c r="DC93" s="583">
        <f t="shared" si="550"/>
        <v>0</v>
      </c>
      <c r="DD93" s="572">
        <f t="shared" si="551"/>
        <v>0</v>
      </c>
      <c r="DE93" s="96"/>
      <c r="DF93" s="576"/>
      <c r="DG93" s="572">
        <f t="shared" si="552"/>
        <v>0</v>
      </c>
      <c r="DH93" s="572">
        <f t="shared" si="553"/>
        <v>0</v>
      </c>
      <c r="DI93" s="572">
        <f t="shared" si="554"/>
        <v>0</v>
      </c>
      <c r="DJ93" s="572">
        <f t="shared" si="555"/>
        <v>0</v>
      </c>
      <c r="DK93" s="572">
        <f t="shared" si="556"/>
        <v>0</v>
      </c>
      <c r="DL93" s="572">
        <f t="shared" si="557"/>
        <v>0</v>
      </c>
      <c r="DM93" s="572">
        <f t="shared" si="558"/>
        <v>0</v>
      </c>
      <c r="DN93" s="572">
        <f t="shared" si="559"/>
        <v>0</v>
      </c>
      <c r="DO93" s="572">
        <f t="shared" si="560"/>
        <v>0</v>
      </c>
      <c r="DP93" s="572">
        <f t="shared" si="561"/>
        <v>0</v>
      </c>
      <c r="DQ93" s="577">
        <f t="shared" si="562"/>
        <v>0</v>
      </c>
      <c r="DR93" s="96">
        <f t="shared" si="563"/>
        <v>0</v>
      </c>
      <c r="DS93" s="96"/>
      <c r="DT93" s="96" t="e">
        <f t="shared" si="564"/>
        <v>#VALUE!</v>
      </c>
      <c r="DU93" s="96" t="e">
        <f t="shared" si="565"/>
        <v>#VALUE!</v>
      </c>
      <c r="DV93" s="96" t="e">
        <f t="shared" si="566"/>
        <v>#VALUE!</v>
      </c>
      <c r="DW93" s="96" t="e">
        <f t="shared" si="567"/>
        <v>#VALUE!</v>
      </c>
      <c r="DX93" s="96" t="e">
        <f t="shared" si="568"/>
        <v>#VALUE!</v>
      </c>
      <c r="DY93" s="96" t="e">
        <f t="shared" si="569"/>
        <v>#VALUE!</v>
      </c>
      <c r="DZ93" s="96" t="e">
        <f t="shared" si="570"/>
        <v>#VALUE!</v>
      </c>
      <c r="EA93" s="96" t="e">
        <f t="shared" si="571"/>
        <v>#VALUE!</v>
      </c>
      <c r="EB93" s="96" t="e">
        <f t="shared" si="572"/>
        <v>#VALUE!</v>
      </c>
      <c r="EC93" s="96" t="e">
        <f t="shared" si="573"/>
        <v>#VALUE!</v>
      </c>
      <c r="ED93" s="96" t="e">
        <f t="shared" si="574"/>
        <v>#VALUE!</v>
      </c>
      <c r="EE93" s="96" t="e">
        <f t="shared" si="575"/>
        <v>#VALUE!</v>
      </c>
    </row>
    <row r="94" spans="2:159" ht="15" customHeight="1">
      <c r="AK94" s="572">
        <v>5</v>
      </c>
      <c r="AL94" s="456"/>
      <c r="AM94" s="572"/>
      <c r="AN94" s="572"/>
      <c r="AO94" s="572"/>
      <c r="AP94" s="572"/>
      <c r="AQ94" s="572"/>
      <c r="AR94" s="572"/>
      <c r="AS94" s="572"/>
      <c r="AT94" s="572"/>
      <c r="AU94" s="572"/>
      <c r="AV94" s="572"/>
      <c r="AW94" s="572"/>
      <c r="AX94" s="572"/>
      <c r="AY94" s="1545"/>
      <c r="AZ94" s="1545"/>
      <c r="BA94" s="96"/>
      <c r="BB94" s="576"/>
      <c r="BC94" s="572">
        <f t="shared" si="504"/>
        <v>0</v>
      </c>
      <c r="BD94" s="572">
        <f t="shared" si="505"/>
        <v>0</v>
      </c>
      <c r="BE94" s="572">
        <f t="shared" si="506"/>
        <v>0</v>
      </c>
      <c r="BF94" s="572">
        <f t="shared" si="507"/>
        <v>0</v>
      </c>
      <c r="BG94" s="572">
        <f t="shared" si="508"/>
        <v>0</v>
      </c>
      <c r="BH94" s="572">
        <f t="shared" si="509"/>
        <v>0</v>
      </c>
      <c r="BI94" s="572">
        <f t="shared" si="510"/>
        <v>0</v>
      </c>
      <c r="BJ94" s="572">
        <f t="shared" si="511"/>
        <v>0</v>
      </c>
      <c r="BK94" s="572">
        <f t="shared" si="512"/>
        <v>0</v>
      </c>
      <c r="BL94" s="572">
        <f t="shared" si="513"/>
        <v>0</v>
      </c>
      <c r="BM94" s="583">
        <f t="shared" si="514"/>
        <v>0</v>
      </c>
      <c r="BN94" s="572">
        <f t="shared" si="515"/>
        <v>0</v>
      </c>
      <c r="BO94" s="96"/>
      <c r="BP94" s="576"/>
      <c r="BQ94" s="572">
        <f t="shared" si="516"/>
        <v>0</v>
      </c>
      <c r="BR94" s="572">
        <f t="shared" si="517"/>
        <v>0</v>
      </c>
      <c r="BS94" s="572">
        <f t="shared" si="518"/>
        <v>0</v>
      </c>
      <c r="BT94" s="572">
        <f t="shared" si="519"/>
        <v>0</v>
      </c>
      <c r="BU94" s="572">
        <f t="shared" si="520"/>
        <v>0</v>
      </c>
      <c r="BV94" s="572">
        <f t="shared" si="521"/>
        <v>0</v>
      </c>
      <c r="BW94" s="572">
        <f t="shared" si="522"/>
        <v>0</v>
      </c>
      <c r="BX94" s="572">
        <f t="shared" si="523"/>
        <v>0</v>
      </c>
      <c r="BY94" s="572">
        <f t="shared" si="524"/>
        <v>0</v>
      </c>
      <c r="BZ94" s="572">
        <f t="shared" si="525"/>
        <v>0</v>
      </c>
      <c r="CA94" s="583">
        <f t="shared" si="526"/>
        <v>0</v>
      </c>
      <c r="CB94" s="572">
        <f t="shared" si="527"/>
        <v>0</v>
      </c>
      <c r="CC94" s="96"/>
      <c r="CD94" s="589"/>
      <c r="CE94" s="572">
        <f t="shared" si="528"/>
        <v>0</v>
      </c>
      <c r="CF94" s="572">
        <f t="shared" si="529"/>
        <v>0</v>
      </c>
      <c r="CG94" s="572">
        <f t="shared" si="530"/>
        <v>0</v>
      </c>
      <c r="CH94" s="572">
        <f t="shared" si="531"/>
        <v>0</v>
      </c>
      <c r="CI94" s="572">
        <f t="shared" si="532"/>
        <v>0</v>
      </c>
      <c r="CJ94" s="572">
        <f t="shared" si="533"/>
        <v>0</v>
      </c>
      <c r="CK94" s="572">
        <f t="shared" si="534"/>
        <v>0</v>
      </c>
      <c r="CL94" s="572">
        <f t="shared" si="535"/>
        <v>0</v>
      </c>
      <c r="CM94" s="572">
        <f t="shared" si="536"/>
        <v>0</v>
      </c>
      <c r="CN94" s="572">
        <f t="shared" si="537"/>
        <v>0</v>
      </c>
      <c r="CO94" s="583">
        <f t="shared" si="538"/>
        <v>0</v>
      </c>
      <c r="CP94" s="572">
        <f t="shared" si="539"/>
        <v>0</v>
      </c>
      <c r="CQ94" s="96"/>
      <c r="CR94" s="576"/>
      <c r="CS94" s="572">
        <f t="shared" si="540"/>
        <v>0</v>
      </c>
      <c r="CT94" s="572">
        <f t="shared" si="541"/>
        <v>0</v>
      </c>
      <c r="CU94" s="572">
        <f t="shared" si="542"/>
        <v>0</v>
      </c>
      <c r="CV94" s="572">
        <f t="shared" si="543"/>
        <v>0</v>
      </c>
      <c r="CW94" s="572">
        <f t="shared" si="544"/>
        <v>0</v>
      </c>
      <c r="CX94" s="572">
        <f t="shared" si="545"/>
        <v>0</v>
      </c>
      <c r="CY94" s="572">
        <f t="shared" si="546"/>
        <v>0</v>
      </c>
      <c r="CZ94" s="572">
        <f t="shared" si="547"/>
        <v>0</v>
      </c>
      <c r="DA94" s="572">
        <f t="shared" si="548"/>
        <v>0</v>
      </c>
      <c r="DB94" s="572">
        <f t="shared" si="549"/>
        <v>0</v>
      </c>
      <c r="DC94" s="583">
        <f t="shared" si="550"/>
        <v>0</v>
      </c>
      <c r="DD94" s="572">
        <f t="shared" si="551"/>
        <v>0</v>
      </c>
      <c r="DE94" s="96"/>
      <c r="DF94" s="576"/>
      <c r="DG94" s="572">
        <f t="shared" si="552"/>
        <v>0</v>
      </c>
      <c r="DH94" s="572">
        <f t="shared" si="553"/>
        <v>0</v>
      </c>
      <c r="DI94" s="572">
        <f t="shared" si="554"/>
        <v>0</v>
      </c>
      <c r="DJ94" s="572">
        <f t="shared" si="555"/>
        <v>0</v>
      </c>
      <c r="DK94" s="572">
        <f t="shared" si="556"/>
        <v>0</v>
      </c>
      <c r="DL94" s="572">
        <f t="shared" si="557"/>
        <v>0</v>
      </c>
      <c r="DM94" s="572">
        <f t="shared" si="558"/>
        <v>0</v>
      </c>
      <c r="DN94" s="572">
        <f t="shared" si="559"/>
        <v>0</v>
      </c>
      <c r="DO94" s="572">
        <f t="shared" si="560"/>
        <v>0</v>
      </c>
      <c r="DP94" s="572">
        <f t="shared" si="561"/>
        <v>0</v>
      </c>
      <c r="DQ94" s="577">
        <f t="shared" si="562"/>
        <v>0</v>
      </c>
      <c r="DR94" s="96">
        <f t="shared" si="563"/>
        <v>0</v>
      </c>
      <c r="DS94" s="96"/>
      <c r="DT94" s="96" t="e">
        <f t="shared" si="564"/>
        <v>#VALUE!</v>
      </c>
      <c r="DU94" s="96" t="e">
        <f t="shared" si="565"/>
        <v>#VALUE!</v>
      </c>
      <c r="DV94" s="96" t="e">
        <f t="shared" si="566"/>
        <v>#VALUE!</v>
      </c>
      <c r="DW94" s="96" t="e">
        <f t="shared" si="567"/>
        <v>#VALUE!</v>
      </c>
      <c r="DX94" s="96" t="e">
        <f t="shared" si="568"/>
        <v>#VALUE!</v>
      </c>
      <c r="DY94" s="96" t="e">
        <f t="shared" si="569"/>
        <v>#VALUE!</v>
      </c>
      <c r="DZ94" s="96" t="e">
        <f t="shared" si="570"/>
        <v>#VALUE!</v>
      </c>
      <c r="EA94" s="96" t="e">
        <f t="shared" si="571"/>
        <v>#VALUE!</v>
      </c>
      <c r="EB94" s="96" t="e">
        <f t="shared" si="572"/>
        <v>#VALUE!</v>
      </c>
      <c r="EC94" s="96" t="e">
        <f t="shared" si="573"/>
        <v>#VALUE!</v>
      </c>
      <c r="ED94" s="96" t="e">
        <f t="shared" si="574"/>
        <v>#VALUE!</v>
      </c>
      <c r="EE94" s="96" t="e">
        <f t="shared" si="575"/>
        <v>#VALUE!</v>
      </c>
    </row>
    <row r="95" spans="2:159" ht="15" customHeight="1">
      <c r="AK95" s="572">
        <v>6</v>
      </c>
      <c r="AL95" s="456"/>
      <c r="AM95" s="572"/>
      <c r="AN95" s="572"/>
      <c r="AO95" s="572"/>
      <c r="AP95" s="572"/>
      <c r="AQ95" s="572"/>
      <c r="AR95" s="572"/>
      <c r="AS95" s="572"/>
      <c r="AT95" s="572"/>
      <c r="AU95" s="572"/>
      <c r="AV95" s="572"/>
      <c r="AW95" s="572"/>
      <c r="AX95" s="572"/>
      <c r="AY95" s="1545"/>
      <c r="AZ95" s="1545"/>
      <c r="BA95" s="96"/>
      <c r="BB95" s="576"/>
      <c r="BC95" s="572">
        <f t="shared" si="504"/>
        <v>0</v>
      </c>
      <c r="BD95" s="572">
        <f t="shared" si="505"/>
        <v>0</v>
      </c>
      <c r="BE95" s="572">
        <f t="shared" si="506"/>
        <v>0</v>
      </c>
      <c r="BF95" s="572">
        <f t="shared" si="507"/>
        <v>0</v>
      </c>
      <c r="BG95" s="572">
        <f t="shared" si="508"/>
        <v>0</v>
      </c>
      <c r="BH95" s="572">
        <f t="shared" si="509"/>
        <v>0</v>
      </c>
      <c r="BI95" s="572">
        <f t="shared" si="510"/>
        <v>0</v>
      </c>
      <c r="BJ95" s="572">
        <f t="shared" si="511"/>
        <v>0</v>
      </c>
      <c r="BK95" s="572">
        <f t="shared" si="512"/>
        <v>0</v>
      </c>
      <c r="BL95" s="572">
        <f t="shared" si="513"/>
        <v>0</v>
      </c>
      <c r="BM95" s="583">
        <f t="shared" si="514"/>
        <v>0</v>
      </c>
      <c r="BN95" s="572">
        <f t="shared" si="515"/>
        <v>0</v>
      </c>
      <c r="BO95" s="96"/>
      <c r="BP95" s="576"/>
      <c r="BQ95" s="572">
        <f t="shared" si="516"/>
        <v>0</v>
      </c>
      <c r="BR95" s="572">
        <f t="shared" si="517"/>
        <v>0</v>
      </c>
      <c r="BS95" s="572">
        <f t="shared" si="518"/>
        <v>0</v>
      </c>
      <c r="BT95" s="572">
        <f t="shared" si="519"/>
        <v>0</v>
      </c>
      <c r="BU95" s="572">
        <f t="shared" si="520"/>
        <v>0</v>
      </c>
      <c r="BV95" s="572">
        <f t="shared" si="521"/>
        <v>0</v>
      </c>
      <c r="BW95" s="572">
        <f t="shared" si="522"/>
        <v>0</v>
      </c>
      <c r="BX95" s="572">
        <f t="shared" si="523"/>
        <v>0</v>
      </c>
      <c r="BY95" s="572">
        <f t="shared" si="524"/>
        <v>0</v>
      </c>
      <c r="BZ95" s="572">
        <f t="shared" si="525"/>
        <v>0</v>
      </c>
      <c r="CA95" s="583">
        <f t="shared" si="526"/>
        <v>0</v>
      </c>
      <c r="CB95" s="572">
        <f t="shared" si="527"/>
        <v>0</v>
      </c>
      <c r="CC95" s="96"/>
      <c r="CD95" s="576"/>
      <c r="CE95" s="572">
        <f t="shared" si="528"/>
        <v>0</v>
      </c>
      <c r="CF95" s="572">
        <f t="shared" si="529"/>
        <v>0</v>
      </c>
      <c r="CG95" s="572">
        <f t="shared" si="530"/>
        <v>0</v>
      </c>
      <c r="CH95" s="572">
        <f t="shared" si="531"/>
        <v>0</v>
      </c>
      <c r="CI95" s="572">
        <f t="shared" si="532"/>
        <v>0</v>
      </c>
      <c r="CJ95" s="572">
        <f t="shared" si="533"/>
        <v>0</v>
      </c>
      <c r="CK95" s="572">
        <f t="shared" si="534"/>
        <v>0</v>
      </c>
      <c r="CL95" s="572">
        <f t="shared" si="535"/>
        <v>0</v>
      </c>
      <c r="CM95" s="572">
        <f t="shared" si="536"/>
        <v>0</v>
      </c>
      <c r="CN95" s="572">
        <f t="shared" si="537"/>
        <v>0</v>
      </c>
      <c r="CO95" s="583">
        <f t="shared" si="538"/>
        <v>0</v>
      </c>
      <c r="CP95" s="572">
        <f t="shared" si="539"/>
        <v>0</v>
      </c>
      <c r="CQ95" s="96"/>
      <c r="CR95" s="576"/>
      <c r="CS95" s="572">
        <f t="shared" si="540"/>
        <v>0</v>
      </c>
      <c r="CT95" s="572">
        <f t="shared" si="541"/>
        <v>0</v>
      </c>
      <c r="CU95" s="572">
        <f t="shared" si="542"/>
        <v>0</v>
      </c>
      <c r="CV95" s="572">
        <f t="shared" si="543"/>
        <v>0</v>
      </c>
      <c r="CW95" s="572">
        <f t="shared" si="544"/>
        <v>0</v>
      </c>
      <c r="CX95" s="572">
        <f t="shared" si="545"/>
        <v>0</v>
      </c>
      <c r="CY95" s="572">
        <f t="shared" si="546"/>
        <v>0</v>
      </c>
      <c r="CZ95" s="572">
        <f t="shared" si="547"/>
        <v>0</v>
      </c>
      <c r="DA95" s="572">
        <f t="shared" si="548"/>
        <v>0</v>
      </c>
      <c r="DB95" s="572">
        <f t="shared" si="549"/>
        <v>0</v>
      </c>
      <c r="DC95" s="583">
        <f t="shared" si="550"/>
        <v>0</v>
      </c>
      <c r="DD95" s="572">
        <f t="shared" si="551"/>
        <v>0</v>
      </c>
      <c r="DE95" s="96"/>
      <c r="DF95" s="576"/>
      <c r="DG95" s="572">
        <f t="shared" si="552"/>
        <v>0</v>
      </c>
      <c r="DH95" s="572">
        <f t="shared" si="553"/>
        <v>0</v>
      </c>
      <c r="DI95" s="572">
        <f t="shared" si="554"/>
        <v>0</v>
      </c>
      <c r="DJ95" s="572">
        <f t="shared" si="555"/>
        <v>0</v>
      </c>
      <c r="DK95" s="572">
        <f t="shared" si="556"/>
        <v>0</v>
      </c>
      <c r="DL95" s="572">
        <f t="shared" si="557"/>
        <v>0</v>
      </c>
      <c r="DM95" s="572">
        <f t="shared" si="558"/>
        <v>0</v>
      </c>
      <c r="DN95" s="572">
        <f t="shared" si="559"/>
        <v>0</v>
      </c>
      <c r="DO95" s="572">
        <f t="shared" si="560"/>
        <v>0</v>
      </c>
      <c r="DP95" s="572">
        <f t="shared" si="561"/>
        <v>0</v>
      </c>
      <c r="DQ95" s="577">
        <f t="shared" si="562"/>
        <v>0</v>
      </c>
      <c r="DR95" s="96">
        <f t="shared" si="563"/>
        <v>0</v>
      </c>
      <c r="DS95" s="96"/>
      <c r="DT95" s="96" t="e">
        <f t="shared" si="564"/>
        <v>#VALUE!</v>
      </c>
      <c r="DU95" s="96" t="e">
        <f t="shared" si="565"/>
        <v>#VALUE!</v>
      </c>
      <c r="DV95" s="96" t="e">
        <f t="shared" si="566"/>
        <v>#VALUE!</v>
      </c>
      <c r="DW95" s="96" t="e">
        <f t="shared" si="567"/>
        <v>#VALUE!</v>
      </c>
      <c r="DX95" s="96" t="e">
        <f t="shared" si="568"/>
        <v>#VALUE!</v>
      </c>
      <c r="DY95" s="96" t="e">
        <f t="shared" si="569"/>
        <v>#VALUE!</v>
      </c>
      <c r="DZ95" s="96" t="e">
        <f t="shared" si="570"/>
        <v>#VALUE!</v>
      </c>
      <c r="EA95" s="96" t="e">
        <f t="shared" si="571"/>
        <v>#VALUE!</v>
      </c>
      <c r="EB95" s="96" t="e">
        <f t="shared" si="572"/>
        <v>#VALUE!</v>
      </c>
      <c r="EC95" s="96" t="e">
        <f t="shared" si="573"/>
        <v>#VALUE!</v>
      </c>
      <c r="ED95" s="96" t="e">
        <f t="shared" si="574"/>
        <v>#VALUE!</v>
      </c>
      <c r="EE95" s="96" t="e">
        <f t="shared" si="575"/>
        <v>#VALUE!</v>
      </c>
    </row>
    <row r="96" spans="2:159" ht="15" customHeight="1">
      <c r="D96" s="369"/>
      <c r="E96" s="369"/>
      <c r="F96" s="369"/>
      <c r="G96" s="369"/>
      <c r="H96" s="369"/>
      <c r="I96" s="369"/>
      <c r="J96" s="369"/>
      <c r="K96" s="369"/>
      <c r="L96" s="369"/>
      <c r="M96" s="369"/>
      <c r="N96" s="369"/>
      <c r="O96" s="369"/>
      <c r="AK96" s="572">
        <v>7</v>
      </c>
      <c r="AL96" s="456"/>
      <c r="AM96" s="572"/>
      <c r="AN96" s="572"/>
      <c r="AO96" s="572"/>
      <c r="AP96" s="572"/>
      <c r="AQ96" s="572"/>
      <c r="AR96" s="572"/>
      <c r="AS96" s="572"/>
      <c r="AT96" s="572"/>
      <c r="AU96" s="572"/>
      <c r="AV96" s="572"/>
      <c r="AW96" s="572"/>
      <c r="AX96" s="572"/>
      <c r="AY96" s="1545"/>
      <c r="AZ96" s="1545"/>
      <c r="BA96" s="96"/>
      <c r="BB96" s="576"/>
      <c r="BC96" s="572">
        <f t="shared" si="504"/>
        <v>0</v>
      </c>
      <c r="BD96" s="572">
        <f t="shared" si="505"/>
        <v>0</v>
      </c>
      <c r="BE96" s="572">
        <f t="shared" si="506"/>
        <v>0</v>
      </c>
      <c r="BF96" s="572">
        <f t="shared" si="507"/>
        <v>0</v>
      </c>
      <c r="BG96" s="572">
        <f t="shared" si="508"/>
        <v>0</v>
      </c>
      <c r="BH96" s="572">
        <f t="shared" si="509"/>
        <v>0</v>
      </c>
      <c r="BI96" s="572">
        <f t="shared" si="510"/>
        <v>0</v>
      </c>
      <c r="BJ96" s="572">
        <f t="shared" si="511"/>
        <v>0</v>
      </c>
      <c r="BK96" s="572">
        <f t="shared" si="512"/>
        <v>0</v>
      </c>
      <c r="BL96" s="572">
        <f t="shared" si="513"/>
        <v>0</v>
      </c>
      <c r="BM96" s="583">
        <f t="shared" si="514"/>
        <v>0</v>
      </c>
      <c r="BN96" s="572">
        <f t="shared" si="515"/>
        <v>0</v>
      </c>
      <c r="BO96" s="96"/>
      <c r="BP96" s="576"/>
      <c r="BQ96" s="572">
        <f t="shared" si="516"/>
        <v>0</v>
      </c>
      <c r="BR96" s="572">
        <f t="shared" si="517"/>
        <v>0</v>
      </c>
      <c r="BS96" s="572">
        <f t="shared" si="518"/>
        <v>0</v>
      </c>
      <c r="BT96" s="572">
        <f t="shared" si="519"/>
        <v>0</v>
      </c>
      <c r="BU96" s="572">
        <f t="shared" si="520"/>
        <v>0</v>
      </c>
      <c r="BV96" s="572">
        <f t="shared" si="521"/>
        <v>0</v>
      </c>
      <c r="BW96" s="572">
        <f t="shared" si="522"/>
        <v>0</v>
      </c>
      <c r="BX96" s="572">
        <f t="shared" si="523"/>
        <v>0</v>
      </c>
      <c r="BY96" s="572">
        <f t="shared" si="524"/>
        <v>0</v>
      </c>
      <c r="BZ96" s="572">
        <f t="shared" si="525"/>
        <v>0</v>
      </c>
      <c r="CA96" s="583">
        <f t="shared" si="526"/>
        <v>0</v>
      </c>
      <c r="CB96" s="572">
        <f t="shared" si="527"/>
        <v>0</v>
      </c>
      <c r="CC96" s="96"/>
      <c r="CD96" s="576"/>
      <c r="CE96" s="572">
        <f t="shared" si="528"/>
        <v>0</v>
      </c>
      <c r="CF96" s="572">
        <f t="shared" si="529"/>
        <v>0</v>
      </c>
      <c r="CG96" s="572">
        <f t="shared" si="530"/>
        <v>0</v>
      </c>
      <c r="CH96" s="572">
        <f t="shared" si="531"/>
        <v>0</v>
      </c>
      <c r="CI96" s="572">
        <f t="shared" si="532"/>
        <v>0</v>
      </c>
      <c r="CJ96" s="572">
        <f t="shared" si="533"/>
        <v>0</v>
      </c>
      <c r="CK96" s="572">
        <f t="shared" si="534"/>
        <v>0</v>
      </c>
      <c r="CL96" s="572">
        <f t="shared" si="535"/>
        <v>0</v>
      </c>
      <c r="CM96" s="572">
        <f t="shared" si="536"/>
        <v>0</v>
      </c>
      <c r="CN96" s="572">
        <f t="shared" si="537"/>
        <v>0</v>
      </c>
      <c r="CO96" s="583">
        <f t="shared" si="538"/>
        <v>0</v>
      </c>
      <c r="CP96" s="572">
        <f t="shared" si="539"/>
        <v>0</v>
      </c>
      <c r="CQ96" s="96"/>
      <c r="CR96" s="576"/>
      <c r="CS96" s="572">
        <f t="shared" si="540"/>
        <v>0</v>
      </c>
      <c r="CT96" s="572">
        <f t="shared" si="541"/>
        <v>0</v>
      </c>
      <c r="CU96" s="572">
        <f t="shared" si="542"/>
        <v>0</v>
      </c>
      <c r="CV96" s="572">
        <f t="shared" si="543"/>
        <v>0</v>
      </c>
      <c r="CW96" s="572">
        <f t="shared" si="544"/>
        <v>0</v>
      </c>
      <c r="CX96" s="572">
        <f t="shared" si="545"/>
        <v>0</v>
      </c>
      <c r="CY96" s="572">
        <f t="shared" si="546"/>
        <v>0</v>
      </c>
      <c r="CZ96" s="572">
        <f t="shared" si="547"/>
        <v>0</v>
      </c>
      <c r="DA96" s="572">
        <f t="shared" si="548"/>
        <v>0</v>
      </c>
      <c r="DB96" s="572">
        <f t="shared" si="549"/>
        <v>0</v>
      </c>
      <c r="DC96" s="583">
        <f t="shared" si="550"/>
        <v>0</v>
      </c>
      <c r="DD96" s="572">
        <f t="shared" si="551"/>
        <v>0</v>
      </c>
      <c r="DE96" s="96"/>
      <c r="DF96" s="576"/>
      <c r="DG96" s="572">
        <f t="shared" si="552"/>
        <v>0</v>
      </c>
      <c r="DH96" s="572">
        <f t="shared" si="553"/>
        <v>0</v>
      </c>
      <c r="DI96" s="572">
        <f t="shared" si="554"/>
        <v>0</v>
      </c>
      <c r="DJ96" s="572">
        <f t="shared" si="555"/>
        <v>0</v>
      </c>
      <c r="DK96" s="572">
        <f t="shared" si="556"/>
        <v>0</v>
      </c>
      <c r="DL96" s="572">
        <f t="shared" si="557"/>
        <v>0</v>
      </c>
      <c r="DM96" s="572">
        <f t="shared" si="558"/>
        <v>0</v>
      </c>
      <c r="DN96" s="572">
        <f t="shared" si="559"/>
        <v>0</v>
      </c>
      <c r="DO96" s="572">
        <f t="shared" si="560"/>
        <v>0</v>
      </c>
      <c r="DP96" s="572">
        <f t="shared" si="561"/>
        <v>0</v>
      </c>
      <c r="DQ96" s="577">
        <f t="shared" si="562"/>
        <v>0</v>
      </c>
      <c r="DR96" s="96">
        <f t="shared" si="563"/>
        <v>0</v>
      </c>
      <c r="DS96" s="96"/>
      <c r="DT96" s="96" t="e">
        <f t="shared" si="564"/>
        <v>#VALUE!</v>
      </c>
      <c r="DU96" s="96" t="e">
        <f t="shared" si="565"/>
        <v>#VALUE!</v>
      </c>
      <c r="DV96" s="96" t="e">
        <f t="shared" si="566"/>
        <v>#VALUE!</v>
      </c>
      <c r="DW96" s="96" t="e">
        <f t="shared" si="567"/>
        <v>#VALUE!</v>
      </c>
      <c r="DX96" s="96" t="e">
        <f t="shared" si="568"/>
        <v>#VALUE!</v>
      </c>
      <c r="DY96" s="96" t="e">
        <f t="shared" si="569"/>
        <v>#VALUE!</v>
      </c>
      <c r="DZ96" s="96" t="e">
        <f t="shared" si="570"/>
        <v>#VALUE!</v>
      </c>
      <c r="EA96" s="96" t="e">
        <f t="shared" si="571"/>
        <v>#VALUE!</v>
      </c>
      <c r="EB96" s="96" t="e">
        <f t="shared" si="572"/>
        <v>#VALUE!</v>
      </c>
      <c r="EC96" s="96" t="e">
        <f t="shared" si="573"/>
        <v>#VALUE!</v>
      </c>
      <c r="ED96" s="96" t="e">
        <f t="shared" si="574"/>
        <v>#VALUE!</v>
      </c>
      <c r="EE96" s="96" t="e">
        <f t="shared" si="575"/>
        <v>#VALUE!</v>
      </c>
    </row>
    <row r="97" spans="1:135" ht="15" customHeight="1">
      <c r="A97" s="178"/>
      <c r="B97" s="1645"/>
      <c r="C97" s="1757"/>
      <c r="D97" s="1633"/>
      <c r="E97" s="2501"/>
      <c r="F97" s="2501"/>
      <c r="G97" s="2501"/>
      <c r="H97" s="2501"/>
      <c r="I97" s="2501"/>
      <c r="J97" s="2501"/>
      <c r="K97" s="2501"/>
      <c r="L97" s="2501"/>
      <c r="M97" s="2501"/>
      <c r="N97" s="2501"/>
      <c r="O97" s="1633"/>
      <c r="P97" s="369"/>
      <c r="Q97" s="1646"/>
      <c r="R97" s="369"/>
      <c r="S97" s="369"/>
      <c r="T97" s="1647"/>
      <c r="AK97" s="572">
        <v>8</v>
      </c>
      <c r="AL97" s="456"/>
      <c r="AM97" s="572"/>
      <c r="AN97" s="572"/>
      <c r="AO97" s="572"/>
      <c r="AP97" s="572"/>
      <c r="AQ97" s="572"/>
      <c r="AR97" s="572"/>
      <c r="AS97" s="572"/>
      <c r="AT97" s="572"/>
      <c r="AU97" s="572"/>
      <c r="AV97" s="572"/>
      <c r="AW97" s="572"/>
      <c r="AX97" s="572"/>
      <c r="AY97" s="1545"/>
      <c r="AZ97" s="1545"/>
      <c r="BA97" s="96">
        <v>20.454545454545499</v>
      </c>
      <c r="BB97" s="576"/>
      <c r="BC97" s="572">
        <f t="shared" si="504"/>
        <v>0</v>
      </c>
      <c r="BD97" s="572">
        <f t="shared" si="505"/>
        <v>0</v>
      </c>
      <c r="BE97" s="572">
        <f t="shared" si="506"/>
        <v>0</v>
      </c>
      <c r="BF97" s="572">
        <f t="shared" si="507"/>
        <v>0</v>
      </c>
      <c r="BG97" s="572">
        <f t="shared" si="508"/>
        <v>0</v>
      </c>
      <c r="BH97" s="572">
        <f t="shared" si="509"/>
        <v>0</v>
      </c>
      <c r="BI97" s="572">
        <f t="shared" si="510"/>
        <v>0</v>
      </c>
      <c r="BJ97" s="572">
        <f t="shared" si="511"/>
        <v>0</v>
      </c>
      <c r="BK97" s="572">
        <f t="shared" si="512"/>
        <v>0</v>
      </c>
      <c r="BL97" s="572">
        <f t="shared" si="513"/>
        <v>0</v>
      </c>
      <c r="BM97" s="583">
        <f t="shared" si="514"/>
        <v>0</v>
      </c>
      <c r="BN97" s="572">
        <f t="shared" si="515"/>
        <v>0</v>
      </c>
      <c r="BO97" s="96"/>
      <c r="BP97" s="576"/>
      <c r="BQ97" s="572">
        <f t="shared" si="516"/>
        <v>0</v>
      </c>
      <c r="BR97" s="572">
        <f t="shared" si="517"/>
        <v>0</v>
      </c>
      <c r="BS97" s="572">
        <f t="shared" si="518"/>
        <v>0</v>
      </c>
      <c r="BT97" s="572">
        <f t="shared" si="519"/>
        <v>0</v>
      </c>
      <c r="BU97" s="572">
        <f t="shared" si="520"/>
        <v>0</v>
      </c>
      <c r="BV97" s="572">
        <f t="shared" si="521"/>
        <v>0</v>
      </c>
      <c r="BW97" s="572">
        <f t="shared" si="522"/>
        <v>0</v>
      </c>
      <c r="BX97" s="572">
        <f t="shared" si="523"/>
        <v>0</v>
      </c>
      <c r="BY97" s="572">
        <f t="shared" si="524"/>
        <v>0</v>
      </c>
      <c r="BZ97" s="572">
        <f t="shared" si="525"/>
        <v>0</v>
      </c>
      <c r="CA97" s="583">
        <f t="shared" si="526"/>
        <v>0</v>
      </c>
      <c r="CB97" s="572">
        <f t="shared" si="527"/>
        <v>0</v>
      </c>
      <c r="CC97" s="96"/>
      <c r="CD97" s="576"/>
      <c r="CE97" s="572">
        <f t="shared" si="528"/>
        <v>0</v>
      </c>
      <c r="CF97" s="572">
        <f t="shared" si="529"/>
        <v>0</v>
      </c>
      <c r="CG97" s="572">
        <f t="shared" si="530"/>
        <v>0</v>
      </c>
      <c r="CH97" s="572">
        <f t="shared" si="531"/>
        <v>0</v>
      </c>
      <c r="CI97" s="572">
        <f t="shared" si="532"/>
        <v>0</v>
      </c>
      <c r="CJ97" s="572">
        <f t="shared" si="533"/>
        <v>0</v>
      </c>
      <c r="CK97" s="572">
        <f t="shared" si="534"/>
        <v>0</v>
      </c>
      <c r="CL97" s="572">
        <f t="shared" si="535"/>
        <v>0</v>
      </c>
      <c r="CM97" s="572">
        <f t="shared" si="536"/>
        <v>0</v>
      </c>
      <c r="CN97" s="572">
        <f t="shared" si="537"/>
        <v>0</v>
      </c>
      <c r="CO97" s="583">
        <f t="shared" si="538"/>
        <v>0</v>
      </c>
      <c r="CP97" s="572">
        <f t="shared" si="539"/>
        <v>0</v>
      </c>
      <c r="CQ97" s="96"/>
      <c r="CR97" s="576"/>
      <c r="CS97" s="572">
        <f t="shared" si="540"/>
        <v>0</v>
      </c>
      <c r="CT97" s="572">
        <f t="shared" si="541"/>
        <v>0</v>
      </c>
      <c r="CU97" s="572">
        <f t="shared" si="542"/>
        <v>0</v>
      </c>
      <c r="CV97" s="572">
        <f t="shared" si="543"/>
        <v>0</v>
      </c>
      <c r="CW97" s="572">
        <f t="shared" si="544"/>
        <v>0</v>
      </c>
      <c r="CX97" s="572">
        <f t="shared" si="545"/>
        <v>0</v>
      </c>
      <c r="CY97" s="572">
        <f t="shared" si="546"/>
        <v>0</v>
      </c>
      <c r="CZ97" s="572">
        <f t="shared" si="547"/>
        <v>0</v>
      </c>
      <c r="DA97" s="572">
        <f t="shared" si="548"/>
        <v>0</v>
      </c>
      <c r="DB97" s="572">
        <f t="shared" si="549"/>
        <v>0</v>
      </c>
      <c r="DC97" s="583">
        <f t="shared" si="550"/>
        <v>0</v>
      </c>
      <c r="DD97" s="572">
        <f t="shared" si="551"/>
        <v>0</v>
      </c>
      <c r="DE97" s="96"/>
      <c r="DF97" s="576"/>
      <c r="DG97" s="572">
        <f t="shared" si="552"/>
        <v>0</v>
      </c>
      <c r="DH97" s="572">
        <f t="shared" si="553"/>
        <v>0</v>
      </c>
      <c r="DI97" s="572">
        <f t="shared" si="554"/>
        <v>0</v>
      </c>
      <c r="DJ97" s="572">
        <f t="shared" si="555"/>
        <v>0</v>
      </c>
      <c r="DK97" s="572">
        <f t="shared" si="556"/>
        <v>0</v>
      </c>
      <c r="DL97" s="572">
        <f t="shared" si="557"/>
        <v>0</v>
      </c>
      <c r="DM97" s="572">
        <f t="shared" si="558"/>
        <v>0</v>
      </c>
      <c r="DN97" s="572">
        <f t="shared" si="559"/>
        <v>0</v>
      </c>
      <c r="DO97" s="572">
        <f t="shared" si="560"/>
        <v>0</v>
      </c>
      <c r="DP97" s="572">
        <f t="shared" si="561"/>
        <v>0</v>
      </c>
      <c r="DQ97" s="577">
        <f t="shared" si="562"/>
        <v>0</v>
      </c>
      <c r="DR97" s="96">
        <f t="shared" si="563"/>
        <v>0</v>
      </c>
      <c r="DS97" s="96"/>
      <c r="DT97" s="96" t="e">
        <f t="shared" si="564"/>
        <v>#VALUE!</v>
      </c>
      <c r="DU97" s="96" t="e">
        <f t="shared" si="565"/>
        <v>#VALUE!</v>
      </c>
      <c r="DV97" s="96" t="e">
        <f t="shared" si="566"/>
        <v>#VALUE!</v>
      </c>
      <c r="DW97" s="96" t="e">
        <f t="shared" si="567"/>
        <v>#VALUE!</v>
      </c>
      <c r="DX97" s="96" t="e">
        <f t="shared" si="568"/>
        <v>#VALUE!</v>
      </c>
      <c r="DY97" s="96" t="e">
        <f t="shared" si="569"/>
        <v>#VALUE!</v>
      </c>
      <c r="DZ97" s="96" t="e">
        <f t="shared" si="570"/>
        <v>#VALUE!</v>
      </c>
      <c r="EA97" s="96" t="e">
        <f t="shared" si="571"/>
        <v>#VALUE!</v>
      </c>
      <c r="EB97" s="96" t="e">
        <f t="shared" si="572"/>
        <v>#VALUE!</v>
      </c>
      <c r="EC97" s="96" t="e">
        <f t="shared" si="573"/>
        <v>#VALUE!</v>
      </c>
      <c r="ED97" s="96" t="e">
        <f t="shared" si="574"/>
        <v>#VALUE!</v>
      </c>
      <c r="EE97" s="96" t="e">
        <f t="shared" si="575"/>
        <v>#VALUE!</v>
      </c>
    </row>
    <row r="98" spans="1:135" s="368" customFormat="1" ht="15" hidden="1" customHeight="1">
      <c r="A98" s="178"/>
      <c r="B98" s="1645"/>
      <c r="C98" s="1757"/>
      <c r="D98" s="1634"/>
      <c r="E98" s="1648"/>
      <c r="F98" s="1648"/>
      <c r="G98" s="1648"/>
      <c r="H98" s="1648"/>
      <c r="I98" s="1648"/>
      <c r="J98" s="1648"/>
      <c r="K98" s="1648"/>
      <c r="L98" s="1648"/>
      <c r="M98" s="1648"/>
      <c r="N98" s="1648"/>
      <c r="O98" s="1634"/>
      <c r="P98" s="178"/>
      <c r="Q98" s="178"/>
      <c r="R98" s="369"/>
      <c r="S98" s="369"/>
      <c r="T98" s="1647"/>
      <c r="U98" s="92"/>
      <c r="V98" s="92"/>
      <c r="W98" s="92"/>
      <c r="X98" s="92"/>
      <c r="Y98" s="92"/>
      <c r="Z98" s="92"/>
      <c r="AA98" s="92"/>
      <c r="AB98" s="92"/>
      <c r="AC98" s="92"/>
      <c r="AD98" s="92"/>
      <c r="AE98" s="92"/>
      <c r="AF98" s="92"/>
      <c r="AG98" s="92"/>
      <c r="AH98" s="92"/>
      <c r="AI98" s="92"/>
      <c r="AJ98" s="92"/>
      <c r="AK98" s="572"/>
      <c r="AL98" s="456"/>
      <c r="AM98" s="572"/>
      <c r="AN98" s="572"/>
      <c r="AO98" s="572"/>
      <c r="AP98" s="572"/>
      <c r="AQ98" s="572"/>
      <c r="AR98" s="572"/>
      <c r="AS98" s="572"/>
      <c r="AT98" s="572"/>
      <c r="AU98" s="572"/>
      <c r="AV98" s="572"/>
      <c r="AW98" s="572"/>
      <c r="AX98" s="572"/>
      <c r="AY98" s="1545"/>
      <c r="AZ98" s="1545"/>
      <c r="BA98" s="96"/>
      <c r="BB98" s="576"/>
      <c r="BC98" s="572"/>
      <c r="BD98" s="572"/>
      <c r="BE98" s="572"/>
      <c r="BF98" s="572"/>
      <c r="BG98" s="572"/>
      <c r="BH98" s="572"/>
      <c r="BI98" s="572"/>
      <c r="BJ98" s="572"/>
      <c r="BK98" s="572"/>
      <c r="BL98" s="572"/>
      <c r="BM98" s="583"/>
      <c r="BN98" s="572"/>
      <c r="BO98" s="96"/>
      <c r="BP98" s="576"/>
      <c r="BQ98" s="572"/>
      <c r="BR98" s="572"/>
      <c r="BS98" s="572"/>
      <c r="BT98" s="572"/>
      <c r="BU98" s="572"/>
      <c r="BV98" s="572"/>
      <c r="BW98" s="572"/>
      <c r="BX98" s="572"/>
      <c r="BY98" s="572"/>
      <c r="BZ98" s="572"/>
      <c r="CA98" s="583"/>
      <c r="CB98" s="572"/>
      <c r="CC98" s="96"/>
      <c r="CD98" s="576"/>
      <c r="CE98" s="572"/>
      <c r="CF98" s="572"/>
      <c r="CG98" s="572"/>
      <c r="CH98" s="572"/>
      <c r="CI98" s="572"/>
      <c r="CJ98" s="572"/>
      <c r="CK98" s="572"/>
      <c r="CL98" s="572"/>
      <c r="CM98" s="572"/>
      <c r="CN98" s="572"/>
      <c r="CO98" s="583"/>
      <c r="CP98" s="572"/>
      <c r="CQ98" s="96"/>
      <c r="CR98" s="576"/>
      <c r="CS98" s="572"/>
      <c r="CT98" s="572"/>
      <c r="CU98" s="572"/>
      <c r="CV98" s="572"/>
      <c r="CW98" s="572"/>
      <c r="CX98" s="572"/>
      <c r="CY98" s="572"/>
      <c r="CZ98" s="572"/>
      <c r="DA98" s="572"/>
      <c r="DB98" s="572"/>
      <c r="DC98" s="583"/>
      <c r="DD98" s="572"/>
      <c r="DE98" s="96"/>
      <c r="DF98" s="576"/>
      <c r="DG98" s="572"/>
      <c r="DH98" s="572"/>
      <c r="DI98" s="572"/>
      <c r="DJ98" s="572"/>
      <c r="DK98" s="572"/>
      <c r="DL98" s="572"/>
      <c r="DM98" s="572"/>
      <c r="DN98" s="572"/>
      <c r="DO98" s="572"/>
      <c r="DP98" s="572"/>
      <c r="DQ98" s="577"/>
      <c r="DR98" s="96"/>
      <c r="DS98" s="96"/>
      <c r="DT98" s="96"/>
      <c r="DU98" s="96"/>
      <c r="DV98" s="96"/>
      <c r="DW98" s="96"/>
      <c r="DX98" s="96"/>
      <c r="DY98" s="96"/>
      <c r="DZ98" s="96"/>
      <c r="EA98" s="96"/>
      <c r="EB98" s="96"/>
      <c r="EC98" s="96"/>
      <c r="ED98" s="96"/>
      <c r="EE98" s="96"/>
    </row>
    <row r="99" spans="1:135" ht="15" hidden="1" customHeight="1" thickBot="1">
      <c r="A99" s="178"/>
      <c r="B99" s="1645"/>
      <c r="C99" s="1757"/>
      <c r="I99" s="1650"/>
      <c r="J99" s="1650"/>
      <c r="K99" s="1650"/>
      <c r="L99" s="1650"/>
      <c r="M99" s="1650"/>
      <c r="N99" s="1650"/>
      <c r="O99" s="1649"/>
      <c r="P99" s="1645"/>
      <c r="Q99" s="1645"/>
      <c r="R99" s="369"/>
      <c r="S99" s="369"/>
      <c r="T99" s="1651"/>
      <c r="AK99" s="572">
        <v>9</v>
      </c>
      <c r="AL99" s="456"/>
      <c r="AM99" s="572"/>
      <c r="AN99" s="572"/>
      <c r="AO99" s="572"/>
      <c r="AP99" s="572"/>
      <c r="AQ99" s="572"/>
      <c r="AR99" s="572"/>
      <c r="AS99" s="572"/>
      <c r="AT99" s="572"/>
      <c r="AU99" s="572"/>
      <c r="AV99" s="572"/>
      <c r="AW99" s="572"/>
      <c r="AX99" s="572"/>
      <c r="AY99" s="1545"/>
      <c r="AZ99" s="1545"/>
      <c r="BA99" s="96"/>
      <c r="BB99" s="576"/>
      <c r="BC99" s="572">
        <f t="shared" si="504"/>
        <v>0</v>
      </c>
      <c r="BD99" s="572">
        <f t="shared" si="505"/>
        <v>0</v>
      </c>
      <c r="BE99" s="572">
        <f t="shared" si="506"/>
        <v>0</v>
      </c>
      <c r="BF99" s="572">
        <f t="shared" si="507"/>
        <v>0</v>
      </c>
      <c r="BG99" s="572">
        <f t="shared" si="508"/>
        <v>0</v>
      </c>
      <c r="BH99" s="572">
        <f t="shared" si="509"/>
        <v>0</v>
      </c>
      <c r="BI99" s="572">
        <f t="shared" si="510"/>
        <v>0</v>
      </c>
      <c r="BJ99" s="572">
        <f t="shared" si="511"/>
        <v>0</v>
      </c>
      <c r="BK99" s="572">
        <f t="shared" si="512"/>
        <v>0</v>
      </c>
      <c r="BL99" s="572">
        <f t="shared" si="513"/>
        <v>0</v>
      </c>
      <c r="BM99" s="583">
        <f t="shared" si="514"/>
        <v>0</v>
      </c>
      <c r="BN99" s="572">
        <f t="shared" si="515"/>
        <v>0</v>
      </c>
      <c r="BO99" s="96"/>
      <c r="BP99" s="576"/>
      <c r="BQ99" s="572">
        <f t="shared" si="516"/>
        <v>0</v>
      </c>
      <c r="BR99" s="572">
        <f t="shared" si="517"/>
        <v>0</v>
      </c>
      <c r="BS99" s="572">
        <f t="shared" si="518"/>
        <v>0</v>
      </c>
      <c r="BT99" s="572">
        <f t="shared" si="519"/>
        <v>0</v>
      </c>
      <c r="BU99" s="572">
        <f t="shared" si="520"/>
        <v>0</v>
      </c>
      <c r="BV99" s="572">
        <f t="shared" si="521"/>
        <v>0</v>
      </c>
      <c r="BW99" s="572">
        <f t="shared" si="522"/>
        <v>0</v>
      </c>
      <c r="BX99" s="572">
        <f t="shared" si="523"/>
        <v>0</v>
      </c>
      <c r="BY99" s="572">
        <f t="shared" si="524"/>
        <v>0</v>
      </c>
      <c r="BZ99" s="572">
        <f t="shared" si="525"/>
        <v>0</v>
      </c>
      <c r="CA99" s="583">
        <f t="shared" si="526"/>
        <v>0</v>
      </c>
      <c r="CB99" s="572">
        <f t="shared" si="527"/>
        <v>0</v>
      </c>
      <c r="CC99" s="96"/>
      <c r="CD99" s="576"/>
      <c r="CE99" s="572">
        <f t="shared" si="528"/>
        <v>0</v>
      </c>
      <c r="CF99" s="572">
        <f t="shared" si="529"/>
        <v>0</v>
      </c>
      <c r="CG99" s="572">
        <f t="shared" si="530"/>
        <v>0</v>
      </c>
      <c r="CH99" s="572">
        <f t="shared" si="531"/>
        <v>0</v>
      </c>
      <c r="CI99" s="572">
        <f t="shared" si="532"/>
        <v>0</v>
      </c>
      <c r="CJ99" s="572">
        <f t="shared" si="533"/>
        <v>0</v>
      </c>
      <c r="CK99" s="572">
        <f t="shared" si="534"/>
        <v>0</v>
      </c>
      <c r="CL99" s="572">
        <f t="shared" si="535"/>
        <v>0</v>
      </c>
      <c r="CM99" s="572">
        <f t="shared" si="536"/>
        <v>0</v>
      </c>
      <c r="CN99" s="572">
        <f t="shared" si="537"/>
        <v>0</v>
      </c>
      <c r="CO99" s="583">
        <f t="shared" si="538"/>
        <v>0</v>
      </c>
      <c r="CP99" s="572">
        <f t="shared" si="539"/>
        <v>0</v>
      </c>
      <c r="CQ99" s="96"/>
      <c r="CR99" s="576"/>
      <c r="CS99" s="572">
        <f t="shared" si="540"/>
        <v>0</v>
      </c>
      <c r="CT99" s="572">
        <f t="shared" si="541"/>
        <v>0</v>
      </c>
      <c r="CU99" s="572">
        <f t="shared" si="542"/>
        <v>0</v>
      </c>
      <c r="CV99" s="572">
        <f t="shared" si="543"/>
        <v>0</v>
      </c>
      <c r="CW99" s="572">
        <f t="shared" si="544"/>
        <v>0</v>
      </c>
      <c r="CX99" s="572">
        <f t="shared" si="545"/>
        <v>0</v>
      </c>
      <c r="CY99" s="572">
        <f t="shared" si="546"/>
        <v>0</v>
      </c>
      <c r="CZ99" s="572">
        <f t="shared" si="547"/>
        <v>0</v>
      </c>
      <c r="DA99" s="572">
        <f t="shared" si="548"/>
        <v>0</v>
      </c>
      <c r="DB99" s="572">
        <f t="shared" si="549"/>
        <v>0</v>
      </c>
      <c r="DC99" s="583">
        <f t="shared" si="550"/>
        <v>0</v>
      </c>
      <c r="DD99" s="572">
        <f t="shared" si="551"/>
        <v>0</v>
      </c>
      <c r="DE99" s="96"/>
      <c r="DF99" s="576"/>
      <c r="DG99" s="572">
        <f t="shared" si="552"/>
        <v>0</v>
      </c>
      <c r="DH99" s="572">
        <f t="shared" si="553"/>
        <v>0</v>
      </c>
      <c r="DI99" s="572">
        <f t="shared" si="554"/>
        <v>0</v>
      </c>
      <c r="DJ99" s="572">
        <f t="shared" si="555"/>
        <v>0</v>
      </c>
      <c r="DK99" s="572">
        <f t="shared" si="556"/>
        <v>0</v>
      </c>
      <c r="DL99" s="572">
        <f t="shared" si="557"/>
        <v>0</v>
      </c>
      <c r="DM99" s="572">
        <f t="shared" si="558"/>
        <v>0</v>
      </c>
      <c r="DN99" s="572">
        <f t="shared" si="559"/>
        <v>0</v>
      </c>
      <c r="DO99" s="572">
        <f t="shared" si="560"/>
        <v>0</v>
      </c>
      <c r="DP99" s="572">
        <f t="shared" si="561"/>
        <v>0</v>
      </c>
      <c r="DQ99" s="577">
        <f t="shared" si="562"/>
        <v>0</v>
      </c>
      <c r="DR99" s="96">
        <f t="shared" si="563"/>
        <v>0</v>
      </c>
      <c r="DS99" s="96"/>
      <c r="DT99" s="96" t="e">
        <f t="shared" si="564"/>
        <v>#VALUE!</v>
      </c>
      <c r="DU99" s="96" t="e">
        <f t="shared" si="565"/>
        <v>#VALUE!</v>
      </c>
      <c r="DV99" s="96" t="e">
        <f t="shared" si="566"/>
        <v>#VALUE!</v>
      </c>
      <c r="DW99" s="96" t="e">
        <f t="shared" si="567"/>
        <v>#VALUE!</v>
      </c>
      <c r="DX99" s="96" t="e">
        <f t="shared" si="568"/>
        <v>#VALUE!</v>
      </c>
      <c r="DY99" s="96" t="e">
        <f t="shared" si="569"/>
        <v>#VALUE!</v>
      </c>
      <c r="DZ99" s="96" t="e">
        <f t="shared" si="570"/>
        <v>#VALUE!</v>
      </c>
      <c r="EA99" s="96" t="e">
        <f t="shared" si="571"/>
        <v>#VALUE!</v>
      </c>
      <c r="EB99" s="96" t="e">
        <f t="shared" si="572"/>
        <v>#VALUE!</v>
      </c>
      <c r="EC99" s="96" t="e">
        <f t="shared" si="573"/>
        <v>#VALUE!</v>
      </c>
      <c r="ED99" s="96" t="e">
        <f t="shared" si="574"/>
        <v>#VALUE!</v>
      </c>
      <c r="EE99" s="96" t="e">
        <f t="shared" si="575"/>
        <v>#VALUE!</v>
      </c>
    </row>
    <row r="100" spans="1:135" ht="15" hidden="1" customHeight="1">
      <c r="A100" s="178">
        <v>1</v>
      </c>
      <c r="B100" s="2512" t="s">
        <v>683</v>
      </c>
      <c r="C100" s="1758">
        <v>1</v>
      </c>
      <c r="D100" s="1674">
        <v>100</v>
      </c>
      <c r="E100" s="1674">
        <v>200</v>
      </c>
      <c r="F100" s="1674">
        <v>300</v>
      </c>
      <c r="G100" s="1674">
        <v>400</v>
      </c>
      <c r="H100" s="1674">
        <v>500</v>
      </c>
      <c r="I100" s="1674">
        <f>calculateur2!M2</f>
        <v>100</v>
      </c>
      <c r="J100" s="1675">
        <v>1</v>
      </c>
      <c r="K100" s="1675">
        <v>2</v>
      </c>
      <c r="L100" s="1675">
        <v>3</v>
      </c>
      <c r="M100" s="1675">
        <v>4</v>
      </c>
      <c r="N100" s="1675">
        <v>5</v>
      </c>
      <c r="O100" s="1675">
        <v>6</v>
      </c>
      <c r="P100" s="1675">
        <v>7</v>
      </c>
      <c r="Q100" s="1675">
        <v>8</v>
      </c>
      <c r="R100" s="1675">
        <v>9</v>
      </c>
      <c r="S100" s="1675">
        <v>10</v>
      </c>
      <c r="T100" s="1675">
        <v>11</v>
      </c>
      <c r="U100" s="1675">
        <v>12</v>
      </c>
      <c r="V100" s="1675">
        <v>13</v>
      </c>
      <c r="W100" s="1675">
        <v>14</v>
      </c>
      <c r="X100" s="1675">
        <v>15</v>
      </c>
      <c r="Y100" s="1675">
        <v>16</v>
      </c>
      <c r="Z100" s="1676">
        <v>17</v>
      </c>
      <c r="AK100" s="572">
        <v>10</v>
      </c>
      <c r="AL100" s="456"/>
      <c r="AM100" s="572"/>
      <c r="AN100" s="572"/>
      <c r="AO100" s="572"/>
      <c r="AP100" s="572"/>
      <c r="AQ100" s="572"/>
      <c r="AR100" s="572"/>
      <c r="AS100" s="572"/>
      <c r="AT100" s="572"/>
      <c r="AU100" s="572"/>
      <c r="AV100" s="572"/>
      <c r="AW100" s="572"/>
      <c r="AX100" s="572"/>
      <c r="AY100" s="1545"/>
      <c r="AZ100" s="1545"/>
      <c r="BA100" s="96"/>
      <c r="BB100" s="576"/>
      <c r="BC100" s="572">
        <f t="shared" si="504"/>
        <v>0</v>
      </c>
      <c r="BD100" s="572">
        <f t="shared" si="505"/>
        <v>0</v>
      </c>
      <c r="BE100" s="572">
        <f t="shared" si="506"/>
        <v>0</v>
      </c>
      <c r="BF100" s="572">
        <f t="shared" si="507"/>
        <v>0</v>
      </c>
      <c r="BG100" s="572">
        <f t="shared" si="508"/>
        <v>0</v>
      </c>
      <c r="BH100" s="572">
        <f t="shared" si="509"/>
        <v>0</v>
      </c>
      <c r="BI100" s="572">
        <f t="shared" si="510"/>
        <v>0</v>
      </c>
      <c r="BJ100" s="572">
        <f t="shared" si="511"/>
        <v>0</v>
      </c>
      <c r="BK100" s="572">
        <f t="shared" si="512"/>
        <v>0</v>
      </c>
      <c r="BL100" s="572">
        <f t="shared" si="513"/>
        <v>0</v>
      </c>
      <c r="BM100" s="583">
        <f t="shared" si="514"/>
        <v>0</v>
      </c>
      <c r="BN100" s="572">
        <f t="shared" si="515"/>
        <v>0</v>
      </c>
      <c r="BO100" s="96"/>
      <c r="BP100" s="576"/>
      <c r="BQ100" s="572">
        <f t="shared" si="516"/>
        <v>0</v>
      </c>
      <c r="BR100" s="572">
        <f t="shared" si="517"/>
        <v>0</v>
      </c>
      <c r="BS100" s="572">
        <f t="shared" si="518"/>
        <v>0</v>
      </c>
      <c r="BT100" s="572">
        <f t="shared" si="519"/>
        <v>0</v>
      </c>
      <c r="BU100" s="572">
        <f t="shared" si="520"/>
        <v>0</v>
      </c>
      <c r="BV100" s="572">
        <f t="shared" si="521"/>
        <v>0</v>
      </c>
      <c r="BW100" s="572">
        <f t="shared" si="522"/>
        <v>0</v>
      </c>
      <c r="BX100" s="572">
        <f t="shared" si="523"/>
        <v>0</v>
      </c>
      <c r="BY100" s="572">
        <f t="shared" si="524"/>
        <v>0</v>
      </c>
      <c r="BZ100" s="572">
        <f t="shared" si="525"/>
        <v>0</v>
      </c>
      <c r="CA100" s="583">
        <f t="shared" si="526"/>
        <v>0</v>
      </c>
      <c r="CB100" s="572">
        <f t="shared" si="527"/>
        <v>0</v>
      </c>
      <c r="CC100" s="96"/>
      <c r="CD100" s="576"/>
      <c r="CE100" s="572">
        <f t="shared" si="528"/>
        <v>0</v>
      </c>
      <c r="CF100" s="572">
        <f t="shared" si="529"/>
        <v>0</v>
      </c>
      <c r="CG100" s="572">
        <f t="shared" si="530"/>
        <v>0</v>
      </c>
      <c r="CH100" s="572">
        <f t="shared" si="531"/>
        <v>0</v>
      </c>
      <c r="CI100" s="572">
        <f t="shared" si="532"/>
        <v>0</v>
      </c>
      <c r="CJ100" s="572">
        <f t="shared" si="533"/>
        <v>0</v>
      </c>
      <c r="CK100" s="572">
        <f t="shared" si="534"/>
        <v>0</v>
      </c>
      <c r="CL100" s="572">
        <f t="shared" si="535"/>
        <v>0</v>
      </c>
      <c r="CM100" s="572">
        <f t="shared" si="536"/>
        <v>0</v>
      </c>
      <c r="CN100" s="572">
        <f t="shared" si="537"/>
        <v>0</v>
      </c>
      <c r="CO100" s="583">
        <f t="shared" si="538"/>
        <v>0</v>
      </c>
      <c r="CP100" s="572">
        <f t="shared" si="539"/>
        <v>0</v>
      </c>
      <c r="CQ100" s="96"/>
      <c r="CR100" s="576"/>
      <c r="CS100" s="572">
        <f t="shared" si="540"/>
        <v>0</v>
      </c>
      <c r="CT100" s="572">
        <f t="shared" si="541"/>
        <v>0</v>
      </c>
      <c r="CU100" s="572">
        <f t="shared" si="542"/>
        <v>0</v>
      </c>
      <c r="CV100" s="572">
        <f t="shared" si="543"/>
        <v>0</v>
      </c>
      <c r="CW100" s="572">
        <f t="shared" si="544"/>
        <v>0</v>
      </c>
      <c r="CX100" s="572">
        <f t="shared" si="545"/>
        <v>0</v>
      </c>
      <c r="CY100" s="572">
        <f t="shared" si="546"/>
        <v>0</v>
      </c>
      <c r="CZ100" s="572">
        <f t="shared" si="547"/>
        <v>0</v>
      </c>
      <c r="DA100" s="572">
        <f t="shared" si="548"/>
        <v>0</v>
      </c>
      <c r="DB100" s="572">
        <f t="shared" si="549"/>
        <v>0</v>
      </c>
      <c r="DC100" s="583">
        <f t="shared" si="550"/>
        <v>0</v>
      </c>
      <c r="DD100" s="572">
        <f t="shared" si="551"/>
        <v>0</v>
      </c>
      <c r="DE100" s="96"/>
      <c r="DF100" s="576"/>
      <c r="DG100" s="572">
        <f t="shared" si="552"/>
        <v>0</v>
      </c>
      <c r="DH100" s="572">
        <f t="shared" si="553"/>
        <v>0</v>
      </c>
      <c r="DI100" s="572">
        <f t="shared" si="554"/>
        <v>0</v>
      </c>
      <c r="DJ100" s="572">
        <f t="shared" si="555"/>
        <v>0</v>
      </c>
      <c r="DK100" s="572">
        <f t="shared" si="556"/>
        <v>0</v>
      </c>
      <c r="DL100" s="572">
        <f t="shared" si="557"/>
        <v>0</v>
      </c>
      <c r="DM100" s="572">
        <f t="shared" si="558"/>
        <v>0</v>
      </c>
      <c r="DN100" s="572">
        <f t="shared" si="559"/>
        <v>0</v>
      </c>
      <c r="DO100" s="572">
        <f t="shared" si="560"/>
        <v>0</v>
      </c>
      <c r="DP100" s="572">
        <f t="shared" si="561"/>
        <v>0</v>
      </c>
      <c r="DQ100" s="577">
        <f t="shared" si="562"/>
        <v>0</v>
      </c>
      <c r="DR100" s="96">
        <f t="shared" si="563"/>
        <v>0</v>
      </c>
      <c r="DS100" s="96"/>
      <c r="DT100" s="96">
        <f t="shared" si="564"/>
        <v>0</v>
      </c>
      <c r="DU100" s="96">
        <f t="shared" si="565"/>
        <v>0</v>
      </c>
      <c r="DV100" s="96">
        <f t="shared" si="566"/>
        <v>0</v>
      </c>
      <c r="DW100" s="96">
        <f t="shared" si="567"/>
        <v>0</v>
      </c>
      <c r="DX100" s="96">
        <f t="shared" si="568"/>
        <v>0</v>
      </c>
      <c r="DY100" s="96">
        <f t="shared" si="569"/>
        <v>0</v>
      </c>
      <c r="DZ100" s="96">
        <f t="shared" si="570"/>
        <v>0</v>
      </c>
      <c r="EA100" s="96">
        <f t="shared" si="571"/>
        <v>0</v>
      </c>
      <c r="EB100" s="96">
        <f t="shared" si="572"/>
        <v>0</v>
      </c>
      <c r="EC100" s="96">
        <f t="shared" si="573"/>
        <v>0</v>
      </c>
      <c r="ED100" s="96">
        <f t="shared" si="574"/>
        <v>0</v>
      </c>
      <c r="EE100" s="96">
        <f t="shared" si="575"/>
        <v>0</v>
      </c>
    </row>
    <row r="101" spans="1:135" ht="15" hidden="1" customHeight="1">
      <c r="A101" s="178">
        <v>2</v>
      </c>
      <c r="B101" s="2513"/>
      <c r="C101" s="1759">
        <v>2</v>
      </c>
      <c r="D101" s="1669" t="s">
        <v>1166</v>
      </c>
      <c r="E101" s="1669" t="s">
        <v>721</v>
      </c>
      <c r="F101" s="1669" t="s">
        <v>722</v>
      </c>
      <c r="G101" s="1669" t="s">
        <v>112</v>
      </c>
      <c r="H101" s="1669" t="s">
        <v>654</v>
      </c>
      <c r="I101" s="1667" t="str">
        <f>HLOOKUP(I100,$D$100:$H$101,2)</f>
        <v>Chasseur</v>
      </c>
      <c r="J101" s="1668"/>
      <c r="K101" s="1668"/>
      <c r="L101" s="1677" t="s">
        <v>79</v>
      </c>
      <c r="M101" s="1678" t="s">
        <v>80</v>
      </c>
      <c r="N101" s="1678" t="s">
        <v>81</v>
      </c>
      <c r="O101" s="1678" t="s">
        <v>82</v>
      </c>
      <c r="P101" s="1678" t="s">
        <v>83</v>
      </c>
      <c r="Q101" s="1678" t="s">
        <v>84</v>
      </c>
      <c r="R101" s="1678" t="s">
        <v>85</v>
      </c>
      <c r="S101" s="1679" t="s">
        <v>967</v>
      </c>
      <c r="T101" s="1678" t="s">
        <v>87</v>
      </c>
      <c r="U101" s="1678" t="s">
        <v>72</v>
      </c>
      <c r="V101" s="1678" t="s">
        <v>88</v>
      </c>
      <c r="W101" s="1678" t="s">
        <v>89</v>
      </c>
      <c r="X101" s="1670" t="s">
        <v>48</v>
      </c>
      <c r="Y101" s="1671" t="s">
        <v>1121</v>
      </c>
      <c r="Z101" s="1680" t="s">
        <v>1122</v>
      </c>
      <c r="AK101" s="2509" t="s">
        <v>802</v>
      </c>
      <c r="AL101" s="2509"/>
      <c r="AM101" s="2509"/>
      <c r="AN101" s="2509"/>
      <c r="AO101" s="2509"/>
      <c r="AP101" s="2509"/>
      <c r="AQ101" s="2509"/>
      <c r="AR101" s="2509"/>
      <c r="AS101" s="2509"/>
      <c r="AT101" s="2509"/>
      <c r="AU101" s="2509"/>
      <c r="AV101" s="2509"/>
      <c r="AW101" s="2509"/>
      <c r="AX101" s="2509"/>
      <c r="AY101" s="1547"/>
      <c r="AZ101" s="1547"/>
      <c r="BA101" s="96"/>
      <c r="BB101" s="590">
        <v>2.33</v>
      </c>
      <c r="BC101" s="572">
        <f t="shared" ref="BC101:BC106" si="576">SUM(((AM101*0.9)*1))</f>
        <v>0</v>
      </c>
      <c r="BD101" s="572">
        <f t="shared" ref="BD101:BD106" si="577">SUM(((AN101*0.9)*1))</f>
        <v>0</v>
      </c>
      <c r="BE101" s="572">
        <f t="shared" ref="BE101:BE106" si="578">SUM(((AO101*0.9)*1))</f>
        <v>0</v>
      </c>
      <c r="BF101" s="572">
        <f t="shared" ref="BF101:BF106" si="579">SUM(((AP101*0.9)*1))</f>
        <v>0</v>
      </c>
      <c r="BG101" s="572">
        <f t="shared" ref="BG101:BG106" si="580">SUM(((AQ101*0.9)*1))</f>
        <v>0</v>
      </c>
      <c r="BH101" s="572">
        <f t="shared" ref="BH101:BH106" si="581">SUM(((AR101*0.9)*1))</f>
        <v>0</v>
      </c>
      <c r="BI101" s="572">
        <f t="shared" ref="BI101:BI106" si="582">SUM(((AS101*0.9)*1))</f>
        <v>0</v>
      </c>
      <c r="BJ101" s="572">
        <f t="shared" ref="BJ101:BJ106" si="583">SUM(((AT101*0.9)*1))</f>
        <v>0</v>
      </c>
      <c r="BK101" s="586">
        <f>SUM(ROUND((AU101/BB101),2))</f>
        <v>0</v>
      </c>
      <c r="BL101" s="586">
        <f t="shared" ref="BL101:BL106" si="584">SUM(ROUND((AV101/BB101),2))</f>
        <v>0</v>
      </c>
      <c r="BM101" s="583">
        <f t="shared" si="514"/>
        <v>0</v>
      </c>
      <c r="BN101" s="572">
        <f t="shared" si="515"/>
        <v>0</v>
      </c>
      <c r="BO101" s="96"/>
      <c r="BP101" s="590">
        <v>2.84</v>
      </c>
      <c r="BQ101" s="572">
        <f t="shared" si="516"/>
        <v>0</v>
      </c>
      <c r="BR101" s="572">
        <f t="shared" si="517"/>
        <v>0</v>
      </c>
      <c r="BS101" s="572">
        <f t="shared" si="518"/>
        <v>0</v>
      </c>
      <c r="BT101" s="572">
        <f t="shared" si="519"/>
        <v>0</v>
      </c>
      <c r="BU101" s="572">
        <f t="shared" si="520"/>
        <v>0</v>
      </c>
      <c r="BV101" s="572">
        <f t="shared" si="521"/>
        <v>0</v>
      </c>
      <c r="BW101" s="572">
        <f t="shared" si="522"/>
        <v>0</v>
      </c>
      <c r="BX101" s="572">
        <f t="shared" si="523"/>
        <v>0</v>
      </c>
      <c r="BY101" s="586">
        <f>SUM(ROUND((AU101/BP101),2))</f>
        <v>0</v>
      </c>
      <c r="BZ101" s="586">
        <f t="shared" ref="BZ101:BZ106" si="585">SUM(ROUND((AV101/BP101),2))</f>
        <v>0</v>
      </c>
      <c r="CA101" s="583">
        <f t="shared" si="526"/>
        <v>0</v>
      </c>
      <c r="CB101" s="572">
        <f t="shared" si="527"/>
        <v>0</v>
      </c>
      <c r="CC101" s="96"/>
      <c r="CD101" s="590">
        <v>3.45</v>
      </c>
      <c r="CE101" s="572">
        <f t="shared" si="528"/>
        <v>0</v>
      </c>
      <c r="CF101" s="572">
        <f t="shared" si="529"/>
        <v>0</v>
      </c>
      <c r="CG101" s="572">
        <f t="shared" si="530"/>
        <v>0</v>
      </c>
      <c r="CH101" s="572">
        <f t="shared" si="531"/>
        <v>0</v>
      </c>
      <c r="CI101" s="572">
        <f t="shared" si="532"/>
        <v>0</v>
      </c>
      <c r="CJ101" s="572">
        <f t="shared" si="533"/>
        <v>0</v>
      </c>
      <c r="CK101" s="572">
        <f t="shared" si="534"/>
        <v>0</v>
      </c>
      <c r="CL101" s="572">
        <f t="shared" si="535"/>
        <v>0</v>
      </c>
      <c r="CM101" s="586">
        <f>SUM(ROUND((AU101/CD101),2))</f>
        <v>0</v>
      </c>
      <c r="CN101" s="586">
        <f t="shared" ref="CN101:CN106" si="586">SUM(ROUND((AV101/CD101),2))</f>
        <v>0</v>
      </c>
      <c r="CO101" s="583">
        <f t="shared" si="538"/>
        <v>0</v>
      </c>
      <c r="CP101" s="572">
        <f t="shared" si="539"/>
        <v>0</v>
      </c>
      <c r="CQ101" s="96"/>
      <c r="CR101" s="590">
        <v>4.2300000000000004</v>
      </c>
      <c r="CS101" s="572">
        <f t="shared" si="540"/>
        <v>0</v>
      </c>
      <c r="CT101" s="572">
        <f t="shared" si="541"/>
        <v>0</v>
      </c>
      <c r="CU101" s="572">
        <f t="shared" si="542"/>
        <v>0</v>
      </c>
      <c r="CV101" s="572">
        <f t="shared" si="543"/>
        <v>0</v>
      </c>
      <c r="CW101" s="572">
        <f t="shared" si="544"/>
        <v>0</v>
      </c>
      <c r="CX101" s="572">
        <f t="shared" si="545"/>
        <v>0</v>
      </c>
      <c r="CY101" s="572">
        <f t="shared" si="546"/>
        <v>0</v>
      </c>
      <c r="CZ101" s="572">
        <f t="shared" si="547"/>
        <v>0</v>
      </c>
      <c r="DA101" s="586">
        <f>SUM(ROUND((AU101/CR101),2))</f>
        <v>0</v>
      </c>
      <c r="DB101" s="586">
        <f t="shared" ref="DB101:DB106" si="587">SUM(ROUND((AV101/CR101),2))</f>
        <v>0</v>
      </c>
      <c r="DC101" s="583">
        <f t="shared" si="550"/>
        <v>0</v>
      </c>
      <c r="DD101" s="572">
        <f t="shared" si="551"/>
        <v>0</v>
      </c>
      <c r="DE101" s="96"/>
      <c r="DF101" s="590">
        <v>5.2</v>
      </c>
      <c r="DG101" s="572">
        <f t="shared" si="552"/>
        <v>0</v>
      </c>
      <c r="DH101" s="572">
        <f t="shared" si="553"/>
        <v>0</v>
      </c>
      <c r="DI101" s="572">
        <f t="shared" si="554"/>
        <v>0</v>
      </c>
      <c r="DJ101" s="572">
        <f t="shared" si="555"/>
        <v>0</v>
      </c>
      <c r="DK101" s="572">
        <f t="shared" si="556"/>
        <v>0</v>
      </c>
      <c r="DL101" s="572">
        <f t="shared" si="557"/>
        <v>0</v>
      </c>
      <c r="DM101" s="572">
        <f t="shared" si="558"/>
        <v>0</v>
      </c>
      <c r="DN101" s="572">
        <f t="shared" si="559"/>
        <v>0</v>
      </c>
      <c r="DO101" s="586">
        <f>SUM(ROUND((AU101/DF101),2))</f>
        <v>0</v>
      </c>
      <c r="DP101" s="586">
        <f t="shared" ref="DP101:DP106" si="588">SUM(ROUND((AV101/DF101),2))</f>
        <v>0</v>
      </c>
      <c r="DQ101" s="577">
        <f t="shared" si="562"/>
        <v>0</v>
      </c>
      <c r="DR101" s="96">
        <f t="shared" si="563"/>
        <v>0</v>
      </c>
      <c r="DS101" s="96"/>
      <c r="DT101" s="96" t="e">
        <f t="shared" si="564"/>
        <v>#VALUE!</v>
      </c>
      <c r="DU101" s="96" t="e">
        <f t="shared" si="565"/>
        <v>#VALUE!</v>
      </c>
      <c r="DV101" s="96" t="e">
        <f t="shared" si="566"/>
        <v>#VALUE!</v>
      </c>
      <c r="DW101" s="96" t="e">
        <f t="shared" si="567"/>
        <v>#VALUE!</v>
      </c>
      <c r="DX101" s="96" t="e">
        <f t="shared" si="568"/>
        <v>#VALUE!</v>
      </c>
      <c r="DY101" s="96" t="e">
        <f t="shared" si="569"/>
        <v>#VALUE!</v>
      </c>
      <c r="DZ101" s="96" t="e">
        <f t="shared" si="570"/>
        <v>#VALUE!</v>
      </c>
      <c r="EA101" s="96" t="e">
        <f t="shared" si="571"/>
        <v>#VALUE!</v>
      </c>
      <c r="EB101" s="96" t="e">
        <f t="shared" si="572"/>
        <v>#VALUE!</v>
      </c>
      <c r="EC101" s="96" t="e">
        <f t="shared" si="573"/>
        <v>#VALUE!</v>
      </c>
      <c r="ED101" s="96" t="e">
        <f t="shared" si="574"/>
        <v>#VALUE!</v>
      </c>
      <c r="EE101" s="96" t="e">
        <f t="shared" si="575"/>
        <v>#VALUE!</v>
      </c>
    </row>
    <row r="102" spans="1:135" ht="15" hidden="1" customHeight="1">
      <c r="A102" s="178">
        <v>3</v>
      </c>
      <c r="B102" s="2513"/>
      <c r="C102" s="1759">
        <v>3</v>
      </c>
      <c r="D102" s="1672">
        <f>D6</f>
        <v>0</v>
      </c>
      <c r="E102" s="1673">
        <f>D27</f>
        <v>0</v>
      </c>
      <c r="F102" s="1673">
        <f>D45</f>
        <v>0</v>
      </c>
      <c r="G102" s="1681"/>
      <c r="H102" s="1681"/>
      <c r="I102" s="1673">
        <f>HLOOKUP($I$100,$D$100:$H$121,C102)</f>
        <v>0</v>
      </c>
      <c r="J102" s="1668">
        <v>1</v>
      </c>
      <c r="K102" s="1668">
        <f>$I$100+J102</f>
        <v>101</v>
      </c>
      <c r="L102" s="1668">
        <f>VLOOKUP(K102,$C$6:$S$93,$L$100)</f>
        <v>0</v>
      </c>
      <c r="M102" s="1668">
        <f t="shared" ref="M102:Z102" si="589">VLOOKUP($K$102,$C$6:$S$93,M100)</f>
        <v>0</v>
      </c>
      <c r="N102" s="1668">
        <f t="shared" si="589"/>
        <v>0</v>
      </c>
      <c r="O102" s="1668">
        <f t="shared" si="589"/>
        <v>0</v>
      </c>
      <c r="P102" s="1668">
        <f t="shared" si="589"/>
        <v>0</v>
      </c>
      <c r="Q102" s="1668">
        <f t="shared" si="589"/>
        <v>0</v>
      </c>
      <c r="R102" s="1668">
        <f t="shared" si="589"/>
        <v>0</v>
      </c>
      <c r="S102" s="1668">
        <f t="shared" si="589"/>
        <v>0</v>
      </c>
      <c r="T102" s="1668">
        <f t="shared" si="589"/>
        <v>0</v>
      </c>
      <c r="U102" s="1668">
        <f t="shared" si="589"/>
        <v>0</v>
      </c>
      <c r="V102" s="1668">
        <f t="shared" si="589"/>
        <v>0</v>
      </c>
      <c r="W102" s="1668">
        <f t="shared" si="589"/>
        <v>0</v>
      </c>
      <c r="X102" s="1668">
        <f t="shared" si="589"/>
        <v>0</v>
      </c>
      <c r="Y102" s="1668">
        <f t="shared" si="589"/>
        <v>0</v>
      </c>
      <c r="Z102" s="1682">
        <f t="shared" si="589"/>
        <v>0</v>
      </c>
      <c r="AK102" s="572">
        <v>1</v>
      </c>
      <c r="AL102" s="456"/>
      <c r="AM102" s="572"/>
      <c r="AN102" s="572"/>
      <c r="AO102" s="572"/>
      <c r="AP102" s="572"/>
      <c r="AQ102" s="572"/>
      <c r="AR102" s="572"/>
      <c r="AS102" s="572"/>
      <c r="AT102" s="572"/>
      <c r="AU102" s="572"/>
      <c r="AV102" s="572"/>
      <c r="AW102" s="572"/>
      <c r="AX102" s="572"/>
      <c r="AY102" s="1545"/>
      <c r="AZ102" s="1545"/>
      <c r="BA102" s="96"/>
      <c r="BB102" s="590">
        <v>2.33</v>
      </c>
      <c r="BC102" s="572">
        <f t="shared" si="576"/>
        <v>0</v>
      </c>
      <c r="BD102" s="572">
        <f t="shared" si="577"/>
        <v>0</v>
      </c>
      <c r="BE102" s="572">
        <f t="shared" si="578"/>
        <v>0</v>
      </c>
      <c r="BF102" s="572">
        <f t="shared" si="579"/>
        <v>0</v>
      </c>
      <c r="BG102" s="572">
        <f t="shared" si="580"/>
        <v>0</v>
      </c>
      <c r="BH102" s="572">
        <f t="shared" si="581"/>
        <v>0</v>
      </c>
      <c r="BI102" s="572">
        <f t="shared" si="582"/>
        <v>0</v>
      </c>
      <c r="BJ102" s="572">
        <f t="shared" si="583"/>
        <v>0</v>
      </c>
      <c r="BK102" s="586">
        <f>SUM(ROUND((AU102/BB102),2))</f>
        <v>0</v>
      </c>
      <c r="BL102" s="586">
        <f t="shared" si="584"/>
        <v>0</v>
      </c>
      <c r="BM102" s="583">
        <f t="shared" si="514"/>
        <v>0</v>
      </c>
      <c r="BN102" s="572">
        <f t="shared" si="515"/>
        <v>0</v>
      </c>
      <c r="BO102" s="96"/>
      <c r="BP102" s="590">
        <v>2.84</v>
      </c>
      <c r="BQ102" s="572">
        <f t="shared" si="516"/>
        <v>0</v>
      </c>
      <c r="BR102" s="572">
        <f t="shared" si="517"/>
        <v>0</v>
      </c>
      <c r="BS102" s="572">
        <f t="shared" si="518"/>
        <v>0</v>
      </c>
      <c r="BT102" s="572">
        <f t="shared" si="519"/>
        <v>0</v>
      </c>
      <c r="BU102" s="572">
        <f t="shared" si="520"/>
        <v>0</v>
      </c>
      <c r="BV102" s="572">
        <f t="shared" si="521"/>
        <v>0</v>
      </c>
      <c r="BW102" s="572">
        <f t="shared" si="522"/>
        <v>0</v>
      </c>
      <c r="BX102" s="572">
        <f t="shared" si="523"/>
        <v>0</v>
      </c>
      <c r="BY102" s="586">
        <f>SUM(ROUND((AU102/BP102),2))</f>
        <v>0</v>
      </c>
      <c r="BZ102" s="586">
        <f t="shared" si="585"/>
        <v>0</v>
      </c>
      <c r="CA102" s="583">
        <f t="shared" si="526"/>
        <v>0</v>
      </c>
      <c r="CB102" s="572">
        <f t="shared" si="527"/>
        <v>0</v>
      </c>
      <c r="CC102" s="96"/>
      <c r="CD102" s="590">
        <v>3.45</v>
      </c>
      <c r="CE102" s="572">
        <f t="shared" si="528"/>
        <v>0</v>
      </c>
      <c r="CF102" s="572">
        <f t="shared" si="529"/>
        <v>0</v>
      </c>
      <c r="CG102" s="572">
        <f t="shared" si="530"/>
        <v>0</v>
      </c>
      <c r="CH102" s="572">
        <f t="shared" si="531"/>
        <v>0</v>
      </c>
      <c r="CI102" s="572">
        <f t="shared" si="532"/>
        <v>0</v>
      </c>
      <c r="CJ102" s="572">
        <f t="shared" si="533"/>
        <v>0</v>
      </c>
      <c r="CK102" s="572">
        <f t="shared" si="534"/>
        <v>0</v>
      </c>
      <c r="CL102" s="572">
        <f t="shared" si="535"/>
        <v>0</v>
      </c>
      <c r="CM102" s="586">
        <f>SUM(ROUND((AU102/CD102),2))</f>
        <v>0</v>
      </c>
      <c r="CN102" s="586">
        <f t="shared" si="586"/>
        <v>0</v>
      </c>
      <c r="CO102" s="583">
        <f t="shared" si="538"/>
        <v>0</v>
      </c>
      <c r="CP102" s="572">
        <f t="shared" si="539"/>
        <v>0</v>
      </c>
      <c r="CQ102" s="96"/>
      <c r="CR102" s="590">
        <v>4.2300000000000004</v>
      </c>
      <c r="CS102" s="572">
        <f t="shared" si="540"/>
        <v>0</v>
      </c>
      <c r="CT102" s="572">
        <f t="shared" si="541"/>
        <v>0</v>
      </c>
      <c r="CU102" s="572">
        <f t="shared" si="542"/>
        <v>0</v>
      </c>
      <c r="CV102" s="572">
        <f t="shared" si="543"/>
        <v>0</v>
      </c>
      <c r="CW102" s="572">
        <f t="shared" si="544"/>
        <v>0</v>
      </c>
      <c r="CX102" s="572">
        <f t="shared" si="545"/>
        <v>0</v>
      </c>
      <c r="CY102" s="572">
        <f t="shared" si="546"/>
        <v>0</v>
      </c>
      <c r="CZ102" s="572">
        <f t="shared" si="547"/>
        <v>0</v>
      </c>
      <c r="DA102" s="586">
        <f>SUM(ROUND((AU102/CR102),2))</f>
        <v>0</v>
      </c>
      <c r="DB102" s="586">
        <f t="shared" si="587"/>
        <v>0</v>
      </c>
      <c r="DC102" s="583">
        <f t="shared" si="550"/>
        <v>0</v>
      </c>
      <c r="DD102" s="572">
        <f t="shared" si="551"/>
        <v>0</v>
      </c>
      <c r="DE102" s="96"/>
      <c r="DF102" s="590">
        <v>5.2</v>
      </c>
      <c r="DG102" s="572">
        <f t="shared" si="552"/>
        <v>0</v>
      </c>
      <c r="DH102" s="572">
        <f t="shared" si="553"/>
        <v>0</v>
      </c>
      <c r="DI102" s="572">
        <f t="shared" si="554"/>
        <v>0</v>
      </c>
      <c r="DJ102" s="572">
        <f t="shared" si="555"/>
        <v>0</v>
      </c>
      <c r="DK102" s="572">
        <f t="shared" si="556"/>
        <v>0</v>
      </c>
      <c r="DL102" s="572">
        <f t="shared" si="557"/>
        <v>0</v>
      </c>
      <c r="DM102" s="572">
        <f t="shared" si="558"/>
        <v>0</v>
      </c>
      <c r="DN102" s="572">
        <f t="shared" si="559"/>
        <v>0</v>
      </c>
      <c r="DO102" s="586">
        <f>SUM(ROUND((AU102/DF102),2))</f>
        <v>0</v>
      </c>
      <c r="DP102" s="586">
        <f t="shared" si="588"/>
        <v>0</v>
      </c>
      <c r="DQ102" s="577">
        <f t="shared" si="562"/>
        <v>0</v>
      </c>
      <c r="DR102" s="96">
        <f t="shared" si="563"/>
        <v>0</v>
      </c>
      <c r="DS102" s="96"/>
      <c r="DT102" s="96" t="e">
        <f t="shared" si="564"/>
        <v>#VALUE!</v>
      </c>
      <c r="DU102" s="96" t="e">
        <f t="shared" si="565"/>
        <v>#VALUE!</v>
      </c>
      <c r="DV102" s="96" t="e">
        <f t="shared" si="566"/>
        <v>#VALUE!</v>
      </c>
      <c r="DW102" s="96" t="e">
        <f t="shared" si="567"/>
        <v>#VALUE!</v>
      </c>
      <c r="DX102" s="96" t="e">
        <f t="shared" si="568"/>
        <v>#VALUE!</v>
      </c>
      <c r="DY102" s="96" t="e">
        <f t="shared" si="569"/>
        <v>#VALUE!</v>
      </c>
      <c r="DZ102" s="96" t="e">
        <f t="shared" si="570"/>
        <v>#VALUE!</v>
      </c>
      <c r="EA102" s="96" t="e">
        <f t="shared" si="571"/>
        <v>#VALUE!</v>
      </c>
      <c r="EB102" s="96" t="e">
        <f t="shared" si="572"/>
        <v>#VALUE!</v>
      </c>
      <c r="EC102" s="96" t="e">
        <f t="shared" si="573"/>
        <v>#VALUE!</v>
      </c>
      <c r="ED102" s="96" t="e">
        <f t="shared" si="574"/>
        <v>#VALUE!</v>
      </c>
      <c r="EE102" s="96" t="e">
        <f t="shared" si="575"/>
        <v>#VALUE!</v>
      </c>
    </row>
    <row r="103" spans="1:135" ht="15" hidden="1" customHeight="1">
      <c r="A103" s="178">
        <v>4</v>
      </c>
      <c r="B103" s="2513"/>
      <c r="C103" s="1759">
        <v>4</v>
      </c>
      <c r="D103" s="1672" t="str">
        <f t="shared" ref="D103:D121" si="590">D7</f>
        <v>canon cinétique</v>
      </c>
      <c r="E103" s="1673" t="str">
        <f t="shared" ref="E103:E118" si="591">D28</f>
        <v>Standard Short Range (MT) Cannon Battery</v>
      </c>
      <c r="F103" s="1673" t="str">
        <f t="shared" ref="F103:F120" si="592">D46</f>
        <v>Standard Short Range (MT) Cannon Battery</v>
      </c>
      <c r="G103" s="1681"/>
      <c r="H103" s="1681"/>
      <c r="I103" s="1673" t="str">
        <f>HLOOKUP($I$100,$D$100:$H$121,C103)</f>
        <v>canon cinétique</v>
      </c>
      <c r="J103" s="1668">
        <v>2</v>
      </c>
      <c r="K103" s="1668">
        <f t="shared" ref="K103:K121" si="593">$I$100+J103</f>
        <v>102</v>
      </c>
      <c r="L103" s="1668">
        <f>VLOOKUP(K103,$C$6:$S$93,$L$100)</f>
        <v>67</v>
      </c>
      <c r="M103" s="1668">
        <f t="shared" ref="M103:Z103" si="594">VLOOKUP($K$103,$C$6:$S$93,M100)</f>
        <v>103.34</v>
      </c>
      <c r="N103" s="1668">
        <f t="shared" si="594"/>
        <v>35</v>
      </c>
      <c r="O103" s="1668">
        <f t="shared" si="594"/>
        <v>1</v>
      </c>
      <c r="P103" s="1668">
        <f t="shared" si="594"/>
        <v>100</v>
      </c>
      <c r="Q103" s="1668">
        <f t="shared" si="594"/>
        <v>1500</v>
      </c>
      <c r="R103" s="1668">
        <f t="shared" si="594"/>
        <v>1000</v>
      </c>
      <c r="S103" s="1668">
        <f t="shared" si="594"/>
        <v>100</v>
      </c>
      <c r="T103" s="1668">
        <f t="shared" si="594"/>
        <v>150</v>
      </c>
      <c r="U103" s="1668">
        <f t="shared" si="594"/>
        <v>2</v>
      </c>
      <c r="V103" s="1668">
        <f t="shared" si="594"/>
        <v>6</v>
      </c>
      <c r="W103" s="1668">
        <f t="shared" si="594"/>
        <v>30</v>
      </c>
      <c r="X103" s="1668">
        <f t="shared" si="594"/>
        <v>2750</v>
      </c>
      <c r="Y103" s="1668">
        <f t="shared" si="594"/>
        <v>1</v>
      </c>
      <c r="Z103" s="1682">
        <f t="shared" si="594"/>
        <v>1</v>
      </c>
      <c r="AK103" s="572">
        <v>2</v>
      </c>
      <c r="AL103" s="456"/>
      <c r="AM103" s="572"/>
      <c r="AN103" s="572"/>
      <c r="AO103" s="572"/>
      <c r="AP103" s="572"/>
      <c r="AQ103" s="572"/>
      <c r="AR103" s="572"/>
      <c r="AS103" s="572"/>
      <c r="AT103" s="572"/>
      <c r="AU103" s="572"/>
      <c r="AV103" s="572"/>
      <c r="AW103" s="572"/>
      <c r="AX103" s="572"/>
      <c r="AY103" s="1545"/>
      <c r="AZ103" s="1545"/>
      <c r="BA103" s="96"/>
      <c r="BB103" s="590">
        <v>2.33</v>
      </c>
      <c r="BC103" s="572">
        <f t="shared" si="576"/>
        <v>0</v>
      </c>
      <c r="BD103" s="572">
        <f t="shared" si="577"/>
        <v>0</v>
      </c>
      <c r="BE103" s="572">
        <f t="shared" si="578"/>
        <v>0</v>
      </c>
      <c r="BF103" s="572">
        <f t="shared" si="579"/>
        <v>0</v>
      </c>
      <c r="BG103" s="572">
        <f t="shared" si="580"/>
        <v>0</v>
      </c>
      <c r="BH103" s="572">
        <f t="shared" si="581"/>
        <v>0</v>
      </c>
      <c r="BI103" s="572">
        <f t="shared" si="582"/>
        <v>0</v>
      </c>
      <c r="BJ103" s="572">
        <f t="shared" si="583"/>
        <v>0</v>
      </c>
      <c r="BK103" s="586">
        <f>SUM(ROUND((AU103/BB103),2))</f>
        <v>0</v>
      </c>
      <c r="BL103" s="586">
        <f t="shared" si="584"/>
        <v>0</v>
      </c>
      <c r="BM103" s="583">
        <f t="shared" si="514"/>
        <v>0</v>
      </c>
      <c r="BN103" s="572">
        <f t="shared" si="515"/>
        <v>0</v>
      </c>
      <c r="BO103" s="96"/>
      <c r="BP103" s="590">
        <v>2.84</v>
      </c>
      <c r="BQ103" s="572">
        <f t="shared" si="516"/>
        <v>0</v>
      </c>
      <c r="BR103" s="572">
        <f t="shared" si="517"/>
        <v>0</v>
      </c>
      <c r="BS103" s="572">
        <f t="shared" si="518"/>
        <v>0</v>
      </c>
      <c r="BT103" s="572">
        <f t="shared" si="519"/>
        <v>0</v>
      </c>
      <c r="BU103" s="572">
        <f t="shared" si="520"/>
        <v>0</v>
      </c>
      <c r="BV103" s="572">
        <f t="shared" si="521"/>
        <v>0</v>
      </c>
      <c r="BW103" s="572">
        <f t="shared" si="522"/>
        <v>0</v>
      </c>
      <c r="BX103" s="572">
        <f t="shared" si="523"/>
        <v>0</v>
      </c>
      <c r="BY103" s="586">
        <f>SUM(ROUND((AU103/BP103),2))</f>
        <v>0</v>
      </c>
      <c r="BZ103" s="586">
        <f t="shared" si="585"/>
        <v>0</v>
      </c>
      <c r="CA103" s="583">
        <f t="shared" si="526"/>
        <v>0</v>
      </c>
      <c r="CB103" s="572">
        <f t="shared" si="527"/>
        <v>0</v>
      </c>
      <c r="CC103" s="96"/>
      <c r="CD103" s="590">
        <v>3.45</v>
      </c>
      <c r="CE103" s="572">
        <f t="shared" si="528"/>
        <v>0</v>
      </c>
      <c r="CF103" s="572">
        <f t="shared" si="529"/>
        <v>0</v>
      </c>
      <c r="CG103" s="572">
        <f t="shared" si="530"/>
        <v>0</v>
      </c>
      <c r="CH103" s="572">
        <f t="shared" si="531"/>
        <v>0</v>
      </c>
      <c r="CI103" s="572">
        <f t="shared" si="532"/>
        <v>0</v>
      </c>
      <c r="CJ103" s="572">
        <f t="shared" si="533"/>
        <v>0</v>
      </c>
      <c r="CK103" s="572">
        <f t="shared" si="534"/>
        <v>0</v>
      </c>
      <c r="CL103" s="572">
        <f t="shared" si="535"/>
        <v>0</v>
      </c>
      <c r="CM103" s="586">
        <f>SUM(ROUND((AU103/CD103),2))</f>
        <v>0</v>
      </c>
      <c r="CN103" s="586">
        <f t="shared" si="586"/>
        <v>0</v>
      </c>
      <c r="CO103" s="583">
        <f t="shared" si="538"/>
        <v>0</v>
      </c>
      <c r="CP103" s="572">
        <f t="shared" si="539"/>
        <v>0</v>
      </c>
      <c r="CQ103" s="96"/>
      <c r="CR103" s="590">
        <v>4.2300000000000004</v>
      </c>
      <c r="CS103" s="572">
        <f t="shared" si="540"/>
        <v>0</v>
      </c>
      <c r="CT103" s="572">
        <f t="shared" si="541"/>
        <v>0</v>
      </c>
      <c r="CU103" s="572">
        <f t="shared" si="542"/>
        <v>0</v>
      </c>
      <c r="CV103" s="572">
        <f t="shared" si="543"/>
        <v>0</v>
      </c>
      <c r="CW103" s="572">
        <f t="shared" si="544"/>
        <v>0</v>
      </c>
      <c r="CX103" s="572">
        <f t="shared" si="545"/>
        <v>0</v>
      </c>
      <c r="CY103" s="572">
        <f t="shared" si="546"/>
        <v>0</v>
      </c>
      <c r="CZ103" s="572">
        <f t="shared" si="547"/>
        <v>0</v>
      </c>
      <c r="DA103" s="586">
        <f>SUM(ROUND((AU103/CR103),2))</f>
        <v>0</v>
      </c>
      <c r="DB103" s="586">
        <f t="shared" si="587"/>
        <v>0</v>
      </c>
      <c r="DC103" s="583">
        <f t="shared" si="550"/>
        <v>0</v>
      </c>
      <c r="DD103" s="572">
        <f t="shared" si="551"/>
        <v>0</v>
      </c>
      <c r="DE103" s="96"/>
      <c r="DF103" s="590">
        <v>5.2</v>
      </c>
      <c r="DG103" s="572">
        <f t="shared" si="552"/>
        <v>0</v>
      </c>
      <c r="DH103" s="572">
        <f t="shared" si="553"/>
        <v>0</v>
      </c>
      <c r="DI103" s="572">
        <f t="shared" si="554"/>
        <v>0</v>
      </c>
      <c r="DJ103" s="572">
        <f t="shared" si="555"/>
        <v>0</v>
      </c>
      <c r="DK103" s="572">
        <f t="shared" si="556"/>
        <v>0</v>
      </c>
      <c r="DL103" s="572">
        <f t="shared" si="557"/>
        <v>0</v>
      </c>
      <c r="DM103" s="572">
        <f t="shared" si="558"/>
        <v>0</v>
      </c>
      <c r="DN103" s="572">
        <f t="shared" si="559"/>
        <v>0</v>
      </c>
      <c r="DO103" s="586">
        <f>SUM(ROUND((AU103/DF103),2))</f>
        <v>0</v>
      </c>
      <c r="DP103" s="586">
        <f t="shared" si="588"/>
        <v>0</v>
      </c>
      <c r="DQ103" s="577">
        <f t="shared" si="562"/>
        <v>0</v>
      </c>
      <c r="DR103" s="96">
        <f t="shared" si="563"/>
        <v>0</v>
      </c>
      <c r="DS103" s="96"/>
      <c r="DT103" s="96" t="e">
        <f t="shared" si="564"/>
        <v>#VALUE!</v>
      </c>
      <c r="DU103" s="96" t="e">
        <f t="shared" si="565"/>
        <v>#VALUE!</v>
      </c>
      <c r="DV103" s="96" t="e">
        <f t="shared" si="566"/>
        <v>#VALUE!</v>
      </c>
      <c r="DW103" s="96" t="e">
        <f t="shared" si="567"/>
        <v>#VALUE!</v>
      </c>
      <c r="DX103" s="96" t="e">
        <f t="shared" si="568"/>
        <v>#VALUE!</v>
      </c>
      <c r="DY103" s="96" t="e">
        <f t="shared" si="569"/>
        <v>#VALUE!</v>
      </c>
      <c r="DZ103" s="96" t="e">
        <f t="shared" si="570"/>
        <v>#VALUE!</v>
      </c>
      <c r="EA103" s="96" t="e">
        <f t="shared" si="571"/>
        <v>#VALUE!</v>
      </c>
      <c r="EB103" s="96" t="e">
        <f t="shared" si="572"/>
        <v>#VALUE!</v>
      </c>
      <c r="EC103" s="96" t="e">
        <f t="shared" si="573"/>
        <v>#VALUE!</v>
      </c>
      <c r="ED103" s="96" t="e">
        <f t="shared" si="574"/>
        <v>#VALUE!</v>
      </c>
      <c r="EE103" s="96" t="e">
        <f t="shared" si="575"/>
        <v>#VALUE!</v>
      </c>
    </row>
    <row r="104" spans="1:135" ht="15" hidden="1" customHeight="1">
      <c r="A104" s="178">
        <v>5</v>
      </c>
      <c r="B104" s="2513"/>
      <c r="C104" s="1759">
        <v>5</v>
      </c>
      <c r="D104" s="1672" t="str">
        <f t="shared" si="590"/>
        <v>canon court standart (M)</v>
      </c>
      <c r="E104" s="1673" t="str">
        <f t="shared" si="591"/>
        <v>Precision Short Range MT Cannon Battery</v>
      </c>
      <c r="F104" s="1673" t="str">
        <f t="shared" si="592"/>
        <v>Precision Short Range MT Cannon Battery</v>
      </c>
      <c r="G104" s="1681"/>
      <c r="H104" s="1681"/>
      <c r="I104" s="1673" t="str">
        <f t="shared" ref="I104:I120" si="595">HLOOKUP($I$100,$D$100:$H$121,C104)</f>
        <v>canon court standart (M)</v>
      </c>
      <c r="J104" s="1668">
        <v>3</v>
      </c>
      <c r="K104" s="1668">
        <f t="shared" si="593"/>
        <v>103</v>
      </c>
      <c r="L104" s="1668">
        <f>VLOOKUP($K$104,$C$6:$S$93,L100)</f>
        <v>1.1200000000000001</v>
      </c>
      <c r="M104" s="1668">
        <f t="shared" ref="M104:Z104" si="596">VLOOKUP($K$104,$C$6:$S$93,M100)</f>
        <v>11.120000000000001</v>
      </c>
      <c r="N104" s="1668">
        <f t="shared" si="596"/>
        <v>5</v>
      </c>
      <c r="O104" s="1668">
        <f t="shared" si="596"/>
        <v>1</v>
      </c>
      <c r="P104" s="1668">
        <f t="shared" si="596"/>
        <v>0</v>
      </c>
      <c r="Q104" s="1668">
        <f t="shared" si="596"/>
        <v>600</v>
      </c>
      <c r="R104" s="1668">
        <f t="shared" si="596"/>
        <v>261.12</v>
      </c>
      <c r="S104" s="1668">
        <f t="shared" si="596"/>
        <v>400</v>
      </c>
      <c r="T104" s="1668">
        <f t="shared" si="596"/>
        <v>100</v>
      </c>
      <c r="U104" s="1668">
        <f t="shared" si="596"/>
        <v>0.4</v>
      </c>
      <c r="V104" s="1668">
        <f t="shared" si="596"/>
        <v>1</v>
      </c>
      <c r="W104" s="1668">
        <f t="shared" si="596"/>
        <v>75</v>
      </c>
      <c r="X104" s="1668">
        <f t="shared" si="596"/>
        <v>2777.7799999999997</v>
      </c>
      <c r="Y104" s="1668">
        <f t="shared" si="596"/>
        <v>1</v>
      </c>
      <c r="Z104" s="1682">
        <f t="shared" si="596"/>
        <v>1</v>
      </c>
      <c r="AK104" s="572">
        <v>3</v>
      </c>
      <c r="AL104" s="456"/>
      <c r="AM104" s="572"/>
      <c r="AN104" s="572"/>
      <c r="AO104" s="572"/>
      <c r="AP104" s="572"/>
      <c r="AQ104" s="572"/>
      <c r="AR104" s="572"/>
      <c r="AS104" s="572"/>
      <c r="AT104" s="572"/>
      <c r="AU104" s="572"/>
      <c r="AV104" s="572"/>
      <c r="AW104" s="572"/>
      <c r="AX104" s="572"/>
      <c r="AY104" s="1545"/>
      <c r="AZ104" s="1545"/>
      <c r="BA104" s="96"/>
      <c r="BB104" s="590">
        <v>2.33</v>
      </c>
      <c r="BC104" s="572">
        <f t="shared" si="576"/>
        <v>0</v>
      </c>
      <c r="BD104" s="572">
        <f t="shared" si="577"/>
        <v>0</v>
      </c>
      <c r="BE104" s="572">
        <f t="shared" si="578"/>
        <v>0</v>
      </c>
      <c r="BF104" s="572">
        <f t="shared" si="579"/>
        <v>0</v>
      </c>
      <c r="BG104" s="572">
        <f t="shared" si="580"/>
        <v>0</v>
      </c>
      <c r="BH104" s="572">
        <f t="shared" si="581"/>
        <v>0</v>
      </c>
      <c r="BI104" s="572">
        <f t="shared" si="582"/>
        <v>0</v>
      </c>
      <c r="BJ104" s="572">
        <f t="shared" si="583"/>
        <v>0</v>
      </c>
      <c r="BK104" s="586">
        <f>SUM(ROUND((AU103/BB104),2))</f>
        <v>0</v>
      </c>
      <c r="BL104" s="586">
        <f t="shared" si="584"/>
        <v>0</v>
      </c>
      <c r="BM104" s="583">
        <f t="shared" si="514"/>
        <v>0</v>
      </c>
      <c r="BN104" s="572">
        <f t="shared" si="515"/>
        <v>0</v>
      </c>
      <c r="BO104" s="96"/>
      <c r="BP104" s="590">
        <v>2.84</v>
      </c>
      <c r="BQ104" s="572">
        <f t="shared" si="516"/>
        <v>0</v>
      </c>
      <c r="BR104" s="572">
        <f t="shared" si="517"/>
        <v>0</v>
      </c>
      <c r="BS104" s="572">
        <f t="shared" si="518"/>
        <v>0</v>
      </c>
      <c r="BT104" s="572">
        <f t="shared" si="519"/>
        <v>0</v>
      </c>
      <c r="BU104" s="572">
        <f t="shared" si="520"/>
        <v>0</v>
      </c>
      <c r="BV104" s="572">
        <f t="shared" si="521"/>
        <v>0</v>
      </c>
      <c r="BW104" s="572">
        <f t="shared" si="522"/>
        <v>0</v>
      </c>
      <c r="BX104" s="572">
        <f t="shared" si="523"/>
        <v>0</v>
      </c>
      <c r="BY104" s="586">
        <f>SUM(ROUND((AU103/BP104),2))</f>
        <v>0</v>
      </c>
      <c r="BZ104" s="586">
        <f t="shared" si="585"/>
        <v>0</v>
      </c>
      <c r="CA104" s="583">
        <f t="shared" si="526"/>
        <v>0</v>
      </c>
      <c r="CB104" s="572">
        <f t="shared" si="527"/>
        <v>0</v>
      </c>
      <c r="CC104" s="96"/>
      <c r="CD104" s="590">
        <v>3.45</v>
      </c>
      <c r="CE104" s="572">
        <f t="shared" si="528"/>
        <v>0</v>
      </c>
      <c r="CF104" s="572">
        <f t="shared" si="529"/>
        <v>0</v>
      </c>
      <c r="CG104" s="572">
        <f t="shared" si="530"/>
        <v>0</v>
      </c>
      <c r="CH104" s="572">
        <f t="shared" si="531"/>
        <v>0</v>
      </c>
      <c r="CI104" s="572">
        <f t="shared" si="532"/>
        <v>0</v>
      </c>
      <c r="CJ104" s="572">
        <f t="shared" si="533"/>
        <v>0</v>
      </c>
      <c r="CK104" s="572">
        <f t="shared" si="534"/>
        <v>0</v>
      </c>
      <c r="CL104" s="572">
        <f t="shared" si="535"/>
        <v>0</v>
      </c>
      <c r="CM104" s="586">
        <f>SUM(ROUND((AU103/CD104),2))</f>
        <v>0</v>
      </c>
      <c r="CN104" s="586">
        <f t="shared" si="586"/>
        <v>0</v>
      </c>
      <c r="CO104" s="583">
        <f t="shared" si="538"/>
        <v>0</v>
      </c>
      <c r="CP104" s="572">
        <f t="shared" si="539"/>
        <v>0</v>
      </c>
      <c r="CQ104" s="96"/>
      <c r="CR104" s="590">
        <v>4.2300000000000004</v>
      </c>
      <c r="CS104" s="572">
        <f t="shared" si="540"/>
        <v>0</v>
      </c>
      <c r="CT104" s="572">
        <f t="shared" si="541"/>
        <v>0</v>
      </c>
      <c r="CU104" s="572">
        <f t="shared" si="542"/>
        <v>0</v>
      </c>
      <c r="CV104" s="572">
        <f t="shared" si="543"/>
        <v>0</v>
      </c>
      <c r="CW104" s="572">
        <f t="shared" si="544"/>
        <v>0</v>
      </c>
      <c r="CX104" s="572">
        <f t="shared" si="545"/>
        <v>0</v>
      </c>
      <c r="CY104" s="572">
        <f t="shared" si="546"/>
        <v>0</v>
      </c>
      <c r="CZ104" s="572">
        <f t="shared" si="547"/>
        <v>0</v>
      </c>
      <c r="DA104" s="586">
        <f>SUM(ROUND((AU103/CR104),2))</f>
        <v>0</v>
      </c>
      <c r="DB104" s="586">
        <f t="shared" si="587"/>
        <v>0</v>
      </c>
      <c r="DC104" s="583">
        <f t="shared" si="550"/>
        <v>0</v>
      </c>
      <c r="DD104" s="572">
        <f t="shared" si="551"/>
        <v>0</v>
      </c>
      <c r="DE104" s="96"/>
      <c r="DF104" s="590">
        <v>5.2</v>
      </c>
      <c r="DG104" s="572">
        <f t="shared" si="552"/>
        <v>0</v>
      </c>
      <c r="DH104" s="572">
        <f t="shared" si="553"/>
        <v>0</v>
      </c>
      <c r="DI104" s="572">
        <f t="shared" si="554"/>
        <v>0</v>
      </c>
      <c r="DJ104" s="572">
        <f t="shared" si="555"/>
        <v>0</v>
      </c>
      <c r="DK104" s="572">
        <f t="shared" si="556"/>
        <v>0</v>
      </c>
      <c r="DL104" s="572">
        <f t="shared" si="557"/>
        <v>0</v>
      </c>
      <c r="DM104" s="572">
        <f t="shared" si="558"/>
        <v>0</v>
      </c>
      <c r="DN104" s="572">
        <f t="shared" si="559"/>
        <v>0</v>
      </c>
      <c r="DO104" s="586">
        <f>SUM(ROUND((AU103/DF104),2))</f>
        <v>0</v>
      </c>
      <c r="DP104" s="586">
        <f t="shared" si="588"/>
        <v>0</v>
      </c>
      <c r="DQ104" s="577">
        <f t="shared" si="562"/>
        <v>0</v>
      </c>
      <c r="DR104" s="96">
        <f t="shared" si="563"/>
        <v>0</v>
      </c>
      <c r="DS104" s="96"/>
      <c r="DT104" s="96" t="e">
        <f t="shared" si="564"/>
        <v>#VALUE!</v>
      </c>
      <c r="DU104" s="96" t="e">
        <f t="shared" si="565"/>
        <v>#VALUE!</v>
      </c>
      <c r="DV104" s="96" t="e">
        <f t="shared" si="566"/>
        <v>#VALUE!</v>
      </c>
      <c r="DW104" s="96" t="e">
        <f t="shared" si="567"/>
        <v>#VALUE!</v>
      </c>
      <c r="DX104" s="96" t="e">
        <f t="shared" si="568"/>
        <v>#VALUE!</v>
      </c>
      <c r="DY104" s="96" t="e">
        <f t="shared" si="569"/>
        <v>#VALUE!</v>
      </c>
      <c r="DZ104" s="96" t="e">
        <f t="shared" si="570"/>
        <v>#VALUE!</v>
      </c>
      <c r="EA104" s="96" t="e">
        <f t="shared" si="571"/>
        <v>#VALUE!</v>
      </c>
      <c r="EB104" s="96" t="e">
        <f t="shared" si="572"/>
        <v>#VALUE!</v>
      </c>
      <c r="EC104" s="96" t="e">
        <f t="shared" si="573"/>
        <v>#VALUE!</v>
      </c>
      <c r="ED104" s="96" t="e">
        <f t="shared" si="574"/>
        <v>#VALUE!</v>
      </c>
      <c r="EE104" s="96" t="e">
        <f t="shared" si="575"/>
        <v>#VALUE!</v>
      </c>
    </row>
    <row r="105" spans="1:135" ht="15" hidden="1" customHeight="1">
      <c r="A105" s="178">
        <v>6</v>
      </c>
      <c r="B105" s="2513"/>
      <c r="C105" s="1759">
        <v>6</v>
      </c>
      <c r="D105" s="1672" t="str">
        <f t="shared" si="590"/>
        <v>canon court critique (P)</v>
      </c>
      <c r="E105" s="1673" t="str">
        <f t="shared" si="591"/>
        <v>Experimental MT Cannon Battery</v>
      </c>
      <c r="F105" s="1673" t="str">
        <f t="shared" si="592"/>
        <v>Experimental MT Cannon Battery</v>
      </c>
      <c r="G105" s="1681"/>
      <c r="H105" s="1681"/>
      <c r="I105" s="1673" t="str">
        <f t="shared" si="595"/>
        <v>canon court critique (P)</v>
      </c>
      <c r="J105" s="1668">
        <v>4</v>
      </c>
      <c r="K105" s="1668">
        <f t="shared" si="593"/>
        <v>104</v>
      </c>
      <c r="L105" s="1668">
        <f>VLOOKUP($K$105,$C$6:$S$93,L100)</f>
        <v>1.1200000000000001</v>
      </c>
      <c r="M105" s="1668">
        <f t="shared" ref="M105:Z105" si="597">VLOOKUP($K$105,$C$6:$S$93,M100)</f>
        <v>11.120000000000001</v>
      </c>
      <c r="N105" s="1668">
        <f t="shared" si="597"/>
        <v>5</v>
      </c>
      <c r="O105" s="1668">
        <f t="shared" si="597"/>
        <v>1</v>
      </c>
      <c r="P105" s="1668">
        <f t="shared" si="597"/>
        <v>0</v>
      </c>
      <c r="Q105" s="1668">
        <f t="shared" si="597"/>
        <v>600</v>
      </c>
      <c r="R105" s="1668">
        <f t="shared" si="597"/>
        <v>250</v>
      </c>
      <c r="S105" s="1668">
        <f t="shared" si="597"/>
        <v>400</v>
      </c>
      <c r="T105" s="1668">
        <f t="shared" si="597"/>
        <v>105.56</v>
      </c>
      <c r="U105" s="1668">
        <f t="shared" si="597"/>
        <v>0.4</v>
      </c>
      <c r="V105" s="1668">
        <f t="shared" si="597"/>
        <v>1</v>
      </c>
      <c r="W105" s="1668">
        <f t="shared" si="597"/>
        <v>75</v>
      </c>
      <c r="X105" s="1668">
        <f t="shared" si="597"/>
        <v>2777.7799999999997</v>
      </c>
      <c r="Y105" s="1668">
        <f t="shared" si="597"/>
        <v>1</v>
      </c>
      <c r="Z105" s="1682">
        <f t="shared" si="597"/>
        <v>1</v>
      </c>
      <c r="AK105" s="572">
        <v>4</v>
      </c>
      <c r="AL105" s="456"/>
      <c r="AM105" s="572"/>
      <c r="AN105" s="572"/>
      <c r="AO105" s="572"/>
      <c r="AP105" s="572"/>
      <c r="AQ105" s="572"/>
      <c r="AR105" s="572"/>
      <c r="AS105" s="572"/>
      <c r="AT105" s="572"/>
      <c r="AU105" s="572"/>
      <c r="AV105" s="572"/>
      <c r="AW105" s="572"/>
      <c r="AX105" s="572"/>
      <c r="AY105" s="1545"/>
      <c r="AZ105" s="1545"/>
      <c r="BA105" s="96"/>
      <c r="BB105" s="590">
        <v>2.33</v>
      </c>
      <c r="BC105" s="572">
        <f t="shared" si="576"/>
        <v>0</v>
      </c>
      <c r="BD105" s="572">
        <f t="shared" si="577"/>
        <v>0</v>
      </c>
      <c r="BE105" s="572">
        <f t="shared" si="578"/>
        <v>0</v>
      </c>
      <c r="BF105" s="572">
        <f t="shared" si="579"/>
        <v>0</v>
      </c>
      <c r="BG105" s="572">
        <f t="shared" si="580"/>
        <v>0</v>
      </c>
      <c r="BH105" s="572">
        <f t="shared" si="581"/>
        <v>0</v>
      </c>
      <c r="BI105" s="572">
        <f t="shared" si="582"/>
        <v>0</v>
      </c>
      <c r="BJ105" s="572">
        <f t="shared" si="583"/>
        <v>0</v>
      </c>
      <c r="BK105" s="586">
        <f>SUM(ROUND((AU105/BB105),2))</f>
        <v>0</v>
      </c>
      <c r="BL105" s="586">
        <f t="shared" si="584"/>
        <v>0</v>
      </c>
      <c r="BM105" s="583">
        <f t="shared" si="514"/>
        <v>0</v>
      </c>
      <c r="BN105" s="572">
        <f t="shared" si="515"/>
        <v>0</v>
      </c>
      <c r="BO105" s="96"/>
      <c r="BP105" s="590">
        <v>2.84</v>
      </c>
      <c r="BQ105" s="572">
        <f t="shared" si="516"/>
        <v>0</v>
      </c>
      <c r="BR105" s="572">
        <f t="shared" si="517"/>
        <v>0</v>
      </c>
      <c r="BS105" s="572">
        <f t="shared" si="518"/>
        <v>0</v>
      </c>
      <c r="BT105" s="572">
        <f t="shared" si="519"/>
        <v>0</v>
      </c>
      <c r="BU105" s="572">
        <f t="shared" si="520"/>
        <v>0</v>
      </c>
      <c r="BV105" s="572">
        <f t="shared" si="521"/>
        <v>0</v>
      </c>
      <c r="BW105" s="572">
        <f t="shared" si="522"/>
        <v>0</v>
      </c>
      <c r="BX105" s="572">
        <f t="shared" si="523"/>
        <v>0</v>
      </c>
      <c r="BY105" s="586">
        <f>SUM(ROUND((AU105/BP105),2))</f>
        <v>0</v>
      </c>
      <c r="BZ105" s="586">
        <f t="shared" si="585"/>
        <v>0</v>
      </c>
      <c r="CA105" s="583">
        <f t="shared" si="526"/>
        <v>0</v>
      </c>
      <c r="CB105" s="572">
        <f t="shared" si="527"/>
        <v>0</v>
      </c>
      <c r="CC105" s="96"/>
      <c r="CD105" s="590">
        <v>3.45</v>
      </c>
      <c r="CE105" s="572">
        <f t="shared" si="528"/>
        <v>0</v>
      </c>
      <c r="CF105" s="572">
        <f t="shared" si="529"/>
        <v>0</v>
      </c>
      <c r="CG105" s="572">
        <f t="shared" si="530"/>
        <v>0</v>
      </c>
      <c r="CH105" s="572">
        <f t="shared" si="531"/>
        <v>0</v>
      </c>
      <c r="CI105" s="572">
        <f t="shared" si="532"/>
        <v>0</v>
      </c>
      <c r="CJ105" s="572">
        <f t="shared" si="533"/>
        <v>0</v>
      </c>
      <c r="CK105" s="572">
        <f t="shared" si="534"/>
        <v>0</v>
      </c>
      <c r="CL105" s="572">
        <f t="shared" si="535"/>
        <v>0</v>
      </c>
      <c r="CM105" s="586">
        <f>SUM(ROUND((AU105/CD105),2))</f>
        <v>0</v>
      </c>
      <c r="CN105" s="586">
        <f t="shared" si="586"/>
        <v>0</v>
      </c>
      <c r="CO105" s="583">
        <f t="shared" si="538"/>
        <v>0</v>
      </c>
      <c r="CP105" s="572">
        <f t="shared" si="539"/>
        <v>0</v>
      </c>
      <c r="CQ105" s="96"/>
      <c r="CR105" s="590">
        <v>4.2300000000000004</v>
      </c>
      <c r="CS105" s="572">
        <f t="shared" si="540"/>
        <v>0</v>
      </c>
      <c r="CT105" s="572">
        <f t="shared" si="541"/>
        <v>0</v>
      </c>
      <c r="CU105" s="572">
        <f t="shared" si="542"/>
        <v>0</v>
      </c>
      <c r="CV105" s="572">
        <f t="shared" si="543"/>
        <v>0</v>
      </c>
      <c r="CW105" s="572">
        <f t="shared" si="544"/>
        <v>0</v>
      </c>
      <c r="CX105" s="572">
        <f t="shared" si="545"/>
        <v>0</v>
      </c>
      <c r="CY105" s="572">
        <f t="shared" si="546"/>
        <v>0</v>
      </c>
      <c r="CZ105" s="572">
        <f t="shared" si="547"/>
        <v>0</v>
      </c>
      <c r="DA105" s="586">
        <f>SUM(ROUND((AU105/CR105),2))</f>
        <v>0</v>
      </c>
      <c r="DB105" s="586">
        <f t="shared" si="587"/>
        <v>0</v>
      </c>
      <c r="DC105" s="583">
        <f t="shared" si="550"/>
        <v>0</v>
      </c>
      <c r="DD105" s="572">
        <f t="shared" si="551"/>
        <v>0</v>
      </c>
      <c r="DE105" s="96"/>
      <c r="DF105" s="590">
        <v>5.2</v>
      </c>
      <c r="DG105" s="572">
        <f t="shared" si="552"/>
        <v>0</v>
      </c>
      <c r="DH105" s="572">
        <f t="shared" si="553"/>
        <v>0</v>
      </c>
      <c r="DI105" s="572">
        <f t="shared" si="554"/>
        <v>0</v>
      </c>
      <c r="DJ105" s="572">
        <f t="shared" si="555"/>
        <v>0</v>
      </c>
      <c r="DK105" s="572">
        <f t="shared" si="556"/>
        <v>0</v>
      </c>
      <c r="DL105" s="572">
        <f t="shared" si="557"/>
        <v>0</v>
      </c>
      <c r="DM105" s="572">
        <f t="shared" si="558"/>
        <v>0</v>
      </c>
      <c r="DN105" s="572">
        <f t="shared" si="559"/>
        <v>0</v>
      </c>
      <c r="DO105" s="586">
        <f>SUM(ROUND((AU105/DF105),2))</f>
        <v>0</v>
      </c>
      <c r="DP105" s="586">
        <f t="shared" si="588"/>
        <v>0</v>
      </c>
      <c r="DQ105" s="577">
        <f t="shared" si="562"/>
        <v>0</v>
      </c>
      <c r="DR105" s="96">
        <f t="shared" si="563"/>
        <v>0</v>
      </c>
      <c r="DS105" s="96"/>
      <c r="DT105" s="96" t="e">
        <f t="shared" si="564"/>
        <v>#VALUE!</v>
      </c>
      <c r="DU105" s="96" t="e">
        <f t="shared" si="565"/>
        <v>#VALUE!</v>
      </c>
      <c r="DV105" s="96" t="e">
        <f t="shared" si="566"/>
        <v>#VALUE!</v>
      </c>
      <c r="DW105" s="96" t="e">
        <f t="shared" si="567"/>
        <v>#VALUE!</v>
      </c>
      <c r="DX105" s="96" t="e">
        <f t="shared" si="568"/>
        <v>#VALUE!</v>
      </c>
      <c r="DY105" s="96" t="e">
        <f t="shared" si="569"/>
        <v>#VALUE!</v>
      </c>
      <c r="DZ105" s="96" t="e">
        <f t="shared" si="570"/>
        <v>#VALUE!</v>
      </c>
      <c r="EA105" s="96" t="e">
        <f t="shared" si="571"/>
        <v>#VALUE!</v>
      </c>
      <c r="EB105" s="96" t="e">
        <f t="shared" si="572"/>
        <v>#VALUE!</v>
      </c>
      <c r="EC105" s="96" t="e">
        <f t="shared" si="573"/>
        <v>#VALUE!</v>
      </c>
      <c r="ED105" s="96" t="e">
        <f t="shared" si="574"/>
        <v>#VALUE!</v>
      </c>
      <c r="EE105" s="96" t="e">
        <f t="shared" si="575"/>
        <v>#VALUE!</v>
      </c>
    </row>
    <row r="106" spans="1:135" ht="15" hidden="1" customHeight="1">
      <c r="A106" s="178">
        <v>7</v>
      </c>
      <c r="B106" s="2513"/>
      <c r="C106" s="1759">
        <v>7</v>
      </c>
      <c r="D106" s="1672" t="str">
        <f t="shared" si="590"/>
        <v xml:space="preserve">canon experimentale </v>
      </c>
      <c r="E106" s="1673" t="str">
        <f t="shared" si="591"/>
        <v>Expérimental canon +5%</v>
      </c>
      <c r="F106" s="1673" t="str">
        <f t="shared" si="592"/>
        <v>Expérimental canon +5%</v>
      </c>
      <c r="G106" s="1681"/>
      <c r="H106" s="1681"/>
      <c r="I106" s="1673" t="str">
        <f t="shared" si="595"/>
        <v xml:space="preserve">canon experimentale </v>
      </c>
      <c r="J106" s="1668">
        <v>5</v>
      </c>
      <c r="K106" s="1668">
        <f t="shared" si="593"/>
        <v>105</v>
      </c>
      <c r="L106" s="1668">
        <f>VLOOKUP($K$106,$C$6:$S$93,L100)</f>
        <v>1.1200000000000001</v>
      </c>
      <c r="M106" s="1668">
        <f t="shared" ref="M106:Z106" si="598">VLOOKUP($K$106,$C$6:$S$93,M100)</f>
        <v>11.120000000000001</v>
      </c>
      <c r="N106" s="1668">
        <f t="shared" si="598"/>
        <v>5</v>
      </c>
      <c r="O106" s="1668">
        <f t="shared" si="598"/>
        <v>1</v>
      </c>
      <c r="P106" s="1668">
        <f t="shared" si="598"/>
        <v>0</v>
      </c>
      <c r="Q106" s="1668">
        <f t="shared" si="598"/>
        <v>900</v>
      </c>
      <c r="R106" s="1668">
        <f t="shared" si="598"/>
        <v>200</v>
      </c>
      <c r="S106" s="1668">
        <f t="shared" si="598"/>
        <v>400</v>
      </c>
      <c r="T106" s="1668">
        <f t="shared" si="598"/>
        <v>105.56</v>
      </c>
      <c r="U106" s="1668">
        <f t="shared" si="598"/>
        <v>0.4</v>
      </c>
      <c r="V106" s="1668">
        <f t="shared" si="598"/>
        <v>1</v>
      </c>
      <c r="W106" s="1668">
        <f t="shared" si="598"/>
        <v>75</v>
      </c>
      <c r="X106" s="1668">
        <f t="shared" si="598"/>
        <v>2777.7799999999997</v>
      </c>
      <c r="Y106" s="1668">
        <f t="shared" si="598"/>
        <v>1</v>
      </c>
      <c r="Z106" s="1682">
        <f t="shared" si="598"/>
        <v>1</v>
      </c>
      <c r="AK106" s="572">
        <v>5</v>
      </c>
      <c r="AL106" s="456"/>
      <c r="AM106" s="572"/>
      <c r="AN106" s="572"/>
      <c r="AO106" s="572"/>
      <c r="AP106" s="572"/>
      <c r="AQ106" s="572"/>
      <c r="AR106" s="572"/>
      <c r="AS106" s="572"/>
      <c r="AT106" s="572"/>
      <c r="AU106" s="572"/>
      <c r="AV106" s="572"/>
      <c r="AW106" s="572"/>
      <c r="AX106" s="572"/>
      <c r="AY106" s="1545"/>
      <c r="AZ106" s="1545"/>
      <c r="BA106" s="96"/>
      <c r="BB106" s="590">
        <v>2.33</v>
      </c>
      <c r="BC106" s="572">
        <f t="shared" si="576"/>
        <v>0</v>
      </c>
      <c r="BD106" s="572">
        <f t="shared" si="577"/>
        <v>0</v>
      </c>
      <c r="BE106" s="572">
        <f t="shared" si="578"/>
        <v>0</v>
      </c>
      <c r="BF106" s="572">
        <f t="shared" si="579"/>
        <v>0</v>
      </c>
      <c r="BG106" s="572">
        <f t="shared" si="580"/>
        <v>0</v>
      </c>
      <c r="BH106" s="572">
        <f t="shared" si="581"/>
        <v>0</v>
      </c>
      <c r="BI106" s="572">
        <f t="shared" si="582"/>
        <v>0</v>
      </c>
      <c r="BJ106" s="572">
        <f t="shared" si="583"/>
        <v>0</v>
      </c>
      <c r="BK106" s="586">
        <f>SUM(ROUND((AU106/BB106),2))</f>
        <v>0</v>
      </c>
      <c r="BL106" s="586">
        <f t="shared" si="584"/>
        <v>0</v>
      </c>
      <c r="BM106" s="596">
        <f t="shared" si="514"/>
        <v>0</v>
      </c>
      <c r="BN106" s="572">
        <f t="shared" si="515"/>
        <v>0</v>
      </c>
      <c r="BO106" s="96"/>
      <c r="BP106" s="590">
        <v>2.84</v>
      </c>
      <c r="BQ106" s="572">
        <f t="shared" si="516"/>
        <v>0</v>
      </c>
      <c r="BR106" s="572">
        <f t="shared" si="517"/>
        <v>0</v>
      </c>
      <c r="BS106" s="572">
        <f t="shared" si="518"/>
        <v>0</v>
      </c>
      <c r="BT106" s="572">
        <f t="shared" si="519"/>
        <v>0</v>
      </c>
      <c r="BU106" s="572">
        <f t="shared" si="520"/>
        <v>0</v>
      </c>
      <c r="BV106" s="572">
        <f t="shared" si="521"/>
        <v>0</v>
      </c>
      <c r="BW106" s="572">
        <f t="shared" si="522"/>
        <v>0</v>
      </c>
      <c r="BX106" s="572">
        <f t="shared" si="523"/>
        <v>0</v>
      </c>
      <c r="BY106" s="586">
        <f>SUM(ROUND((AU106/BP106),2))</f>
        <v>0</v>
      </c>
      <c r="BZ106" s="586">
        <f t="shared" si="585"/>
        <v>0</v>
      </c>
      <c r="CA106" s="583">
        <f t="shared" si="526"/>
        <v>0</v>
      </c>
      <c r="CB106" s="572">
        <f t="shared" si="527"/>
        <v>0</v>
      </c>
      <c r="CC106" s="96"/>
      <c r="CD106" s="590">
        <v>3.45</v>
      </c>
      <c r="CE106" s="572">
        <f t="shared" si="528"/>
        <v>0</v>
      </c>
      <c r="CF106" s="572">
        <f t="shared" si="529"/>
        <v>0</v>
      </c>
      <c r="CG106" s="572">
        <f t="shared" si="530"/>
        <v>0</v>
      </c>
      <c r="CH106" s="572">
        <f t="shared" si="531"/>
        <v>0</v>
      </c>
      <c r="CI106" s="572">
        <f t="shared" si="532"/>
        <v>0</v>
      </c>
      <c r="CJ106" s="572">
        <f t="shared" si="533"/>
        <v>0</v>
      </c>
      <c r="CK106" s="572">
        <f t="shared" si="534"/>
        <v>0</v>
      </c>
      <c r="CL106" s="572">
        <f t="shared" si="535"/>
        <v>0</v>
      </c>
      <c r="CM106" s="586">
        <f>SUM(ROUND((AU106/CD106),2))</f>
        <v>0</v>
      </c>
      <c r="CN106" s="586">
        <f t="shared" si="586"/>
        <v>0</v>
      </c>
      <c r="CO106" s="583">
        <f t="shared" si="538"/>
        <v>0</v>
      </c>
      <c r="CP106" s="572">
        <f t="shared" si="539"/>
        <v>0</v>
      </c>
      <c r="CQ106" s="96"/>
      <c r="CR106" s="590">
        <v>4.2300000000000004</v>
      </c>
      <c r="CS106" s="572">
        <f t="shared" si="540"/>
        <v>0</v>
      </c>
      <c r="CT106" s="572">
        <f t="shared" si="541"/>
        <v>0</v>
      </c>
      <c r="CU106" s="572">
        <f t="shared" si="542"/>
        <v>0</v>
      </c>
      <c r="CV106" s="572">
        <f t="shared" si="543"/>
        <v>0</v>
      </c>
      <c r="CW106" s="572">
        <f t="shared" si="544"/>
        <v>0</v>
      </c>
      <c r="CX106" s="572">
        <f t="shared" si="545"/>
        <v>0</v>
      </c>
      <c r="CY106" s="572">
        <f t="shared" si="546"/>
        <v>0</v>
      </c>
      <c r="CZ106" s="572">
        <f t="shared" si="547"/>
        <v>0</v>
      </c>
      <c r="DA106" s="586">
        <f>SUM(ROUND((AU106/CR106),2))</f>
        <v>0</v>
      </c>
      <c r="DB106" s="586">
        <f t="shared" si="587"/>
        <v>0</v>
      </c>
      <c r="DC106" s="583">
        <f t="shared" si="550"/>
        <v>0</v>
      </c>
      <c r="DD106" s="572">
        <f t="shared" si="551"/>
        <v>0</v>
      </c>
      <c r="DE106" s="96"/>
      <c r="DF106" s="590">
        <v>5.2</v>
      </c>
      <c r="DG106" s="572">
        <f t="shared" si="552"/>
        <v>0</v>
      </c>
      <c r="DH106" s="572">
        <f t="shared" si="553"/>
        <v>0</v>
      </c>
      <c r="DI106" s="572">
        <f t="shared" si="554"/>
        <v>0</v>
      </c>
      <c r="DJ106" s="572">
        <f t="shared" si="555"/>
        <v>0</v>
      </c>
      <c r="DK106" s="572">
        <f t="shared" si="556"/>
        <v>0</v>
      </c>
      <c r="DL106" s="572">
        <f t="shared" si="557"/>
        <v>0</v>
      </c>
      <c r="DM106" s="572">
        <f t="shared" si="558"/>
        <v>0</v>
      </c>
      <c r="DN106" s="572">
        <f t="shared" si="559"/>
        <v>0</v>
      </c>
      <c r="DO106" s="586">
        <f>SUM(ROUND((AU106/DF106),2))</f>
        <v>0</v>
      </c>
      <c r="DP106" s="586">
        <f t="shared" si="588"/>
        <v>0</v>
      </c>
      <c r="DQ106" s="577">
        <f t="shared" si="562"/>
        <v>0</v>
      </c>
      <c r="DR106" s="96">
        <f t="shared" si="563"/>
        <v>0</v>
      </c>
      <c r="DS106" s="96"/>
      <c r="DT106" s="96" t="e">
        <f t="shared" si="564"/>
        <v>#VALUE!</v>
      </c>
      <c r="DU106" s="96" t="e">
        <f t="shared" si="565"/>
        <v>#VALUE!</v>
      </c>
      <c r="DV106" s="96" t="e">
        <f t="shared" si="566"/>
        <v>#VALUE!</v>
      </c>
      <c r="DW106" s="96" t="e">
        <f t="shared" si="567"/>
        <v>#VALUE!</v>
      </c>
      <c r="DX106" s="96" t="e">
        <f t="shared" si="568"/>
        <v>#VALUE!</v>
      </c>
      <c r="DY106" s="96" t="e">
        <f t="shared" si="569"/>
        <v>#VALUE!</v>
      </c>
      <c r="DZ106" s="96" t="e">
        <f t="shared" si="570"/>
        <v>#VALUE!</v>
      </c>
      <c r="EA106" s="96" t="e">
        <f t="shared" si="571"/>
        <v>#VALUE!</v>
      </c>
      <c r="EB106" s="96" t="e">
        <f t="shared" si="572"/>
        <v>#VALUE!</v>
      </c>
      <c r="EC106" s="96" t="e">
        <f t="shared" si="573"/>
        <v>#VALUE!</v>
      </c>
      <c r="ED106" s="96" t="e">
        <f t="shared" si="574"/>
        <v>#VALUE!</v>
      </c>
      <c r="EE106" s="96" t="e">
        <f t="shared" si="575"/>
        <v>#VALUE!</v>
      </c>
    </row>
    <row r="107" spans="1:135" ht="15" hidden="1" customHeight="1">
      <c r="A107" s="178">
        <v>8</v>
      </c>
      <c r="B107" s="2513"/>
      <c r="C107" s="1759">
        <v>8</v>
      </c>
      <c r="D107" s="1672" t="str">
        <f t="shared" si="590"/>
        <v>canon experimentale +5%</v>
      </c>
      <c r="E107" s="1673" t="str">
        <f t="shared" si="591"/>
        <v>Standard Gen. Purpose (MT) Cannon Battery</v>
      </c>
      <c r="F107" s="1673" t="str">
        <f t="shared" si="592"/>
        <v>Standard Gen. Purpose (MT) Cannon Battery</v>
      </c>
      <c r="G107" s="1681"/>
      <c r="H107" s="1681"/>
      <c r="I107" s="1673" t="str">
        <f t="shared" si="595"/>
        <v>canon experimentale +5%</v>
      </c>
      <c r="J107" s="1668">
        <v>6</v>
      </c>
      <c r="K107" s="1668">
        <f t="shared" si="593"/>
        <v>106</v>
      </c>
      <c r="L107" s="1668">
        <f>VLOOKUP($K$107,$C$6:$S$93,L100)</f>
        <v>1.1760000000000002</v>
      </c>
      <c r="M107" s="1668">
        <f t="shared" ref="M107:Z107" si="599">VLOOKUP($K$107,$C$6:$S$93,M100)</f>
        <v>11.676000000000002</v>
      </c>
      <c r="N107" s="1668">
        <f t="shared" si="599"/>
        <v>5</v>
      </c>
      <c r="O107" s="1668">
        <f t="shared" si="599"/>
        <v>1</v>
      </c>
      <c r="P107" s="1668">
        <f t="shared" si="599"/>
        <v>0</v>
      </c>
      <c r="Q107" s="1668">
        <f t="shared" si="599"/>
        <v>750</v>
      </c>
      <c r="R107" s="1668">
        <f t="shared" si="599"/>
        <v>350</v>
      </c>
      <c r="S107" s="1668">
        <f t="shared" si="599"/>
        <v>400</v>
      </c>
      <c r="T107" s="1668">
        <f t="shared" si="599"/>
        <v>100</v>
      </c>
      <c r="U107" s="1668">
        <f t="shared" si="599"/>
        <v>0.5</v>
      </c>
      <c r="V107" s="1668">
        <f t="shared" si="599"/>
        <v>1</v>
      </c>
      <c r="W107" s="1668">
        <f t="shared" si="599"/>
        <v>75</v>
      </c>
      <c r="X107" s="1668">
        <f t="shared" si="599"/>
        <v>2500</v>
      </c>
      <c r="Y107" s="1668">
        <f t="shared" si="599"/>
        <v>1</v>
      </c>
      <c r="Z107" s="1682">
        <f t="shared" si="599"/>
        <v>1</v>
      </c>
      <c r="AK107" s="572">
        <v>6</v>
      </c>
      <c r="AL107" s="456"/>
      <c r="AM107" s="573"/>
      <c r="AN107" s="573"/>
      <c r="AO107" s="573"/>
      <c r="AP107" s="573"/>
      <c r="AQ107" s="573"/>
      <c r="AR107" s="573"/>
      <c r="AS107" s="573"/>
      <c r="AT107" s="573"/>
      <c r="AU107" s="573"/>
      <c r="AV107" s="573"/>
      <c r="AW107" s="573"/>
      <c r="AX107" s="573"/>
      <c r="AY107" s="1546"/>
      <c r="AZ107" s="1546"/>
      <c r="BA107" s="152"/>
      <c r="BB107" s="591"/>
      <c r="BC107" s="573"/>
      <c r="BD107" s="573"/>
      <c r="BE107" s="573"/>
      <c r="BF107" s="573"/>
      <c r="BG107" s="573"/>
      <c r="BH107" s="573"/>
      <c r="BI107" s="573"/>
      <c r="BJ107" s="573"/>
      <c r="BK107" s="573"/>
      <c r="BL107" s="573"/>
      <c r="BM107" s="597"/>
      <c r="BN107" s="573"/>
      <c r="BO107" s="152"/>
      <c r="BP107" s="591"/>
      <c r="BQ107" s="573"/>
      <c r="BR107" s="573"/>
      <c r="BS107" s="573"/>
      <c r="BT107" s="573"/>
      <c r="BU107" s="573"/>
      <c r="BV107" s="573"/>
      <c r="BW107" s="573"/>
      <c r="BX107" s="573"/>
      <c r="BY107" s="573"/>
      <c r="BZ107" s="573"/>
      <c r="CA107" s="584"/>
      <c r="CB107" s="573"/>
      <c r="CC107" s="152"/>
      <c r="CD107" s="578"/>
      <c r="CE107" s="573"/>
      <c r="CF107" s="573"/>
      <c r="CG107" s="573"/>
      <c r="CH107" s="573"/>
      <c r="CI107" s="573"/>
      <c r="CJ107" s="573"/>
      <c r="CK107" s="573"/>
      <c r="CL107" s="573"/>
      <c r="CM107" s="573"/>
      <c r="CN107" s="573"/>
      <c r="CO107" s="584"/>
      <c r="CP107" s="573"/>
      <c r="CQ107" s="152"/>
      <c r="CR107" s="578"/>
      <c r="CS107" s="573"/>
      <c r="CT107" s="573"/>
      <c r="CU107" s="573"/>
      <c r="CV107" s="573"/>
      <c r="CW107" s="573"/>
      <c r="CX107" s="573"/>
      <c r="CY107" s="573"/>
      <c r="CZ107" s="573"/>
      <c r="DA107" s="573"/>
      <c r="DB107" s="573"/>
      <c r="DC107" s="584"/>
      <c r="DD107" s="573"/>
      <c r="DE107" s="152"/>
      <c r="DF107" s="578"/>
      <c r="DG107" s="573"/>
      <c r="DH107" s="573"/>
      <c r="DI107" s="573"/>
      <c r="DJ107" s="573"/>
      <c r="DK107" s="573"/>
      <c r="DL107" s="573"/>
      <c r="DM107" s="573"/>
      <c r="DN107" s="573"/>
      <c r="DO107" s="573"/>
      <c r="DP107" s="573"/>
      <c r="DQ107" s="579"/>
      <c r="DR107" s="152"/>
      <c r="DS107" s="152"/>
      <c r="DT107" s="152"/>
      <c r="DU107" s="152"/>
      <c r="DV107" s="152"/>
      <c r="DW107" s="152"/>
      <c r="DX107" s="152"/>
      <c r="DY107" s="152"/>
      <c r="DZ107" s="152"/>
      <c r="EA107" s="152"/>
      <c r="EB107" s="152"/>
      <c r="EC107" s="152"/>
      <c r="ED107" s="152"/>
      <c r="EE107" s="152"/>
    </row>
    <row r="108" spans="1:135" ht="15" hidden="1" customHeight="1">
      <c r="A108" s="178">
        <v>9</v>
      </c>
      <c r="B108" s="2513"/>
      <c r="C108" s="1759">
        <v>9</v>
      </c>
      <c r="D108" s="1672" t="str">
        <f t="shared" si="590"/>
        <v>canon standart (M)</v>
      </c>
      <c r="E108" s="1673" t="str">
        <f t="shared" si="591"/>
        <v>Precision Gen. Purpose MT Cannon Battery</v>
      </c>
      <c r="F108" s="1673" t="str">
        <f t="shared" si="592"/>
        <v>Precision Gen. Purpose MT Cannon Battery</v>
      </c>
      <c r="G108" s="1681"/>
      <c r="H108" s="1681"/>
      <c r="I108" s="1673" t="str">
        <f t="shared" si="595"/>
        <v>canon standart (M)</v>
      </c>
      <c r="J108" s="1668">
        <v>7</v>
      </c>
      <c r="K108" s="1668">
        <f t="shared" si="593"/>
        <v>107</v>
      </c>
      <c r="L108" s="1668">
        <f>VLOOKUP($K$108,$C$6:$S$93,L100)</f>
        <v>1.1200000000000001</v>
      </c>
      <c r="M108" s="1668">
        <f t="shared" ref="M108:Z108" si="600">VLOOKUP($K$108,$C$6:$S$93,M100)</f>
        <v>11.120000000000001</v>
      </c>
      <c r="N108" s="1668">
        <f t="shared" si="600"/>
        <v>5</v>
      </c>
      <c r="O108" s="1668">
        <f t="shared" si="600"/>
        <v>1</v>
      </c>
      <c r="P108" s="1668">
        <f t="shared" si="600"/>
        <v>0</v>
      </c>
      <c r="Q108" s="1668">
        <f t="shared" si="600"/>
        <v>750</v>
      </c>
      <c r="R108" s="1668">
        <f t="shared" si="600"/>
        <v>316.67</v>
      </c>
      <c r="S108" s="1668">
        <f t="shared" si="600"/>
        <v>400</v>
      </c>
      <c r="T108" s="1668">
        <f t="shared" si="600"/>
        <v>100</v>
      </c>
      <c r="U108" s="1668">
        <f t="shared" si="600"/>
        <v>0.5</v>
      </c>
      <c r="V108" s="1668">
        <f t="shared" si="600"/>
        <v>1</v>
      </c>
      <c r="W108" s="1668">
        <f t="shared" si="600"/>
        <v>75</v>
      </c>
      <c r="X108" s="1668">
        <f t="shared" si="600"/>
        <v>2777.7799999999997</v>
      </c>
      <c r="Y108" s="1668">
        <f t="shared" si="600"/>
        <v>1</v>
      </c>
      <c r="Z108" s="1682">
        <f t="shared" si="600"/>
        <v>1</v>
      </c>
      <c r="AK108" s="572">
        <v>7</v>
      </c>
      <c r="AL108" s="456"/>
      <c r="AM108" s="573"/>
      <c r="AN108" s="573"/>
      <c r="AO108" s="573"/>
      <c r="AP108" s="573"/>
      <c r="AQ108" s="573"/>
      <c r="AR108" s="573"/>
      <c r="AS108" s="573"/>
      <c r="AT108" s="573"/>
      <c r="AU108" s="573"/>
      <c r="AV108" s="573"/>
      <c r="AW108" s="573"/>
      <c r="AX108" s="573"/>
      <c r="AY108" s="1546"/>
      <c r="AZ108" s="1546"/>
      <c r="BA108" s="152"/>
      <c r="BB108" s="591"/>
      <c r="BC108" s="573"/>
      <c r="BD108" s="573"/>
      <c r="BE108" s="573"/>
      <c r="BF108" s="573"/>
      <c r="BG108" s="573"/>
      <c r="BH108" s="573"/>
      <c r="BI108" s="573"/>
      <c r="BJ108" s="573"/>
      <c r="BK108" s="573"/>
      <c r="BL108" s="573"/>
      <c r="BM108" s="597"/>
      <c r="BN108" s="573"/>
      <c r="BO108" s="152"/>
      <c r="BP108" s="591"/>
      <c r="BQ108" s="573"/>
      <c r="BR108" s="573"/>
      <c r="BS108" s="573"/>
      <c r="BT108" s="573"/>
      <c r="BU108" s="573"/>
      <c r="BV108" s="573"/>
      <c r="BW108" s="573"/>
      <c r="BX108" s="573"/>
      <c r="BY108" s="573"/>
      <c r="BZ108" s="573"/>
      <c r="CA108" s="584"/>
      <c r="CB108" s="573"/>
      <c r="CC108" s="152"/>
      <c r="CD108" s="578"/>
      <c r="CE108" s="573"/>
      <c r="CF108" s="573"/>
      <c r="CG108" s="573"/>
      <c r="CH108" s="573"/>
      <c r="CI108" s="573"/>
      <c r="CJ108" s="573"/>
      <c r="CK108" s="573"/>
      <c r="CL108" s="573"/>
      <c r="CM108" s="573"/>
      <c r="CN108" s="573"/>
      <c r="CO108" s="584"/>
      <c r="CP108" s="573"/>
      <c r="CQ108" s="152"/>
      <c r="CR108" s="578"/>
      <c r="CS108" s="573"/>
      <c r="CT108" s="573"/>
      <c r="CU108" s="573"/>
      <c r="CV108" s="573"/>
      <c r="CW108" s="573"/>
      <c r="CX108" s="573"/>
      <c r="CY108" s="573"/>
      <c r="CZ108" s="573"/>
      <c r="DA108" s="573"/>
      <c r="DB108" s="573"/>
      <c r="DC108" s="584"/>
      <c r="DD108" s="573"/>
      <c r="DE108" s="152"/>
      <c r="DF108" s="578"/>
      <c r="DG108" s="573"/>
      <c r="DH108" s="573"/>
      <c r="DI108" s="573"/>
      <c r="DJ108" s="573"/>
      <c r="DK108" s="573"/>
      <c r="DL108" s="573"/>
      <c r="DM108" s="573"/>
      <c r="DN108" s="573"/>
      <c r="DO108" s="573"/>
      <c r="DP108" s="573"/>
      <c r="DQ108" s="579"/>
      <c r="DR108" s="152"/>
      <c r="DS108" s="152"/>
      <c r="DT108" s="152"/>
      <c r="DU108" s="152"/>
      <c r="DV108" s="152"/>
      <c r="DW108" s="152"/>
      <c r="DX108" s="152"/>
      <c r="DY108" s="152"/>
      <c r="DZ108" s="152"/>
      <c r="EA108" s="152"/>
      <c r="EB108" s="152"/>
      <c r="EC108" s="152"/>
      <c r="ED108" s="152"/>
      <c r="EE108" s="152"/>
    </row>
    <row r="109" spans="1:135" ht="15" hidden="1" customHeight="1">
      <c r="A109" s="178">
        <v>10</v>
      </c>
      <c r="B109" s="2513"/>
      <c r="C109" s="1759">
        <v>10</v>
      </c>
      <c r="D109" s="1672" t="str">
        <f t="shared" si="590"/>
        <v xml:space="preserve"> canon critique (P)</v>
      </c>
      <c r="E109" s="1673" t="str">
        <f t="shared" si="591"/>
        <v>Standard Long Range (MT) Cannon Battery</v>
      </c>
      <c r="F109" s="1673" t="str">
        <f t="shared" si="592"/>
        <v>Standard Long Range (MT) Cannon Battery</v>
      </c>
      <c r="G109" s="1681"/>
      <c r="H109" s="1681"/>
      <c r="I109" s="1673" t="str">
        <f t="shared" si="595"/>
        <v xml:space="preserve"> canon critique (P)</v>
      </c>
      <c r="J109" s="1668">
        <v>8</v>
      </c>
      <c r="K109" s="1668">
        <f t="shared" si="593"/>
        <v>108</v>
      </c>
      <c r="L109" s="1668">
        <f>VLOOKUP($K$109,$C$6:$S$93,L100)</f>
        <v>1.1200000000000001</v>
      </c>
      <c r="M109" s="1668">
        <f t="shared" ref="M109:Z109" si="601">VLOOKUP($K$109,$C$6:$S$93,M100)</f>
        <v>11.120000000000001</v>
      </c>
      <c r="N109" s="1668">
        <f t="shared" si="601"/>
        <v>5</v>
      </c>
      <c r="O109" s="1668">
        <f t="shared" si="601"/>
        <v>1</v>
      </c>
      <c r="P109" s="1668">
        <f t="shared" si="601"/>
        <v>0</v>
      </c>
      <c r="Q109" s="1668">
        <f t="shared" si="601"/>
        <v>750</v>
      </c>
      <c r="R109" s="1668">
        <f t="shared" si="601"/>
        <v>300</v>
      </c>
      <c r="S109" s="1668">
        <f t="shared" si="601"/>
        <v>400</v>
      </c>
      <c r="T109" s="1668">
        <f t="shared" si="601"/>
        <v>105.56</v>
      </c>
      <c r="U109" s="1668">
        <f t="shared" si="601"/>
        <v>0.5</v>
      </c>
      <c r="V109" s="1668">
        <f t="shared" si="601"/>
        <v>1</v>
      </c>
      <c r="W109" s="1668">
        <f t="shared" si="601"/>
        <v>75</v>
      </c>
      <c r="X109" s="1668">
        <f t="shared" si="601"/>
        <v>2777.7799999999997</v>
      </c>
      <c r="Y109" s="1668">
        <f t="shared" si="601"/>
        <v>1</v>
      </c>
      <c r="Z109" s="1682">
        <f t="shared" si="601"/>
        <v>1</v>
      </c>
      <c r="AK109" s="572">
        <v>8</v>
      </c>
      <c r="AL109" s="456"/>
      <c r="AM109" s="572"/>
      <c r="AN109" s="572"/>
      <c r="AO109" s="572"/>
      <c r="AP109" s="572"/>
      <c r="AQ109" s="572"/>
      <c r="AR109" s="572"/>
      <c r="AS109" s="572"/>
      <c r="AT109" s="572"/>
      <c r="AU109" s="572"/>
      <c r="AV109" s="572"/>
      <c r="AW109" s="572"/>
      <c r="AX109" s="572"/>
      <c r="AY109" s="1545"/>
      <c r="AZ109" s="1545"/>
      <c r="BA109" s="96"/>
      <c r="BB109" s="589"/>
      <c r="BC109" s="572">
        <f t="shared" ref="BC109" si="602">SUM(((AM109*0.9)*1))</f>
        <v>0</v>
      </c>
      <c r="BD109" s="572">
        <f t="shared" ref="BD109" si="603">SUM(((AN109*0.9)*1))</f>
        <v>0</v>
      </c>
      <c r="BE109" s="572">
        <f t="shared" ref="BE109" si="604">SUM(((AO109*0.9)*1))</f>
        <v>0</v>
      </c>
      <c r="BF109" s="572">
        <f t="shared" ref="BF109" si="605">SUM(((AP109*0.9)*1))</f>
        <v>0</v>
      </c>
      <c r="BG109" s="572">
        <f t="shared" ref="BG109" si="606">SUM(((AQ109*0.9)*1))</f>
        <v>0</v>
      </c>
      <c r="BH109" s="572">
        <f t="shared" ref="BH109" si="607">SUM(((AR109*0.9)*1))</f>
        <v>0</v>
      </c>
      <c r="BI109" s="572">
        <f t="shared" ref="BI109" si="608">SUM(((AS109*0.9)*1))</f>
        <v>0</v>
      </c>
      <c r="BJ109" s="572">
        <f t="shared" ref="BJ109" si="609">SUM(((AT109*0.9)*1))</f>
        <v>0</v>
      </c>
      <c r="BK109" s="572">
        <f t="shared" ref="BK109" si="610">SUM(((AU109*0.9)*1))</f>
        <v>0</v>
      </c>
      <c r="BL109" s="572">
        <f t="shared" ref="BL109" si="611">SUM(((AV109*0.9)*1))</f>
        <v>0</v>
      </c>
      <c r="BM109" s="583">
        <f t="shared" ref="BM109" si="612">SUM(((AW109*0.9)*1))</f>
        <v>0</v>
      </c>
      <c r="BN109" s="572">
        <f t="shared" ref="BN109" si="613">SUM(((AX109*0.9)*1))</f>
        <v>0</v>
      </c>
      <c r="BO109" s="96"/>
      <c r="BP109" s="589"/>
      <c r="BQ109" s="572">
        <f t="shared" ref="BQ109" si="614">SUM(((AM109*0.9)*0.9))</f>
        <v>0</v>
      </c>
      <c r="BR109" s="572">
        <f t="shared" ref="BR109" si="615">SUM(((AN109*0.9)*0.9))</f>
        <v>0</v>
      </c>
      <c r="BS109" s="572">
        <f t="shared" ref="BS109" si="616">SUM(((AO109*0.9)*0.9))</f>
        <v>0</v>
      </c>
      <c r="BT109" s="572">
        <f t="shared" ref="BT109" si="617">SUM(((AP109*0.9)*0.9))</f>
        <v>0</v>
      </c>
      <c r="BU109" s="572">
        <f t="shared" ref="BU109" si="618">SUM(((AQ109*0.9)*0.9))</f>
        <v>0</v>
      </c>
      <c r="BV109" s="572">
        <f t="shared" ref="BV109" si="619">SUM(((AR109*0.9)*0.9))</f>
        <v>0</v>
      </c>
      <c r="BW109" s="572">
        <f t="shared" ref="BW109" si="620">SUM(((AS109*0.9)*0.9))</f>
        <v>0</v>
      </c>
      <c r="BX109" s="572">
        <f t="shared" ref="BX109" si="621">SUM(((AT109*0.9)*0.9))</f>
        <v>0</v>
      </c>
      <c r="BY109" s="572">
        <f t="shared" ref="BY109" si="622">SUM(((AU109*0.9)*0.9))</f>
        <v>0</v>
      </c>
      <c r="BZ109" s="572">
        <f t="shared" ref="BZ109" si="623">SUM(((AV109*0.9)*0.9))</f>
        <v>0</v>
      </c>
      <c r="CA109" s="583">
        <f t="shared" ref="CA109" si="624">SUM(((AW109*0.9)*0.9))</f>
        <v>0</v>
      </c>
      <c r="CB109" s="572">
        <f t="shared" ref="CB109" si="625">SUM(((AX109*0.9)*0.9))</f>
        <v>0</v>
      </c>
      <c r="CC109" s="96"/>
      <c r="CD109" s="576"/>
      <c r="CE109" s="572">
        <f t="shared" ref="CE109" si="626">SUM(((AM109*0.9)*0.8))</f>
        <v>0</v>
      </c>
      <c r="CF109" s="572">
        <f t="shared" ref="CF109" si="627">SUM(((AN109*0.9)*0.8))</f>
        <v>0</v>
      </c>
      <c r="CG109" s="572">
        <f t="shared" ref="CG109" si="628">SUM(((AO109*0.9)*0.8))</f>
        <v>0</v>
      </c>
      <c r="CH109" s="572">
        <f t="shared" ref="CH109" si="629">SUM(((AP109*0.9)*0.8))</f>
        <v>0</v>
      </c>
      <c r="CI109" s="572">
        <f t="shared" ref="CI109" si="630">SUM(((AQ109*0.9)*0.8))</f>
        <v>0</v>
      </c>
      <c r="CJ109" s="572">
        <f t="shared" ref="CJ109" si="631">SUM(((AR109*0.9)*0.8))</f>
        <v>0</v>
      </c>
      <c r="CK109" s="572">
        <f t="shared" ref="CK109" si="632">SUM(((AS109*0.9)*0.8))</f>
        <v>0</v>
      </c>
      <c r="CL109" s="572">
        <f t="shared" ref="CL109" si="633">SUM(((AT109*0.9)*0.8))</f>
        <v>0</v>
      </c>
      <c r="CM109" s="572">
        <f t="shared" ref="CM109" si="634">SUM(((AU109*0.9)*0.8))</f>
        <v>0</v>
      </c>
      <c r="CN109" s="572">
        <f t="shared" ref="CN109" si="635">SUM(((AV109*0.9)*0.8))</f>
        <v>0</v>
      </c>
      <c r="CO109" s="583">
        <f t="shared" ref="CO109" si="636">SUM(((AW109*0.9)*0.8))</f>
        <v>0</v>
      </c>
      <c r="CP109" s="572">
        <f t="shared" ref="CP109" si="637">SUM(((AX109*0.9)*0.8))</f>
        <v>0</v>
      </c>
      <c r="CQ109" s="96"/>
      <c r="CR109" s="576"/>
      <c r="CS109" s="572">
        <f t="shared" ref="CS109" si="638">SUM(((AM109*0.9)*0.7))</f>
        <v>0</v>
      </c>
      <c r="CT109" s="572">
        <f t="shared" ref="CT109" si="639">SUM(((AN109*0.9)*0.7))</f>
        <v>0</v>
      </c>
      <c r="CU109" s="572">
        <f t="shared" ref="CU109" si="640">SUM(((AO109*0.9)*0.7))</f>
        <v>0</v>
      </c>
      <c r="CV109" s="572">
        <f t="shared" ref="CV109" si="641">SUM(((AP109*0.9)*0.7))</f>
        <v>0</v>
      </c>
      <c r="CW109" s="572">
        <f t="shared" ref="CW109" si="642">SUM(((AQ109*0.9)*0.7))</f>
        <v>0</v>
      </c>
      <c r="CX109" s="572">
        <f t="shared" ref="CX109" si="643">SUM(((AR109*0.9)*0.7))</f>
        <v>0</v>
      </c>
      <c r="CY109" s="572">
        <f t="shared" ref="CY109" si="644">SUM(((AS109*0.9)*0.7))</f>
        <v>0</v>
      </c>
      <c r="CZ109" s="572">
        <f t="shared" ref="CZ109" si="645">SUM(((AT109*0.9)*0.7))</f>
        <v>0</v>
      </c>
      <c r="DA109" s="572">
        <f t="shared" ref="DA109" si="646">SUM(((AU109*0.9)*0.7))</f>
        <v>0</v>
      </c>
      <c r="DB109" s="572">
        <f t="shared" ref="DB109" si="647">SUM(((AV109*0.9)*0.7))</f>
        <v>0</v>
      </c>
      <c r="DC109" s="583">
        <f t="shared" ref="DC109" si="648">SUM(((AW109*0.9)*0.7))</f>
        <v>0</v>
      </c>
      <c r="DD109" s="572">
        <f t="shared" ref="DD109" si="649">SUM(((AX109*0.9)*0.7))</f>
        <v>0</v>
      </c>
      <c r="DE109" s="96"/>
      <c r="DF109" s="576"/>
      <c r="DG109" s="572">
        <f t="shared" ref="DG109" si="650">SUM(((AM109*0.9)*0.6))</f>
        <v>0</v>
      </c>
      <c r="DH109" s="572">
        <f t="shared" ref="DH109" si="651">SUM(((AN109*0.9)*0.6))</f>
        <v>0</v>
      </c>
      <c r="DI109" s="572">
        <f t="shared" ref="DI109" si="652">SUM(((AO109*0.9)*0.6))</f>
        <v>0</v>
      </c>
      <c r="DJ109" s="572">
        <f t="shared" ref="DJ109" si="653">SUM(((AP109*0.9)*0.6))</f>
        <v>0</v>
      </c>
      <c r="DK109" s="572">
        <f t="shared" ref="DK109" si="654">SUM(((AQ109*0.9)*0.6))</f>
        <v>0</v>
      </c>
      <c r="DL109" s="572">
        <f t="shared" ref="DL109" si="655">SUM(((AR109*0.9)*0.6))</f>
        <v>0</v>
      </c>
      <c r="DM109" s="572">
        <f t="shared" ref="DM109" si="656">SUM(((AS109*0.9)*0.6))</f>
        <v>0</v>
      </c>
      <c r="DN109" s="572">
        <f t="shared" ref="DN109" si="657">SUM(((AT109*0.9)*0.6))</f>
        <v>0</v>
      </c>
      <c r="DO109" s="572">
        <f t="shared" ref="DO109" si="658">SUM(((AU109*0.9)*0.6))</f>
        <v>0</v>
      </c>
      <c r="DP109" s="572">
        <f t="shared" ref="DP109" si="659">SUM(((AV109*0.9)*0.6))</f>
        <v>0</v>
      </c>
      <c r="DQ109" s="577">
        <f t="shared" ref="DQ109" si="660">SUM(((AW109*0.9)*0.6))</f>
        <v>0</v>
      </c>
      <c r="DR109" s="96">
        <f t="shared" ref="DR109" si="661">SUM(((AX109*0.9)*0.6))</f>
        <v>0</v>
      </c>
      <c r="DS109" s="96"/>
      <c r="DT109" s="96" t="e">
        <f>CHOOSE((AK109-9),BC109,(BC109+BQ109),((BC109+BQ109)+CE109),(((BC109+BQ109)+CE109)+CS109),((((BC109+BQ109)+CE109)+CS109)+DG109),)</f>
        <v>#VALUE!</v>
      </c>
      <c r="DU109" s="96" t="e">
        <f>CHOOSE((AK109-9),BD109,(BD109+BR109),((BD109+BR109)+CF109),(((BD109+BR109)+CF109)+CT109),((((BD109+BR109)+CF109)+CT109)+DH109),)</f>
        <v>#VALUE!</v>
      </c>
      <c r="DV109" s="96" t="e">
        <f>CHOOSE((AK109-9),BE109,(BE109+BS109),((BE109+BS109)+CG109),(((BE109+BS109)+CG109)+CU109),((((BE109+BS109)+CG109)+CU109)+DI109),)</f>
        <v>#VALUE!</v>
      </c>
      <c r="DW109" s="96" t="e">
        <f>CHOOSE((AK109-9),BF109,(BF109+BT109),((BF109+BT109)+CH109),(((BF109+BT109)+CH109)+CV109),((((BF109+BT109)+CH109)+CV109)+DJ109),)</f>
        <v>#VALUE!</v>
      </c>
      <c r="DX109" s="96" t="e">
        <f>CHOOSE((AK109-9),BG109,(BG109+BU109),((BG109+BU109)+CI109),(((BG109+BU109)+CI109)+CW109),((((BG109+BU109)+CI109)+CW109)+DK109),)</f>
        <v>#VALUE!</v>
      </c>
      <c r="DY109" s="96" t="e">
        <f>CHOOSE((AK109-9),BH109,(BH109+BV109),((BH109+BV109)+CJ109),(((BH109+BV109)+CJ109)+CX109),((((BH109+BV109)+CJ109)+CX109)+DL109),)</f>
        <v>#VALUE!</v>
      </c>
      <c r="DZ109" s="96" t="e">
        <f>CHOOSE((AK109-9),BI109,(BI109+BW109),((BI109+BW109)+CK109),(((BI109+BW109)+CK109)+CY109),((((BI109+BW109)+CK109)+CY109)+DM109),)</f>
        <v>#VALUE!</v>
      </c>
      <c r="EA109" s="96" t="e">
        <f>CHOOSE((AK109-9),BJ109,(BJ109+BX109),((BJ109+BX109)+CL109),(((BJ109+BX109)+CL109)+CZ109),((((BJ109+BX109)+CL109)+CZ109)+DN109),)</f>
        <v>#VALUE!</v>
      </c>
      <c r="EB109" s="96" t="e">
        <f>CHOOSE((AK109-9),BK109,(BK109+BY109),((BK109+BY109)+CM109),(((BK109+BY109)+CM109)+DA109),((((BK109+BY109)+CM109)+DA109)+DO109),)</f>
        <v>#VALUE!</v>
      </c>
      <c r="EC109" s="96" t="e">
        <f>CHOOSE((AK109-9),BL109,(BL109+BZ109),((BL109+BZ109)+CN109),(((BL109+BZ109)+CN109)+DB109),((((BL109+BZ109)+CN109)+DB109)+DP109),)</f>
        <v>#VALUE!</v>
      </c>
      <c r="ED109" s="96" t="e">
        <f>CHOOSE((AK109-9),BM109,(BM109+CA109),((BM109+CA109)+CO109),(((BM109+CA109)+CO109)+DC109),((((BM109+CA109)+CO109)+DC109)+DQ109),)</f>
        <v>#VALUE!</v>
      </c>
      <c r="EE109" s="96" t="e">
        <f>CHOOSE((AK109-9),BN109,(BN109+CB109),((BN109+CB109)+CP109),(((BN109+CB109)+CP109)+DD109),((((BN109+CB109)+CP109)+DD109)+DR109),)</f>
        <v>#VALUE!</v>
      </c>
    </row>
    <row r="110" spans="1:135" ht="15" hidden="1" customHeight="1">
      <c r="A110" s="178">
        <v>11</v>
      </c>
      <c r="B110" s="2513"/>
      <c r="C110" s="1759">
        <v>11</v>
      </c>
      <c r="D110" s="1672" t="str">
        <f t="shared" si="590"/>
        <v xml:space="preserve"> canon long standart (M)</v>
      </c>
      <c r="E110" s="1673" t="str">
        <f t="shared" si="591"/>
        <v>Precision Long Range MT Cannon Battery</v>
      </c>
      <c r="F110" s="1673" t="str">
        <f t="shared" si="592"/>
        <v>Precision Long Range MT Cannon Battery</v>
      </c>
      <c r="G110" s="1681"/>
      <c r="H110" s="1681"/>
      <c r="I110" s="1673" t="str">
        <f t="shared" si="595"/>
        <v xml:space="preserve"> canon long standart (M)</v>
      </c>
      <c r="J110" s="1668">
        <v>9</v>
      </c>
      <c r="K110" s="1668">
        <f t="shared" si="593"/>
        <v>109</v>
      </c>
      <c r="L110" s="1668">
        <f>VLOOKUP($K$110,$C$6:$S$93,L100)</f>
        <v>1.1200000000000001</v>
      </c>
      <c r="M110" s="1668">
        <f t="shared" ref="M110:Z110" si="662">VLOOKUP($K$110,$C$6:$S$93,M100)</f>
        <v>11.120000000000001</v>
      </c>
      <c r="N110" s="1668">
        <f t="shared" si="662"/>
        <v>5</v>
      </c>
      <c r="O110" s="1668">
        <f t="shared" si="662"/>
        <v>1</v>
      </c>
      <c r="P110" s="1668">
        <f t="shared" si="662"/>
        <v>0</v>
      </c>
      <c r="Q110" s="1668">
        <f t="shared" si="662"/>
        <v>900</v>
      </c>
      <c r="R110" s="1668">
        <f t="shared" si="662"/>
        <v>372.23</v>
      </c>
      <c r="S110" s="1668">
        <f t="shared" si="662"/>
        <v>400</v>
      </c>
      <c r="T110" s="1668">
        <f t="shared" si="662"/>
        <v>100</v>
      </c>
      <c r="U110" s="1668">
        <f t="shared" si="662"/>
        <v>0.6</v>
      </c>
      <c r="V110" s="1668">
        <f t="shared" si="662"/>
        <v>1</v>
      </c>
      <c r="W110" s="1668">
        <f t="shared" si="662"/>
        <v>75</v>
      </c>
      <c r="X110" s="1668">
        <f t="shared" si="662"/>
        <v>2777.7799999999997</v>
      </c>
      <c r="Y110" s="1668">
        <f t="shared" si="662"/>
        <v>1</v>
      </c>
      <c r="Z110" s="1682">
        <f t="shared" si="662"/>
        <v>1</v>
      </c>
    </row>
    <row r="111" spans="1:135" ht="15" hidden="1" customHeight="1">
      <c r="A111" s="178">
        <v>12</v>
      </c>
      <c r="B111" s="2513"/>
      <c r="C111" s="1759">
        <v>12</v>
      </c>
      <c r="D111" s="1672" t="str">
        <f t="shared" si="590"/>
        <v xml:space="preserve"> canon long critique (P)</v>
      </c>
      <c r="E111" s="1673" t="str">
        <f t="shared" si="591"/>
        <v>Mining Battery</v>
      </c>
      <c r="F111" s="1673" t="str">
        <f>D55</f>
        <v>Point Defence  Battery</v>
      </c>
      <c r="G111" s="1681"/>
      <c r="H111" s="1681"/>
      <c r="I111" s="1673" t="str">
        <f t="shared" si="595"/>
        <v xml:space="preserve"> canon long critique (P)</v>
      </c>
      <c r="J111" s="1668">
        <v>10</v>
      </c>
      <c r="K111" s="1668">
        <f t="shared" si="593"/>
        <v>110</v>
      </c>
      <c r="L111" s="1668">
        <f>VLOOKUP($K$111,$C$6:$S$93,L100)</f>
        <v>1.1200000000000001</v>
      </c>
      <c r="M111" s="1668">
        <f t="shared" ref="M111:Z111" si="663">VLOOKUP($K$111,$C$6:$S$93,M100)</f>
        <v>11.120000000000001</v>
      </c>
      <c r="N111" s="1668">
        <f t="shared" si="663"/>
        <v>5</v>
      </c>
      <c r="O111" s="1668">
        <f t="shared" si="663"/>
        <v>1</v>
      </c>
      <c r="P111" s="1668">
        <f t="shared" si="663"/>
        <v>0</v>
      </c>
      <c r="Q111" s="1668">
        <f t="shared" si="663"/>
        <v>900</v>
      </c>
      <c r="R111" s="1668">
        <f t="shared" si="663"/>
        <v>350</v>
      </c>
      <c r="S111" s="1668">
        <f t="shared" si="663"/>
        <v>400</v>
      </c>
      <c r="T111" s="1668">
        <f t="shared" si="663"/>
        <v>105.56</v>
      </c>
      <c r="U111" s="1668">
        <f t="shared" si="663"/>
        <v>0.6</v>
      </c>
      <c r="V111" s="1668">
        <f t="shared" si="663"/>
        <v>1</v>
      </c>
      <c r="W111" s="1668">
        <f t="shared" si="663"/>
        <v>75</v>
      </c>
      <c r="X111" s="1668">
        <f t="shared" si="663"/>
        <v>2777.7799999999997</v>
      </c>
      <c r="Y111" s="1668">
        <f t="shared" si="663"/>
        <v>1</v>
      </c>
      <c r="Z111" s="1682">
        <f t="shared" si="663"/>
        <v>1</v>
      </c>
    </row>
    <row r="112" spans="1:135" ht="15" hidden="1" customHeight="1">
      <c r="A112" s="178">
        <v>13</v>
      </c>
      <c r="B112" s="2513"/>
      <c r="C112" s="1759">
        <v>13</v>
      </c>
      <c r="D112" s="1672" t="str">
        <f t="shared" si="590"/>
        <v>canon d'extraction</v>
      </c>
      <c r="E112" s="1673" t="str">
        <f t="shared" si="591"/>
        <v>Experimental Mining Battery</v>
      </c>
      <c r="F112" s="1673" t="str">
        <f>D54</f>
        <v>Flak  Battery</v>
      </c>
      <c r="G112" s="1673"/>
      <c r="H112" s="1673"/>
      <c r="I112" s="1673" t="str">
        <f t="shared" si="595"/>
        <v>canon d'extraction</v>
      </c>
      <c r="J112" s="1668">
        <v>11</v>
      </c>
      <c r="K112" s="1668">
        <f t="shared" si="593"/>
        <v>111</v>
      </c>
      <c r="L112" s="1668">
        <f>VLOOKUP($K$112,$C$6:$S$93,L100)</f>
        <v>1.1200000000000001</v>
      </c>
      <c r="M112" s="1668">
        <f t="shared" ref="M112:Z112" si="664">VLOOKUP($K$112,$C$6:$S$93,M100)</f>
        <v>4.45</v>
      </c>
      <c r="N112" s="1668">
        <f t="shared" si="664"/>
        <v>5</v>
      </c>
      <c r="O112" s="1668">
        <f t="shared" si="664"/>
        <v>5</v>
      </c>
      <c r="P112" s="1668">
        <f t="shared" si="664"/>
        <v>0</v>
      </c>
      <c r="Q112" s="1668">
        <f t="shared" si="664"/>
        <v>600</v>
      </c>
      <c r="R112" s="1668">
        <f t="shared" si="664"/>
        <v>261.12</v>
      </c>
      <c r="S112" s="1668">
        <f t="shared" si="664"/>
        <v>400</v>
      </c>
      <c r="T112" s="1668">
        <f t="shared" si="664"/>
        <v>100</v>
      </c>
      <c r="U112" s="1668">
        <f t="shared" si="664"/>
        <v>0.5</v>
      </c>
      <c r="V112" s="1668">
        <f t="shared" si="664"/>
        <v>2</v>
      </c>
      <c r="W112" s="1668">
        <f t="shared" si="664"/>
        <v>75</v>
      </c>
      <c r="X112" s="1668">
        <f t="shared" si="664"/>
        <v>2777.7799999999997</v>
      </c>
      <c r="Y112" s="1668">
        <f t="shared" si="664"/>
        <v>1</v>
      </c>
      <c r="Z112" s="1682">
        <f t="shared" si="664"/>
        <v>1</v>
      </c>
    </row>
    <row r="113" spans="1:27" ht="15" hidden="1" customHeight="1">
      <c r="A113" s="178">
        <v>14</v>
      </c>
      <c r="B113" s="2513"/>
      <c r="C113" s="1759">
        <v>14</v>
      </c>
      <c r="D113" s="1672" t="str">
        <f t="shared" si="590"/>
        <v>canon experimentale d'extraction</v>
      </c>
      <c r="E113" s="1673" t="str">
        <f t="shared" si="591"/>
        <v>Standard Gen. Purpose (MT) Missile Battery</v>
      </c>
      <c r="F113" s="1673" t="str">
        <f t="shared" si="592"/>
        <v>Mining Battery</v>
      </c>
      <c r="G113" s="1673"/>
      <c r="H113" s="1673"/>
      <c r="I113" s="1673" t="str">
        <f t="shared" si="595"/>
        <v>canon experimentale d'extraction</v>
      </c>
      <c r="J113" s="1668">
        <v>12</v>
      </c>
      <c r="K113" s="1668">
        <f t="shared" si="593"/>
        <v>112</v>
      </c>
      <c r="L113" s="1668">
        <f>VLOOKUP($K$113,$C$6:$S$93,L100)</f>
        <v>1.1200000000000001</v>
      </c>
      <c r="M113" s="1668">
        <f t="shared" ref="M113:Z113" si="665">VLOOKUP($K$113,$C$6:$S$93,M100)</f>
        <v>4.45</v>
      </c>
      <c r="N113" s="1668">
        <f t="shared" si="665"/>
        <v>5</v>
      </c>
      <c r="O113" s="1668">
        <f t="shared" si="665"/>
        <v>7.5</v>
      </c>
      <c r="P113" s="1668">
        <f t="shared" si="665"/>
        <v>0</v>
      </c>
      <c r="Q113" s="1668">
        <f t="shared" si="665"/>
        <v>600</v>
      </c>
      <c r="R113" s="1668">
        <f t="shared" si="665"/>
        <v>261.12</v>
      </c>
      <c r="S113" s="1668">
        <f t="shared" si="665"/>
        <v>400</v>
      </c>
      <c r="T113" s="1668">
        <f t="shared" si="665"/>
        <v>100</v>
      </c>
      <c r="U113" s="1668">
        <f t="shared" si="665"/>
        <v>0.5</v>
      </c>
      <c r="V113" s="1668">
        <f t="shared" si="665"/>
        <v>2</v>
      </c>
      <c r="W113" s="1668">
        <f t="shared" si="665"/>
        <v>75</v>
      </c>
      <c r="X113" s="1668">
        <f t="shared" si="665"/>
        <v>2777.7799999999997</v>
      </c>
      <c r="Y113" s="1668">
        <f t="shared" si="665"/>
        <v>1</v>
      </c>
      <c r="Z113" s="1682">
        <f t="shared" si="665"/>
        <v>1</v>
      </c>
    </row>
    <row r="114" spans="1:27" ht="15" hidden="1" customHeight="1">
      <c r="A114" s="178">
        <v>15</v>
      </c>
      <c r="B114" s="2513"/>
      <c r="C114" s="1759">
        <v>15</v>
      </c>
      <c r="D114" s="1672" t="str">
        <f t="shared" si="590"/>
        <v>Novas</v>
      </c>
      <c r="E114" s="1673" t="str">
        <f t="shared" si="591"/>
        <v>Precision Gen. Purpose MT Missile Battery</v>
      </c>
      <c r="F114" s="1673" t="str">
        <f t="shared" si="592"/>
        <v>Experimental Mining Battery</v>
      </c>
      <c r="G114" s="1673"/>
      <c r="H114" s="1673"/>
      <c r="I114" s="1673" t="str">
        <f t="shared" si="595"/>
        <v>Novas</v>
      </c>
      <c r="J114" s="1668">
        <v>13</v>
      </c>
      <c r="K114" s="1668">
        <f t="shared" si="593"/>
        <v>113</v>
      </c>
      <c r="L114" s="1668">
        <f>VLOOKUP($K$114,$C$6:$S$93,L100)</f>
        <v>125</v>
      </c>
      <c r="M114" s="1668">
        <f t="shared" ref="M114:Z114" si="666">VLOOKUP($K$114,$C$6:$S$93,M100)</f>
        <v>250</v>
      </c>
      <c r="N114" s="1668">
        <f t="shared" si="666"/>
        <v>40</v>
      </c>
      <c r="O114" s="1668">
        <f t="shared" si="666"/>
        <v>0</v>
      </c>
      <c r="P114" s="1668">
        <f t="shared" si="666"/>
        <v>200</v>
      </c>
      <c r="Q114" s="1668">
        <f t="shared" si="666"/>
        <v>694.34</v>
      </c>
      <c r="R114" s="1668">
        <f t="shared" si="666"/>
        <v>0</v>
      </c>
      <c r="S114" s="1668">
        <f t="shared" si="666"/>
        <v>0</v>
      </c>
      <c r="T114" s="1668">
        <f t="shared" si="666"/>
        <v>100</v>
      </c>
      <c r="U114" s="1668">
        <f t="shared" si="666"/>
        <v>20</v>
      </c>
      <c r="V114" s="1668">
        <f t="shared" si="666"/>
        <v>28.33</v>
      </c>
      <c r="W114" s="1668">
        <f t="shared" si="666"/>
        <v>75</v>
      </c>
      <c r="X114" s="1668">
        <f t="shared" si="666"/>
        <v>2777.7799999999997</v>
      </c>
      <c r="Y114" s="1668">
        <f t="shared" si="666"/>
        <v>1</v>
      </c>
      <c r="Z114" s="1682">
        <f t="shared" si="666"/>
        <v>1</v>
      </c>
    </row>
    <row r="115" spans="1:27" ht="15" hidden="1" customHeight="1">
      <c r="A115" s="178">
        <v>16</v>
      </c>
      <c r="B115" s="2513"/>
      <c r="C115" s="1759">
        <v>16</v>
      </c>
      <c r="D115" s="1672" t="str">
        <f t="shared" si="590"/>
        <v>lanceur de Missiles moyenne portée (M)</v>
      </c>
      <c r="E115" s="1673" t="str">
        <f t="shared" si="591"/>
        <v>Experimental MT Missile Battery</v>
      </c>
      <c r="F115" s="1673" t="str">
        <f t="shared" si="592"/>
        <v>Standard Gen. Purpose (MT) Missile Battery</v>
      </c>
      <c r="G115" s="1673"/>
      <c r="H115" s="1673"/>
      <c r="I115" s="1673" t="str">
        <f t="shared" si="595"/>
        <v>lanceur de Missiles moyenne portée (M)</v>
      </c>
      <c r="J115" s="1668">
        <v>14</v>
      </c>
      <c r="K115" s="1668">
        <f t="shared" si="593"/>
        <v>114</v>
      </c>
      <c r="L115" s="1668">
        <f>VLOOKUP($K$115,$C$6:$S$93,L100)</f>
        <v>25</v>
      </c>
      <c r="M115" s="1668">
        <f t="shared" ref="M115:Z115" si="667">VLOOKUP($K$115,$C$6:$S$93,M100)</f>
        <v>50</v>
      </c>
      <c r="N115" s="1668">
        <f t="shared" si="667"/>
        <v>15</v>
      </c>
      <c r="O115" s="1668">
        <f t="shared" si="667"/>
        <v>0</v>
      </c>
      <c r="P115" s="1668">
        <f t="shared" si="667"/>
        <v>200</v>
      </c>
      <c r="Q115" s="1668">
        <f t="shared" si="667"/>
        <v>1027.78</v>
      </c>
      <c r="R115" s="1668">
        <f t="shared" si="667"/>
        <v>0</v>
      </c>
      <c r="S115" s="1668">
        <f t="shared" si="667"/>
        <v>0</v>
      </c>
      <c r="T115" s="1668">
        <f t="shared" si="667"/>
        <v>100</v>
      </c>
      <c r="U115" s="1668">
        <f t="shared" si="667"/>
        <v>10.8</v>
      </c>
      <c r="V115" s="1668">
        <f t="shared" si="667"/>
        <v>20.399999999999999</v>
      </c>
      <c r="W115" s="1668">
        <f t="shared" si="667"/>
        <v>75</v>
      </c>
      <c r="X115" s="1668">
        <f t="shared" si="667"/>
        <v>2777.7799999999997</v>
      </c>
      <c r="Y115" s="1668">
        <f t="shared" si="667"/>
        <v>1</v>
      </c>
      <c r="Z115" s="1682">
        <f t="shared" si="667"/>
        <v>1</v>
      </c>
    </row>
    <row r="116" spans="1:27" ht="15" hidden="1" customHeight="1">
      <c r="A116" s="178">
        <v>17</v>
      </c>
      <c r="B116" s="2513"/>
      <c r="C116" s="1759">
        <v>17</v>
      </c>
      <c r="D116" s="1672" t="str">
        <f t="shared" si="590"/>
        <v>lanceur de missiles moyenne portée (P)</v>
      </c>
      <c r="E116" s="1673" t="str">
        <f t="shared" si="591"/>
        <v>Standard Long Range (MT) Missile Battery</v>
      </c>
      <c r="F116" s="1673" t="str">
        <f t="shared" si="592"/>
        <v>Precision Gen. Purpose MT Missile Battery</v>
      </c>
      <c r="G116" s="1673"/>
      <c r="H116" s="1673"/>
      <c r="I116" s="1673" t="str">
        <f t="shared" si="595"/>
        <v>lanceur de missiles moyenne portée (P)</v>
      </c>
      <c r="J116" s="1668">
        <v>15</v>
      </c>
      <c r="K116" s="1668">
        <f t="shared" si="593"/>
        <v>115</v>
      </c>
      <c r="L116" s="1668">
        <f>VLOOKUP($K$116,$C$6:$S$93,L100)</f>
        <v>25</v>
      </c>
      <c r="M116" s="1668">
        <f t="shared" ref="M116:Z116" si="668">VLOOKUP($K$116,$C$6:$S$93,M100)</f>
        <v>50</v>
      </c>
      <c r="N116" s="1668">
        <f t="shared" si="668"/>
        <v>15</v>
      </c>
      <c r="O116" s="1668">
        <f t="shared" si="668"/>
        <v>0</v>
      </c>
      <c r="P116" s="1668">
        <f t="shared" si="668"/>
        <v>200</v>
      </c>
      <c r="Q116" s="1668">
        <f t="shared" si="668"/>
        <v>1000</v>
      </c>
      <c r="R116" s="1668">
        <f t="shared" si="668"/>
        <v>0</v>
      </c>
      <c r="S116" s="1668">
        <f t="shared" si="668"/>
        <v>0</v>
      </c>
      <c r="T116" s="1668">
        <f t="shared" si="668"/>
        <v>105.56</v>
      </c>
      <c r="U116" s="1668">
        <f t="shared" si="668"/>
        <v>9.44</v>
      </c>
      <c r="V116" s="1668">
        <f t="shared" si="668"/>
        <v>18.88</v>
      </c>
      <c r="W116" s="1668">
        <f t="shared" si="668"/>
        <v>75</v>
      </c>
      <c r="X116" s="1668">
        <f t="shared" si="668"/>
        <v>2777.7799999999997</v>
      </c>
      <c r="Y116" s="1668">
        <f t="shared" si="668"/>
        <v>1</v>
      </c>
      <c r="Z116" s="1682">
        <f t="shared" si="668"/>
        <v>1</v>
      </c>
    </row>
    <row r="117" spans="1:27" ht="15" hidden="1" customHeight="1">
      <c r="A117" s="178">
        <v>18</v>
      </c>
      <c r="B117" s="2513"/>
      <c r="C117" s="1759">
        <v>18</v>
      </c>
      <c r="D117" s="1672" t="str">
        <f t="shared" si="590"/>
        <v>lanceur de missiles experimentale</v>
      </c>
      <c r="E117" s="1673" t="str">
        <f t="shared" si="591"/>
        <v>Precision Long Range MT Missile Battery</v>
      </c>
      <c r="F117" s="1673" t="str">
        <f t="shared" si="592"/>
        <v>Experimental MT Missile Battery</v>
      </c>
      <c r="G117" s="1673"/>
      <c r="H117" s="1673"/>
      <c r="I117" s="1673" t="str">
        <f t="shared" si="595"/>
        <v>lanceur de missiles experimentale</v>
      </c>
      <c r="J117" s="1668">
        <v>16</v>
      </c>
      <c r="K117" s="1668">
        <f t="shared" si="593"/>
        <v>116</v>
      </c>
      <c r="L117" s="1668">
        <f>VLOOKUP(K117,$C$6:$S$93,$L$100)</f>
        <v>25</v>
      </c>
      <c r="M117" s="1668">
        <f>VLOOKUP(K117,$C$6:$S$93,$M$100)</f>
        <v>50</v>
      </c>
      <c r="N117" s="1668">
        <f>VLOOKUP(K117,$C$6:$S$93,$N$100)</f>
        <v>15</v>
      </c>
      <c r="O117" s="1668">
        <f>VLOOKUP(K117,$C$6:$S$93,$O$100)</f>
        <v>0</v>
      </c>
      <c r="P117" s="1668">
        <f t="shared" ref="P117:Z117" si="669">VLOOKUP($K$117,$C$6:$S$93,P100)</f>
        <v>200</v>
      </c>
      <c r="Q117" s="1668">
        <f t="shared" si="669"/>
        <v>1250</v>
      </c>
      <c r="R117" s="1668">
        <f t="shared" si="669"/>
        <v>0</v>
      </c>
      <c r="S117" s="1668">
        <f t="shared" si="669"/>
        <v>0</v>
      </c>
      <c r="T117" s="1668">
        <f t="shared" si="669"/>
        <v>105.56</v>
      </c>
      <c r="U117" s="1668">
        <f t="shared" si="669"/>
        <v>8.56</v>
      </c>
      <c r="V117" s="1668">
        <f t="shared" si="669"/>
        <v>18.88</v>
      </c>
      <c r="W117" s="1668">
        <f t="shared" si="669"/>
        <v>75</v>
      </c>
      <c r="X117" s="1668">
        <f t="shared" si="669"/>
        <v>2777.7799999999997</v>
      </c>
      <c r="Y117" s="1668">
        <f t="shared" si="669"/>
        <v>1</v>
      </c>
      <c r="Z117" s="1682">
        <f t="shared" si="669"/>
        <v>1</v>
      </c>
    </row>
    <row r="118" spans="1:27" ht="15" hidden="1" customHeight="1">
      <c r="A118" s="178">
        <v>19</v>
      </c>
      <c r="B118" s="2513"/>
      <c r="C118" s="1759">
        <v>19</v>
      </c>
      <c r="D118" s="1672" t="str">
        <f t="shared" si="590"/>
        <v>lanceur de missiles long portée (M)</v>
      </c>
      <c r="E118" s="1673" t="str">
        <f t="shared" si="591"/>
        <v>Lanceur de Torpilles</v>
      </c>
      <c r="F118" s="1673" t="str">
        <f t="shared" si="592"/>
        <v>Standard Long Range (MT) Missile Battery</v>
      </c>
      <c r="G118" s="1673"/>
      <c r="H118" s="1673"/>
      <c r="I118" s="1673" t="str">
        <f t="shared" si="595"/>
        <v>lanceur de missiles long portée (M)</v>
      </c>
      <c r="J118" s="1668">
        <v>17</v>
      </c>
      <c r="K118" s="1668">
        <f t="shared" si="593"/>
        <v>117</v>
      </c>
      <c r="L118" s="1668">
        <f t="shared" ref="L118:L120" si="670">VLOOKUP(K118,$C$6:$S$93,$L$100)</f>
        <v>25</v>
      </c>
      <c r="M118" s="1668">
        <f t="shared" ref="M118:M121" si="671">VLOOKUP(K118,$C$6:$S$93,$M$100)</f>
        <v>50</v>
      </c>
      <c r="N118" s="1668">
        <f t="shared" ref="N118:N121" si="672">VLOOKUP(K118,$C$6:$S$93,$N$100)</f>
        <v>15</v>
      </c>
      <c r="O118" s="1668">
        <f t="shared" ref="O118:O121" si="673">VLOOKUP(K118,$C$6:$S$93,$O$100)</f>
        <v>0</v>
      </c>
      <c r="P118" s="1668">
        <f t="shared" ref="P118:Z118" si="674">VLOOKUP($K$118,$C$6:$S$93,P100)</f>
        <v>200</v>
      </c>
      <c r="Q118" s="1668">
        <f t="shared" si="674"/>
        <v>1286.1199999999999</v>
      </c>
      <c r="R118" s="1668">
        <f t="shared" si="674"/>
        <v>0</v>
      </c>
      <c r="S118" s="1668">
        <f t="shared" si="674"/>
        <v>0</v>
      </c>
      <c r="T118" s="1668">
        <f t="shared" si="674"/>
        <v>100</v>
      </c>
      <c r="U118" s="1668">
        <f t="shared" si="674"/>
        <v>11.33</v>
      </c>
      <c r="V118" s="1668">
        <f t="shared" si="674"/>
        <v>18.88</v>
      </c>
      <c r="W118" s="1668">
        <f t="shared" si="674"/>
        <v>75</v>
      </c>
      <c r="X118" s="1668">
        <f t="shared" si="674"/>
        <v>2777.7799999999997</v>
      </c>
      <c r="Y118" s="1668">
        <f t="shared" si="674"/>
        <v>1</v>
      </c>
      <c r="Z118" s="1682">
        <f t="shared" si="674"/>
        <v>1</v>
      </c>
    </row>
    <row r="119" spans="1:27" ht="15" hidden="1" customHeight="1">
      <c r="A119" s="178">
        <v>20</v>
      </c>
      <c r="B119" s="2513"/>
      <c r="C119" s="1759">
        <v>20</v>
      </c>
      <c r="D119" s="1672" t="str">
        <f t="shared" si="590"/>
        <v>lanceur de missiles long portée (P)</v>
      </c>
      <c r="E119" s="1673"/>
      <c r="F119" s="1673" t="str">
        <f t="shared" si="592"/>
        <v>Precision Long Range MT Missile Battery</v>
      </c>
      <c r="G119" s="1673"/>
      <c r="H119" s="1673"/>
      <c r="I119" s="1673" t="str">
        <f t="shared" si="595"/>
        <v>lanceur de missiles long portée (P)</v>
      </c>
      <c r="J119" s="1668">
        <v>18</v>
      </c>
      <c r="K119" s="1668">
        <f t="shared" si="593"/>
        <v>118</v>
      </c>
      <c r="L119" s="1668">
        <f t="shared" si="670"/>
        <v>25</v>
      </c>
      <c r="M119" s="1668">
        <f t="shared" si="671"/>
        <v>50</v>
      </c>
      <c r="N119" s="1668">
        <f t="shared" si="672"/>
        <v>15</v>
      </c>
      <c r="O119" s="1668">
        <f t="shared" si="673"/>
        <v>0</v>
      </c>
      <c r="P119" s="1668">
        <f t="shared" ref="P119:Z119" si="675">VLOOKUP($K$119,$C$6:$S$93,P100)</f>
        <v>200</v>
      </c>
      <c r="Q119" s="1668">
        <f t="shared" si="675"/>
        <v>1250</v>
      </c>
      <c r="R119" s="1668">
        <f t="shared" si="675"/>
        <v>0</v>
      </c>
      <c r="S119" s="1668">
        <f t="shared" si="675"/>
        <v>0</v>
      </c>
      <c r="T119" s="1668">
        <f t="shared" si="675"/>
        <v>105.56</v>
      </c>
      <c r="U119" s="1668">
        <f t="shared" si="675"/>
        <v>11.33</v>
      </c>
      <c r="V119" s="1668">
        <f t="shared" si="675"/>
        <v>18.88</v>
      </c>
      <c r="W119" s="1668">
        <f t="shared" si="675"/>
        <v>75</v>
      </c>
      <c r="X119" s="1668">
        <f t="shared" si="675"/>
        <v>2777.7799999999997</v>
      </c>
      <c r="Y119" s="1668">
        <f t="shared" si="675"/>
        <v>1</v>
      </c>
      <c r="Z119" s="1682">
        <f t="shared" si="675"/>
        <v>1</v>
      </c>
    </row>
    <row r="120" spans="1:27" ht="15" hidden="1" customHeight="1">
      <c r="A120" s="178">
        <v>21</v>
      </c>
      <c r="B120" s="2513"/>
      <c r="C120" s="1759">
        <v>21</v>
      </c>
      <c r="D120" s="1672" t="str">
        <f t="shared" si="590"/>
        <v>Lanceur de torpilles type cyclone</v>
      </c>
      <c r="E120" s="1673"/>
      <c r="F120" s="1673" t="str">
        <f t="shared" si="592"/>
        <v>Lanceur de Torpilles</v>
      </c>
      <c r="G120" s="1673"/>
      <c r="H120" s="1673"/>
      <c r="I120" s="1673" t="str">
        <f t="shared" si="595"/>
        <v>Lanceur de torpilles type cyclone</v>
      </c>
      <c r="J120" s="1668">
        <v>19</v>
      </c>
      <c r="K120" s="1668">
        <f t="shared" si="593"/>
        <v>119</v>
      </c>
      <c r="L120" s="1668">
        <f t="shared" si="670"/>
        <v>500</v>
      </c>
      <c r="M120" s="1668">
        <f t="shared" si="671"/>
        <v>900</v>
      </c>
      <c r="N120" s="1668">
        <f t="shared" si="672"/>
        <v>35</v>
      </c>
      <c r="O120" s="1668">
        <f t="shared" si="673"/>
        <v>0</v>
      </c>
      <c r="P120" s="1668">
        <f t="shared" ref="P120:Z120" si="676">VLOOKUP($K$120,$C$6:$S$93,P100)</f>
        <v>600</v>
      </c>
      <c r="Q120" s="1668">
        <f t="shared" si="676"/>
        <v>1080</v>
      </c>
      <c r="R120" s="1668">
        <f t="shared" si="676"/>
        <v>0</v>
      </c>
      <c r="S120" s="1668">
        <f t="shared" si="676"/>
        <v>0</v>
      </c>
      <c r="T120" s="1668">
        <f t="shared" si="676"/>
        <v>100</v>
      </c>
      <c r="U120" s="1668">
        <f t="shared" si="676"/>
        <v>120</v>
      </c>
      <c r="V120" s="1668">
        <f t="shared" si="676"/>
        <v>45</v>
      </c>
      <c r="W120" s="1668">
        <f t="shared" si="676"/>
        <v>75</v>
      </c>
      <c r="X120" s="1668">
        <f t="shared" si="676"/>
        <v>2500</v>
      </c>
      <c r="Y120" s="1668">
        <f t="shared" si="676"/>
        <v>40</v>
      </c>
      <c r="Z120" s="1682">
        <f t="shared" si="676"/>
        <v>60</v>
      </c>
    </row>
    <row r="121" spans="1:27" ht="15" hidden="1" customHeight="1">
      <c r="A121" s="178">
        <v>22</v>
      </c>
      <c r="B121" s="2513"/>
      <c r="C121" s="1759">
        <v>22</v>
      </c>
      <c r="D121" s="1672" t="str">
        <f t="shared" si="590"/>
        <v>Lanceur de torpilles menticore</v>
      </c>
      <c r="E121" s="1673"/>
      <c r="F121" s="1673"/>
      <c r="G121" s="1673"/>
      <c r="H121" s="1673"/>
      <c r="I121" s="1673" t="str">
        <f>HLOOKUP($I$100,$D$100:$H$121,C121)</f>
        <v>Lanceur de torpilles menticore</v>
      </c>
      <c r="J121" s="1668">
        <v>20</v>
      </c>
      <c r="K121" s="1668">
        <f t="shared" si="593"/>
        <v>120</v>
      </c>
      <c r="L121" s="1668">
        <f>VLOOKUP(K121,$C$6:$S$93,$L$100)</f>
        <v>600</v>
      </c>
      <c r="M121" s="1668">
        <f t="shared" si="671"/>
        <v>850</v>
      </c>
      <c r="N121" s="1668">
        <f t="shared" si="672"/>
        <v>35</v>
      </c>
      <c r="O121" s="1668">
        <f t="shared" si="673"/>
        <v>0</v>
      </c>
      <c r="P121" s="1668">
        <f t="shared" ref="P121:Z121" si="677">VLOOKUP($K$121,$C$6:$S$93,P100)</f>
        <v>200</v>
      </c>
      <c r="Q121" s="1668">
        <f t="shared" si="677"/>
        <v>680</v>
      </c>
      <c r="R121" s="1668">
        <f t="shared" si="677"/>
        <v>0</v>
      </c>
      <c r="S121" s="1668">
        <f t="shared" si="677"/>
        <v>0</v>
      </c>
      <c r="T121" s="1668">
        <f t="shared" si="677"/>
        <v>100</v>
      </c>
      <c r="U121" s="1668">
        <f t="shared" si="677"/>
        <v>160</v>
      </c>
      <c r="V121" s="1668">
        <f t="shared" si="677"/>
        <v>70</v>
      </c>
      <c r="W121" s="1668">
        <f t="shared" si="677"/>
        <v>75</v>
      </c>
      <c r="X121" s="1668">
        <f t="shared" si="677"/>
        <v>2500</v>
      </c>
      <c r="Y121" s="1668">
        <f t="shared" si="677"/>
        <v>80</v>
      </c>
      <c r="Z121" s="1682">
        <f t="shared" si="677"/>
        <v>120</v>
      </c>
    </row>
    <row r="122" spans="1:27" ht="15" hidden="1" customHeight="1">
      <c r="A122" s="178">
        <v>23</v>
      </c>
      <c r="B122" s="2504" t="s">
        <v>1221</v>
      </c>
      <c r="C122" s="1760"/>
      <c r="D122" s="1695"/>
      <c r="E122" s="1648"/>
      <c r="F122" s="1648"/>
      <c r="G122" s="1648"/>
      <c r="H122" s="1648"/>
      <c r="I122" s="1652"/>
      <c r="J122" s="1648"/>
      <c r="K122" s="1648"/>
      <c r="L122" s="1648"/>
      <c r="M122" s="1648"/>
      <c r="N122" s="1648"/>
      <c r="O122" s="1648"/>
      <c r="P122" s="1648"/>
      <c r="Q122" s="1648"/>
      <c r="R122" s="1648"/>
      <c r="S122" s="1648"/>
      <c r="T122" s="1648"/>
      <c r="U122" s="1648"/>
      <c r="V122" s="1648"/>
      <c r="W122" s="1648"/>
      <c r="X122" s="1648"/>
      <c r="Y122" s="1648"/>
      <c r="Z122" s="1648"/>
      <c r="AA122" s="369"/>
    </row>
    <row r="123" spans="1:27" ht="15" hidden="1" customHeight="1">
      <c r="A123" s="178">
        <v>24</v>
      </c>
      <c r="B123" s="2504"/>
      <c r="C123" s="1757"/>
      <c r="D123" s="369"/>
      <c r="E123" s="369"/>
      <c r="F123" s="1648"/>
      <c r="G123" s="1652">
        <f t="shared" ref="G123:G126" si="678">D66</f>
        <v>0</v>
      </c>
      <c r="H123" s="369"/>
      <c r="I123" s="1652">
        <f t="shared" ref="I123:I135" si="679">HLOOKUP($I$100,$D$100:$H$135,A123)</f>
        <v>0</v>
      </c>
      <c r="J123" s="1648"/>
      <c r="K123" s="369"/>
      <c r="L123" s="369"/>
      <c r="M123" s="369"/>
      <c r="N123" s="369"/>
      <c r="O123" s="369"/>
      <c r="P123" s="369"/>
      <c r="Q123" s="1646"/>
      <c r="R123" s="369"/>
      <c r="S123" s="369"/>
      <c r="T123" s="1646"/>
      <c r="U123" s="369"/>
      <c r="V123" s="369"/>
      <c r="W123" s="369"/>
      <c r="X123" s="369"/>
      <c r="Y123" s="369"/>
      <c r="Z123" s="369"/>
      <c r="AA123" s="369"/>
    </row>
    <row r="124" spans="1:27" ht="15" hidden="1" customHeight="1">
      <c r="A124" s="178">
        <v>25</v>
      </c>
      <c r="B124" s="2504"/>
      <c r="C124" s="1757"/>
      <c r="D124" s="369"/>
      <c r="E124" s="369"/>
      <c r="F124" s="1648"/>
      <c r="G124" s="1652" t="str">
        <f t="shared" si="678"/>
        <v>Point Defence  Battery m2</v>
      </c>
      <c r="H124" s="369"/>
      <c r="I124" s="1652">
        <f t="shared" si="679"/>
        <v>0</v>
      </c>
      <c r="J124" s="1648"/>
      <c r="K124" s="369"/>
      <c r="L124" s="369"/>
      <c r="M124" s="369"/>
      <c r="N124" s="369"/>
      <c r="O124" s="369"/>
      <c r="P124" s="369"/>
      <c r="Q124" s="1646"/>
      <c r="R124" s="369"/>
      <c r="S124" s="369"/>
      <c r="T124" s="369"/>
      <c r="U124" s="369"/>
      <c r="V124" s="369"/>
      <c r="W124" s="369"/>
      <c r="X124" s="369"/>
      <c r="Y124" s="369"/>
      <c r="Z124" s="369"/>
      <c r="AA124" s="369"/>
    </row>
    <row r="125" spans="1:27" ht="15" hidden="1" customHeight="1">
      <c r="A125" s="178">
        <v>26</v>
      </c>
      <c r="B125" s="2504"/>
      <c r="C125" s="1757"/>
      <c r="D125" s="369"/>
      <c r="E125" s="369"/>
      <c r="F125" s="369"/>
      <c r="G125" s="1652" t="str">
        <f t="shared" si="678"/>
        <v>Point Defence  Battery</v>
      </c>
      <c r="H125" s="369"/>
      <c r="I125" s="1652">
        <f t="shared" si="679"/>
        <v>0</v>
      </c>
      <c r="J125" s="1648"/>
      <c r="K125" s="369"/>
      <c r="L125" s="369"/>
      <c r="M125" s="369"/>
      <c r="N125" s="369"/>
      <c r="O125" s="369"/>
      <c r="P125" s="369"/>
      <c r="Q125" s="1646"/>
      <c r="R125" s="369"/>
      <c r="S125" s="369"/>
      <c r="T125" s="369"/>
      <c r="U125" s="369"/>
      <c r="V125" s="369"/>
      <c r="W125" s="369"/>
      <c r="X125" s="369"/>
      <c r="Y125" s="369"/>
      <c r="Z125" s="369"/>
      <c r="AA125" s="369"/>
    </row>
    <row r="126" spans="1:27" ht="15" hidden="1" customHeight="1">
      <c r="A126" s="178">
        <v>27</v>
      </c>
      <c r="B126" s="2504"/>
      <c r="C126" s="1757"/>
      <c r="D126" s="369"/>
      <c r="E126" s="369"/>
      <c r="F126" s="369"/>
      <c r="G126" s="1652" t="str">
        <f t="shared" si="678"/>
        <v>Flak  Battery</v>
      </c>
      <c r="H126" s="369"/>
      <c r="I126" s="1652">
        <f t="shared" si="679"/>
        <v>0</v>
      </c>
      <c r="J126" s="1648"/>
      <c r="K126" s="369"/>
      <c r="L126" s="369"/>
      <c r="M126" s="369"/>
      <c r="N126" s="369"/>
      <c r="O126" s="369"/>
      <c r="P126" s="369"/>
      <c r="Q126" s="1646"/>
      <c r="R126" s="369"/>
      <c r="S126" s="369"/>
      <c r="T126" s="369"/>
      <c r="U126" s="369"/>
      <c r="V126" s="369"/>
      <c r="W126" s="369"/>
      <c r="X126" s="369"/>
      <c r="Y126" s="369"/>
      <c r="Z126" s="369"/>
      <c r="AA126" s="369"/>
    </row>
    <row r="127" spans="1:27" ht="15" hidden="1" customHeight="1">
      <c r="A127" s="178">
        <v>28</v>
      </c>
      <c r="B127" s="2504" t="s">
        <v>969</v>
      </c>
      <c r="C127" s="1757"/>
      <c r="D127" s="369"/>
      <c r="E127" s="369"/>
      <c r="F127" s="369"/>
      <c r="G127" s="369"/>
      <c r="H127" s="369"/>
      <c r="I127" s="369"/>
      <c r="J127" s="369"/>
      <c r="K127" s="369"/>
      <c r="L127" s="369"/>
      <c r="M127" s="369"/>
      <c r="N127" s="369"/>
      <c r="O127" s="369"/>
      <c r="P127" s="369"/>
      <c r="Q127" s="1646"/>
      <c r="R127" s="369"/>
      <c r="S127" s="369"/>
      <c r="T127" s="369"/>
      <c r="U127" s="369"/>
      <c r="V127" s="369"/>
      <c r="W127" s="369"/>
      <c r="X127" s="369"/>
      <c r="Y127" s="369"/>
      <c r="Z127" s="369"/>
      <c r="AA127" s="369"/>
    </row>
    <row r="128" spans="1:27" ht="15" hidden="1" customHeight="1">
      <c r="A128" s="178">
        <v>29</v>
      </c>
      <c r="B128" s="2504"/>
      <c r="C128" s="1757"/>
      <c r="D128" s="369"/>
      <c r="E128" s="369"/>
      <c r="F128" s="369"/>
      <c r="G128" s="1652">
        <f>D70</f>
        <v>0</v>
      </c>
      <c r="H128" s="1652">
        <f>D78</f>
        <v>0</v>
      </c>
      <c r="I128" s="1652">
        <f>HLOOKUP($I$100,$D$100:$H$135,A128)</f>
        <v>0</v>
      </c>
      <c r="J128" s="369"/>
      <c r="K128" s="369"/>
      <c r="L128" s="369"/>
      <c r="M128" s="369"/>
      <c r="N128" s="369"/>
      <c r="O128" s="369"/>
      <c r="P128" s="369"/>
      <c r="Q128" s="1646"/>
      <c r="R128" s="369"/>
      <c r="S128" s="369"/>
      <c r="T128" s="369"/>
      <c r="U128" s="369"/>
      <c r="V128" s="369"/>
      <c r="W128" s="369"/>
      <c r="X128" s="369"/>
      <c r="Y128" s="369"/>
      <c r="Z128" s="369"/>
      <c r="AA128" s="369"/>
    </row>
    <row r="129" spans="1:27" ht="15" hidden="1" customHeight="1">
      <c r="A129" s="178">
        <v>30</v>
      </c>
      <c r="B129" s="2504"/>
      <c r="C129" s="1757"/>
      <c r="D129" s="369"/>
      <c r="E129" s="369"/>
      <c r="F129" s="369"/>
      <c r="G129" s="1652" t="str">
        <f>D71</f>
        <v>Artillerie canon 130 mm</v>
      </c>
      <c r="H129" s="1652" t="str">
        <f>D79</f>
        <v>flechette 8mm</v>
      </c>
      <c r="I129" s="1652">
        <f>HLOOKUP($I$100,$D$100:$H$135,A129)</f>
        <v>0</v>
      </c>
      <c r="J129" s="369"/>
      <c r="K129" s="369"/>
      <c r="L129" s="369"/>
      <c r="M129" s="369"/>
      <c r="N129" s="369"/>
      <c r="O129" s="369"/>
      <c r="P129" s="369"/>
      <c r="Q129" s="1646"/>
      <c r="R129" s="369"/>
      <c r="S129" s="369"/>
      <c r="T129" s="369"/>
      <c r="U129" s="369"/>
      <c r="V129" s="369"/>
      <c r="W129" s="369"/>
      <c r="X129" s="369"/>
      <c r="Y129" s="369"/>
      <c r="Z129" s="369"/>
      <c r="AA129" s="369"/>
    </row>
    <row r="130" spans="1:27" ht="15" hidden="1" customHeight="1">
      <c r="A130" s="178">
        <v>31</v>
      </c>
      <c r="B130" s="2504"/>
      <c r="C130" s="1757"/>
      <c r="D130" s="369"/>
      <c r="E130" s="369"/>
      <c r="F130" s="369"/>
      <c r="G130" s="1652" t="str">
        <f>D72</f>
        <v>Array 10mm</v>
      </c>
      <c r="H130" s="1652" t="str">
        <f>D80</f>
        <v>mitrailleuse 11,7mm</v>
      </c>
      <c r="I130" s="1652">
        <f>HLOOKUP($I$100,$D$100:$H$135,A130)</f>
        <v>0</v>
      </c>
      <c r="J130" s="369"/>
      <c r="K130" s="369"/>
      <c r="L130" s="369"/>
      <c r="M130" s="369"/>
      <c r="N130" s="369"/>
      <c r="O130" s="369"/>
      <c r="P130" s="369"/>
      <c r="Q130" s="1646"/>
      <c r="R130" s="369"/>
      <c r="S130" s="369"/>
      <c r="T130" s="369"/>
      <c r="U130" s="369"/>
      <c r="V130" s="369"/>
      <c r="W130" s="369"/>
      <c r="X130" s="369"/>
      <c r="Y130" s="369"/>
      <c r="Z130" s="369"/>
      <c r="AA130" s="369"/>
    </row>
    <row r="131" spans="1:27" ht="15" hidden="1" customHeight="1">
      <c r="A131" s="178">
        <v>32</v>
      </c>
      <c r="B131" s="2504"/>
      <c r="C131" s="1757"/>
      <c r="D131" s="369"/>
      <c r="E131" s="369"/>
      <c r="F131" s="369"/>
      <c r="G131" s="369"/>
      <c r="H131" s="1652" t="str">
        <f>D81</f>
        <v>canon auto 20mm</v>
      </c>
      <c r="I131" s="1652">
        <f>HLOOKUP($I$100,$D$100:$H$135,A131)</f>
        <v>0</v>
      </c>
      <c r="J131" s="369"/>
      <c r="K131" s="369"/>
      <c r="L131" s="369"/>
      <c r="M131" s="369"/>
      <c r="N131" s="369"/>
      <c r="O131" s="369"/>
      <c r="P131" s="369"/>
      <c r="Q131" s="1646"/>
      <c r="R131" s="369"/>
      <c r="S131" s="369"/>
      <c r="T131" s="369"/>
      <c r="U131" s="369"/>
      <c r="V131" s="369"/>
      <c r="W131" s="369"/>
      <c r="X131" s="369"/>
      <c r="Y131" s="369"/>
      <c r="Z131" s="369"/>
      <c r="AA131" s="369"/>
    </row>
    <row r="132" spans="1:27" ht="15" hidden="1" customHeight="1">
      <c r="A132" s="178">
        <v>33</v>
      </c>
      <c r="B132" s="2504" t="s">
        <v>366</v>
      </c>
      <c r="C132" s="1757"/>
      <c r="D132" s="369"/>
      <c r="E132" s="369"/>
      <c r="F132" s="369"/>
      <c r="G132" s="1652">
        <f>D73</f>
        <v>0</v>
      </c>
      <c r="H132" s="1652">
        <v>0</v>
      </c>
      <c r="I132" s="1652">
        <f t="shared" si="679"/>
        <v>0</v>
      </c>
      <c r="J132" s="369"/>
      <c r="K132" s="369"/>
      <c r="L132" s="369"/>
      <c r="M132" s="369"/>
      <c r="N132" s="369"/>
      <c r="O132" s="369"/>
      <c r="P132" s="369"/>
      <c r="Q132" s="1646"/>
      <c r="R132" s="369"/>
      <c r="S132" s="369"/>
      <c r="T132" s="369"/>
      <c r="U132" s="369"/>
      <c r="V132" s="369"/>
      <c r="W132" s="369"/>
      <c r="X132" s="369"/>
      <c r="Y132" s="369"/>
      <c r="Z132" s="369"/>
      <c r="AA132" s="369"/>
    </row>
    <row r="133" spans="1:27" ht="15" hidden="1" customHeight="1">
      <c r="A133" s="178">
        <v>34</v>
      </c>
      <c r="B133" s="2504"/>
      <c r="C133" s="1757"/>
      <c r="D133" s="369"/>
      <c r="E133" s="369"/>
      <c r="F133" s="369"/>
      <c r="G133" s="1652" t="str">
        <f>D74</f>
        <v>long</v>
      </c>
      <c r="H133" s="1666" t="str">
        <f>D83</f>
        <v>Pack de missile 88mm</v>
      </c>
      <c r="I133" s="1652">
        <f t="shared" si="679"/>
        <v>0</v>
      </c>
      <c r="J133" s="369"/>
      <c r="K133" s="369"/>
      <c r="L133" s="369"/>
      <c r="M133" s="369"/>
      <c r="N133" s="369"/>
      <c r="O133" s="369"/>
      <c r="P133" s="369"/>
      <c r="Q133" s="1646"/>
      <c r="R133" s="369"/>
      <c r="S133" s="369"/>
      <c r="T133" s="369"/>
      <c r="U133" s="369"/>
      <c r="V133" s="369"/>
      <c r="W133" s="369"/>
      <c r="X133" s="369"/>
      <c r="Y133" s="369"/>
      <c r="Z133" s="369"/>
      <c r="AA133" s="369"/>
    </row>
    <row r="134" spans="1:27" ht="15" hidden="1" customHeight="1">
      <c r="A134" s="178">
        <v>35</v>
      </c>
      <c r="B134" s="2504"/>
      <c r="C134" s="1757"/>
      <c r="D134" s="369"/>
      <c r="E134" s="369"/>
      <c r="F134" s="369"/>
      <c r="G134" s="1652" t="str">
        <f>D75</f>
        <v>court</v>
      </c>
      <c r="H134" s="1666" t="str">
        <f>D84</f>
        <v>Missile d'interception</v>
      </c>
      <c r="I134" s="1652">
        <f t="shared" si="679"/>
        <v>0</v>
      </c>
      <c r="J134" s="369"/>
      <c r="K134" s="369"/>
      <c r="L134" s="369"/>
      <c r="M134" s="369"/>
      <c r="N134" s="369"/>
      <c r="O134" s="369"/>
      <c r="P134" s="369"/>
      <c r="Q134" s="1646"/>
      <c r="R134" s="369"/>
      <c r="S134" s="369"/>
      <c r="T134" s="369"/>
      <c r="U134" s="369"/>
      <c r="V134" s="369"/>
      <c r="W134" s="369"/>
      <c r="X134" s="369"/>
      <c r="Y134" s="369"/>
      <c r="Z134" s="369"/>
      <c r="AA134" s="369"/>
    </row>
    <row r="135" spans="1:27" ht="15" hidden="1" customHeight="1">
      <c r="A135" s="178">
        <v>36</v>
      </c>
      <c r="B135" s="2504"/>
      <c r="C135" s="1757"/>
      <c r="D135" s="369"/>
      <c r="E135" s="369"/>
      <c r="F135" s="369"/>
      <c r="G135" s="369"/>
      <c r="H135" s="1666" t="str">
        <f>D85</f>
        <v>lourd</v>
      </c>
      <c r="I135" s="1652">
        <f t="shared" si="679"/>
        <v>0</v>
      </c>
      <c r="J135" s="369"/>
      <c r="K135" s="369"/>
      <c r="L135" s="369"/>
      <c r="M135" s="369"/>
      <c r="N135" s="369"/>
      <c r="O135" s="369"/>
      <c r="P135" s="369"/>
      <c r="Q135" s="1646"/>
      <c r="R135" s="369"/>
      <c r="S135" s="369"/>
      <c r="T135" s="369"/>
      <c r="U135" s="369"/>
      <c r="V135" s="369"/>
      <c r="W135" s="369"/>
      <c r="X135" s="369"/>
      <c r="Y135" s="369"/>
      <c r="Z135" s="369"/>
      <c r="AA135" s="369"/>
    </row>
    <row r="136" spans="1:27" ht="15" hidden="1" customHeight="1">
      <c r="B136" s="2504"/>
      <c r="C136" s="1757"/>
      <c r="D136" s="369"/>
      <c r="E136" s="369"/>
      <c r="F136" s="369"/>
      <c r="G136" s="369"/>
      <c r="H136" s="369"/>
      <c r="I136" s="369"/>
      <c r="J136" s="369"/>
      <c r="K136" s="369"/>
      <c r="L136" s="369"/>
      <c r="M136" s="369"/>
      <c r="N136" s="369"/>
      <c r="O136" s="369"/>
      <c r="P136" s="369"/>
      <c r="Q136" s="1646"/>
      <c r="R136" s="369"/>
      <c r="S136" s="369"/>
      <c r="T136" s="369"/>
      <c r="U136" s="369"/>
      <c r="V136" s="369"/>
      <c r="W136" s="369"/>
      <c r="X136" s="369"/>
      <c r="Y136" s="369"/>
      <c r="Z136" s="369"/>
      <c r="AA136" s="369"/>
    </row>
    <row r="137" spans="1:27" ht="15" hidden="1" customHeight="1"/>
  </sheetData>
  <sheetProtection password="D8C4" sheet="1" objects="1" scenarios="1" selectLockedCells="1"/>
  <mergeCells count="41">
    <mergeCell ref="B100:B121"/>
    <mergeCell ref="B122:B126"/>
    <mergeCell ref="D2:D4"/>
    <mergeCell ref="B82:B86"/>
    <mergeCell ref="D5:S5"/>
    <mergeCell ref="B66:B69"/>
    <mergeCell ref="B70:B72"/>
    <mergeCell ref="B73:B75"/>
    <mergeCell ref="B78:B81"/>
    <mergeCell ref="E2:F3"/>
    <mergeCell ref="G2:L3"/>
    <mergeCell ref="M2:M3"/>
    <mergeCell ref="E64:R64"/>
    <mergeCell ref="E76:R76"/>
    <mergeCell ref="E97:H97"/>
    <mergeCell ref="I97:L97"/>
    <mergeCell ref="B127:B131"/>
    <mergeCell ref="B132:B136"/>
    <mergeCell ref="AL3:AW3"/>
    <mergeCell ref="N2:N3"/>
    <mergeCell ref="DY3:ED3"/>
    <mergeCell ref="BB3:BM3"/>
    <mergeCell ref="BP3:CA3"/>
    <mergeCell ref="CD3:CO3"/>
    <mergeCell ref="CR3:DC3"/>
    <mergeCell ref="DF3:DQ3"/>
    <mergeCell ref="DS3:DX3"/>
    <mergeCell ref="AK101:AX101"/>
    <mergeCell ref="AK89:AX89"/>
    <mergeCell ref="CR87:DC87"/>
    <mergeCell ref="E26:R26"/>
    <mergeCell ref="E44:R44"/>
    <mergeCell ref="M97:N97"/>
    <mergeCell ref="DF87:DQ87"/>
    <mergeCell ref="DT87:ED87"/>
    <mergeCell ref="EG87:EQ87"/>
    <mergeCell ref="ES87:FC87"/>
    <mergeCell ref="AL87:AW87"/>
    <mergeCell ref="BB87:BM87"/>
    <mergeCell ref="BP87:CA87"/>
    <mergeCell ref="CD87:CO87"/>
  </mergeCells>
  <pageMargins left="0.7" right="0.7" top="0.75" bottom="0.75" header="0.3" footer="0.3"/>
  <ignoredErrors>
    <ignoredError sqref="E11:J11" formula="1"/>
  </ignoredErrors>
  <legacyDrawing r:id="rId1"/>
</worksheet>
</file>

<file path=xl/worksheets/sheet11.xml><?xml version="1.0" encoding="utf-8"?>
<worksheet xmlns="http://schemas.openxmlformats.org/spreadsheetml/2006/main" xmlns:r="http://schemas.openxmlformats.org/officeDocument/2006/relationships">
  <sheetPr codeName="Feuil12"/>
  <dimension ref="A1:BH59"/>
  <sheetViews>
    <sheetView topLeftCell="U2" zoomScale="85" zoomScaleNormal="85" workbookViewId="0">
      <selection activeCell="AH63" sqref="AH63"/>
    </sheetView>
  </sheetViews>
  <sheetFormatPr baseColWidth="10" defaultRowHeight="12.75"/>
  <cols>
    <col min="1" max="2" width="11.42578125" style="1750"/>
    <col min="3" max="3" width="12.7109375" bestFit="1" customWidth="1"/>
    <col min="4" max="4" width="14" customWidth="1"/>
    <col min="5" max="5" width="39" bestFit="1" customWidth="1"/>
    <col min="10" max="10" width="11.42578125" style="1800"/>
    <col min="11" max="11" width="11.42578125" style="1801"/>
    <col min="12" max="12" width="9.28515625" style="1750" customWidth="1"/>
    <col min="13" max="13" width="12.7109375" bestFit="1" customWidth="1"/>
    <col min="15" max="15" width="41.85546875" bestFit="1" customWidth="1"/>
    <col min="20" max="20" width="11.42578125" style="1800"/>
    <col min="21" max="21" width="11.42578125" style="1801"/>
    <col min="22" max="22" width="11.42578125" style="1808"/>
    <col min="23" max="23" width="12.7109375" bestFit="1" customWidth="1"/>
    <col min="25" max="25" width="39.7109375" bestFit="1" customWidth="1"/>
    <col min="30" max="30" width="11.42578125" style="1800"/>
    <col min="31" max="31" width="11.42578125" style="1801"/>
    <col min="32" max="32" width="11.42578125" style="1750"/>
    <col min="33" max="33" width="12.7109375" style="368" bestFit="1" customWidth="1"/>
    <col min="34" max="34" width="11.42578125" style="368"/>
    <col min="35" max="35" width="42" style="368" bestFit="1" customWidth="1"/>
    <col min="36" max="39" width="11.42578125" style="368"/>
    <col min="40" max="40" width="11.42578125" style="722"/>
    <col min="41" max="41" width="0" style="722" hidden="1" customWidth="1"/>
    <col min="42" max="42" width="0" style="908" hidden="1" customWidth="1"/>
    <col min="45" max="45" width="39.7109375" bestFit="1" customWidth="1"/>
    <col min="46" max="46" width="9.28515625" style="178" customWidth="1"/>
    <col min="48" max="50" width="11.42578125" style="178"/>
    <col min="51" max="51" width="11.42578125" style="705"/>
    <col min="52" max="52" width="12.7109375" bestFit="1" customWidth="1"/>
    <col min="53" max="53" width="13" bestFit="1" customWidth="1"/>
    <col min="54" max="54" width="12.85546875" bestFit="1" customWidth="1"/>
    <col min="58" max="58" width="12" customWidth="1"/>
    <col min="60" max="60" width="14.7109375" customWidth="1"/>
  </cols>
  <sheetData>
    <row r="1" spans="1:60" s="368" customFormat="1" hidden="1">
      <c r="A1" s="1750"/>
      <c r="B1" s="1750"/>
      <c r="J1" s="1800"/>
      <c r="K1" s="1801"/>
      <c r="L1" s="1750"/>
      <c r="T1" s="1800"/>
      <c r="U1" s="1801"/>
      <c r="V1" s="1808"/>
      <c r="AD1" s="1800"/>
      <c r="AE1" s="1801"/>
      <c r="AF1" s="1750"/>
      <c r="AN1" s="722"/>
      <c r="AO1" s="722"/>
      <c r="AP1" s="908"/>
      <c r="AT1" s="178">
        <v>1</v>
      </c>
      <c r="AU1" s="368">
        <v>2</v>
      </c>
      <c r="AV1" s="178">
        <v>3</v>
      </c>
      <c r="AW1" s="178">
        <v>4</v>
      </c>
      <c r="AX1" s="178">
        <v>5</v>
      </c>
      <c r="AY1" s="705">
        <v>6</v>
      </c>
      <c r="AZ1" s="368">
        <v>7</v>
      </c>
      <c r="BA1" s="368">
        <v>8</v>
      </c>
      <c r="BB1" s="368">
        <v>9</v>
      </c>
      <c r="BC1" s="368">
        <v>10</v>
      </c>
      <c r="BD1" s="368">
        <v>11</v>
      </c>
      <c r="BE1" s="368">
        <v>12</v>
      </c>
      <c r="BF1" s="368">
        <v>13</v>
      </c>
      <c r="BG1" s="368">
        <v>14</v>
      </c>
      <c r="BH1" s="368">
        <v>15</v>
      </c>
    </row>
    <row r="2" spans="1:60" ht="13.5" thickBot="1"/>
    <row r="3" spans="1:60" ht="15">
      <c r="C3" s="2536" t="s">
        <v>1003</v>
      </c>
      <c r="D3" s="2537"/>
      <c r="E3" s="2537"/>
      <c r="F3" s="2537"/>
      <c r="G3" s="2537"/>
      <c r="H3" s="2537"/>
      <c r="I3" s="2538"/>
      <c r="J3" s="1802"/>
      <c r="K3" s="1803"/>
      <c r="M3" s="2562" t="s">
        <v>881</v>
      </c>
      <c r="N3" s="2563"/>
      <c r="O3" s="2563"/>
      <c r="P3" s="2563"/>
      <c r="Q3" s="2563"/>
      <c r="R3" s="2563"/>
      <c r="S3" s="2564"/>
      <c r="T3" s="1809"/>
      <c r="U3" s="1810"/>
      <c r="W3" s="2536" t="s">
        <v>882</v>
      </c>
      <c r="X3" s="2537"/>
      <c r="Y3" s="2537"/>
      <c r="Z3" s="2537"/>
      <c r="AA3" s="2537"/>
      <c r="AB3" s="2537"/>
      <c r="AC3" s="2538"/>
      <c r="AD3" s="1802"/>
      <c r="AE3" s="1803"/>
      <c r="AG3" s="2562" t="s">
        <v>883</v>
      </c>
      <c r="AH3" s="2563"/>
      <c r="AI3" s="2563"/>
      <c r="AJ3" s="2563"/>
      <c r="AK3" s="2563"/>
      <c r="AL3" s="2563"/>
      <c r="AM3" s="2564"/>
      <c r="AN3" s="862"/>
      <c r="AO3" s="862"/>
      <c r="AP3" s="909"/>
      <c r="AQ3" s="2536" t="str">
        <f>Calculateur!$F$9</f>
        <v xml:space="preserve">Strikes </v>
      </c>
      <c r="AR3" s="2537"/>
      <c r="AS3" s="2537"/>
      <c r="AT3" s="2537"/>
      <c r="AU3" s="2537"/>
      <c r="AV3" s="2537"/>
      <c r="AW3" s="2537"/>
      <c r="AX3" s="2538"/>
      <c r="AY3" s="904"/>
    </row>
    <row r="4" spans="1:60" ht="26.25" thickBot="1">
      <c r="C4" s="898" t="s">
        <v>1002</v>
      </c>
      <c r="D4" s="448"/>
      <c r="E4" s="865" t="s">
        <v>321</v>
      </c>
      <c r="F4" s="886" t="s">
        <v>321</v>
      </c>
      <c r="G4" s="2556" t="s">
        <v>880</v>
      </c>
      <c r="H4" s="2557"/>
      <c r="I4" s="2558"/>
      <c r="J4" s="1804"/>
      <c r="K4" s="1805"/>
      <c r="M4" s="898" t="s">
        <v>1002</v>
      </c>
      <c r="N4" s="448"/>
      <c r="O4" s="865" t="s">
        <v>321</v>
      </c>
      <c r="P4" s="886" t="s">
        <v>321</v>
      </c>
      <c r="Q4" s="2556" t="s">
        <v>880</v>
      </c>
      <c r="R4" s="2556"/>
      <c r="S4" s="2565"/>
      <c r="T4" s="1804"/>
      <c r="U4" s="1805"/>
      <c r="W4" s="898" t="s">
        <v>1002</v>
      </c>
      <c r="X4" s="448"/>
      <c r="Y4" s="865" t="s">
        <v>321</v>
      </c>
      <c r="Z4" s="886" t="s">
        <v>321</v>
      </c>
      <c r="AA4" s="2556" t="s">
        <v>880</v>
      </c>
      <c r="AB4" s="2556"/>
      <c r="AC4" s="2565"/>
      <c r="AD4" s="1804"/>
      <c r="AE4" s="1805"/>
      <c r="AG4" s="898" t="s">
        <v>1002</v>
      </c>
      <c r="AH4" s="448"/>
      <c r="AI4" s="865" t="s">
        <v>321</v>
      </c>
      <c r="AJ4" s="886" t="s">
        <v>321</v>
      </c>
      <c r="AK4" s="2556" t="s">
        <v>880</v>
      </c>
      <c r="AL4" s="2556"/>
      <c r="AM4" s="2565"/>
      <c r="AN4" s="906"/>
      <c r="AO4" s="906"/>
      <c r="AP4" s="910"/>
      <c r="AQ4" s="897" t="s">
        <v>1002</v>
      </c>
      <c r="AR4" s="448"/>
      <c r="AS4" s="865" t="s">
        <v>321</v>
      </c>
      <c r="AT4" s="865"/>
      <c r="AU4" s="886" t="s">
        <v>321</v>
      </c>
      <c r="AV4" s="2556" t="s">
        <v>880</v>
      </c>
      <c r="AW4" s="2556"/>
      <c r="AX4" s="2565"/>
      <c r="AY4" s="906"/>
    </row>
    <row r="5" spans="1:60" ht="45.75" thickBot="1">
      <c r="C5" s="899">
        <v>100</v>
      </c>
      <c r="D5" s="448"/>
      <c r="E5" s="866" t="s">
        <v>1001</v>
      </c>
      <c r="F5" s="886"/>
      <c r="G5" s="1542" t="s">
        <v>322</v>
      </c>
      <c r="H5" s="1542" t="s">
        <v>323</v>
      </c>
      <c r="I5" s="1543" t="s">
        <v>341</v>
      </c>
      <c r="J5" s="1804"/>
      <c r="K5" s="1805"/>
      <c r="M5" s="899">
        <v>200</v>
      </c>
      <c r="N5" s="448"/>
      <c r="O5" s="866" t="s">
        <v>1001</v>
      </c>
      <c r="P5" s="886"/>
      <c r="Q5" s="867" t="s">
        <v>322</v>
      </c>
      <c r="R5" s="867" t="s">
        <v>323</v>
      </c>
      <c r="S5" s="868" t="s">
        <v>341</v>
      </c>
      <c r="T5" s="1804"/>
      <c r="U5" s="1805"/>
      <c r="W5" s="899">
        <v>300</v>
      </c>
      <c r="X5" s="448"/>
      <c r="Y5" s="866" t="s">
        <v>1001</v>
      </c>
      <c r="Z5" s="886"/>
      <c r="AA5" s="867" t="s">
        <v>322</v>
      </c>
      <c r="AB5" s="867" t="s">
        <v>323</v>
      </c>
      <c r="AC5" s="868" t="s">
        <v>341</v>
      </c>
      <c r="AD5" s="1804"/>
      <c r="AE5" s="1805"/>
      <c r="AG5" s="899">
        <v>400</v>
      </c>
      <c r="AH5" s="448"/>
      <c r="AI5" s="866" t="s">
        <v>1001</v>
      </c>
      <c r="AJ5" s="886"/>
      <c r="AK5" s="867" t="s">
        <v>322</v>
      </c>
      <c r="AL5" s="867" t="s">
        <v>323</v>
      </c>
      <c r="AM5" s="868" t="s">
        <v>341</v>
      </c>
      <c r="AN5" s="901"/>
      <c r="AO5" s="901"/>
      <c r="AP5" s="911"/>
      <c r="AQ5" s="902">
        <f>Calculateur!$B$9</f>
        <v>100</v>
      </c>
      <c r="AR5" s="448"/>
      <c r="AS5" s="866" t="s">
        <v>1001</v>
      </c>
      <c r="AT5" s="866"/>
      <c r="AU5" s="886"/>
      <c r="AV5" s="1542" t="s">
        <v>322</v>
      </c>
      <c r="AW5" s="1542" t="s">
        <v>323</v>
      </c>
      <c r="AX5" s="1543" t="s">
        <v>341</v>
      </c>
      <c r="AY5" s="901"/>
      <c r="AZ5" s="1570" t="s">
        <v>79</v>
      </c>
      <c r="BA5" s="919" t="s">
        <v>80</v>
      </c>
      <c r="BB5" s="919" t="s">
        <v>81</v>
      </c>
      <c r="BC5" s="1571" t="s">
        <v>967</v>
      </c>
      <c r="BD5" s="1573" t="s">
        <v>88</v>
      </c>
      <c r="BE5" s="1572" t="s">
        <v>979</v>
      </c>
      <c r="BF5" s="774" t="s">
        <v>966</v>
      </c>
      <c r="BG5" s="774" t="s">
        <v>724</v>
      </c>
      <c r="BH5" s="775" t="s">
        <v>1005</v>
      </c>
    </row>
    <row r="6" spans="1:60" ht="15">
      <c r="A6" s="1799">
        <f>$C$5+B6+F6</f>
        <v>111</v>
      </c>
      <c r="B6" s="1799">
        <v>10</v>
      </c>
      <c r="C6" s="2539" t="s">
        <v>683</v>
      </c>
      <c r="D6" s="2559" t="s">
        <v>969</v>
      </c>
      <c r="E6" s="769" t="s">
        <v>61</v>
      </c>
      <c r="F6" s="770">
        <v>1</v>
      </c>
      <c r="G6" s="771">
        <v>0</v>
      </c>
      <c r="H6" s="771">
        <v>0</v>
      </c>
      <c r="I6" s="869">
        <v>0</v>
      </c>
      <c r="J6" s="1806"/>
      <c r="K6" s="1807">
        <f>$M$5+L6+P6</f>
        <v>211</v>
      </c>
      <c r="L6" s="1799">
        <v>10</v>
      </c>
      <c r="M6" s="2539" t="s">
        <v>683</v>
      </c>
      <c r="N6" s="2559" t="s">
        <v>969</v>
      </c>
      <c r="O6" s="769" t="s">
        <v>61</v>
      </c>
      <c r="P6" s="770">
        <v>1</v>
      </c>
      <c r="Q6" s="818">
        <v>0</v>
      </c>
      <c r="R6" s="818">
        <v>0</v>
      </c>
      <c r="S6" s="887">
        <v>0</v>
      </c>
      <c r="T6" s="1806"/>
      <c r="U6" s="1807">
        <f>$W$5+V6+Z6</f>
        <v>311</v>
      </c>
      <c r="V6" s="1807">
        <v>10</v>
      </c>
      <c r="W6" s="2539" t="s">
        <v>683</v>
      </c>
      <c r="X6" s="2559" t="s">
        <v>969</v>
      </c>
      <c r="Y6" s="769" t="s">
        <v>61</v>
      </c>
      <c r="Z6" s="770">
        <v>1</v>
      </c>
      <c r="AA6" s="771">
        <v>0</v>
      </c>
      <c r="AB6" s="771">
        <v>0</v>
      </c>
      <c r="AC6" s="869">
        <v>0</v>
      </c>
      <c r="AD6" s="1806"/>
      <c r="AE6" s="1807">
        <f>$AG$5+AF6+AJ6</f>
        <v>411</v>
      </c>
      <c r="AF6" s="1799">
        <v>10</v>
      </c>
      <c r="AG6" s="2585" t="s">
        <v>683</v>
      </c>
      <c r="AH6" s="2559" t="s">
        <v>969</v>
      </c>
      <c r="AI6" s="769" t="s">
        <v>61</v>
      </c>
      <c r="AJ6" s="770">
        <v>1</v>
      </c>
      <c r="AK6" s="818">
        <v>0</v>
      </c>
      <c r="AL6" s="818">
        <v>0</v>
      </c>
      <c r="AM6" s="887">
        <v>0</v>
      </c>
      <c r="AN6" s="900"/>
      <c r="AO6" s="907">
        <f>$AQ$5+AP6+AU6</f>
        <v>111</v>
      </c>
      <c r="AP6" s="907">
        <v>10</v>
      </c>
      <c r="AQ6" s="2540" t="s">
        <v>683</v>
      </c>
      <c r="AR6" s="2559" t="s">
        <v>969</v>
      </c>
      <c r="AS6" s="769" t="s">
        <v>61</v>
      </c>
      <c r="AT6" s="769">
        <f>AP6+AU6</f>
        <v>11</v>
      </c>
      <c r="AU6" s="770">
        <v>1</v>
      </c>
      <c r="AV6" s="771">
        <f t="shared" ref="AV6:AV23" si="0">IF($AQ$5=100,VLOOKUP(AO6,$A$6:$I$50,7),IF($AQ$5=200,VLOOKUP(AO6,$K$6:$S$50,7),IF($AQ$5=300,VLOOKUP(AO6,$U$6:$AC$54,7),IF($AQ$5=400,AK6,0))))</f>
        <v>0</v>
      </c>
      <c r="AW6" s="771">
        <f t="shared" ref="AW6:AW24" si="1">IF($AQ$5=100,VLOOKUP(AO6,$A$6:$I$50,8),IF($AQ$5=200,VLOOKUP(AO6,$K$6:$S$50,8),IF($AQ$5=300,VLOOKUP(AO6,$U$6:$AC$54,8),IF($AQ$5=400,VLOOKUP(AO6,$AE$6:$AM$42,8),0))))</f>
        <v>0</v>
      </c>
      <c r="AX6" s="869">
        <f t="shared" ref="AX6:AX24" si="2">IF($AQ$5=100,VLOOKUP(AO6,$A$6:$I$50,9),IF($AQ$5=200,VLOOKUP(AO6,$K$6:$S$50,9),IF($AQ$5=300,VLOOKUP(AO6,$U$6:$AC$54,9),IF($AQ$5=400,VLOOKUP(AO6,$AE$6:$AM$42,9),0))))</f>
        <v>0</v>
      </c>
      <c r="AY6" s="916"/>
      <c r="AZ6" s="1004">
        <v>0</v>
      </c>
      <c r="BA6" s="1005">
        <v>0</v>
      </c>
      <c r="BB6" s="1005">
        <v>0</v>
      </c>
      <c r="BC6" s="1006">
        <v>0</v>
      </c>
      <c r="BD6" s="1574">
        <v>0</v>
      </c>
      <c r="BE6" s="1006">
        <v>0</v>
      </c>
      <c r="BF6" s="1005">
        <v>0</v>
      </c>
      <c r="BG6" s="1005">
        <v>0</v>
      </c>
      <c r="BH6" s="1006">
        <v>0</v>
      </c>
    </row>
    <row r="7" spans="1:60" ht="15">
      <c r="A7" s="1799">
        <f t="shared" ref="A7:A50" si="3">$C$5+B7+F7</f>
        <v>112</v>
      </c>
      <c r="B7" s="1799">
        <v>10</v>
      </c>
      <c r="C7" s="2540"/>
      <c r="D7" s="2560"/>
      <c r="E7" s="767" t="s">
        <v>436</v>
      </c>
      <c r="F7" s="766">
        <f>F6+1</f>
        <v>2</v>
      </c>
      <c r="G7" s="768">
        <v>0</v>
      </c>
      <c r="H7" s="768">
        <v>1.5</v>
      </c>
      <c r="I7" s="870">
        <v>0</v>
      </c>
      <c r="J7" s="1806"/>
      <c r="K7" s="1807">
        <f t="shared" ref="K7:K50" si="4">$M$5+L7+P7</f>
        <v>212</v>
      </c>
      <c r="L7" s="1799">
        <v>10</v>
      </c>
      <c r="M7" s="2540"/>
      <c r="N7" s="2560"/>
      <c r="O7" s="767" t="s">
        <v>448</v>
      </c>
      <c r="P7" s="766">
        <f t="shared" ref="P7:P9" si="5">P6+1</f>
        <v>2</v>
      </c>
      <c r="Q7" s="768">
        <v>0</v>
      </c>
      <c r="R7" s="768">
        <v>7</v>
      </c>
      <c r="S7" s="870">
        <v>0</v>
      </c>
      <c r="T7" s="1806"/>
      <c r="U7" s="1807">
        <f t="shared" ref="U7:U54" si="6">$W$5+V7+Z7</f>
        <v>312</v>
      </c>
      <c r="V7" s="1807">
        <v>10</v>
      </c>
      <c r="W7" s="2540"/>
      <c r="X7" s="2560"/>
      <c r="Y7" s="767" t="s">
        <v>586</v>
      </c>
      <c r="Z7" s="766">
        <f>Z6+1</f>
        <v>2</v>
      </c>
      <c r="AA7" s="768">
        <v>0</v>
      </c>
      <c r="AB7" s="768">
        <v>25</v>
      </c>
      <c r="AC7" s="870">
        <v>0</v>
      </c>
      <c r="AD7" s="1806"/>
      <c r="AE7" s="1807">
        <f t="shared" ref="AE7:AE38" si="7">$AG$5+AF7+AJ7</f>
        <v>412</v>
      </c>
      <c r="AF7" s="1799">
        <v>10</v>
      </c>
      <c r="AG7" s="2586"/>
      <c r="AH7" s="2560"/>
      <c r="AI7" s="767" t="s">
        <v>619</v>
      </c>
      <c r="AJ7" s="766">
        <v>2</v>
      </c>
      <c r="AK7" s="768">
        <v>0</v>
      </c>
      <c r="AL7" s="768">
        <v>25</v>
      </c>
      <c r="AM7" s="870">
        <v>0</v>
      </c>
      <c r="AN7" s="900"/>
      <c r="AO7" s="907">
        <f t="shared" ref="AO7:AO58" si="8">$AQ$5+AP7+AU7</f>
        <v>112</v>
      </c>
      <c r="AP7" s="907">
        <v>10</v>
      </c>
      <c r="AQ7" s="2540"/>
      <c r="AR7" s="2560"/>
      <c r="AS7" s="767" t="s">
        <v>586</v>
      </c>
      <c r="AT7" s="765">
        <f t="shared" ref="AT7:AT58" si="9">AP7+AU7</f>
        <v>12</v>
      </c>
      <c r="AU7" s="766">
        <f>AU6+1</f>
        <v>2</v>
      </c>
      <c r="AV7" s="903">
        <f t="shared" si="0"/>
        <v>0</v>
      </c>
      <c r="AW7" s="903">
        <f t="shared" si="1"/>
        <v>1.5</v>
      </c>
      <c r="AX7" s="913">
        <f t="shared" si="2"/>
        <v>0</v>
      </c>
      <c r="AY7" s="905"/>
      <c r="AZ7" s="1008">
        <v>1</v>
      </c>
      <c r="BA7" s="1009">
        <v>1</v>
      </c>
      <c r="BB7" s="1009">
        <v>1</v>
      </c>
      <c r="BC7" s="1010">
        <v>1</v>
      </c>
      <c r="BD7" s="1007">
        <v>1</v>
      </c>
      <c r="BE7" s="1010">
        <v>0</v>
      </c>
      <c r="BF7" s="1009">
        <v>1</v>
      </c>
      <c r="BG7" s="1009">
        <v>1</v>
      </c>
      <c r="BH7" s="1010">
        <v>1</v>
      </c>
    </row>
    <row r="8" spans="1:60" ht="15">
      <c r="A8" s="1799">
        <f t="shared" si="3"/>
        <v>113</v>
      </c>
      <c r="B8" s="1799">
        <v>10</v>
      </c>
      <c r="C8" s="2540"/>
      <c r="D8" s="2560"/>
      <c r="E8" s="767" t="s">
        <v>439</v>
      </c>
      <c r="F8" s="766">
        <f t="shared" ref="F8:F24" si="10">F7+1</f>
        <v>3</v>
      </c>
      <c r="G8" s="768">
        <v>0</v>
      </c>
      <c r="H8" s="768">
        <v>10</v>
      </c>
      <c r="I8" s="870">
        <v>0</v>
      </c>
      <c r="J8" s="1806"/>
      <c r="K8" s="1807">
        <f t="shared" si="4"/>
        <v>213</v>
      </c>
      <c r="L8" s="1799">
        <v>10</v>
      </c>
      <c r="M8" s="2540"/>
      <c r="N8" s="2560"/>
      <c r="O8" s="767" t="s">
        <v>439</v>
      </c>
      <c r="P8" s="766">
        <v>3</v>
      </c>
      <c r="Q8" s="768">
        <v>0</v>
      </c>
      <c r="R8" s="768">
        <v>30</v>
      </c>
      <c r="S8" s="870">
        <v>0</v>
      </c>
      <c r="T8" s="1806"/>
      <c r="U8" s="1807">
        <f t="shared" si="6"/>
        <v>313</v>
      </c>
      <c r="V8" s="1807">
        <v>10</v>
      </c>
      <c r="W8" s="2540"/>
      <c r="X8" s="2560"/>
      <c r="Y8" s="767" t="s">
        <v>439</v>
      </c>
      <c r="Z8" s="766">
        <f t="shared" ref="Z8:Z24" si="11">Z7+1</f>
        <v>3</v>
      </c>
      <c r="AA8" s="768">
        <v>0</v>
      </c>
      <c r="AB8" s="768">
        <v>60</v>
      </c>
      <c r="AC8" s="870">
        <v>0</v>
      </c>
      <c r="AD8" s="1806"/>
      <c r="AE8" s="1807">
        <f t="shared" si="7"/>
        <v>413</v>
      </c>
      <c r="AF8" s="1799">
        <v>10</v>
      </c>
      <c r="AG8" s="2586"/>
      <c r="AH8" s="2560"/>
      <c r="AI8" s="767" t="s">
        <v>620</v>
      </c>
      <c r="AJ8" s="766">
        <f>AJ7+1</f>
        <v>3</v>
      </c>
      <c r="AK8" s="768">
        <v>0</v>
      </c>
      <c r="AL8" s="768">
        <v>60</v>
      </c>
      <c r="AM8" s="870">
        <v>0</v>
      </c>
      <c r="AN8" s="900"/>
      <c r="AO8" s="907">
        <f t="shared" si="8"/>
        <v>113</v>
      </c>
      <c r="AP8" s="907">
        <v>10</v>
      </c>
      <c r="AQ8" s="2540"/>
      <c r="AR8" s="2560"/>
      <c r="AS8" s="767" t="s">
        <v>439</v>
      </c>
      <c r="AT8" s="765">
        <f t="shared" si="9"/>
        <v>13</v>
      </c>
      <c r="AU8" s="766">
        <f t="shared" ref="AU8:AU24" si="12">AU7+1</f>
        <v>3</v>
      </c>
      <c r="AV8" s="903">
        <f t="shared" si="0"/>
        <v>0</v>
      </c>
      <c r="AW8" s="903">
        <f t="shared" si="1"/>
        <v>10</v>
      </c>
      <c r="AX8" s="913">
        <f t="shared" si="2"/>
        <v>0</v>
      </c>
      <c r="AY8" s="905"/>
      <c r="AZ8" s="1008">
        <v>1</v>
      </c>
      <c r="BA8" s="1009">
        <v>1</v>
      </c>
      <c r="BB8" s="1009">
        <v>1.2</v>
      </c>
      <c r="BC8" s="1010">
        <v>1</v>
      </c>
      <c r="BD8" s="1007">
        <v>1</v>
      </c>
      <c r="BE8" s="1010">
        <v>0</v>
      </c>
      <c r="BF8" s="1009">
        <v>1</v>
      </c>
      <c r="BG8" s="1009">
        <v>1</v>
      </c>
      <c r="BH8" s="1010">
        <v>1</v>
      </c>
    </row>
    <row r="9" spans="1:60" ht="15">
      <c r="A9" s="1799">
        <f t="shared" si="3"/>
        <v>114</v>
      </c>
      <c r="B9" s="1799">
        <v>10</v>
      </c>
      <c r="C9" s="2540"/>
      <c r="D9" s="2560"/>
      <c r="E9" s="767" t="s">
        <v>443</v>
      </c>
      <c r="F9" s="766">
        <f t="shared" si="10"/>
        <v>4</v>
      </c>
      <c r="G9" s="768">
        <v>0.5</v>
      </c>
      <c r="H9" s="768">
        <v>5</v>
      </c>
      <c r="I9" s="870">
        <v>0</v>
      </c>
      <c r="J9" s="1806"/>
      <c r="K9" s="1807">
        <f t="shared" si="4"/>
        <v>214</v>
      </c>
      <c r="L9" s="1799">
        <v>10</v>
      </c>
      <c r="M9" s="2540"/>
      <c r="N9" s="2560"/>
      <c r="O9" s="767" t="s">
        <v>443</v>
      </c>
      <c r="P9" s="766">
        <f t="shared" si="5"/>
        <v>4</v>
      </c>
      <c r="Q9" s="768">
        <v>1.5</v>
      </c>
      <c r="R9" s="768">
        <v>15</v>
      </c>
      <c r="S9" s="870">
        <v>0</v>
      </c>
      <c r="T9" s="1806"/>
      <c r="U9" s="1807">
        <f t="shared" si="6"/>
        <v>314</v>
      </c>
      <c r="V9" s="1807">
        <v>10</v>
      </c>
      <c r="W9" s="2540"/>
      <c r="X9" s="2560"/>
      <c r="Y9" s="767" t="s">
        <v>443</v>
      </c>
      <c r="Z9" s="766">
        <f t="shared" si="11"/>
        <v>4</v>
      </c>
      <c r="AA9" s="768">
        <v>3</v>
      </c>
      <c r="AB9" s="768">
        <v>30</v>
      </c>
      <c r="AC9" s="870">
        <v>0</v>
      </c>
      <c r="AD9" s="1806"/>
      <c r="AE9" s="1807">
        <f t="shared" si="7"/>
        <v>414</v>
      </c>
      <c r="AF9" s="1799">
        <v>10</v>
      </c>
      <c r="AG9" s="2586"/>
      <c r="AH9" s="2560"/>
      <c r="AI9" s="767" t="s">
        <v>621</v>
      </c>
      <c r="AJ9" s="766">
        <f t="shared" ref="AJ9:AJ24" si="13">AJ8+1</f>
        <v>4</v>
      </c>
      <c r="AK9" s="768">
        <v>3</v>
      </c>
      <c r="AL9" s="768">
        <v>30</v>
      </c>
      <c r="AM9" s="870">
        <v>0</v>
      </c>
      <c r="AN9" s="900"/>
      <c r="AO9" s="907">
        <f t="shared" si="8"/>
        <v>114</v>
      </c>
      <c r="AP9" s="907">
        <v>10</v>
      </c>
      <c r="AQ9" s="2540"/>
      <c r="AR9" s="2560"/>
      <c r="AS9" s="767" t="s">
        <v>443</v>
      </c>
      <c r="AT9" s="765">
        <f t="shared" si="9"/>
        <v>14</v>
      </c>
      <c r="AU9" s="766">
        <f t="shared" si="12"/>
        <v>4</v>
      </c>
      <c r="AV9" s="903">
        <f t="shared" si="0"/>
        <v>0.5</v>
      </c>
      <c r="AW9" s="903">
        <f t="shared" si="1"/>
        <v>5</v>
      </c>
      <c r="AX9" s="913">
        <f t="shared" si="2"/>
        <v>0</v>
      </c>
      <c r="AY9" s="905"/>
      <c r="AZ9" s="1008">
        <v>1</v>
      </c>
      <c r="BA9" s="1009">
        <v>1</v>
      </c>
      <c r="BB9" s="1009">
        <v>1.25</v>
      </c>
      <c r="BC9" s="1010">
        <v>1</v>
      </c>
      <c r="BD9" s="1007">
        <v>1</v>
      </c>
      <c r="BE9" s="1010">
        <v>0</v>
      </c>
      <c r="BF9" s="1009">
        <v>1</v>
      </c>
      <c r="BG9" s="1009">
        <v>1</v>
      </c>
      <c r="BH9" s="1010">
        <v>1</v>
      </c>
    </row>
    <row r="10" spans="1:60" ht="15">
      <c r="A10" s="1799">
        <f t="shared" si="3"/>
        <v>115</v>
      </c>
      <c r="B10" s="1799">
        <v>10</v>
      </c>
      <c r="C10" s="2540"/>
      <c r="D10" s="2560"/>
      <c r="E10" s="767" t="s">
        <v>522</v>
      </c>
      <c r="F10" s="766">
        <f t="shared" si="10"/>
        <v>5</v>
      </c>
      <c r="G10" s="768">
        <v>1</v>
      </c>
      <c r="H10" s="768">
        <v>10</v>
      </c>
      <c r="I10" s="870">
        <v>0</v>
      </c>
      <c r="J10" s="1806"/>
      <c r="K10" s="1807">
        <f t="shared" si="4"/>
        <v>215</v>
      </c>
      <c r="L10" s="1799">
        <v>10</v>
      </c>
      <c r="M10" s="2540"/>
      <c r="N10" s="2560"/>
      <c r="O10" s="767" t="s">
        <v>522</v>
      </c>
      <c r="P10" s="766">
        <v>5</v>
      </c>
      <c r="Q10" s="768">
        <v>3</v>
      </c>
      <c r="R10" s="768">
        <v>30</v>
      </c>
      <c r="S10" s="870">
        <v>0</v>
      </c>
      <c r="T10" s="1806"/>
      <c r="U10" s="1807">
        <f t="shared" si="6"/>
        <v>315</v>
      </c>
      <c r="V10" s="1807">
        <v>10</v>
      </c>
      <c r="W10" s="2540"/>
      <c r="X10" s="2560"/>
      <c r="Y10" s="767" t="s">
        <v>522</v>
      </c>
      <c r="Z10" s="766">
        <f t="shared" si="11"/>
        <v>5</v>
      </c>
      <c r="AA10" s="768">
        <v>6</v>
      </c>
      <c r="AB10" s="768">
        <v>60</v>
      </c>
      <c r="AC10" s="870">
        <v>0</v>
      </c>
      <c r="AD10" s="1806"/>
      <c r="AE10" s="1807">
        <f t="shared" si="7"/>
        <v>415</v>
      </c>
      <c r="AF10" s="1799">
        <v>10</v>
      </c>
      <c r="AG10" s="2586"/>
      <c r="AH10" s="2560"/>
      <c r="AI10" s="767" t="s">
        <v>522</v>
      </c>
      <c r="AJ10" s="766">
        <f t="shared" si="13"/>
        <v>5</v>
      </c>
      <c r="AK10" s="768">
        <v>6</v>
      </c>
      <c r="AL10" s="768">
        <v>60</v>
      </c>
      <c r="AM10" s="870">
        <v>0</v>
      </c>
      <c r="AN10" s="900"/>
      <c r="AO10" s="907">
        <f t="shared" si="8"/>
        <v>115</v>
      </c>
      <c r="AP10" s="907">
        <v>10</v>
      </c>
      <c r="AQ10" s="2540"/>
      <c r="AR10" s="2560"/>
      <c r="AS10" s="767" t="s">
        <v>522</v>
      </c>
      <c r="AT10" s="765">
        <f t="shared" si="9"/>
        <v>15</v>
      </c>
      <c r="AU10" s="766">
        <f t="shared" si="12"/>
        <v>5</v>
      </c>
      <c r="AV10" s="903">
        <f t="shared" si="0"/>
        <v>1</v>
      </c>
      <c r="AW10" s="903">
        <f t="shared" si="1"/>
        <v>10</v>
      </c>
      <c r="AX10" s="913">
        <f t="shared" si="2"/>
        <v>0</v>
      </c>
      <c r="AY10" s="905"/>
      <c r="AZ10" s="1008">
        <v>1</v>
      </c>
      <c r="BA10" s="1009">
        <v>1</v>
      </c>
      <c r="BB10" s="1009">
        <v>1.35</v>
      </c>
      <c r="BC10" s="1010">
        <v>1</v>
      </c>
      <c r="BD10" s="1007">
        <v>1</v>
      </c>
      <c r="BE10" s="1010">
        <v>0</v>
      </c>
      <c r="BF10" s="1009">
        <v>1</v>
      </c>
      <c r="BG10" s="1009">
        <v>1</v>
      </c>
      <c r="BH10" s="1010">
        <v>1</v>
      </c>
    </row>
    <row r="11" spans="1:60" ht="15">
      <c r="A11" s="1799">
        <f t="shared" si="3"/>
        <v>116</v>
      </c>
      <c r="B11" s="1799">
        <v>10</v>
      </c>
      <c r="C11" s="2540"/>
      <c r="D11" s="2560"/>
      <c r="E11" s="767" t="s">
        <v>446</v>
      </c>
      <c r="F11" s="766">
        <f t="shared" si="10"/>
        <v>6</v>
      </c>
      <c r="G11" s="768">
        <v>2</v>
      </c>
      <c r="H11" s="768">
        <v>0</v>
      </c>
      <c r="I11" s="870">
        <v>0</v>
      </c>
      <c r="J11" s="1806"/>
      <c r="K11" s="1807">
        <f t="shared" si="4"/>
        <v>216</v>
      </c>
      <c r="L11" s="1799">
        <v>10</v>
      </c>
      <c r="M11" s="2540"/>
      <c r="N11" s="2560"/>
      <c r="O11" s="767" t="s">
        <v>446</v>
      </c>
      <c r="P11" s="766">
        <v>6</v>
      </c>
      <c r="Q11" s="768">
        <v>6</v>
      </c>
      <c r="R11" s="768">
        <v>0</v>
      </c>
      <c r="S11" s="870">
        <v>0</v>
      </c>
      <c r="T11" s="1806"/>
      <c r="U11" s="1807">
        <f t="shared" si="6"/>
        <v>316</v>
      </c>
      <c r="V11" s="1807">
        <v>10</v>
      </c>
      <c r="W11" s="2540"/>
      <c r="X11" s="2560"/>
      <c r="Y11" s="767" t="s">
        <v>446</v>
      </c>
      <c r="Z11" s="766">
        <f t="shared" si="11"/>
        <v>6</v>
      </c>
      <c r="AA11" s="768">
        <v>12</v>
      </c>
      <c r="AB11" s="768">
        <v>0</v>
      </c>
      <c r="AC11" s="870">
        <v>0</v>
      </c>
      <c r="AD11" s="1806"/>
      <c r="AE11" s="1807">
        <f t="shared" si="7"/>
        <v>416</v>
      </c>
      <c r="AF11" s="1799">
        <v>10</v>
      </c>
      <c r="AG11" s="2586"/>
      <c r="AH11" s="2560"/>
      <c r="AI11" s="767" t="s">
        <v>622</v>
      </c>
      <c r="AJ11" s="766">
        <f t="shared" si="13"/>
        <v>6</v>
      </c>
      <c r="AK11" s="768">
        <v>12</v>
      </c>
      <c r="AL11" s="768">
        <v>0</v>
      </c>
      <c r="AM11" s="870">
        <v>0</v>
      </c>
      <c r="AN11" s="900"/>
      <c r="AO11" s="907">
        <f t="shared" si="8"/>
        <v>116</v>
      </c>
      <c r="AP11" s="907">
        <v>10</v>
      </c>
      <c r="AQ11" s="2540"/>
      <c r="AR11" s="2560"/>
      <c r="AS11" s="767" t="s">
        <v>446</v>
      </c>
      <c r="AT11" s="765">
        <f t="shared" si="9"/>
        <v>16</v>
      </c>
      <c r="AU11" s="766">
        <f t="shared" si="12"/>
        <v>6</v>
      </c>
      <c r="AV11" s="903">
        <f t="shared" si="0"/>
        <v>2</v>
      </c>
      <c r="AW11" s="903">
        <f t="shared" si="1"/>
        <v>0</v>
      </c>
      <c r="AX11" s="913">
        <f t="shared" si="2"/>
        <v>0</v>
      </c>
      <c r="AY11" s="905"/>
      <c r="AZ11" s="1008">
        <v>1</v>
      </c>
      <c r="BA11" s="1009">
        <v>1</v>
      </c>
      <c r="BB11" s="1009">
        <v>1.5</v>
      </c>
      <c r="BC11" s="1010">
        <v>1</v>
      </c>
      <c r="BD11" s="1007">
        <v>1</v>
      </c>
      <c r="BE11" s="1010">
        <v>0</v>
      </c>
      <c r="BF11" s="1009">
        <v>1</v>
      </c>
      <c r="BG11" s="1009">
        <v>1</v>
      </c>
      <c r="BH11" s="1010">
        <v>1</v>
      </c>
    </row>
    <row r="12" spans="1:60" ht="15">
      <c r="A12" s="1799">
        <f t="shared" si="3"/>
        <v>117</v>
      </c>
      <c r="B12" s="1799">
        <v>10</v>
      </c>
      <c r="C12" s="2540"/>
      <c r="D12" s="2560"/>
      <c r="E12" s="765" t="s">
        <v>888</v>
      </c>
      <c r="F12" s="766">
        <f t="shared" si="10"/>
        <v>7</v>
      </c>
      <c r="G12" s="768">
        <v>0</v>
      </c>
      <c r="H12" s="768">
        <v>10</v>
      </c>
      <c r="I12" s="870">
        <v>0</v>
      </c>
      <c r="J12" s="1806"/>
      <c r="K12" s="1807">
        <f t="shared" si="4"/>
        <v>217</v>
      </c>
      <c r="L12" s="1799">
        <v>10</v>
      </c>
      <c r="M12" s="2540"/>
      <c r="N12" s="2560"/>
      <c r="O12" s="767" t="s">
        <v>450</v>
      </c>
      <c r="P12" s="766">
        <v>7</v>
      </c>
      <c r="Q12" s="768">
        <v>0</v>
      </c>
      <c r="R12" s="768">
        <v>30</v>
      </c>
      <c r="S12" s="870">
        <v>0</v>
      </c>
      <c r="T12" s="1806"/>
      <c r="U12" s="1807">
        <f t="shared" si="6"/>
        <v>317</v>
      </c>
      <c r="V12" s="1807">
        <v>10</v>
      </c>
      <c r="W12" s="2540"/>
      <c r="X12" s="2560"/>
      <c r="Y12" s="767" t="s">
        <v>450</v>
      </c>
      <c r="Z12" s="766">
        <f t="shared" si="11"/>
        <v>7</v>
      </c>
      <c r="AA12" s="768">
        <v>0</v>
      </c>
      <c r="AB12" s="768">
        <v>60</v>
      </c>
      <c r="AC12" s="870">
        <v>0</v>
      </c>
      <c r="AD12" s="1806"/>
      <c r="AE12" s="1807">
        <f t="shared" si="7"/>
        <v>417</v>
      </c>
      <c r="AF12" s="1799">
        <v>10</v>
      </c>
      <c r="AG12" s="2586"/>
      <c r="AH12" s="2560"/>
      <c r="AI12" s="767" t="s">
        <v>623</v>
      </c>
      <c r="AJ12" s="766">
        <f t="shared" si="13"/>
        <v>7</v>
      </c>
      <c r="AK12" s="768">
        <v>0</v>
      </c>
      <c r="AL12" s="768">
        <v>60</v>
      </c>
      <c r="AM12" s="870">
        <v>0</v>
      </c>
      <c r="AN12" s="900"/>
      <c r="AO12" s="907">
        <f t="shared" si="8"/>
        <v>117</v>
      </c>
      <c r="AP12" s="907">
        <v>10</v>
      </c>
      <c r="AQ12" s="2540"/>
      <c r="AR12" s="2560"/>
      <c r="AS12" s="767" t="s">
        <v>450</v>
      </c>
      <c r="AT12" s="765">
        <f t="shared" si="9"/>
        <v>17</v>
      </c>
      <c r="AU12" s="766">
        <f t="shared" si="12"/>
        <v>7</v>
      </c>
      <c r="AV12" s="903">
        <f t="shared" si="0"/>
        <v>0</v>
      </c>
      <c r="AW12" s="903">
        <f t="shared" si="1"/>
        <v>10</v>
      </c>
      <c r="AX12" s="913">
        <f t="shared" si="2"/>
        <v>0</v>
      </c>
      <c r="AY12" s="905"/>
      <c r="AZ12" s="1008">
        <v>1</v>
      </c>
      <c r="BA12" s="1009">
        <v>1.03</v>
      </c>
      <c r="BB12" s="1009">
        <v>1</v>
      </c>
      <c r="BC12" s="1010">
        <v>1</v>
      </c>
      <c r="BD12" s="1007">
        <v>1</v>
      </c>
      <c r="BE12" s="1010">
        <v>0</v>
      </c>
      <c r="BF12" s="1009">
        <v>1</v>
      </c>
      <c r="BG12" s="1009">
        <v>1</v>
      </c>
      <c r="BH12" s="1010">
        <v>1</v>
      </c>
    </row>
    <row r="13" spans="1:60" ht="15">
      <c r="A13" s="1799">
        <f t="shared" si="3"/>
        <v>118</v>
      </c>
      <c r="B13" s="1799">
        <v>10</v>
      </c>
      <c r="C13" s="2540"/>
      <c r="D13" s="2560"/>
      <c r="E13" s="765" t="s">
        <v>889</v>
      </c>
      <c r="F13" s="766">
        <f t="shared" si="10"/>
        <v>8</v>
      </c>
      <c r="G13" s="768">
        <v>0.5</v>
      </c>
      <c r="H13" s="768">
        <v>5</v>
      </c>
      <c r="I13" s="870">
        <v>0</v>
      </c>
      <c r="J13" s="1806"/>
      <c r="K13" s="1807">
        <f t="shared" si="4"/>
        <v>218</v>
      </c>
      <c r="L13" s="1799">
        <v>10</v>
      </c>
      <c r="M13" s="2540"/>
      <c r="N13" s="2560"/>
      <c r="O13" s="767" t="s">
        <v>456</v>
      </c>
      <c r="P13" s="766">
        <v>8</v>
      </c>
      <c r="Q13" s="768">
        <v>1.5</v>
      </c>
      <c r="R13" s="768">
        <v>15</v>
      </c>
      <c r="S13" s="870">
        <v>0</v>
      </c>
      <c r="T13" s="1806"/>
      <c r="U13" s="1807">
        <f t="shared" si="6"/>
        <v>318</v>
      </c>
      <c r="V13" s="1807">
        <v>10</v>
      </c>
      <c r="W13" s="2540"/>
      <c r="X13" s="2560"/>
      <c r="Y13" s="767" t="s">
        <v>456</v>
      </c>
      <c r="Z13" s="766">
        <f t="shared" si="11"/>
        <v>8</v>
      </c>
      <c r="AA13" s="768">
        <v>3</v>
      </c>
      <c r="AB13" s="768">
        <v>30</v>
      </c>
      <c r="AC13" s="870">
        <v>0</v>
      </c>
      <c r="AD13" s="1806"/>
      <c r="AE13" s="1807">
        <f t="shared" si="7"/>
        <v>418</v>
      </c>
      <c r="AF13" s="1799">
        <v>10</v>
      </c>
      <c r="AG13" s="2586"/>
      <c r="AH13" s="2560"/>
      <c r="AI13" s="767" t="s">
        <v>624</v>
      </c>
      <c r="AJ13" s="766">
        <f t="shared" si="13"/>
        <v>8</v>
      </c>
      <c r="AK13" s="768">
        <v>3</v>
      </c>
      <c r="AL13" s="768">
        <v>30</v>
      </c>
      <c r="AM13" s="870">
        <v>0</v>
      </c>
      <c r="AN13" s="900"/>
      <c r="AO13" s="907">
        <f t="shared" si="8"/>
        <v>118</v>
      </c>
      <c r="AP13" s="907">
        <v>10</v>
      </c>
      <c r="AQ13" s="2540"/>
      <c r="AR13" s="2560"/>
      <c r="AS13" s="767" t="s">
        <v>456</v>
      </c>
      <c r="AT13" s="765">
        <f t="shared" si="9"/>
        <v>18</v>
      </c>
      <c r="AU13" s="766">
        <f t="shared" si="12"/>
        <v>8</v>
      </c>
      <c r="AV13" s="903">
        <f t="shared" si="0"/>
        <v>0.5</v>
      </c>
      <c r="AW13" s="903">
        <f t="shared" si="1"/>
        <v>5</v>
      </c>
      <c r="AX13" s="913">
        <f t="shared" si="2"/>
        <v>0</v>
      </c>
      <c r="AY13" s="905"/>
      <c r="AZ13" s="1008">
        <v>1</v>
      </c>
      <c r="BA13" s="1009">
        <v>1.06</v>
      </c>
      <c r="BB13" s="1009">
        <v>1</v>
      </c>
      <c r="BC13" s="1010">
        <v>1</v>
      </c>
      <c r="BD13" s="1007">
        <v>1</v>
      </c>
      <c r="BE13" s="1010">
        <v>0</v>
      </c>
      <c r="BF13" s="1009">
        <v>1</v>
      </c>
      <c r="BG13" s="1009">
        <v>1</v>
      </c>
      <c r="BH13" s="1010">
        <v>1</v>
      </c>
    </row>
    <row r="14" spans="1:60" ht="15">
      <c r="A14" s="1799">
        <f t="shared" si="3"/>
        <v>119</v>
      </c>
      <c r="B14" s="1799">
        <v>10</v>
      </c>
      <c r="C14" s="2540"/>
      <c r="D14" s="2560"/>
      <c r="E14" s="765" t="s">
        <v>890</v>
      </c>
      <c r="F14" s="766">
        <f t="shared" si="10"/>
        <v>9</v>
      </c>
      <c r="G14" s="768">
        <v>1</v>
      </c>
      <c r="H14" s="768">
        <v>10</v>
      </c>
      <c r="I14" s="870">
        <v>0</v>
      </c>
      <c r="J14" s="1806"/>
      <c r="K14" s="1807">
        <f t="shared" si="4"/>
        <v>219</v>
      </c>
      <c r="L14" s="1799">
        <v>10</v>
      </c>
      <c r="M14" s="2540"/>
      <c r="N14" s="2560"/>
      <c r="O14" s="767" t="s">
        <v>523</v>
      </c>
      <c r="P14" s="766">
        <v>9</v>
      </c>
      <c r="Q14" s="768">
        <v>3</v>
      </c>
      <c r="R14" s="768">
        <v>30</v>
      </c>
      <c r="S14" s="870">
        <v>0</v>
      </c>
      <c r="T14" s="1806"/>
      <c r="U14" s="1807">
        <f t="shared" si="6"/>
        <v>319</v>
      </c>
      <c r="V14" s="1807">
        <v>10</v>
      </c>
      <c r="W14" s="2540"/>
      <c r="X14" s="2560"/>
      <c r="Y14" s="767" t="s">
        <v>523</v>
      </c>
      <c r="Z14" s="766">
        <f t="shared" si="11"/>
        <v>9</v>
      </c>
      <c r="AA14" s="768">
        <v>6</v>
      </c>
      <c r="AB14" s="768">
        <v>60</v>
      </c>
      <c r="AC14" s="870">
        <v>0</v>
      </c>
      <c r="AD14" s="1806"/>
      <c r="AE14" s="1807">
        <f t="shared" si="7"/>
        <v>419</v>
      </c>
      <c r="AF14" s="1799">
        <v>10</v>
      </c>
      <c r="AG14" s="2586"/>
      <c r="AH14" s="2560"/>
      <c r="AI14" s="767" t="s">
        <v>523</v>
      </c>
      <c r="AJ14" s="766">
        <f t="shared" si="13"/>
        <v>9</v>
      </c>
      <c r="AK14" s="768">
        <v>6</v>
      </c>
      <c r="AL14" s="768">
        <v>60</v>
      </c>
      <c r="AM14" s="870">
        <v>0</v>
      </c>
      <c r="AN14" s="900"/>
      <c r="AO14" s="907">
        <f t="shared" si="8"/>
        <v>119</v>
      </c>
      <c r="AP14" s="907">
        <v>10</v>
      </c>
      <c r="AQ14" s="2540"/>
      <c r="AR14" s="2560"/>
      <c r="AS14" s="767" t="s">
        <v>523</v>
      </c>
      <c r="AT14" s="765">
        <f t="shared" si="9"/>
        <v>19</v>
      </c>
      <c r="AU14" s="766">
        <f t="shared" si="12"/>
        <v>9</v>
      </c>
      <c r="AV14" s="903">
        <f t="shared" si="0"/>
        <v>1</v>
      </c>
      <c r="AW14" s="903">
        <f t="shared" si="1"/>
        <v>10</v>
      </c>
      <c r="AX14" s="913">
        <f t="shared" si="2"/>
        <v>0</v>
      </c>
      <c r="AY14" s="905"/>
      <c r="AZ14" s="1008">
        <v>1</v>
      </c>
      <c r="BA14" s="1009">
        <v>1.0900000000000001</v>
      </c>
      <c r="BB14" s="1009">
        <v>1</v>
      </c>
      <c r="BC14" s="1010">
        <v>1</v>
      </c>
      <c r="BD14" s="1007">
        <v>1</v>
      </c>
      <c r="BE14" s="1010">
        <v>0</v>
      </c>
      <c r="BF14" s="1009">
        <v>1</v>
      </c>
      <c r="BG14" s="1009">
        <v>1</v>
      </c>
      <c r="BH14" s="1010">
        <v>1</v>
      </c>
    </row>
    <row r="15" spans="1:60" ht="15">
      <c r="A15" s="1799">
        <f t="shared" si="3"/>
        <v>120</v>
      </c>
      <c r="B15" s="1799">
        <v>10</v>
      </c>
      <c r="C15" s="2540"/>
      <c r="D15" s="2560"/>
      <c r="E15" s="765" t="s">
        <v>891</v>
      </c>
      <c r="F15" s="766">
        <f t="shared" si="10"/>
        <v>10</v>
      </c>
      <c r="G15" s="768">
        <v>2</v>
      </c>
      <c r="H15" s="768">
        <v>0</v>
      </c>
      <c r="I15" s="870">
        <v>0</v>
      </c>
      <c r="J15" s="1806"/>
      <c r="K15" s="1807">
        <f t="shared" si="4"/>
        <v>220</v>
      </c>
      <c r="L15" s="1799">
        <v>10</v>
      </c>
      <c r="M15" s="2540"/>
      <c r="N15" s="2560"/>
      <c r="O15" s="767" t="s">
        <v>458</v>
      </c>
      <c r="P15" s="766">
        <v>10</v>
      </c>
      <c r="Q15" s="768">
        <v>6</v>
      </c>
      <c r="R15" s="768">
        <v>0</v>
      </c>
      <c r="S15" s="870">
        <v>0</v>
      </c>
      <c r="T15" s="1806"/>
      <c r="U15" s="1807">
        <f t="shared" si="6"/>
        <v>320</v>
      </c>
      <c r="V15" s="1807">
        <v>10</v>
      </c>
      <c r="W15" s="2540"/>
      <c r="X15" s="2560"/>
      <c r="Y15" s="767" t="s">
        <v>458</v>
      </c>
      <c r="Z15" s="766">
        <f t="shared" si="11"/>
        <v>10</v>
      </c>
      <c r="AA15" s="768">
        <v>12</v>
      </c>
      <c r="AB15" s="768">
        <v>0</v>
      </c>
      <c r="AC15" s="870">
        <v>0</v>
      </c>
      <c r="AD15" s="1806"/>
      <c r="AE15" s="1807">
        <f t="shared" si="7"/>
        <v>420</v>
      </c>
      <c r="AF15" s="1799">
        <v>10</v>
      </c>
      <c r="AG15" s="2586"/>
      <c r="AH15" s="2560"/>
      <c r="AI15" s="767" t="s">
        <v>625</v>
      </c>
      <c r="AJ15" s="766">
        <f t="shared" si="13"/>
        <v>10</v>
      </c>
      <c r="AK15" s="768">
        <v>12</v>
      </c>
      <c r="AL15" s="768">
        <v>0</v>
      </c>
      <c r="AM15" s="870">
        <v>0</v>
      </c>
      <c r="AN15" s="900"/>
      <c r="AO15" s="907">
        <f t="shared" si="8"/>
        <v>120</v>
      </c>
      <c r="AP15" s="907">
        <v>10</v>
      </c>
      <c r="AQ15" s="2540"/>
      <c r="AR15" s="2560"/>
      <c r="AS15" s="767" t="s">
        <v>458</v>
      </c>
      <c r="AT15" s="765">
        <f t="shared" si="9"/>
        <v>20</v>
      </c>
      <c r="AU15" s="766">
        <f t="shared" si="12"/>
        <v>10</v>
      </c>
      <c r="AV15" s="903">
        <f t="shared" si="0"/>
        <v>2</v>
      </c>
      <c r="AW15" s="903">
        <f t="shared" si="1"/>
        <v>0</v>
      </c>
      <c r="AX15" s="913">
        <f t="shared" si="2"/>
        <v>0</v>
      </c>
      <c r="AY15" s="905"/>
      <c r="AZ15" s="1008">
        <v>1</v>
      </c>
      <c r="BA15" s="1009">
        <v>1.1499999999999999</v>
      </c>
      <c r="BB15" s="1009">
        <v>1</v>
      </c>
      <c r="BC15" s="1010">
        <v>1</v>
      </c>
      <c r="BD15" s="1007">
        <v>1</v>
      </c>
      <c r="BE15" s="1010">
        <v>0</v>
      </c>
      <c r="BF15" s="1009">
        <v>1</v>
      </c>
      <c r="BG15" s="1009">
        <v>1</v>
      </c>
      <c r="BH15" s="1010">
        <v>1</v>
      </c>
    </row>
    <row r="16" spans="1:60" ht="15">
      <c r="A16" s="1799">
        <f t="shared" si="3"/>
        <v>121</v>
      </c>
      <c r="B16" s="1799">
        <v>10</v>
      </c>
      <c r="C16" s="2540"/>
      <c r="D16" s="2560"/>
      <c r="E16" s="765" t="s">
        <v>892</v>
      </c>
      <c r="F16" s="766">
        <f t="shared" si="10"/>
        <v>11</v>
      </c>
      <c r="G16" s="768">
        <v>0</v>
      </c>
      <c r="H16" s="768">
        <v>10</v>
      </c>
      <c r="I16" s="870">
        <v>0</v>
      </c>
      <c r="J16" s="1806"/>
      <c r="K16" s="1807">
        <f t="shared" si="4"/>
        <v>221</v>
      </c>
      <c r="L16" s="1799">
        <v>10</v>
      </c>
      <c r="M16" s="2540"/>
      <c r="N16" s="2560"/>
      <c r="O16" s="767" t="s">
        <v>359</v>
      </c>
      <c r="P16" s="766">
        <v>11</v>
      </c>
      <c r="Q16" s="768">
        <v>0</v>
      </c>
      <c r="R16" s="768">
        <v>30</v>
      </c>
      <c r="S16" s="870">
        <v>0</v>
      </c>
      <c r="T16" s="1806"/>
      <c r="U16" s="1807">
        <f t="shared" si="6"/>
        <v>321</v>
      </c>
      <c r="V16" s="1807">
        <v>10</v>
      </c>
      <c r="W16" s="2540"/>
      <c r="X16" s="2560"/>
      <c r="Y16" s="767" t="s">
        <v>359</v>
      </c>
      <c r="Z16" s="766">
        <f t="shared" si="11"/>
        <v>11</v>
      </c>
      <c r="AA16" s="768">
        <v>0</v>
      </c>
      <c r="AB16" s="768">
        <v>60</v>
      </c>
      <c r="AC16" s="870">
        <v>0</v>
      </c>
      <c r="AD16" s="1806"/>
      <c r="AE16" s="1807">
        <f t="shared" si="7"/>
        <v>421</v>
      </c>
      <c r="AF16" s="1799">
        <v>10</v>
      </c>
      <c r="AG16" s="2586"/>
      <c r="AH16" s="2560"/>
      <c r="AI16" s="767" t="s">
        <v>626</v>
      </c>
      <c r="AJ16" s="766">
        <f t="shared" si="13"/>
        <v>11</v>
      </c>
      <c r="AK16" s="768">
        <v>0</v>
      </c>
      <c r="AL16" s="768">
        <v>60</v>
      </c>
      <c r="AM16" s="870">
        <v>0</v>
      </c>
      <c r="AN16" s="900"/>
      <c r="AO16" s="907">
        <f t="shared" si="8"/>
        <v>121</v>
      </c>
      <c r="AP16" s="907">
        <v>10</v>
      </c>
      <c r="AQ16" s="2540"/>
      <c r="AR16" s="2560"/>
      <c r="AS16" s="767" t="s">
        <v>359</v>
      </c>
      <c r="AT16" s="765">
        <f t="shared" si="9"/>
        <v>21</v>
      </c>
      <c r="AU16" s="766">
        <f t="shared" si="12"/>
        <v>11</v>
      </c>
      <c r="AV16" s="903">
        <f t="shared" si="0"/>
        <v>0</v>
      </c>
      <c r="AW16" s="903">
        <f t="shared" si="1"/>
        <v>10</v>
      </c>
      <c r="AX16" s="913">
        <f t="shared" si="2"/>
        <v>0</v>
      </c>
      <c r="AY16" s="905"/>
      <c r="AZ16" s="1008">
        <v>1</v>
      </c>
      <c r="BA16" s="1009">
        <v>1</v>
      </c>
      <c r="BB16" s="1009">
        <v>1</v>
      </c>
      <c r="BC16" s="1010">
        <v>1.1000000000000001</v>
      </c>
      <c r="BD16" s="1007">
        <v>1</v>
      </c>
      <c r="BE16" s="1010">
        <v>0</v>
      </c>
      <c r="BF16" s="1009">
        <v>1</v>
      </c>
      <c r="BG16" s="1009">
        <v>1</v>
      </c>
      <c r="BH16" s="1010">
        <v>1</v>
      </c>
    </row>
    <row r="17" spans="1:60" ht="15">
      <c r="A17" s="1799">
        <f t="shared" si="3"/>
        <v>122</v>
      </c>
      <c r="B17" s="1799">
        <v>10</v>
      </c>
      <c r="C17" s="2540"/>
      <c r="D17" s="2560"/>
      <c r="E17" s="765" t="s">
        <v>893</v>
      </c>
      <c r="F17" s="766">
        <f t="shared" si="10"/>
        <v>12</v>
      </c>
      <c r="G17" s="768">
        <v>0.5</v>
      </c>
      <c r="H17" s="768">
        <v>5</v>
      </c>
      <c r="I17" s="870">
        <v>0</v>
      </c>
      <c r="J17" s="1806"/>
      <c r="K17" s="1807">
        <f t="shared" si="4"/>
        <v>222</v>
      </c>
      <c r="L17" s="1799">
        <v>10</v>
      </c>
      <c r="M17" s="2540"/>
      <c r="N17" s="2560"/>
      <c r="O17" s="767" t="s">
        <v>462</v>
      </c>
      <c r="P17" s="766">
        <v>12</v>
      </c>
      <c r="Q17" s="768">
        <v>1.5</v>
      </c>
      <c r="R17" s="768">
        <v>15</v>
      </c>
      <c r="S17" s="870">
        <v>0</v>
      </c>
      <c r="T17" s="1806"/>
      <c r="U17" s="1807">
        <f t="shared" si="6"/>
        <v>322</v>
      </c>
      <c r="V17" s="1807">
        <v>10</v>
      </c>
      <c r="W17" s="2540"/>
      <c r="X17" s="2560"/>
      <c r="Y17" s="767" t="s">
        <v>462</v>
      </c>
      <c r="Z17" s="766">
        <f t="shared" si="11"/>
        <v>12</v>
      </c>
      <c r="AA17" s="768">
        <v>3</v>
      </c>
      <c r="AB17" s="768">
        <v>30</v>
      </c>
      <c r="AC17" s="870">
        <v>0</v>
      </c>
      <c r="AD17" s="1806"/>
      <c r="AE17" s="1807">
        <f t="shared" si="7"/>
        <v>422</v>
      </c>
      <c r="AF17" s="1799">
        <v>10</v>
      </c>
      <c r="AG17" s="2586"/>
      <c r="AH17" s="2560"/>
      <c r="AI17" s="767" t="s">
        <v>627</v>
      </c>
      <c r="AJ17" s="766">
        <f t="shared" si="13"/>
        <v>12</v>
      </c>
      <c r="AK17" s="768">
        <v>3</v>
      </c>
      <c r="AL17" s="768">
        <v>30</v>
      </c>
      <c r="AM17" s="870">
        <v>0</v>
      </c>
      <c r="AN17" s="900"/>
      <c r="AO17" s="907">
        <f t="shared" si="8"/>
        <v>122</v>
      </c>
      <c r="AP17" s="907">
        <v>10</v>
      </c>
      <c r="AQ17" s="2540"/>
      <c r="AR17" s="2560"/>
      <c r="AS17" s="767" t="s">
        <v>462</v>
      </c>
      <c r="AT17" s="765">
        <f t="shared" si="9"/>
        <v>22</v>
      </c>
      <c r="AU17" s="766">
        <f t="shared" si="12"/>
        <v>12</v>
      </c>
      <c r="AV17" s="903">
        <f t="shared" si="0"/>
        <v>0.5</v>
      </c>
      <c r="AW17" s="903">
        <f t="shared" si="1"/>
        <v>5</v>
      </c>
      <c r="AX17" s="913">
        <f t="shared" si="2"/>
        <v>0</v>
      </c>
      <c r="AY17" s="905"/>
      <c r="AZ17" s="1008">
        <v>1</v>
      </c>
      <c r="BA17" s="1009">
        <v>1</v>
      </c>
      <c r="BB17" s="1009">
        <v>1</v>
      </c>
      <c r="BC17" s="1010">
        <v>1.1499999999999999</v>
      </c>
      <c r="BD17" s="1007">
        <v>1</v>
      </c>
      <c r="BE17" s="1010">
        <v>0</v>
      </c>
      <c r="BF17" s="1009">
        <v>1</v>
      </c>
      <c r="BG17" s="1009">
        <v>1</v>
      </c>
      <c r="BH17" s="1010">
        <v>1</v>
      </c>
    </row>
    <row r="18" spans="1:60" ht="15">
      <c r="A18" s="1799">
        <f t="shared" si="3"/>
        <v>123</v>
      </c>
      <c r="B18" s="1799">
        <v>10</v>
      </c>
      <c r="C18" s="2540"/>
      <c r="D18" s="2560"/>
      <c r="E18" s="765" t="s">
        <v>894</v>
      </c>
      <c r="F18" s="766">
        <f t="shared" si="10"/>
        <v>13</v>
      </c>
      <c r="G18" s="768">
        <v>1</v>
      </c>
      <c r="H18" s="768">
        <v>10</v>
      </c>
      <c r="I18" s="870">
        <v>0</v>
      </c>
      <c r="J18" s="1806"/>
      <c r="K18" s="1807">
        <f t="shared" si="4"/>
        <v>223</v>
      </c>
      <c r="L18" s="1799">
        <v>10</v>
      </c>
      <c r="M18" s="2540"/>
      <c r="N18" s="2560"/>
      <c r="O18" s="767" t="s">
        <v>524</v>
      </c>
      <c r="P18" s="766">
        <v>13</v>
      </c>
      <c r="Q18" s="768">
        <v>3</v>
      </c>
      <c r="R18" s="768">
        <v>30</v>
      </c>
      <c r="S18" s="870">
        <v>0</v>
      </c>
      <c r="T18" s="1806"/>
      <c r="U18" s="1807">
        <f t="shared" si="6"/>
        <v>323</v>
      </c>
      <c r="V18" s="1807">
        <v>10</v>
      </c>
      <c r="W18" s="2540"/>
      <c r="X18" s="2560"/>
      <c r="Y18" s="767" t="s">
        <v>524</v>
      </c>
      <c r="Z18" s="766">
        <f t="shared" si="11"/>
        <v>13</v>
      </c>
      <c r="AA18" s="768">
        <v>6</v>
      </c>
      <c r="AB18" s="768">
        <v>60</v>
      </c>
      <c r="AC18" s="870">
        <v>0</v>
      </c>
      <c r="AD18" s="1806"/>
      <c r="AE18" s="1807">
        <f t="shared" si="7"/>
        <v>423</v>
      </c>
      <c r="AF18" s="1799">
        <v>10</v>
      </c>
      <c r="AG18" s="2586"/>
      <c r="AH18" s="2560"/>
      <c r="AI18" s="767" t="s">
        <v>524</v>
      </c>
      <c r="AJ18" s="766">
        <f t="shared" si="13"/>
        <v>13</v>
      </c>
      <c r="AK18" s="768">
        <v>6</v>
      </c>
      <c r="AL18" s="768">
        <v>60</v>
      </c>
      <c r="AM18" s="870">
        <v>0</v>
      </c>
      <c r="AN18" s="900"/>
      <c r="AO18" s="907">
        <f t="shared" si="8"/>
        <v>123</v>
      </c>
      <c r="AP18" s="907">
        <v>10</v>
      </c>
      <c r="AQ18" s="2540"/>
      <c r="AR18" s="2560"/>
      <c r="AS18" s="767" t="s">
        <v>524</v>
      </c>
      <c r="AT18" s="765">
        <f t="shared" si="9"/>
        <v>23</v>
      </c>
      <c r="AU18" s="766">
        <f t="shared" si="12"/>
        <v>13</v>
      </c>
      <c r="AV18" s="903">
        <f t="shared" si="0"/>
        <v>1</v>
      </c>
      <c r="AW18" s="903">
        <f t="shared" si="1"/>
        <v>10</v>
      </c>
      <c r="AX18" s="913">
        <f t="shared" si="2"/>
        <v>0</v>
      </c>
      <c r="AY18" s="905"/>
      <c r="AZ18" s="1008">
        <v>1</v>
      </c>
      <c r="BA18" s="1009">
        <v>1</v>
      </c>
      <c r="BB18" s="1009">
        <v>1</v>
      </c>
      <c r="BC18" s="1010">
        <v>1.2</v>
      </c>
      <c r="BD18" s="1007">
        <v>1</v>
      </c>
      <c r="BE18" s="1010">
        <v>0</v>
      </c>
      <c r="BF18" s="1009">
        <v>1</v>
      </c>
      <c r="BG18" s="1009">
        <v>1</v>
      </c>
      <c r="BH18" s="1010">
        <v>1</v>
      </c>
    </row>
    <row r="19" spans="1:60" ht="15">
      <c r="A19" s="1799">
        <f t="shared" si="3"/>
        <v>124</v>
      </c>
      <c r="B19" s="1799">
        <v>10</v>
      </c>
      <c r="C19" s="2540"/>
      <c r="D19" s="2560"/>
      <c r="E19" s="765" t="s">
        <v>895</v>
      </c>
      <c r="F19" s="766">
        <f t="shared" si="10"/>
        <v>14</v>
      </c>
      <c r="G19" s="768">
        <v>2</v>
      </c>
      <c r="H19" s="768">
        <v>0</v>
      </c>
      <c r="I19" s="870">
        <v>0</v>
      </c>
      <c r="J19" s="1806"/>
      <c r="K19" s="1807">
        <f t="shared" si="4"/>
        <v>224</v>
      </c>
      <c r="L19" s="1799">
        <v>10</v>
      </c>
      <c r="M19" s="2540"/>
      <c r="N19" s="2560"/>
      <c r="O19" s="767" t="s">
        <v>464</v>
      </c>
      <c r="P19" s="766">
        <v>14</v>
      </c>
      <c r="Q19" s="768">
        <v>6</v>
      </c>
      <c r="R19" s="768">
        <v>0</v>
      </c>
      <c r="S19" s="870">
        <v>0</v>
      </c>
      <c r="T19" s="1806"/>
      <c r="U19" s="1807">
        <f t="shared" si="6"/>
        <v>324</v>
      </c>
      <c r="V19" s="1807">
        <v>10</v>
      </c>
      <c r="W19" s="2540"/>
      <c r="X19" s="2560"/>
      <c r="Y19" s="767" t="s">
        <v>464</v>
      </c>
      <c r="Z19" s="766">
        <f t="shared" si="11"/>
        <v>14</v>
      </c>
      <c r="AA19" s="768">
        <v>12</v>
      </c>
      <c r="AB19" s="768">
        <v>0</v>
      </c>
      <c r="AC19" s="870">
        <v>0</v>
      </c>
      <c r="AD19" s="1806"/>
      <c r="AE19" s="1807">
        <f t="shared" si="7"/>
        <v>424</v>
      </c>
      <c r="AF19" s="1799">
        <v>10</v>
      </c>
      <c r="AG19" s="2586"/>
      <c r="AH19" s="2560"/>
      <c r="AI19" s="767" t="s">
        <v>628</v>
      </c>
      <c r="AJ19" s="766">
        <f t="shared" si="13"/>
        <v>14</v>
      </c>
      <c r="AK19" s="768">
        <v>12</v>
      </c>
      <c r="AL19" s="768">
        <v>0</v>
      </c>
      <c r="AM19" s="870">
        <v>0</v>
      </c>
      <c r="AN19" s="900"/>
      <c r="AO19" s="907">
        <f t="shared" si="8"/>
        <v>124</v>
      </c>
      <c r="AP19" s="907">
        <v>10</v>
      </c>
      <c r="AQ19" s="2540"/>
      <c r="AR19" s="2560"/>
      <c r="AS19" s="767" t="s">
        <v>464</v>
      </c>
      <c r="AT19" s="765">
        <f t="shared" si="9"/>
        <v>24</v>
      </c>
      <c r="AU19" s="766">
        <f t="shared" si="12"/>
        <v>14</v>
      </c>
      <c r="AV19" s="903">
        <f t="shared" si="0"/>
        <v>2</v>
      </c>
      <c r="AW19" s="903">
        <f t="shared" si="1"/>
        <v>0</v>
      </c>
      <c r="AX19" s="913">
        <f t="shared" si="2"/>
        <v>0</v>
      </c>
      <c r="AY19" s="905"/>
      <c r="AZ19" s="1008">
        <v>1</v>
      </c>
      <c r="BA19" s="1009">
        <v>1</v>
      </c>
      <c r="BB19" s="1009">
        <v>1</v>
      </c>
      <c r="BC19" s="1010">
        <v>1.25</v>
      </c>
      <c r="BD19" s="1007">
        <v>1</v>
      </c>
      <c r="BE19" s="1010">
        <v>0</v>
      </c>
      <c r="BF19" s="1009">
        <v>1</v>
      </c>
      <c r="BG19" s="1009">
        <v>1</v>
      </c>
      <c r="BH19" s="1010">
        <v>1</v>
      </c>
    </row>
    <row r="20" spans="1:60" ht="15">
      <c r="A20" s="1799">
        <f t="shared" si="3"/>
        <v>125</v>
      </c>
      <c r="B20" s="1799">
        <v>10</v>
      </c>
      <c r="C20" s="2540"/>
      <c r="D20" s="2560"/>
      <c r="E20" s="765" t="s">
        <v>994</v>
      </c>
      <c r="F20" s="766">
        <f t="shared" si="10"/>
        <v>15</v>
      </c>
      <c r="G20" s="768">
        <v>0</v>
      </c>
      <c r="H20" s="768">
        <v>10</v>
      </c>
      <c r="I20" s="870">
        <v>0</v>
      </c>
      <c r="J20" s="1806"/>
      <c r="K20" s="1807">
        <f t="shared" si="4"/>
        <v>225</v>
      </c>
      <c r="L20" s="1799">
        <v>10</v>
      </c>
      <c r="M20" s="2540"/>
      <c r="N20" s="2560"/>
      <c r="O20" s="767" t="s">
        <v>467</v>
      </c>
      <c r="P20" s="766">
        <v>15</v>
      </c>
      <c r="Q20" s="768">
        <v>0</v>
      </c>
      <c r="R20" s="768">
        <v>30</v>
      </c>
      <c r="S20" s="870">
        <v>0</v>
      </c>
      <c r="T20" s="1806"/>
      <c r="U20" s="1807">
        <f t="shared" si="6"/>
        <v>325</v>
      </c>
      <c r="V20" s="1807">
        <v>10</v>
      </c>
      <c r="W20" s="2540"/>
      <c r="X20" s="2560"/>
      <c r="Y20" s="767" t="s">
        <v>467</v>
      </c>
      <c r="Z20" s="766">
        <f t="shared" si="11"/>
        <v>15</v>
      </c>
      <c r="AA20" s="768">
        <v>0</v>
      </c>
      <c r="AB20" s="768">
        <v>60</v>
      </c>
      <c r="AC20" s="870">
        <v>0</v>
      </c>
      <c r="AD20" s="1806"/>
      <c r="AE20" s="1807">
        <f t="shared" si="7"/>
        <v>425</v>
      </c>
      <c r="AF20" s="1799">
        <v>10</v>
      </c>
      <c r="AG20" s="2586"/>
      <c r="AH20" s="2560"/>
      <c r="AI20" s="767" t="s">
        <v>629</v>
      </c>
      <c r="AJ20" s="766">
        <f t="shared" si="13"/>
        <v>15</v>
      </c>
      <c r="AK20" s="768">
        <v>0</v>
      </c>
      <c r="AL20" s="768">
        <v>60</v>
      </c>
      <c r="AM20" s="870">
        <v>0</v>
      </c>
      <c r="AN20" s="900"/>
      <c r="AO20" s="907">
        <f t="shared" si="8"/>
        <v>125</v>
      </c>
      <c r="AP20" s="907">
        <v>10</v>
      </c>
      <c r="AQ20" s="2540"/>
      <c r="AR20" s="2560"/>
      <c r="AS20" s="767" t="s">
        <v>467</v>
      </c>
      <c r="AT20" s="765">
        <f t="shared" si="9"/>
        <v>25</v>
      </c>
      <c r="AU20" s="766">
        <f t="shared" si="12"/>
        <v>15</v>
      </c>
      <c r="AV20" s="903">
        <f t="shared" si="0"/>
        <v>0</v>
      </c>
      <c r="AW20" s="903">
        <f t="shared" si="1"/>
        <v>10</v>
      </c>
      <c r="AX20" s="913">
        <f t="shared" si="2"/>
        <v>0</v>
      </c>
      <c r="AY20" s="905"/>
      <c r="AZ20" s="1008">
        <v>1.1000000000000001</v>
      </c>
      <c r="BA20" s="1009">
        <v>1</v>
      </c>
      <c r="BB20" s="1009">
        <v>1</v>
      </c>
      <c r="BC20" s="1010">
        <v>1</v>
      </c>
      <c r="BD20" s="1007">
        <v>1</v>
      </c>
      <c r="BE20" s="1010">
        <v>0</v>
      </c>
      <c r="BF20" s="1009">
        <v>1</v>
      </c>
      <c r="BG20" s="1009">
        <v>1</v>
      </c>
      <c r="BH20" s="1010">
        <v>1</v>
      </c>
    </row>
    <row r="21" spans="1:60" ht="15">
      <c r="A21" s="1799">
        <f t="shared" si="3"/>
        <v>126</v>
      </c>
      <c r="B21" s="1799">
        <v>10</v>
      </c>
      <c r="C21" s="2540"/>
      <c r="D21" s="2560"/>
      <c r="E21" s="767" t="s">
        <v>470</v>
      </c>
      <c r="F21" s="766">
        <f t="shared" si="10"/>
        <v>16</v>
      </c>
      <c r="G21" s="768">
        <v>0.5</v>
      </c>
      <c r="H21" s="768">
        <v>5</v>
      </c>
      <c r="I21" s="870">
        <v>0</v>
      </c>
      <c r="J21" s="1806"/>
      <c r="K21" s="1807">
        <f t="shared" si="4"/>
        <v>226</v>
      </c>
      <c r="L21" s="1799">
        <v>10</v>
      </c>
      <c r="M21" s="2540"/>
      <c r="N21" s="2560"/>
      <c r="O21" s="767" t="s">
        <v>470</v>
      </c>
      <c r="P21" s="766">
        <v>16</v>
      </c>
      <c r="Q21" s="768">
        <v>1.5</v>
      </c>
      <c r="R21" s="768">
        <v>15</v>
      </c>
      <c r="S21" s="870">
        <v>0</v>
      </c>
      <c r="T21" s="1806"/>
      <c r="U21" s="1807">
        <f t="shared" si="6"/>
        <v>326</v>
      </c>
      <c r="V21" s="1807">
        <v>10</v>
      </c>
      <c r="W21" s="2540"/>
      <c r="X21" s="2560"/>
      <c r="Y21" s="767" t="s">
        <v>470</v>
      </c>
      <c r="Z21" s="766">
        <f t="shared" si="11"/>
        <v>16</v>
      </c>
      <c r="AA21" s="768">
        <v>3</v>
      </c>
      <c r="AB21" s="768">
        <v>30</v>
      </c>
      <c r="AC21" s="870">
        <v>0</v>
      </c>
      <c r="AD21" s="1806"/>
      <c r="AE21" s="1807">
        <f t="shared" si="7"/>
        <v>426</v>
      </c>
      <c r="AF21" s="1799">
        <v>10</v>
      </c>
      <c r="AG21" s="2586"/>
      <c r="AH21" s="2560"/>
      <c r="AI21" s="767" t="s">
        <v>630</v>
      </c>
      <c r="AJ21" s="766">
        <f t="shared" si="13"/>
        <v>16</v>
      </c>
      <c r="AK21" s="768">
        <v>3</v>
      </c>
      <c r="AL21" s="768">
        <v>30</v>
      </c>
      <c r="AM21" s="870">
        <v>0</v>
      </c>
      <c r="AN21" s="900"/>
      <c r="AO21" s="907">
        <f t="shared" si="8"/>
        <v>126</v>
      </c>
      <c r="AP21" s="907">
        <v>10</v>
      </c>
      <c r="AQ21" s="2540"/>
      <c r="AR21" s="2560"/>
      <c r="AS21" s="767" t="s">
        <v>470</v>
      </c>
      <c r="AT21" s="765">
        <f t="shared" si="9"/>
        <v>26</v>
      </c>
      <c r="AU21" s="766">
        <f t="shared" si="12"/>
        <v>16</v>
      </c>
      <c r="AV21" s="903">
        <f t="shared" si="0"/>
        <v>0.5</v>
      </c>
      <c r="AW21" s="903">
        <f t="shared" si="1"/>
        <v>5</v>
      </c>
      <c r="AX21" s="913">
        <f t="shared" si="2"/>
        <v>0</v>
      </c>
      <c r="AY21" s="905"/>
      <c r="AZ21" s="1008">
        <v>1.25</v>
      </c>
      <c r="BA21" s="1009">
        <v>1</v>
      </c>
      <c r="BB21" s="1009">
        <v>1</v>
      </c>
      <c r="BC21" s="1010">
        <v>1</v>
      </c>
      <c r="BD21" s="1007">
        <v>1</v>
      </c>
      <c r="BE21" s="1010">
        <v>0</v>
      </c>
      <c r="BF21" s="1009">
        <v>1</v>
      </c>
      <c r="BG21" s="1009">
        <v>1</v>
      </c>
      <c r="BH21" s="1010">
        <v>1</v>
      </c>
    </row>
    <row r="22" spans="1:60" ht="15">
      <c r="A22" s="1799">
        <f t="shared" si="3"/>
        <v>127</v>
      </c>
      <c r="B22" s="1799">
        <v>10</v>
      </c>
      <c r="C22" s="2540"/>
      <c r="D22" s="2560"/>
      <c r="E22" s="767" t="s">
        <v>527</v>
      </c>
      <c r="F22" s="766">
        <f t="shared" si="10"/>
        <v>17</v>
      </c>
      <c r="G22" s="768">
        <v>1</v>
      </c>
      <c r="H22" s="768">
        <v>10</v>
      </c>
      <c r="I22" s="870">
        <v>0</v>
      </c>
      <c r="J22" s="1806"/>
      <c r="K22" s="1807">
        <f t="shared" si="4"/>
        <v>227</v>
      </c>
      <c r="L22" s="1799">
        <v>10</v>
      </c>
      <c r="M22" s="2540"/>
      <c r="N22" s="2560"/>
      <c r="O22" s="767" t="s">
        <v>527</v>
      </c>
      <c r="P22" s="766">
        <v>17</v>
      </c>
      <c r="Q22" s="768">
        <v>3</v>
      </c>
      <c r="R22" s="768">
        <v>30</v>
      </c>
      <c r="S22" s="870">
        <v>0</v>
      </c>
      <c r="T22" s="1806"/>
      <c r="U22" s="1807">
        <f t="shared" si="6"/>
        <v>327</v>
      </c>
      <c r="V22" s="1807">
        <v>10</v>
      </c>
      <c r="W22" s="2540"/>
      <c r="X22" s="2560"/>
      <c r="Y22" s="767" t="s">
        <v>527</v>
      </c>
      <c r="Z22" s="766">
        <f t="shared" si="11"/>
        <v>17</v>
      </c>
      <c r="AA22" s="768">
        <v>6</v>
      </c>
      <c r="AB22" s="768">
        <v>60</v>
      </c>
      <c r="AC22" s="870">
        <v>0</v>
      </c>
      <c r="AD22" s="1806"/>
      <c r="AE22" s="1807">
        <f t="shared" si="7"/>
        <v>427</v>
      </c>
      <c r="AF22" s="1799">
        <v>10</v>
      </c>
      <c r="AG22" s="2586"/>
      <c r="AH22" s="2560"/>
      <c r="AI22" s="767" t="s">
        <v>527</v>
      </c>
      <c r="AJ22" s="766">
        <f t="shared" si="13"/>
        <v>17</v>
      </c>
      <c r="AK22" s="768">
        <v>6</v>
      </c>
      <c r="AL22" s="768">
        <v>60</v>
      </c>
      <c r="AM22" s="870">
        <v>0</v>
      </c>
      <c r="AN22" s="900"/>
      <c r="AO22" s="907">
        <f t="shared" si="8"/>
        <v>127</v>
      </c>
      <c r="AP22" s="907">
        <v>10</v>
      </c>
      <c r="AQ22" s="2540"/>
      <c r="AR22" s="2560"/>
      <c r="AS22" s="767" t="s">
        <v>527</v>
      </c>
      <c r="AT22" s="765">
        <f t="shared" si="9"/>
        <v>27</v>
      </c>
      <c r="AU22" s="766">
        <f t="shared" si="12"/>
        <v>17</v>
      </c>
      <c r="AV22" s="903">
        <f t="shared" si="0"/>
        <v>1</v>
      </c>
      <c r="AW22" s="903">
        <f t="shared" si="1"/>
        <v>10</v>
      </c>
      <c r="AX22" s="913">
        <f t="shared" si="2"/>
        <v>0</v>
      </c>
      <c r="AY22" s="905"/>
      <c r="AZ22" s="1008">
        <v>1.4</v>
      </c>
      <c r="BA22" s="1009">
        <v>1</v>
      </c>
      <c r="BB22" s="1009">
        <v>1</v>
      </c>
      <c r="BC22" s="1010">
        <v>1</v>
      </c>
      <c r="BD22" s="1007">
        <v>1</v>
      </c>
      <c r="BE22" s="1010">
        <v>0</v>
      </c>
      <c r="BF22" s="1009">
        <v>1</v>
      </c>
      <c r="BG22" s="1009">
        <v>1</v>
      </c>
      <c r="BH22" s="1010">
        <v>1</v>
      </c>
    </row>
    <row r="23" spans="1:60" ht="15">
      <c r="A23" s="1799">
        <f t="shared" si="3"/>
        <v>128</v>
      </c>
      <c r="B23" s="1799">
        <v>10</v>
      </c>
      <c r="C23" s="2540"/>
      <c r="D23" s="2560"/>
      <c r="E23" s="767" t="s">
        <v>473</v>
      </c>
      <c r="F23" s="766">
        <f t="shared" si="10"/>
        <v>18</v>
      </c>
      <c r="G23" s="768">
        <v>2</v>
      </c>
      <c r="H23" s="768">
        <v>0</v>
      </c>
      <c r="I23" s="870">
        <v>0</v>
      </c>
      <c r="J23" s="1806"/>
      <c r="K23" s="1807">
        <f t="shared" si="4"/>
        <v>228</v>
      </c>
      <c r="L23" s="1799">
        <v>10</v>
      </c>
      <c r="M23" s="2540"/>
      <c r="N23" s="2560"/>
      <c r="O23" s="767" t="s">
        <v>473</v>
      </c>
      <c r="P23" s="766">
        <v>18</v>
      </c>
      <c r="Q23" s="768">
        <v>6</v>
      </c>
      <c r="R23" s="768">
        <v>0</v>
      </c>
      <c r="S23" s="870">
        <v>0</v>
      </c>
      <c r="T23" s="1806"/>
      <c r="U23" s="1807">
        <f t="shared" si="6"/>
        <v>328</v>
      </c>
      <c r="V23" s="1807">
        <v>10</v>
      </c>
      <c r="W23" s="2540"/>
      <c r="X23" s="2560"/>
      <c r="Y23" s="767" t="s">
        <v>473</v>
      </c>
      <c r="Z23" s="766">
        <f t="shared" si="11"/>
        <v>18</v>
      </c>
      <c r="AA23" s="768">
        <v>12</v>
      </c>
      <c r="AB23" s="768">
        <v>0</v>
      </c>
      <c r="AC23" s="870">
        <v>0</v>
      </c>
      <c r="AD23" s="1806"/>
      <c r="AE23" s="1807">
        <f t="shared" si="7"/>
        <v>428</v>
      </c>
      <c r="AF23" s="1799">
        <v>10</v>
      </c>
      <c r="AG23" s="2586"/>
      <c r="AH23" s="2560"/>
      <c r="AI23" s="767" t="s">
        <v>631</v>
      </c>
      <c r="AJ23" s="766">
        <f t="shared" si="13"/>
        <v>18</v>
      </c>
      <c r="AK23" s="768">
        <v>12</v>
      </c>
      <c r="AL23" s="768">
        <v>0</v>
      </c>
      <c r="AM23" s="870">
        <v>0</v>
      </c>
      <c r="AN23" s="900"/>
      <c r="AO23" s="907">
        <f t="shared" si="8"/>
        <v>128</v>
      </c>
      <c r="AP23" s="907">
        <v>10</v>
      </c>
      <c r="AQ23" s="2540"/>
      <c r="AR23" s="2560"/>
      <c r="AS23" s="767" t="s">
        <v>473</v>
      </c>
      <c r="AT23" s="765">
        <f t="shared" si="9"/>
        <v>28</v>
      </c>
      <c r="AU23" s="766">
        <f t="shared" si="12"/>
        <v>18</v>
      </c>
      <c r="AV23" s="903">
        <f t="shared" si="0"/>
        <v>2</v>
      </c>
      <c r="AW23" s="903">
        <f t="shared" si="1"/>
        <v>0</v>
      </c>
      <c r="AX23" s="913">
        <f t="shared" si="2"/>
        <v>0</v>
      </c>
      <c r="AY23" s="905"/>
      <c r="AZ23" s="1008">
        <v>1.6</v>
      </c>
      <c r="BA23" s="1009">
        <v>1</v>
      </c>
      <c r="BB23" s="1009">
        <v>1</v>
      </c>
      <c r="BC23" s="1010">
        <v>1</v>
      </c>
      <c r="BD23" s="1007">
        <v>1</v>
      </c>
      <c r="BE23" s="1010">
        <v>0</v>
      </c>
      <c r="BF23" s="1009">
        <v>1</v>
      </c>
      <c r="BG23" s="1009">
        <v>1</v>
      </c>
      <c r="BH23" s="1010">
        <v>1</v>
      </c>
    </row>
    <row r="24" spans="1:60" s="368" customFormat="1" ht="15.75" thickBot="1">
      <c r="A24" s="1799">
        <f t="shared" si="3"/>
        <v>129</v>
      </c>
      <c r="B24" s="1799">
        <v>10</v>
      </c>
      <c r="C24" s="2540"/>
      <c r="D24" s="2561"/>
      <c r="E24" s="921" t="s">
        <v>1143</v>
      </c>
      <c r="F24" s="772">
        <f t="shared" si="10"/>
        <v>19</v>
      </c>
      <c r="G24" s="773">
        <v>0</v>
      </c>
      <c r="H24" s="773">
        <v>0</v>
      </c>
      <c r="I24" s="871">
        <v>0</v>
      </c>
      <c r="J24" s="1806"/>
      <c r="K24" s="1807">
        <f t="shared" si="4"/>
        <v>229</v>
      </c>
      <c r="L24" s="1799">
        <v>10</v>
      </c>
      <c r="M24" s="2540"/>
      <c r="N24" s="2561"/>
      <c r="O24" s="921" t="s">
        <v>1143</v>
      </c>
      <c r="P24" s="772">
        <v>19</v>
      </c>
      <c r="Q24" s="773"/>
      <c r="R24" s="773"/>
      <c r="S24" s="871"/>
      <c r="T24" s="1806"/>
      <c r="U24" s="1807">
        <f t="shared" si="6"/>
        <v>329</v>
      </c>
      <c r="V24" s="1807">
        <v>10</v>
      </c>
      <c r="W24" s="2540"/>
      <c r="X24" s="2561"/>
      <c r="Y24" s="921" t="s">
        <v>1143</v>
      </c>
      <c r="Z24" s="772">
        <f t="shared" si="11"/>
        <v>19</v>
      </c>
      <c r="AA24" s="773">
        <v>0</v>
      </c>
      <c r="AB24" s="773">
        <v>0</v>
      </c>
      <c r="AC24" s="871">
        <v>0</v>
      </c>
      <c r="AD24" s="1806"/>
      <c r="AE24" s="1807">
        <f t="shared" si="7"/>
        <v>429</v>
      </c>
      <c r="AF24" s="1799">
        <v>10</v>
      </c>
      <c r="AG24" s="2586"/>
      <c r="AH24" s="2561"/>
      <c r="AI24" s="921" t="s">
        <v>1143</v>
      </c>
      <c r="AJ24" s="772">
        <f t="shared" si="13"/>
        <v>19</v>
      </c>
      <c r="AK24" s="773">
        <v>0</v>
      </c>
      <c r="AL24" s="773">
        <v>0</v>
      </c>
      <c r="AM24" s="871">
        <v>0</v>
      </c>
      <c r="AN24" s="900"/>
      <c r="AO24" s="907">
        <f t="shared" si="8"/>
        <v>129</v>
      </c>
      <c r="AP24" s="907">
        <v>10</v>
      </c>
      <c r="AQ24" s="2540"/>
      <c r="AR24" s="2561"/>
      <c r="AS24" s="921" t="s">
        <v>1143</v>
      </c>
      <c r="AT24" s="921">
        <f t="shared" si="9"/>
        <v>29</v>
      </c>
      <c r="AU24" s="772">
        <f t="shared" si="12"/>
        <v>19</v>
      </c>
      <c r="AV24" s="914">
        <f t="shared" ref="AV24" si="14">IF($AQ$5=100,VLOOKUP(AO24,$A$6:$I$50,7),IF($AQ$5=200,VLOOKUP(AO24,$K$6:$S$50,7),IF($AQ$5=300,VLOOKUP(AO24,$U$6:$AC$54,7),IF($AQ$5=400,AK24,0))))</f>
        <v>0</v>
      </c>
      <c r="AW24" s="914">
        <f t="shared" si="1"/>
        <v>0</v>
      </c>
      <c r="AX24" s="915">
        <f t="shared" si="2"/>
        <v>0</v>
      </c>
      <c r="AY24" s="917"/>
      <c r="AZ24" s="1011">
        <v>1</v>
      </c>
      <c r="BA24" s="1012">
        <v>1</v>
      </c>
      <c r="BB24" s="1012">
        <v>1</v>
      </c>
      <c r="BC24" s="1013">
        <v>1</v>
      </c>
      <c r="BD24" s="1575">
        <v>1</v>
      </c>
      <c r="BE24" s="1013">
        <v>1</v>
      </c>
      <c r="BF24" s="1012">
        <v>1</v>
      </c>
      <c r="BG24" s="1012">
        <v>1</v>
      </c>
      <c r="BH24" s="1013">
        <v>1</v>
      </c>
    </row>
    <row r="25" spans="1:60" ht="15">
      <c r="A25" s="1799">
        <f t="shared" si="3"/>
        <v>131</v>
      </c>
      <c r="B25" s="1799">
        <v>30</v>
      </c>
      <c r="C25" s="2541"/>
      <c r="D25" s="2543" t="s">
        <v>366</v>
      </c>
      <c r="E25" s="829" t="s">
        <v>61</v>
      </c>
      <c r="F25" s="1567">
        <v>1</v>
      </c>
      <c r="G25" s="1568">
        <v>0</v>
      </c>
      <c r="H25" s="1568">
        <v>0</v>
      </c>
      <c r="I25" s="1569">
        <v>0</v>
      </c>
      <c r="J25" s="1806"/>
      <c r="K25" s="1807">
        <f t="shared" si="4"/>
        <v>231</v>
      </c>
      <c r="L25" s="1799">
        <v>30</v>
      </c>
      <c r="M25" s="2541"/>
      <c r="N25" s="2543" t="s">
        <v>366</v>
      </c>
      <c r="O25" s="829" t="s">
        <v>61</v>
      </c>
      <c r="P25" s="778">
        <v>1</v>
      </c>
      <c r="Q25" s="964">
        <v>0</v>
      </c>
      <c r="R25" s="964">
        <v>0</v>
      </c>
      <c r="S25" s="965">
        <v>0</v>
      </c>
      <c r="T25" s="1806"/>
      <c r="U25" s="1807">
        <f t="shared" si="6"/>
        <v>361</v>
      </c>
      <c r="V25" s="1808">
        <v>60</v>
      </c>
      <c r="W25" s="2541"/>
      <c r="X25" s="2566" t="s">
        <v>1004</v>
      </c>
      <c r="Y25" s="829" t="s">
        <v>61</v>
      </c>
      <c r="Z25" s="778">
        <v>1</v>
      </c>
      <c r="AA25" s="779"/>
      <c r="AB25" s="779"/>
      <c r="AC25" s="872"/>
      <c r="AD25" s="1806"/>
      <c r="AE25" s="1807">
        <f t="shared" si="7"/>
        <v>461</v>
      </c>
      <c r="AF25" s="1799">
        <v>60</v>
      </c>
      <c r="AG25" s="2531"/>
      <c r="AH25" s="2566" t="s">
        <v>1004</v>
      </c>
      <c r="AI25" s="829" t="s">
        <v>61</v>
      </c>
      <c r="AJ25" s="778">
        <v>1</v>
      </c>
      <c r="AK25" s="779">
        <v>0</v>
      </c>
      <c r="AL25" s="779">
        <v>0</v>
      </c>
      <c r="AM25" s="872">
        <v>0</v>
      </c>
      <c r="AN25" s="900"/>
      <c r="AO25" s="907">
        <f t="shared" si="8"/>
        <v>161</v>
      </c>
      <c r="AP25" s="907">
        <v>60</v>
      </c>
      <c r="AQ25" s="2540"/>
      <c r="AR25" s="2566" t="s">
        <v>1004</v>
      </c>
      <c r="AS25" s="829" t="s">
        <v>61</v>
      </c>
      <c r="AT25" s="829">
        <f t="shared" si="9"/>
        <v>61</v>
      </c>
      <c r="AU25" s="778">
        <v>1</v>
      </c>
      <c r="AV25" s="964">
        <f t="shared" ref="AV25:AV38" si="15">IF($AQ$5=100,VLOOKUP(AO25,$A$6:$I$50,7),IF($AQ$5=200,VLOOKUP(AO25,$K$6:$S$50,7),IF($AQ$5=300,AA25,IF($AQ$5=400,AK25,0))))</f>
        <v>0</v>
      </c>
      <c r="AW25" s="964">
        <f t="shared" ref="AW25:AW32" si="16">IF($AQ$5=100,VLOOKUP(AO25,$A$6:$I$50,8),IF($AQ$5=200,VLOOKUP(AO25,$K$6:$S$50,8),IF($AQ$5=300,AB25,IF($AQ$5=400,AL25,0))))</f>
        <v>0</v>
      </c>
      <c r="AX25" s="965">
        <f t="shared" ref="AX25:AX32" si="17">IF($AQ$5=100,VLOOKUP(AO25,$A$6:$I$50,9),IF($AQ$5=200,VLOOKUP(AO25,$K$6:$S$50,9),IF($AQ$5=300,VLOOKUP(AO25,$U$6:$AC$54,9),IF($AQ$5=400,VLOOKUP(AO25,$AE$6:$AM$59,9),0))))</f>
        <v>0</v>
      </c>
      <c r="AY25" s="923"/>
      <c r="AZ25" s="998">
        <v>0</v>
      </c>
      <c r="BA25" s="999">
        <v>0</v>
      </c>
      <c r="BB25" s="999">
        <v>0</v>
      </c>
      <c r="BC25" s="1000">
        <v>0</v>
      </c>
      <c r="BD25" s="994">
        <v>0</v>
      </c>
      <c r="BE25" s="1576">
        <v>0</v>
      </c>
      <c r="BF25" s="999">
        <v>0</v>
      </c>
      <c r="BG25" s="999">
        <v>0</v>
      </c>
      <c r="BH25" s="1000">
        <v>0</v>
      </c>
    </row>
    <row r="26" spans="1:60" ht="15">
      <c r="A26" s="1799">
        <f t="shared" si="3"/>
        <v>132</v>
      </c>
      <c r="B26" s="1799">
        <v>30</v>
      </c>
      <c r="C26" s="2541"/>
      <c r="D26" s="2543"/>
      <c r="E26" s="777" t="s">
        <v>479</v>
      </c>
      <c r="F26" s="778">
        <f>F25+1</f>
        <v>2</v>
      </c>
      <c r="G26" s="779">
        <v>0</v>
      </c>
      <c r="H26" s="779">
        <v>35</v>
      </c>
      <c r="I26" s="872">
        <v>0</v>
      </c>
      <c r="J26" s="1806"/>
      <c r="K26" s="1807">
        <f t="shared" si="4"/>
        <v>232</v>
      </c>
      <c r="L26" s="1799">
        <v>30</v>
      </c>
      <c r="M26" s="2541"/>
      <c r="N26" s="2543"/>
      <c r="O26" s="777" t="s">
        <v>454</v>
      </c>
      <c r="P26" s="778">
        <f>P25+1</f>
        <v>2</v>
      </c>
      <c r="Q26" s="779">
        <v>0</v>
      </c>
      <c r="R26" s="779">
        <v>65</v>
      </c>
      <c r="S26" s="872">
        <v>0</v>
      </c>
      <c r="T26" s="1806"/>
      <c r="U26" s="1807">
        <f t="shared" si="6"/>
        <v>362</v>
      </c>
      <c r="V26" s="1808">
        <v>60</v>
      </c>
      <c r="W26" s="2541"/>
      <c r="X26" s="2566"/>
      <c r="Y26" s="829" t="s">
        <v>885</v>
      </c>
      <c r="Z26" s="778">
        <f>Z25+1</f>
        <v>2</v>
      </c>
      <c r="AA26" s="779">
        <v>0</v>
      </c>
      <c r="AB26" s="779">
        <v>10</v>
      </c>
      <c r="AC26" s="872">
        <v>0</v>
      </c>
      <c r="AD26" s="1806"/>
      <c r="AE26" s="1807">
        <f t="shared" si="7"/>
        <v>462</v>
      </c>
      <c r="AF26" s="1799">
        <v>60</v>
      </c>
      <c r="AG26" s="2531"/>
      <c r="AH26" s="2566"/>
      <c r="AI26" s="777" t="s">
        <v>632</v>
      </c>
      <c r="AJ26" s="778">
        <v>2</v>
      </c>
      <c r="AK26" s="779">
        <v>0</v>
      </c>
      <c r="AL26" s="779">
        <v>10</v>
      </c>
      <c r="AM26" s="872">
        <v>0</v>
      </c>
      <c r="AN26" s="900"/>
      <c r="AO26" s="907">
        <f t="shared" si="8"/>
        <v>162</v>
      </c>
      <c r="AP26" s="907">
        <v>60</v>
      </c>
      <c r="AQ26" s="2540"/>
      <c r="AR26" s="2566"/>
      <c r="AS26" s="829" t="s">
        <v>885</v>
      </c>
      <c r="AT26" s="829">
        <f t="shared" si="9"/>
        <v>62</v>
      </c>
      <c r="AU26" s="778">
        <f>AU25+1</f>
        <v>2</v>
      </c>
      <c r="AV26" s="964">
        <f t="shared" si="15"/>
        <v>0</v>
      </c>
      <c r="AW26" s="964">
        <f t="shared" si="16"/>
        <v>0</v>
      </c>
      <c r="AX26" s="965">
        <f t="shared" si="17"/>
        <v>0</v>
      </c>
      <c r="AY26" s="923"/>
      <c r="AZ26" s="998">
        <v>1</v>
      </c>
      <c r="BA26" s="999">
        <v>1</v>
      </c>
      <c r="BB26" s="999">
        <v>1</v>
      </c>
      <c r="BC26" s="1000">
        <v>1</v>
      </c>
      <c r="BD26" s="998">
        <v>1</v>
      </c>
      <c r="BE26" s="997">
        <v>0</v>
      </c>
      <c r="BF26" s="999">
        <v>1</v>
      </c>
      <c r="BG26" s="999">
        <v>1</v>
      </c>
      <c r="BH26" s="1000">
        <v>1</v>
      </c>
    </row>
    <row r="27" spans="1:60" ht="15">
      <c r="A27" s="1799">
        <f t="shared" si="3"/>
        <v>133</v>
      </c>
      <c r="B27" s="1799">
        <v>30</v>
      </c>
      <c r="C27" s="2541"/>
      <c r="D27" s="2543"/>
      <c r="E27" s="777" t="s">
        <v>481</v>
      </c>
      <c r="F27" s="778">
        <f>F26+1</f>
        <v>3</v>
      </c>
      <c r="G27" s="779">
        <v>15</v>
      </c>
      <c r="H27" s="779">
        <v>35</v>
      </c>
      <c r="I27" s="872">
        <v>0</v>
      </c>
      <c r="J27" s="1806"/>
      <c r="K27" s="1807">
        <f t="shared" si="4"/>
        <v>233</v>
      </c>
      <c r="L27" s="1799">
        <v>30</v>
      </c>
      <c r="M27" s="2541"/>
      <c r="N27" s="2543"/>
      <c r="O27" s="777" t="s">
        <v>555</v>
      </c>
      <c r="P27" s="778">
        <f>P26+1</f>
        <v>3</v>
      </c>
      <c r="Q27" s="779">
        <v>20</v>
      </c>
      <c r="R27" s="779">
        <v>65</v>
      </c>
      <c r="S27" s="872">
        <v>0</v>
      </c>
      <c r="T27" s="1806"/>
      <c r="U27" s="1807">
        <f t="shared" si="6"/>
        <v>363</v>
      </c>
      <c r="V27" s="1808">
        <v>60</v>
      </c>
      <c r="W27" s="2541"/>
      <c r="X27" s="2566"/>
      <c r="Y27" s="777" t="s">
        <v>590</v>
      </c>
      <c r="Z27" s="778">
        <f t="shared" ref="Z27:Z32" si="18">Z26+1</f>
        <v>3</v>
      </c>
      <c r="AA27" s="779">
        <v>2</v>
      </c>
      <c r="AB27" s="779">
        <v>10</v>
      </c>
      <c r="AC27" s="872">
        <v>0</v>
      </c>
      <c r="AD27" s="1806"/>
      <c r="AE27" s="1807">
        <f t="shared" si="7"/>
        <v>463</v>
      </c>
      <c r="AF27" s="1799">
        <v>60</v>
      </c>
      <c r="AG27" s="2531"/>
      <c r="AH27" s="2566"/>
      <c r="AI27" s="777" t="s">
        <v>633</v>
      </c>
      <c r="AJ27" s="778">
        <v>3</v>
      </c>
      <c r="AK27" s="779">
        <v>2</v>
      </c>
      <c r="AL27" s="779">
        <v>10</v>
      </c>
      <c r="AM27" s="872">
        <v>0</v>
      </c>
      <c r="AN27" s="900"/>
      <c r="AO27" s="907">
        <f t="shared" si="8"/>
        <v>163</v>
      </c>
      <c r="AP27" s="907">
        <v>60</v>
      </c>
      <c r="AQ27" s="2540"/>
      <c r="AR27" s="2566"/>
      <c r="AS27" s="777" t="s">
        <v>590</v>
      </c>
      <c r="AT27" s="829">
        <f t="shared" si="9"/>
        <v>63</v>
      </c>
      <c r="AU27" s="778">
        <f t="shared" ref="AU27:AU32" si="19">AU26+1</f>
        <v>3</v>
      </c>
      <c r="AV27" s="964">
        <f t="shared" si="15"/>
        <v>0</v>
      </c>
      <c r="AW27" s="964">
        <f t="shared" si="16"/>
        <v>0</v>
      </c>
      <c r="AX27" s="965">
        <f t="shared" si="17"/>
        <v>0</v>
      </c>
      <c r="AY27" s="923"/>
      <c r="AZ27" s="998">
        <v>1.1499999999999999</v>
      </c>
      <c r="BA27" s="999">
        <v>1.1499999999999999</v>
      </c>
      <c r="BB27" s="999">
        <v>1</v>
      </c>
      <c r="BC27" s="1000">
        <v>1</v>
      </c>
      <c r="BD27" s="998">
        <v>1</v>
      </c>
      <c r="BE27" s="997">
        <v>0</v>
      </c>
      <c r="BF27" s="999">
        <v>1</v>
      </c>
      <c r="BG27" s="999">
        <v>1</v>
      </c>
      <c r="BH27" s="1000">
        <v>1</v>
      </c>
    </row>
    <row r="28" spans="1:60" ht="15.75" thickBot="1">
      <c r="A28" s="1799">
        <f t="shared" si="3"/>
        <v>134</v>
      </c>
      <c r="B28" s="1799">
        <v>30</v>
      </c>
      <c r="C28" s="2541"/>
      <c r="D28" s="2543"/>
      <c r="E28" s="777" t="s">
        <v>484</v>
      </c>
      <c r="F28" s="778">
        <f>F27+1</f>
        <v>4</v>
      </c>
      <c r="G28" s="779">
        <v>30</v>
      </c>
      <c r="H28" s="779">
        <v>0</v>
      </c>
      <c r="I28" s="872">
        <v>0</v>
      </c>
      <c r="J28" s="1806"/>
      <c r="K28" s="1807">
        <f t="shared" si="4"/>
        <v>234</v>
      </c>
      <c r="L28" s="1799">
        <v>30</v>
      </c>
      <c r="M28" s="2541"/>
      <c r="N28" s="2543"/>
      <c r="O28" s="777" t="s">
        <v>557</v>
      </c>
      <c r="P28" s="778">
        <f>P27+1</f>
        <v>4</v>
      </c>
      <c r="Q28" s="779">
        <v>40</v>
      </c>
      <c r="R28" s="779">
        <v>0</v>
      </c>
      <c r="S28" s="872">
        <v>0</v>
      </c>
      <c r="T28" s="1806"/>
      <c r="U28" s="1807">
        <f t="shared" si="6"/>
        <v>364</v>
      </c>
      <c r="V28" s="1808">
        <v>60</v>
      </c>
      <c r="W28" s="2541"/>
      <c r="X28" s="2567"/>
      <c r="Y28" s="830" t="s">
        <v>591</v>
      </c>
      <c r="Z28" s="781">
        <f t="shared" si="18"/>
        <v>4</v>
      </c>
      <c r="AA28" s="782">
        <v>4</v>
      </c>
      <c r="AB28" s="782">
        <v>0</v>
      </c>
      <c r="AC28" s="873">
        <v>0</v>
      </c>
      <c r="AD28" s="1806"/>
      <c r="AE28" s="1807">
        <f t="shared" si="7"/>
        <v>464</v>
      </c>
      <c r="AF28" s="1799">
        <v>60</v>
      </c>
      <c r="AG28" s="2531"/>
      <c r="AH28" s="2567"/>
      <c r="AI28" s="780" t="s">
        <v>634</v>
      </c>
      <c r="AJ28" s="781">
        <v>4</v>
      </c>
      <c r="AK28" s="782">
        <v>4</v>
      </c>
      <c r="AL28" s="782">
        <v>0</v>
      </c>
      <c r="AM28" s="873">
        <v>0</v>
      </c>
      <c r="AN28" s="900"/>
      <c r="AO28" s="907">
        <f t="shared" si="8"/>
        <v>164</v>
      </c>
      <c r="AP28" s="907">
        <v>60</v>
      </c>
      <c r="AQ28" s="2540"/>
      <c r="AR28" s="2567"/>
      <c r="AS28" s="830" t="s">
        <v>591</v>
      </c>
      <c r="AT28" s="830">
        <f t="shared" si="9"/>
        <v>64</v>
      </c>
      <c r="AU28" s="781">
        <f t="shared" si="19"/>
        <v>4</v>
      </c>
      <c r="AV28" s="966">
        <f t="shared" si="15"/>
        <v>0</v>
      </c>
      <c r="AW28" s="966">
        <f t="shared" si="16"/>
        <v>0</v>
      </c>
      <c r="AX28" s="967">
        <f t="shared" si="17"/>
        <v>0</v>
      </c>
      <c r="AY28" s="924"/>
      <c r="AZ28" s="1001">
        <v>1.3</v>
      </c>
      <c r="BA28" s="1002">
        <v>1.3</v>
      </c>
      <c r="BB28" s="1002">
        <v>1</v>
      </c>
      <c r="BC28" s="1003">
        <v>1</v>
      </c>
      <c r="BD28" s="1001">
        <v>1</v>
      </c>
      <c r="BE28" s="1577">
        <v>0</v>
      </c>
      <c r="BF28" s="1002">
        <v>1</v>
      </c>
      <c r="BG28" s="1002">
        <v>1</v>
      </c>
      <c r="BH28" s="1003">
        <v>1</v>
      </c>
    </row>
    <row r="29" spans="1:60" ht="15">
      <c r="A29" s="1799">
        <f t="shared" si="3"/>
        <v>135</v>
      </c>
      <c r="B29" s="1799">
        <v>30</v>
      </c>
      <c r="C29" s="2541"/>
      <c r="D29" s="2543"/>
      <c r="E29" s="829" t="s">
        <v>977</v>
      </c>
      <c r="F29" s="778">
        <v>5</v>
      </c>
      <c r="G29" s="779">
        <v>0</v>
      </c>
      <c r="H29" s="779">
        <v>0</v>
      </c>
      <c r="I29" s="872">
        <v>0</v>
      </c>
      <c r="J29" s="1806"/>
      <c r="K29" s="1807">
        <f t="shared" si="4"/>
        <v>235</v>
      </c>
      <c r="L29" s="1799">
        <v>30</v>
      </c>
      <c r="M29" s="2541"/>
      <c r="N29" s="2543"/>
      <c r="O29" s="829" t="s">
        <v>993</v>
      </c>
      <c r="P29" s="778">
        <v>5</v>
      </c>
      <c r="Q29" s="779">
        <v>0</v>
      </c>
      <c r="R29" s="779">
        <v>0</v>
      </c>
      <c r="S29" s="872">
        <v>0</v>
      </c>
      <c r="T29" s="1806"/>
      <c r="U29" s="1807">
        <f t="shared" si="6"/>
        <v>351</v>
      </c>
      <c r="V29" s="1808">
        <v>50</v>
      </c>
      <c r="W29" s="2541"/>
      <c r="X29" s="2568" t="s">
        <v>884</v>
      </c>
      <c r="Y29" s="783" t="s">
        <v>61</v>
      </c>
      <c r="Z29" s="821">
        <v>1</v>
      </c>
      <c r="AA29" s="822"/>
      <c r="AB29" s="822"/>
      <c r="AC29" s="890"/>
      <c r="AD29" s="1806"/>
      <c r="AE29" s="1807">
        <f t="shared" si="7"/>
        <v>451</v>
      </c>
      <c r="AF29" s="1799">
        <v>50</v>
      </c>
      <c r="AG29" s="2531"/>
      <c r="AH29" s="2568" t="s">
        <v>884</v>
      </c>
      <c r="AI29" s="783" t="s">
        <v>61</v>
      </c>
      <c r="AJ29" s="821">
        <v>1</v>
      </c>
      <c r="AK29" s="822">
        <v>0</v>
      </c>
      <c r="AL29" s="822">
        <v>0</v>
      </c>
      <c r="AM29" s="890">
        <v>0</v>
      </c>
      <c r="AN29" s="900"/>
      <c r="AO29" s="907">
        <f t="shared" si="8"/>
        <v>151</v>
      </c>
      <c r="AP29" s="907">
        <v>50</v>
      </c>
      <c r="AQ29" s="2540"/>
      <c r="AR29" s="2568" t="s">
        <v>884</v>
      </c>
      <c r="AS29" s="783" t="s">
        <v>61</v>
      </c>
      <c r="AT29" s="783">
        <f t="shared" si="9"/>
        <v>51</v>
      </c>
      <c r="AU29" s="821">
        <v>1</v>
      </c>
      <c r="AV29" s="976">
        <f t="shared" si="15"/>
        <v>0</v>
      </c>
      <c r="AW29" s="976">
        <f t="shared" si="16"/>
        <v>0</v>
      </c>
      <c r="AX29" s="977">
        <f t="shared" si="17"/>
        <v>0</v>
      </c>
      <c r="AY29" s="922"/>
      <c r="AZ29" s="984">
        <v>0</v>
      </c>
      <c r="BA29" s="985">
        <v>0</v>
      </c>
      <c r="BB29" s="985">
        <v>0</v>
      </c>
      <c r="BC29" s="986">
        <v>0</v>
      </c>
      <c r="BD29" s="984">
        <v>0</v>
      </c>
      <c r="BE29" s="1578">
        <v>0</v>
      </c>
      <c r="BF29" s="985">
        <v>0</v>
      </c>
      <c r="BG29" s="985">
        <v>0</v>
      </c>
      <c r="BH29" s="986">
        <v>0</v>
      </c>
    </row>
    <row r="30" spans="1:60" ht="15.75" thickBot="1">
      <c r="A30" s="1799">
        <f t="shared" si="3"/>
        <v>136</v>
      </c>
      <c r="B30" s="1799">
        <v>30</v>
      </c>
      <c r="C30" s="2541"/>
      <c r="D30" s="2544"/>
      <c r="E30" s="780" t="s">
        <v>488</v>
      </c>
      <c r="F30" s="781">
        <v>6</v>
      </c>
      <c r="G30" s="782">
        <v>0</v>
      </c>
      <c r="H30" s="782">
        <v>0</v>
      </c>
      <c r="I30" s="873">
        <v>500</v>
      </c>
      <c r="J30" s="1806"/>
      <c r="K30" s="1807">
        <f t="shared" si="4"/>
        <v>236</v>
      </c>
      <c r="L30" s="1799">
        <v>30</v>
      </c>
      <c r="M30" s="2541"/>
      <c r="N30" s="2544"/>
      <c r="O30" s="780" t="s">
        <v>558</v>
      </c>
      <c r="P30" s="781">
        <v>6</v>
      </c>
      <c r="Q30" s="782">
        <v>0</v>
      </c>
      <c r="R30" s="782">
        <v>0</v>
      </c>
      <c r="S30" s="873">
        <v>750</v>
      </c>
      <c r="T30" s="1806"/>
      <c r="U30" s="1807">
        <f t="shared" si="6"/>
        <v>352</v>
      </c>
      <c r="V30" s="1808">
        <v>50</v>
      </c>
      <c r="W30" s="2541"/>
      <c r="X30" s="2569"/>
      <c r="Y30" s="785" t="s">
        <v>593</v>
      </c>
      <c r="Z30" s="786">
        <v>2</v>
      </c>
      <c r="AA30" s="787">
        <v>0</v>
      </c>
      <c r="AB30" s="787">
        <v>25</v>
      </c>
      <c r="AC30" s="875">
        <v>0</v>
      </c>
      <c r="AD30" s="1806"/>
      <c r="AE30" s="1807">
        <f t="shared" si="7"/>
        <v>452</v>
      </c>
      <c r="AF30" s="1799">
        <v>50</v>
      </c>
      <c r="AG30" s="2531"/>
      <c r="AH30" s="2569"/>
      <c r="AI30" s="785" t="s">
        <v>635</v>
      </c>
      <c r="AJ30" s="786">
        <v>2</v>
      </c>
      <c r="AK30" s="787">
        <v>0</v>
      </c>
      <c r="AL30" s="787">
        <v>25</v>
      </c>
      <c r="AM30" s="875">
        <v>0</v>
      </c>
      <c r="AN30" s="900"/>
      <c r="AO30" s="907">
        <f t="shared" si="8"/>
        <v>152</v>
      </c>
      <c r="AP30" s="907">
        <v>50</v>
      </c>
      <c r="AQ30" s="2540"/>
      <c r="AR30" s="2569"/>
      <c r="AS30" s="785" t="s">
        <v>593</v>
      </c>
      <c r="AT30" s="978">
        <f t="shared" si="9"/>
        <v>52</v>
      </c>
      <c r="AU30" s="786">
        <v>2</v>
      </c>
      <c r="AV30" s="979">
        <f t="shared" si="15"/>
        <v>0</v>
      </c>
      <c r="AW30" s="979">
        <f t="shared" si="16"/>
        <v>0</v>
      </c>
      <c r="AX30" s="980">
        <f t="shared" si="17"/>
        <v>0</v>
      </c>
      <c r="AY30" s="923"/>
      <c r="AZ30" s="988">
        <v>1</v>
      </c>
      <c r="BA30" s="989">
        <v>1</v>
      </c>
      <c r="BB30" s="989">
        <v>1</v>
      </c>
      <c r="BC30" s="990">
        <v>1</v>
      </c>
      <c r="BD30" s="988">
        <v>1</v>
      </c>
      <c r="BE30" s="987">
        <v>0</v>
      </c>
      <c r="BF30" s="989">
        <v>1</v>
      </c>
      <c r="BG30" s="989">
        <v>1</v>
      </c>
      <c r="BH30" s="990">
        <v>1</v>
      </c>
    </row>
    <row r="31" spans="1:60" ht="15">
      <c r="A31" s="1799">
        <f t="shared" si="3"/>
        <v>141</v>
      </c>
      <c r="B31" s="1799">
        <v>40</v>
      </c>
      <c r="C31" s="2541"/>
      <c r="D31" s="2545" t="s">
        <v>978</v>
      </c>
      <c r="E31" s="829" t="s">
        <v>61</v>
      </c>
      <c r="F31" s="778">
        <v>1</v>
      </c>
      <c r="G31" s="779">
        <v>0</v>
      </c>
      <c r="H31" s="779">
        <v>0</v>
      </c>
      <c r="I31" s="872">
        <v>0</v>
      </c>
      <c r="J31" s="1806"/>
      <c r="K31" s="1807">
        <f t="shared" si="4"/>
        <v>241</v>
      </c>
      <c r="L31" s="1799">
        <v>40</v>
      </c>
      <c r="M31" s="2541"/>
      <c r="N31" s="2545" t="s">
        <v>978</v>
      </c>
      <c r="O31" s="776" t="s">
        <v>61</v>
      </c>
      <c r="P31" s="819">
        <v>1</v>
      </c>
      <c r="Q31" s="840">
        <v>0</v>
      </c>
      <c r="R31" s="840">
        <v>0</v>
      </c>
      <c r="S31" s="889">
        <v>0</v>
      </c>
      <c r="T31" s="1806"/>
      <c r="U31" s="1807">
        <f t="shared" si="6"/>
        <v>353</v>
      </c>
      <c r="V31" s="1808">
        <v>50</v>
      </c>
      <c r="W31" s="2541"/>
      <c r="X31" s="2569"/>
      <c r="Y31" s="785" t="s">
        <v>595</v>
      </c>
      <c r="Z31" s="786">
        <f t="shared" si="18"/>
        <v>3</v>
      </c>
      <c r="AA31" s="787">
        <v>5</v>
      </c>
      <c r="AB31" s="787">
        <v>25</v>
      </c>
      <c r="AC31" s="875">
        <v>0</v>
      </c>
      <c r="AD31" s="1806"/>
      <c r="AE31" s="1807">
        <f t="shared" si="7"/>
        <v>453</v>
      </c>
      <c r="AF31" s="1799">
        <v>50</v>
      </c>
      <c r="AG31" s="2531"/>
      <c r="AH31" s="2569"/>
      <c r="AI31" s="785" t="s">
        <v>636</v>
      </c>
      <c r="AJ31" s="786">
        <f t="shared" ref="AJ31:AJ32" si="20">AJ30+1</f>
        <v>3</v>
      </c>
      <c r="AK31" s="787">
        <v>5</v>
      </c>
      <c r="AL31" s="787">
        <v>25</v>
      </c>
      <c r="AM31" s="875">
        <v>0</v>
      </c>
      <c r="AN31" s="900"/>
      <c r="AO31" s="907">
        <f t="shared" si="8"/>
        <v>153</v>
      </c>
      <c r="AP31" s="907">
        <v>50</v>
      </c>
      <c r="AQ31" s="2540"/>
      <c r="AR31" s="2569"/>
      <c r="AS31" s="785" t="s">
        <v>595</v>
      </c>
      <c r="AT31" s="978">
        <f t="shared" si="9"/>
        <v>53</v>
      </c>
      <c r="AU31" s="786">
        <f t="shared" si="19"/>
        <v>3</v>
      </c>
      <c r="AV31" s="979">
        <f t="shared" si="15"/>
        <v>0</v>
      </c>
      <c r="AW31" s="979">
        <f t="shared" si="16"/>
        <v>0</v>
      </c>
      <c r="AX31" s="980">
        <f t="shared" si="17"/>
        <v>0</v>
      </c>
      <c r="AY31" s="923"/>
      <c r="AZ31" s="1024">
        <v>1.1499999999999999</v>
      </c>
      <c r="BA31" s="989">
        <v>1.1499999999999999</v>
      </c>
      <c r="BB31" s="989">
        <v>1</v>
      </c>
      <c r="BC31" s="990">
        <v>1</v>
      </c>
      <c r="BD31" s="988">
        <v>1</v>
      </c>
      <c r="BE31" s="987">
        <v>0</v>
      </c>
      <c r="BF31" s="989">
        <v>1</v>
      </c>
      <c r="BG31" s="989">
        <v>1</v>
      </c>
      <c r="BH31" s="990">
        <v>1</v>
      </c>
    </row>
    <row r="32" spans="1:60" ht="15.75" thickBot="1">
      <c r="A32" s="1799">
        <f t="shared" si="3"/>
        <v>142</v>
      </c>
      <c r="B32" s="1799">
        <v>40</v>
      </c>
      <c r="C32" s="2541"/>
      <c r="D32" s="2543"/>
      <c r="E32" s="829" t="s">
        <v>1144</v>
      </c>
      <c r="F32" s="778">
        <v>2</v>
      </c>
      <c r="G32" s="779">
        <v>0</v>
      </c>
      <c r="H32" s="779">
        <v>0</v>
      </c>
      <c r="I32" s="872">
        <v>100</v>
      </c>
      <c r="J32" s="1806"/>
      <c r="K32" s="1807">
        <f t="shared" si="4"/>
        <v>242</v>
      </c>
      <c r="L32" s="1799">
        <v>40</v>
      </c>
      <c r="M32" s="2541"/>
      <c r="N32" s="2543"/>
      <c r="O32" s="829" t="s">
        <v>1145</v>
      </c>
      <c r="P32" s="778">
        <v>2</v>
      </c>
      <c r="Q32" s="779">
        <v>0</v>
      </c>
      <c r="R32" s="779">
        <v>0</v>
      </c>
      <c r="S32" s="872">
        <v>200</v>
      </c>
      <c r="T32" s="1806"/>
      <c r="U32" s="1807">
        <f t="shared" si="6"/>
        <v>354</v>
      </c>
      <c r="V32" s="1808">
        <v>50</v>
      </c>
      <c r="W32" s="2541"/>
      <c r="X32" s="2570"/>
      <c r="Y32" s="788" t="s">
        <v>596</v>
      </c>
      <c r="Z32" s="789">
        <f t="shared" si="18"/>
        <v>4</v>
      </c>
      <c r="AA32" s="790">
        <v>10</v>
      </c>
      <c r="AB32" s="790">
        <v>0</v>
      </c>
      <c r="AC32" s="876">
        <v>0</v>
      </c>
      <c r="AD32" s="1806"/>
      <c r="AE32" s="1807">
        <f t="shared" si="7"/>
        <v>454</v>
      </c>
      <c r="AF32" s="1799">
        <v>50</v>
      </c>
      <c r="AG32" s="2531"/>
      <c r="AH32" s="2570"/>
      <c r="AI32" s="788" t="s">
        <v>637</v>
      </c>
      <c r="AJ32" s="789">
        <f t="shared" si="20"/>
        <v>4</v>
      </c>
      <c r="AK32" s="790">
        <v>10</v>
      </c>
      <c r="AL32" s="790">
        <v>0</v>
      </c>
      <c r="AM32" s="876">
        <v>0</v>
      </c>
      <c r="AN32" s="900"/>
      <c r="AO32" s="907">
        <f t="shared" si="8"/>
        <v>154</v>
      </c>
      <c r="AP32" s="907">
        <v>50</v>
      </c>
      <c r="AQ32" s="2540"/>
      <c r="AR32" s="2570"/>
      <c r="AS32" s="788" t="s">
        <v>596</v>
      </c>
      <c r="AT32" s="981">
        <f t="shared" si="9"/>
        <v>54</v>
      </c>
      <c r="AU32" s="789">
        <f t="shared" si="19"/>
        <v>4</v>
      </c>
      <c r="AV32" s="982">
        <f t="shared" si="15"/>
        <v>0</v>
      </c>
      <c r="AW32" s="982">
        <f t="shared" si="16"/>
        <v>0</v>
      </c>
      <c r="AX32" s="983">
        <f t="shared" si="17"/>
        <v>0</v>
      </c>
      <c r="AY32" s="924"/>
      <c r="AZ32" s="991">
        <v>1.3</v>
      </c>
      <c r="BA32" s="992">
        <v>1.3</v>
      </c>
      <c r="BB32" s="992">
        <v>1</v>
      </c>
      <c r="BC32" s="993">
        <v>1</v>
      </c>
      <c r="BD32" s="991">
        <v>1</v>
      </c>
      <c r="BE32" s="1579">
        <v>0</v>
      </c>
      <c r="BF32" s="992">
        <v>1</v>
      </c>
      <c r="BG32" s="992">
        <v>1</v>
      </c>
      <c r="BH32" s="993">
        <v>1</v>
      </c>
    </row>
    <row r="33" spans="1:60" ht="15">
      <c r="A33" s="1799">
        <f t="shared" si="3"/>
        <v>143</v>
      </c>
      <c r="B33" s="1799">
        <v>40</v>
      </c>
      <c r="C33" s="2541"/>
      <c r="D33" s="2543"/>
      <c r="E33" s="777"/>
      <c r="F33" s="778">
        <v>3</v>
      </c>
      <c r="G33" s="779">
        <v>0</v>
      </c>
      <c r="H33" s="779">
        <v>0</v>
      </c>
      <c r="I33" s="872">
        <v>0</v>
      </c>
      <c r="J33" s="1806"/>
      <c r="K33" s="1807">
        <f t="shared" si="4"/>
        <v>243</v>
      </c>
      <c r="L33" s="1799">
        <v>40</v>
      </c>
      <c r="M33" s="2541"/>
      <c r="N33" s="2543"/>
      <c r="O33" s="777"/>
      <c r="P33" s="778">
        <v>3</v>
      </c>
      <c r="Q33" s="779">
        <v>0</v>
      </c>
      <c r="R33" s="779">
        <v>0</v>
      </c>
      <c r="S33" s="872"/>
      <c r="T33" s="1806"/>
      <c r="U33" s="1807">
        <f t="shared" si="6"/>
        <v>331</v>
      </c>
      <c r="V33" s="1808">
        <v>30</v>
      </c>
      <c r="W33" s="2541"/>
      <c r="X33" s="2571" t="s">
        <v>366</v>
      </c>
      <c r="Y33" s="823" t="s">
        <v>61</v>
      </c>
      <c r="Z33" s="792">
        <v>1</v>
      </c>
      <c r="AA33" s="824">
        <v>0</v>
      </c>
      <c r="AB33" s="824">
        <v>0</v>
      </c>
      <c r="AC33" s="891">
        <v>0</v>
      </c>
      <c r="AD33" s="1806"/>
      <c r="AE33" s="1807">
        <f t="shared" si="7"/>
        <v>431</v>
      </c>
      <c r="AF33" s="1799">
        <v>30</v>
      </c>
      <c r="AG33" s="2531"/>
      <c r="AH33" s="2571" t="s">
        <v>366</v>
      </c>
      <c r="AI33" s="823" t="s">
        <v>61</v>
      </c>
      <c r="AJ33" s="792">
        <v>1</v>
      </c>
      <c r="AK33" s="824">
        <v>0</v>
      </c>
      <c r="AL33" s="824">
        <v>0</v>
      </c>
      <c r="AM33" s="891">
        <v>0</v>
      </c>
      <c r="AN33" s="900"/>
      <c r="AO33" s="907">
        <f t="shared" si="8"/>
        <v>131</v>
      </c>
      <c r="AP33" s="907">
        <v>30</v>
      </c>
      <c r="AQ33" s="2540"/>
      <c r="AR33" s="2572" t="s">
        <v>366</v>
      </c>
      <c r="AS33" s="846" t="s">
        <v>61</v>
      </c>
      <c r="AT33" s="846">
        <f t="shared" si="9"/>
        <v>31</v>
      </c>
      <c r="AU33" s="795">
        <v>1</v>
      </c>
      <c r="AV33" s="974">
        <f t="shared" si="15"/>
        <v>0</v>
      </c>
      <c r="AW33" s="974">
        <f t="shared" ref="AW33:AW38" si="21">IF($AQ$5=100,VLOOKUP(AO33,$A$6:$I$50,8),IF($AQ$5=200,VLOOKUP(AO33,$K$6:$S$50,8),IF($AQ$5=300,AB33,IF($AQ$5=400,VLOOKUP(AO33,$AE$6:$AM$59,8),0))))</f>
        <v>0</v>
      </c>
      <c r="AX33" s="975">
        <f t="shared" ref="AX33:AX38" si="22">IF($AQ$5=100,VLOOKUP(AO33,$A$6:$I$50,9),IF($AQ$5=200,VLOOKUP(AO33,$K$6:$S$50,9),IF($AQ$5=300,AC33,IF($AQ$5=400,AM33,0))))</f>
        <v>0</v>
      </c>
      <c r="AY33" s="905"/>
      <c r="AZ33" s="1025">
        <v>0</v>
      </c>
      <c r="BA33" s="1026">
        <v>0</v>
      </c>
      <c r="BB33" s="1026">
        <v>0</v>
      </c>
      <c r="BC33" s="1027">
        <v>0</v>
      </c>
      <c r="BD33" s="1025">
        <v>0</v>
      </c>
      <c r="BE33" s="1580">
        <v>0</v>
      </c>
      <c r="BF33" s="1026">
        <v>0</v>
      </c>
      <c r="BG33" s="1026">
        <v>0</v>
      </c>
      <c r="BH33" s="1027">
        <v>0</v>
      </c>
    </row>
    <row r="34" spans="1:60" ht="15.75" thickBot="1">
      <c r="A34" s="1799">
        <f t="shared" si="3"/>
        <v>144</v>
      </c>
      <c r="B34" s="1799">
        <v>40</v>
      </c>
      <c r="C34" s="2542"/>
      <c r="D34" s="2544"/>
      <c r="E34" s="777"/>
      <c r="F34" s="778">
        <v>4</v>
      </c>
      <c r="G34" s="779">
        <v>0</v>
      </c>
      <c r="H34" s="779">
        <v>0</v>
      </c>
      <c r="I34" s="872">
        <v>0</v>
      </c>
      <c r="J34" s="1806"/>
      <c r="K34" s="1807">
        <f t="shared" si="4"/>
        <v>244</v>
      </c>
      <c r="L34" s="1799">
        <v>40</v>
      </c>
      <c r="M34" s="2542"/>
      <c r="N34" s="2544"/>
      <c r="O34" s="780"/>
      <c r="P34" s="781">
        <v>4</v>
      </c>
      <c r="Q34" s="782">
        <v>0</v>
      </c>
      <c r="R34" s="782">
        <v>0</v>
      </c>
      <c r="S34" s="873"/>
      <c r="T34" s="1806"/>
      <c r="U34" s="1807">
        <f t="shared" si="6"/>
        <v>332</v>
      </c>
      <c r="V34" s="1808">
        <v>30</v>
      </c>
      <c r="W34" s="2541"/>
      <c r="X34" s="2572"/>
      <c r="Y34" s="794" t="s">
        <v>597</v>
      </c>
      <c r="Z34" s="795">
        <f>Z33+1</f>
        <v>2</v>
      </c>
      <c r="AA34" s="796">
        <v>0</v>
      </c>
      <c r="AB34" s="796">
        <v>100</v>
      </c>
      <c r="AC34" s="878">
        <v>0</v>
      </c>
      <c r="AD34" s="1806"/>
      <c r="AE34" s="1807">
        <f t="shared" si="7"/>
        <v>432</v>
      </c>
      <c r="AF34" s="1799">
        <v>30</v>
      </c>
      <c r="AG34" s="2531"/>
      <c r="AH34" s="2572"/>
      <c r="AI34" s="794" t="s">
        <v>638</v>
      </c>
      <c r="AJ34" s="795">
        <v>2</v>
      </c>
      <c r="AK34" s="796">
        <v>0</v>
      </c>
      <c r="AL34" s="796">
        <v>100</v>
      </c>
      <c r="AM34" s="878">
        <v>0</v>
      </c>
      <c r="AN34" s="900"/>
      <c r="AO34" s="907">
        <f t="shared" si="8"/>
        <v>132</v>
      </c>
      <c r="AP34" s="907">
        <v>30</v>
      </c>
      <c r="AQ34" s="2540"/>
      <c r="AR34" s="2572"/>
      <c r="AS34" s="794" t="s">
        <v>597</v>
      </c>
      <c r="AT34" s="846">
        <f t="shared" si="9"/>
        <v>32</v>
      </c>
      <c r="AU34" s="795">
        <f>AU33+1</f>
        <v>2</v>
      </c>
      <c r="AV34" s="974">
        <f t="shared" si="15"/>
        <v>0</v>
      </c>
      <c r="AW34" s="974">
        <f t="shared" si="21"/>
        <v>35</v>
      </c>
      <c r="AX34" s="975">
        <f t="shared" si="22"/>
        <v>0</v>
      </c>
      <c r="AY34" s="905"/>
      <c r="AZ34" s="1029">
        <v>1</v>
      </c>
      <c r="BA34" s="1030">
        <v>1</v>
      </c>
      <c r="BB34" s="1030">
        <v>1</v>
      </c>
      <c r="BC34" s="1031">
        <v>1</v>
      </c>
      <c r="BD34" s="1029">
        <v>1</v>
      </c>
      <c r="BE34" s="1028">
        <v>0</v>
      </c>
      <c r="BF34" s="1030">
        <v>1</v>
      </c>
      <c r="BG34" s="1030">
        <v>1</v>
      </c>
      <c r="BH34" s="1031">
        <v>1</v>
      </c>
    </row>
    <row r="35" spans="1:60" ht="15">
      <c r="A35" s="1799">
        <f t="shared" si="3"/>
        <v>171</v>
      </c>
      <c r="B35" s="1799">
        <v>70</v>
      </c>
      <c r="C35" s="2546" t="s">
        <v>698</v>
      </c>
      <c r="D35" s="2547" t="s">
        <v>375</v>
      </c>
      <c r="E35" s="783" t="s">
        <v>61</v>
      </c>
      <c r="F35" s="783">
        <v>1</v>
      </c>
      <c r="G35" s="784">
        <v>0</v>
      </c>
      <c r="H35" s="784">
        <v>0</v>
      </c>
      <c r="I35" s="874">
        <v>0</v>
      </c>
      <c r="J35" s="1806"/>
      <c r="K35" s="1807">
        <f t="shared" si="4"/>
        <v>271</v>
      </c>
      <c r="L35" s="1799">
        <v>70</v>
      </c>
      <c r="M35" s="2546" t="s">
        <v>698</v>
      </c>
      <c r="N35" s="2547" t="s">
        <v>375</v>
      </c>
      <c r="O35" s="783" t="s">
        <v>61</v>
      </c>
      <c r="P35" s="821">
        <v>1</v>
      </c>
      <c r="Q35" s="822">
        <v>0</v>
      </c>
      <c r="R35" s="822">
        <v>0</v>
      </c>
      <c r="S35" s="890">
        <v>0</v>
      </c>
      <c r="T35" s="1806"/>
      <c r="U35" s="1807">
        <f t="shared" si="6"/>
        <v>333</v>
      </c>
      <c r="V35" s="1808">
        <v>30</v>
      </c>
      <c r="W35" s="2541"/>
      <c r="X35" s="2572"/>
      <c r="Y35" s="794" t="s">
        <v>598</v>
      </c>
      <c r="Z35" s="795">
        <f>Z34+1</f>
        <v>3</v>
      </c>
      <c r="AA35" s="796">
        <v>25</v>
      </c>
      <c r="AB35" s="796">
        <v>100</v>
      </c>
      <c r="AC35" s="878">
        <v>0</v>
      </c>
      <c r="AD35" s="1806"/>
      <c r="AE35" s="1807">
        <f t="shared" si="7"/>
        <v>433</v>
      </c>
      <c r="AF35" s="1799">
        <v>30</v>
      </c>
      <c r="AG35" s="2531"/>
      <c r="AH35" s="2572"/>
      <c r="AI35" s="794" t="s">
        <v>639</v>
      </c>
      <c r="AJ35" s="795">
        <f>AJ34+1</f>
        <v>3</v>
      </c>
      <c r="AK35" s="796">
        <v>25</v>
      </c>
      <c r="AL35" s="796">
        <v>100</v>
      </c>
      <c r="AM35" s="878">
        <v>0</v>
      </c>
      <c r="AN35" s="900"/>
      <c r="AO35" s="907">
        <f t="shared" si="8"/>
        <v>133</v>
      </c>
      <c r="AP35" s="907">
        <v>30</v>
      </c>
      <c r="AQ35" s="2540"/>
      <c r="AR35" s="2572"/>
      <c r="AS35" s="794" t="s">
        <v>598</v>
      </c>
      <c r="AT35" s="846">
        <f t="shared" si="9"/>
        <v>33</v>
      </c>
      <c r="AU35" s="795">
        <f>AU34+1</f>
        <v>3</v>
      </c>
      <c r="AV35" s="974">
        <f t="shared" si="15"/>
        <v>15</v>
      </c>
      <c r="AW35" s="974">
        <f t="shared" si="21"/>
        <v>35</v>
      </c>
      <c r="AX35" s="975">
        <f t="shared" si="22"/>
        <v>0</v>
      </c>
      <c r="AY35" s="905"/>
      <c r="AZ35" s="1029">
        <v>1.1499999999999999</v>
      </c>
      <c r="BA35" s="1030">
        <v>1.1499999999999999</v>
      </c>
      <c r="BB35" s="1030">
        <v>1</v>
      </c>
      <c r="BC35" s="1031">
        <v>1</v>
      </c>
      <c r="BD35" s="1029">
        <v>1</v>
      </c>
      <c r="BE35" s="1028">
        <v>0</v>
      </c>
      <c r="BF35" s="1030">
        <v>1</v>
      </c>
      <c r="BG35" s="1030">
        <v>1</v>
      </c>
      <c r="BH35" s="1031">
        <v>1</v>
      </c>
    </row>
    <row r="36" spans="1:60" ht="15">
      <c r="A36" s="1799">
        <f t="shared" si="3"/>
        <v>172</v>
      </c>
      <c r="B36" s="1799">
        <v>70</v>
      </c>
      <c r="C36" s="2541"/>
      <c r="D36" s="2548"/>
      <c r="E36" s="785" t="s">
        <v>493</v>
      </c>
      <c r="F36" s="786">
        <f>F35+1</f>
        <v>2</v>
      </c>
      <c r="G36" s="787">
        <v>0</v>
      </c>
      <c r="H36" s="787">
        <v>40</v>
      </c>
      <c r="I36" s="875">
        <v>0</v>
      </c>
      <c r="J36" s="1806"/>
      <c r="K36" s="1807">
        <f t="shared" si="4"/>
        <v>272</v>
      </c>
      <c r="L36" s="1799">
        <v>70</v>
      </c>
      <c r="M36" s="2541"/>
      <c r="N36" s="2548"/>
      <c r="O36" s="785" t="s">
        <v>457</v>
      </c>
      <c r="P36" s="786">
        <f>P35+1</f>
        <v>2</v>
      </c>
      <c r="Q36" s="787">
        <v>0</v>
      </c>
      <c r="R36" s="787">
        <v>150</v>
      </c>
      <c r="S36" s="875">
        <v>0</v>
      </c>
      <c r="T36" s="1806"/>
      <c r="U36" s="1807">
        <f t="shared" si="6"/>
        <v>334</v>
      </c>
      <c r="V36" s="1808">
        <v>30</v>
      </c>
      <c r="W36" s="2541"/>
      <c r="X36" s="2572"/>
      <c r="Y36" s="794" t="s">
        <v>599</v>
      </c>
      <c r="Z36" s="795">
        <f>Z35+1</f>
        <v>4</v>
      </c>
      <c r="AA36" s="796">
        <v>50</v>
      </c>
      <c r="AB36" s="796">
        <v>0</v>
      </c>
      <c r="AC36" s="878">
        <v>0</v>
      </c>
      <c r="AD36" s="1806"/>
      <c r="AE36" s="1807">
        <f t="shared" si="7"/>
        <v>434</v>
      </c>
      <c r="AF36" s="1799">
        <v>30</v>
      </c>
      <c r="AG36" s="2531"/>
      <c r="AH36" s="2572"/>
      <c r="AI36" s="794" t="s">
        <v>640</v>
      </c>
      <c r="AJ36" s="795">
        <f>AJ35+1</f>
        <v>4</v>
      </c>
      <c r="AK36" s="796">
        <v>50</v>
      </c>
      <c r="AL36" s="796">
        <v>0</v>
      </c>
      <c r="AM36" s="878">
        <v>0</v>
      </c>
      <c r="AN36" s="900"/>
      <c r="AO36" s="907">
        <f t="shared" si="8"/>
        <v>134</v>
      </c>
      <c r="AP36" s="907">
        <v>30</v>
      </c>
      <c r="AQ36" s="2540"/>
      <c r="AR36" s="2572"/>
      <c r="AS36" s="794" t="s">
        <v>599</v>
      </c>
      <c r="AT36" s="846">
        <f t="shared" si="9"/>
        <v>34</v>
      </c>
      <c r="AU36" s="795">
        <f>AU35+1</f>
        <v>4</v>
      </c>
      <c r="AV36" s="974">
        <f t="shared" si="15"/>
        <v>30</v>
      </c>
      <c r="AW36" s="974">
        <f t="shared" si="21"/>
        <v>0</v>
      </c>
      <c r="AX36" s="975">
        <f t="shared" si="22"/>
        <v>0</v>
      </c>
      <c r="AY36" s="905"/>
      <c r="AZ36" s="1029">
        <v>1.3</v>
      </c>
      <c r="BA36" s="1030">
        <v>1.3</v>
      </c>
      <c r="BB36" s="1030">
        <v>1</v>
      </c>
      <c r="BC36" s="1031">
        <v>1</v>
      </c>
      <c r="BD36" s="1029">
        <v>1</v>
      </c>
      <c r="BE36" s="1028">
        <v>0</v>
      </c>
      <c r="BF36" s="1030">
        <v>1</v>
      </c>
      <c r="BG36" s="1030">
        <v>1</v>
      </c>
      <c r="BH36" s="1031">
        <v>1</v>
      </c>
    </row>
    <row r="37" spans="1:60" ht="15">
      <c r="A37" s="1799">
        <f t="shared" si="3"/>
        <v>173</v>
      </c>
      <c r="B37" s="1799">
        <v>70</v>
      </c>
      <c r="C37" s="2541"/>
      <c r="D37" s="2548"/>
      <c r="E37" s="785" t="s">
        <v>495</v>
      </c>
      <c r="F37" s="786">
        <f>F36+1</f>
        <v>3</v>
      </c>
      <c r="G37" s="787">
        <v>30</v>
      </c>
      <c r="H37" s="787">
        <v>0</v>
      </c>
      <c r="I37" s="875">
        <v>0</v>
      </c>
      <c r="J37" s="1806"/>
      <c r="K37" s="1807">
        <f t="shared" si="4"/>
        <v>273</v>
      </c>
      <c r="L37" s="1799">
        <v>70</v>
      </c>
      <c r="M37" s="2541"/>
      <c r="N37" s="2548"/>
      <c r="O37" s="785" t="s">
        <v>559</v>
      </c>
      <c r="P37" s="786">
        <f>P36+1</f>
        <v>3</v>
      </c>
      <c r="Q37" s="787">
        <v>45</v>
      </c>
      <c r="R37" s="787">
        <v>0</v>
      </c>
      <c r="S37" s="875">
        <v>0</v>
      </c>
      <c r="T37" s="1806"/>
      <c r="U37" s="1807">
        <f t="shared" si="6"/>
        <v>335</v>
      </c>
      <c r="V37" s="1808">
        <v>30</v>
      </c>
      <c r="W37" s="2541"/>
      <c r="X37" s="2572"/>
      <c r="Y37" s="846" t="s">
        <v>992</v>
      </c>
      <c r="Z37" s="795">
        <v>5</v>
      </c>
      <c r="AA37" s="796">
        <v>0</v>
      </c>
      <c r="AB37" s="796">
        <v>0</v>
      </c>
      <c r="AC37" s="878">
        <v>0</v>
      </c>
      <c r="AD37" s="1806"/>
      <c r="AE37" s="1807">
        <f t="shared" si="7"/>
        <v>435</v>
      </c>
      <c r="AF37" s="1799">
        <v>30</v>
      </c>
      <c r="AG37" s="2531"/>
      <c r="AH37" s="2572"/>
      <c r="AI37" s="846" t="s">
        <v>991</v>
      </c>
      <c r="AJ37" s="795">
        <v>5</v>
      </c>
      <c r="AK37" s="796">
        <v>0</v>
      </c>
      <c r="AL37" s="796">
        <v>0</v>
      </c>
      <c r="AM37" s="878">
        <v>0</v>
      </c>
      <c r="AN37" s="900"/>
      <c r="AO37" s="907">
        <f t="shared" si="8"/>
        <v>135</v>
      </c>
      <c r="AP37" s="907">
        <v>30</v>
      </c>
      <c r="AQ37" s="2540"/>
      <c r="AR37" s="2572"/>
      <c r="AS37" s="846" t="s">
        <v>992</v>
      </c>
      <c r="AT37" s="846">
        <f t="shared" si="9"/>
        <v>35</v>
      </c>
      <c r="AU37" s="795">
        <v>5</v>
      </c>
      <c r="AV37" s="974">
        <f t="shared" si="15"/>
        <v>0</v>
      </c>
      <c r="AW37" s="974">
        <f t="shared" si="21"/>
        <v>0</v>
      </c>
      <c r="AX37" s="975">
        <f t="shared" si="22"/>
        <v>0</v>
      </c>
      <c r="AY37" s="905"/>
      <c r="AZ37" s="1029">
        <v>5</v>
      </c>
      <c r="BA37" s="1030">
        <v>5</v>
      </c>
      <c r="BB37" s="1030">
        <v>1</v>
      </c>
      <c r="BC37" s="1031">
        <v>1</v>
      </c>
      <c r="BD37" s="1029">
        <v>1</v>
      </c>
      <c r="BE37" s="1028">
        <v>0</v>
      </c>
      <c r="BF37" s="1030">
        <v>1</v>
      </c>
      <c r="BG37" s="1030">
        <v>1</v>
      </c>
      <c r="BH37" s="1031">
        <v>1</v>
      </c>
    </row>
    <row r="38" spans="1:60" ht="15.75" thickBot="1">
      <c r="A38" s="1799">
        <f t="shared" si="3"/>
        <v>174</v>
      </c>
      <c r="B38" s="1799">
        <v>70</v>
      </c>
      <c r="C38" s="2541"/>
      <c r="D38" s="2549"/>
      <c r="E38" s="788" t="s">
        <v>496</v>
      </c>
      <c r="F38" s="789">
        <f>F37+1</f>
        <v>4</v>
      </c>
      <c r="G38" s="790">
        <v>0</v>
      </c>
      <c r="H38" s="790">
        <v>0</v>
      </c>
      <c r="I38" s="876">
        <v>60</v>
      </c>
      <c r="J38" s="1806"/>
      <c r="K38" s="1807">
        <f t="shared" si="4"/>
        <v>274</v>
      </c>
      <c r="L38" s="1799">
        <v>70</v>
      </c>
      <c r="M38" s="2541"/>
      <c r="N38" s="2549"/>
      <c r="O38" s="788" t="s">
        <v>560</v>
      </c>
      <c r="P38" s="789">
        <f>P37+1</f>
        <v>4</v>
      </c>
      <c r="Q38" s="790">
        <v>0</v>
      </c>
      <c r="R38" s="790">
        <v>0</v>
      </c>
      <c r="S38" s="876">
        <v>60</v>
      </c>
      <c r="T38" s="1806"/>
      <c r="U38" s="1807">
        <f t="shared" si="6"/>
        <v>336</v>
      </c>
      <c r="V38" s="1808">
        <v>30</v>
      </c>
      <c r="W38" s="2541"/>
      <c r="X38" s="2572"/>
      <c r="Y38" s="794" t="s">
        <v>600</v>
      </c>
      <c r="Z38" s="795">
        <v>6</v>
      </c>
      <c r="AA38" s="796">
        <v>0</v>
      </c>
      <c r="AB38" s="796">
        <v>0</v>
      </c>
      <c r="AC38" s="878">
        <v>1000</v>
      </c>
      <c r="AD38" s="1806"/>
      <c r="AE38" s="1807">
        <f t="shared" si="7"/>
        <v>436</v>
      </c>
      <c r="AF38" s="1799">
        <v>30</v>
      </c>
      <c r="AG38" s="2532"/>
      <c r="AH38" s="2587"/>
      <c r="AI38" s="797" t="s">
        <v>641</v>
      </c>
      <c r="AJ38" s="798">
        <v>6</v>
      </c>
      <c r="AK38" s="799">
        <v>0</v>
      </c>
      <c r="AL38" s="799">
        <v>0</v>
      </c>
      <c r="AM38" s="879">
        <v>0</v>
      </c>
      <c r="AN38" s="900"/>
      <c r="AO38" s="907">
        <f t="shared" si="8"/>
        <v>136</v>
      </c>
      <c r="AP38" s="907">
        <v>30</v>
      </c>
      <c r="AQ38" s="2540"/>
      <c r="AR38" s="2572"/>
      <c r="AS38" s="794" t="s">
        <v>600</v>
      </c>
      <c r="AT38" s="846">
        <f t="shared" si="9"/>
        <v>36</v>
      </c>
      <c r="AU38" s="795">
        <v>6</v>
      </c>
      <c r="AV38" s="974">
        <f t="shared" si="15"/>
        <v>0</v>
      </c>
      <c r="AW38" s="974">
        <f t="shared" si="21"/>
        <v>0</v>
      </c>
      <c r="AX38" s="975">
        <f t="shared" si="22"/>
        <v>500</v>
      </c>
      <c r="AY38" s="905"/>
      <c r="AZ38" s="1032">
        <v>20</v>
      </c>
      <c r="BA38" s="1033">
        <v>20</v>
      </c>
      <c r="BB38" s="1033">
        <v>1</v>
      </c>
      <c r="BC38" s="1034">
        <v>1</v>
      </c>
      <c r="BD38" s="1032">
        <v>1</v>
      </c>
      <c r="BE38" s="1581">
        <v>0</v>
      </c>
      <c r="BF38" s="1033">
        <v>1</v>
      </c>
      <c r="BG38" s="1033">
        <v>1</v>
      </c>
      <c r="BH38" s="1034">
        <v>1</v>
      </c>
    </row>
    <row r="39" spans="1:60" ht="15">
      <c r="A39" s="1799">
        <f t="shared" si="3"/>
        <v>181</v>
      </c>
      <c r="B39" s="1799">
        <v>80</v>
      </c>
      <c r="C39" s="2541"/>
      <c r="D39" s="2550" t="s">
        <v>460</v>
      </c>
      <c r="E39" s="791"/>
      <c r="F39" s="792">
        <v>1</v>
      </c>
      <c r="G39" s="793">
        <v>0</v>
      </c>
      <c r="H39" s="793">
        <v>0</v>
      </c>
      <c r="I39" s="877">
        <v>0</v>
      </c>
      <c r="J39" s="1806"/>
      <c r="K39" s="1807">
        <f t="shared" si="4"/>
        <v>281</v>
      </c>
      <c r="L39" s="1799">
        <v>80</v>
      </c>
      <c r="M39" s="2541"/>
      <c r="N39" s="2550" t="s">
        <v>460</v>
      </c>
      <c r="O39" s="823" t="s">
        <v>61</v>
      </c>
      <c r="P39" s="792">
        <v>1</v>
      </c>
      <c r="Q39" s="824">
        <v>0</v>
      </c>
      <c r="R39" s="824">
        <v>0</v>
      </c>
      <c r="S39" s="891">
        <v>0</v>
      </c>
      <c r="T39" s="1806"/>
      <c r="U39" s="1807">
        <f t="shared" si="6"/>
        <v>341</v>
      </c>
      <c r="V39" s="1808">
        <v>40</v>
      </c>
      <c r="W39" s="2541"/>
      <c r="X39" s="2573" t="s">
        <v>978</v>
      </c>
      <c r="Y39" s="831" t="s">
        <v>61</v>
      </c>
      <c r="Z39" s="832">
        <v>1</v>
      </c>
      <c r="AA39" s="833">
        <v>0</v>
      </c>
      <c r="AB39" s="833">
        <v>0</v>
      </c>
      <c r="AC39" s="894">
        <v>0</v>
      </c>
      <c r="AD39" s="1806"/>
      <c r="AE39" s="1807">
        <f>$AG$5+AF39+AJ39</f>
        <v>481</v>
      </c>
      <c r="AF39" s="1799">
        <v>80</v>
      </c>
      <c r="AG39" s="2530" t="s">
        <v>698</v>
      </c>
      <c r="AH39" s="2576" t="s">
        <v>460</v>
      </c>
      <c r="AI39" s="827" t="s">
        <v>61</v>
      </c>
      <c r="AJ39" s="810">
        <v>1</v>
      </c>
      <c r="AK39" s="828">
        <v>0</v>
      </c>
      <c r="AL39" s="828">
        <v>0</v>
      </c>
      <c r="AM39" s="893">
        <v>0</v>
      </c>
      <c r="AN39" s="900"/>
      <c r="AO39" s="907">
        <f t="shared" si="8"/>
        <v>141</v>
      </c>
      <c r="AP39" s="907">
        <v>40</v>
      </c>
      <c r="AQ39" s="2540"/>
      <c r="AR39" s="2573" t="s">
        <v>978</v>
      </c>
      <c r="AS39" s="831" t="s">
        <v>61</v>
      </c>
      <c r="AT39" s="831">
        <f t="shared" si="9"/>
        <v>41</v>
      </c>
      <c r="AU39" s="832">
        <v>1</v>
      </c>
      <c r="AV39" s="954">
        <f t="shared" ref="AV39:AV46" si="23">IF($AQ$5=100,VLOOKUP(AO39,$A$6:$I$50,7),IF($AQ$5=200,VLOOKUP(AO39,$K$6:$S$50,7),IF($AQ$5=300,AA39,IF($AQ$5=400,0,0))))</f>
        <v>0</v>
      </c>
      <c r="AW39" s="954">
        <f t="shared" ref="AW39:AW46" si="24">IF($AQ$5=100,VLOOKUP(AO39,$A$6:$I$50,8),IF($AQ$5=200,VLOOKUP(AO39,$K$6:$S$50,8),IF($AQ$5=300,AB39,IF($AQ$5=400,0,0))))</f>
        <v>0</v>
      </c>
      <c r="AX39" s="955">
        <f t="shared" ref="AX39:AX46" si="25">IF($AQ$5=100,VLOOKUP(AO39,$A$6:$I$50,9),IF($AQ$5=200,VLOOKUP(AO39,$K$6:$S$50,9),IF($AQ$5=300,AC39,IF($AQ$5=400,0,0))))</f>
        <v>0</v>
      </c>
      <c r="AY39" s="922"/>
      <c r="AZ39" s="1035">
        <v>0</v>
      </c>
      <c r="BA39" s="1036">
        <v>0</v>
      </c>
      <c r="BB39" s="1036">
        <v>0</v>
      </c>
      <c r="BC39" s="1037">
        <v>0</v>
      </c>
      <c r="BD39" s="1035">
        <v>0</v>
      </c>
      <c r="BE39" s="1582">
        <v>0</v>
      </c>
      <c r="BF39" s="1036">
        <v>0</v>
      </c>
      <c r="BG39" s="1036">
        <v>0</v>
      </c>
      <c r="BH39" s="1037">
        <v>0</v>
      </c>
    </row>
    <row r="40" spans="1:60" ht="15">
      <c r="A40" s="1799">
        <f t="shared" si="3"/>
        <v>182</v>
      </c>
      <c r="B40" s="1799">
        <v>80</v>
      </c>
      <c r="C40" s="2541"/>
      <c r="D40" s="2551"/>
      <c r="E40" s="794" t="s">
        <v>498</v>
      </c>
      <c r="F40" s="795">
        <f>F39+1</f>
        <v>2</v>
      </c>
      <c r="G40" s="796">
        <v>15</v>
      </c>
      <c r="H40" s="796">
        <v>0</v>
      </c>
      <c r="I40" s="878">
        <v>0</v>
      </c>
      <c r="J40" s="1806"/>
      <c r="K40" s="1807">
        <f t="shared" si="4"/>
        <v>282</v>
      </c>
      <c r="L40" s="1799">
        <v>80</v>
      </c>
      <c r="M40" s="2541"/>
      <c r="N40" s="2551"/>
      <c r="O40" s="794" t="s">
        <v>561</v>
      </c>
      <c r="P40" s="795">
        <f>P39+1</f>
        <v>2</v>
      </c>
      <c r="Q40" s="796">
        <v>30</v>
      </c>
      <c r="R40" s="796">
        <v>0</v>
      </c>
      <c r="S40" s="878">
        <v>0</v>
      </c>
      <c r="T40" s="1806"/>
      <c r="U40" s="1807">
        <f t="shared" si="6"/>
        <v>342</v>
      </c>
      <c r="V40" s="1808">
        <v>40</v>
      </c>
      <c r="W40" s="2541"/>
      <c r="X40" s="2574"/>
      <c r="Y40" s="956" t="s">
        <v>1146</v>
      </c>
      <c r="Z40" s="835">
        <v>2</v>
      </c>
      <c r="AA40" s="836">
        <v>0</v>
      </c>
      <c r="AB40" s="836">
        <v>0</v>
      </c>
      <c r="AC40" s="895">
        <v>300</v>
      </c>
      <c r="AD40" s="1806"/>
      <c r="AE40" s="1807">
        <f>$AG$5+AF40+AJ40</f>
        <v>482</v>
      </c>
      <c r="AF40" s="1799">
        <v>80</v>
      </c>
      <c r="AG40" s="2531"/>
      <c r="AH40" s="2534"/>
      <c r="AI40" s="812" t="s">
        <v>645</v>
      </c>
      <c r="AJ40" s="813">
        <f>AJ39+1</f>
        <v>2</v>
      </c>
      <c r="AK40" s="814">
        <v>60</v>
      </c>
      <c r="AL40" s="814">
        <v>0</v>
      </c>
      <c r="AM40" s="884">
        <v>0</v>
      </c>
      <c r="AN40" s="900"/>
      <c r="AO40" s="907">
        <f t="shared" si="8"/>
        <v>142</v>
      </c>
      <c r="AP40" s="907">
        <v>40</v>
      </c>
      <c r="AQ40" s="2540"/>
      <c r="AR40" s="2574"/>
      <c r="AS40" s="956" t="s">
        <v>1147</v>
      </c>
      <c r="AT40" s="956">
        <f t="shared" si="9"/>
        <v>42</v>
      </c>
      <c r="AU40" s="835">
        <v>2</v>
      </c>
      <c r="AV40" s="957">
        <f t="shared" si="23"/>
        <v>0</v>
      </c>
      <c r="AW40" s="957">
        <f t="shared" si="24"/>
        <v>0</v>
      </c>
      <c r="AX40" s="958">
        <f t="shared" si="25"/>
        <v>100</v>
      </c>
      <c r="AY40" s="923"/>
      <c r="AZ40" s="1039">
        <v>1</v>
      </c>
      <c r="BA40" s="1040">
        <v>1</v>
      </c>
      <c r="BB40" s="1040">
        <v>1</v>
      </c>
      <c r="BC40" s="1041">
        <v>1</v>
      </c>
      <c r="BD40" s="1039">
        <v>1</v>
      </c>
      <c r="BE40" s="1038">
        <v>1</v>
      </c>
      <c r="BF40" s="1040">
        <v>1</v>
      </c>
      <c r="BG40" s="1040">
        <v>1</v>
      </c>
      <c r="BH40" s="1041">
        <v>1</v>
      </c>
    </row>
    <row r="41" spans="1:60" ht="15">
      <c r="A41" s="1799">
        <f t="shared" si="3"/>
        <v>183</v>
      </c>
      <c r="B41" s="1799">
        <v>80</v>
      </c>
      <c r="C41" s="2541"/>
      <c r="D41" s="2551"/>
      <c r="E41" s="794" t="s">
        <v>499</v>
      </c>
      <c r="F41" s="795">
        <f>F40+1</f>
        <v>3</v>
      </c>
      <c r="G41" s="796">
        <v>22.5</v>
      </c>
      <c r="H41" s="796">
        <v>0</v>
      </c>
      <c r="I41" s="878">
        <v>0</v>
      </c>
      <c r="J41" s="1806"/>
      <c r="K41" s="1807">
        <f t="shared" si="4"/>
        <v>283</v>
      </c>
      <c r="L41" s="1799">
        <v>80</v>
      </c>
      <c r="M41" s="2541"/>
      <c r="N41" s="2551"/>
      <c r="O41" s="794" t="s">
        <v>562</v>
      </c>
      <c r="P41" s="795">
        <f>P40+1</f>
        <v>3</v>
      </c>
      <c r="Q41" s="796">
        <v>45</v>
      </c>
      <c r="R41" s="796">
        <v>0</v>
      </c>
      <c r="S41" s="878">
        <v>0</v>
      </c>
      <c r="T41" s="1806"/>
      <c r="U41" s="1807">
        <f t="shared" si="6"/>
        <v>343</v>
      </c>
      <c r="V41" s="1808">
        <v>40</v>
      </c>
      <c r="W41" s="2541"/>
      <c r="X41" s="2574"/>
      <c r="Y41" s="834"/>
      <c r="Z41" s="835">
        <v>3</v>
      </c>
      <c r="AA41" s="836">
        <v>0</v>
      </c>
      <c r="AB41" s="836">
        <v>0</v>
      </c>
      <c r="AC41" s="895">
        <v>0</v>
      </c>
      <c r="AD41" s="1806"/>
      <c r="AE41" s="1807">
        <f>$AG$5+AF41+AJ41</f>
        <v>483</v>
      </c>
      <c r="AF41" s="1799">
        <v>80</v>
      </c>
      <c r="AG41" s="2531"/>
      <c r="AH41" s="2534"/>
      <c r="AI41" s="812" t="s">
        <v>646</v>
      </c>
      <c r="AJ41" s="813">
        <f>AJ40+1</f>
        <v>3</v>
      </c>
      <c r="AK41" s="814">
        <v>90</v>
      </c>
      <c r="AL41" s="814">
        <v>0</v>
      </c>
      <c r="AM41" s="884">
        <v>0</v>
      </c>
      <c r="AN41" s="900"/>
      <c r="AO41" s="907">
        <f t="shared" si="8"/>
        <v>143</v>
      </c>
      <c r="AP41" s="907">
        <v>40</v>
      </c>
      <c r="AQ41" s="2540"/>
      <c r="AR41" s="2574"/>
      <c r="AS41" s="834"/>
      <c r="AT41" s="956">
        <f t="shared" si="9"/>
        <v>43</v>
      </c>
      <c r="AU41" s="835">
        <v>3</v>
      </c>
      <c r="AV41" s="957">
        <f t="shared" si="23"/>
        <v>0</v>
      </c>
      <c r="AW41" s="957">
        <f t="shared" si="24"/>
        <v>0</v>
      </c>
      <c r="AX41" s="958">
        <f t="shared" si="25"/>
        <v>0</v>
      </c>
      <c r="AY41" s="923"/>
      <c r="AZ41" s="1039">
        <v>1</v>
      </c>
      <c r="BA41" s="1040">
        <v>1</v>
      </c>
      <c r="BB41" s="1040">
        <v>1</v>
      </c>
      <c r="BC41" s="1041">
        <v>1</v>
      </c>
      <c r="BD41" s="1039">
        <v>1</v>
      </c>
      <c r="BE41" s="1038">
        <v>1</v>
      </c>
      <c r="BF41" s="1040">
        <v>1</v>
      </c>
      <c r="BG41" s="1040">
        <v>1</v>
      </c>
      <c r="BH41" s="1041">
        <v>1</v>
      </c>
    </row>
    <row r="42" spans="1:60" ht="15.75" thickBot="1">
      <c r="A42" s="1799">
        <f t="shared" si="3"/>
        <v>184</v>
      </c>
      <c r="B42" s="1799">
        <v>80</v>
      </c>
      <c r="C42" s="2541"/>
      <c r="D42" s="2552"/>
      <c r="E42" s="797" t="s">
        <v>382</v>
      </c>
      <c r="F42" s="798">
        <f>F41+1</f>
        <v>4</v>
      </c>
      <c r="G42" s="799">
        <v>30</v>
      </c>
      <c r="H42" s="799">
        <v>0</v>
      </c>
      <c r="I42" s="879">
        <v>0</v>
      </c>
      <c r="J42" s="1806"/>
      <c r="K42" s="1807">
        <f t="shared" si="4"/>
        <v>284</v>
      </c>
      <c r="L42" s="1799">
        <v>80</v>
      </c>
      <c r="M42" s="2541"/>
      <c r="N42" s="2552"/>
      <c r="O42" s="797" t="s">
        <v>563</v>
      </c>
      <c r="P42" s="798">
        <f>P41+1</f>
        <v>4</v>
      </c>
      <c r="Q42" s="799">
        <v>60</v>
      </c>
      <c r="R42" s="799">
        <v>0</v>
      </c>
      <c r="S42" s="879">
        <v>0</v>
      </c>
      <c r="T42" s="1806"/>
      <c r="U42" s="1807">
        <f t="shared" si="6"/>
        <v>344</v>
      </c>
      <c r="V42" s="1808">
        <v>40</v>
      </c>
      <c r="W42" s="2542"/>
      <c r="X42" s="2575"/>
      <c r="Y42" s="837"/>
      <c r="Z42" s="838">
        <v>4</v>
      </c>
      <c r="AA42" s="839">
        <v>0</v>
      </c>
      <c r="AB42" s="839">
        <v>0</v>
      </c>
      <c r="AC42" s="896">
        <v>0</v>
      </c>
      <c r="AD42" s="1806"/>
      <c r="AE42" s="1807">
        <f>$AG$5+AF42+AJ42</f>
        <v>484</v>
      </c>
      <c r="AF42" s="1799">
        <v>80</v>
      </c>
      <c r="AG42" s="2532"/>
      <c r="AH42" s="2535"/>
      <c r="AI42" s="815" t="s">
        <v>647</v>
      </c>
      <c r="AJ42" s="816">
        <f>AJ41+1</f>
        <v>4</v>
      </c>
      <c r="AK42" s="817">
        <v>120</v>
      </c>
      <c r="AL42" s="817">
        <v>0</v>
      </c>
      <c r="AM42" s="885">
        <v>0</v>
      </c>
      <c r="AN42" s="900"/>
      <c r="AO42" s="907">
        <f t="shared" si="8"/>
        <v>144</v>
      </c>
      <c r="AP42" s="907">
        <v>40</v>
      </c>
      <c r="AQ42" s="2580"/>
      <c r="AR42" s="2575"/>
      <c r="AS42" s="837"/>
      <c r="AT42" s="959">
        <f t="shared" si="9"/>
        <v>44</v>
      </c>
      <c r="AU42" s="838">
        <v>4</v>
      </c>
      <c r="AV42" s="960">
        <f t="shared" si="23"/>
        <v>0</v>
      </c>
      <c r="AW42" s="960">
        <f t="shared" si="24"/>
        <v>0</v>
      </c>
      <c r="AX42" s="961">
        <f t="shared" si="25"/>
        <v>0</v>
      </c>
      <c r="AY42" s="924"/>
      <c r="AZ42" s="1042">
        <v>1</v>
      </c>
      <c r="BA42" s="1043">
        <v>1</v>
      </c>
      <c r="BB42" s="1043">
        <v>1</v>
      </c>
      <c r="BC42" s="1044">
        <v>1</v>
      </c>
      <c r="BD42" s="1042">
        <v>1</v>
      </c>
      <c r="BE42" s="1583">
        <v>1</v>
      </c>
      <c r="BF42" s="1043">
        <v>1</v>
      </c>
      <c r="BG42" s="1043">
        <v>1</v>
      </c>
      <c r="BH42" s="1044">
        <v>1</v>
      </c>
    </row>
    <row r="43" spans="1:60" ht="15">
      <c r="A43" s="1799">
        <f t="shared" si="3"/>
        <v>191</v>
      </c>
      <c r="B43" s="1799">
        <v>90</v>
      </c>
      <c r="C43" s="2541"/>
      <c r="D43" s="2553" t="s">
        <v>970</v>
      </c>
      <c r="E43" s="800"/>
      <c r="F43" s="801">
        <v>1</v>
      </c>
      <c r="G43" s="802">
        <v>0</v>
      </c>
      <c r="H43" s="802">
        <v>0</v>
      </c>
      <c r="I43" s="880">
        <v>0</v>
      </c>
      <c r="J43" s="1806"/>
      <c r="K43" s="1807">
        <f t="shared" si="4"/>
        <v>291</v>
      </c>
      <c r="L43" s="1799">
        <v>90</v>
      </c>
      <c r="M43" s="2541"/>
      <c r="N43" s="2553" t="s">
        <v>970</v>
      </c>
      <c r="O43" s="825" t="s">
        <v>61</v>
      </c>
      <c r="P43" s="801">
        <v>1</v>
      </c>
      <c r="Q43" s="826">
        <v>0</v>
      </c>
      <c r="R43" s="826">
        <v>0</v>
      </c>
      <c r="S43" s="892">
        <v>0</v>
      </c>
      <c r="T43" s="1806"/>
      <c r="U43" s="1807">
        <f t="shared" si="6"/>
        <v>371</v>
      </c>
      <c r="V43" s="1808">
        <v>70</v>
      </c>
      <c r="W43" s="2531" t="s">
        <v>698</v>
      </c>
      <c r="X43" s="2553" t="s">
        <v>972</v>
      </c>
      <c r="Y43" s="825" t="s">
        <v>61</v>
      </c>
      <c r="Z43" s="801">
        <v>1</v>
      </c>
      <c r="AA43" s="826">
        <v>0</v>
      </c>
      <c r="AB43" s="826">
        <v>0</v>
      </c>
      <c r="AC43" s="892">
        <v>0</v>
      </c>
      <c r="AD43" s="1806"/>
      <c r="AE43" s="1807"/>
      <c r="AO43" s="907">
        <f t="shared" si="8"/>
        <v>171</v>
      </c>
      <c r="AP43" s="908">
        <v>70</v>
      </c>
      <c r="AQ43" s="2530" t="s">
        <v>698</v>
      </c>
      <c r="AR43" s="2581" t="s">
        <v>972</v>
      </c>
      <c r="AS43" s="912" t="s">
        <v>61</v>
      </c>
      <c r="AT43" s="912">
        <f t="shared" si="9"/>
        <v>71</v>
      </c>
      <c r="AU43" s="804">
        <v>1</v>
      </c>
      <c r="AV43" s="962">
        <f t="shared" si="23"/>
        <v>0</v>
      </c>
      <c r="AW43" s="962">
        <f t="shared" si="24"/>
        <v>0</v>
      </c>
      <c r="AX43" s="963">
        <f t="shared" si="25"/>
        <v>0</v>
      </c>
      <c r="AY43" s="905"/>
      <c r="AZ43" s="1045">
        <v>0</v>
      </c>
      <c r="BA43" s="1046">
        <v>0</v>
      </c>
      <c r="BB43" s="1046">
        <v>0</v>
      </c>
      <c r="BC43" s="1047">
        <v>0</v>
      </c>
      <c r="BD43" s="1045">
        <v>0</v>
      </c>
      <c r="BE43" s="1584">
        <v>0</v>
      </c>
      <c r="BF43" s="1046">
        <v>0</v>
      </c>
      <c r="BG43" s="1046">
        <v>0</v>
      </c>
      <c r="BH43" s="1047">
        <v>0</v>
      </c>
    </row>
    <row r="44" spans="1:60" ht="15">
      <c r="A44" s="1799">
        <f t="shared" si="3"/>
        <v>192</v>
      </c>
      <c r="B44" s="1799">
        <v>90</v>
      </c>
      <c r="C44" s="2541"/>
      <c r="D44" s="2554"/>
      <c r="E44" s="803" t="s">
        <v>504</v>
      </c>
      <c r="F44" s="804">
        <f>F43+1</f>
        <v>2</v>
      </c>
      <c r="G44" s="805">
        <v>0</v>
      </c>
      <c r="H44" s="805">
        <v>100</v>
      </c>
      <c r="I44" s="881">
        <v>0</v>
      </c>
      <c r="J44" s="1806"/>
      <c r="K44" s="1807">
        <f t="shared" si="4"/>
        <v>292</v>
      </c>
      <c r="L44" s="1799">
        <v>90</v>
      </c>
      <c r="M44" s="2541"/>
      <c r="N44" s="2554"/>
      <c r="O44" s="803" t="s">
        <v>564</v>
      </c>
      <c r="P44" s="804">
        <f>P43+1</f>
        <v>2</v>
      </c>
      <c r="Q44" s="805">
        <v>0</v>
      </c>
      <c r="R44" s="805">
        <v>150</v>
      </c>
      <c r="S44" s="881">
        <v>0</v>
      </c>
      <c r="T44" s="1806"/>
      <c r="U44" s="1807">
        <f t="shared" si="6"/>
        <v>372</v>
      </c>
      <c r="V44" s="1808">
        <v>70</v>
      </c>
      <c r="W44" s="2531"/>
      <c r="X44" s="2554"/>
      <c r="Y44" s="803" t="s">
        <v>601</v>
      </c>
      <c r="Z44" s="804">
        <f>Z43+1</f>
        <v>2</v>
      </c>
      <c r="AA44" s="805">
        <v>0</v>
      </c>
      <c r="AB44" s="805">
        <v>300</v>
      </c>
      <c r="AC44" s="881">
        <v>0</v>
      </c>
      <c r="AD44" s="1806"/>
      <c r="AE44" s="1807">
        <v>441</v>
      </c>
      <c r="AO44" s="907">
        <f t="shared" si="8"/>
        <v>172</v>
      </c>
      <c r="AP44" s="908">
        <v>70</v>
      </c>
      <c r="AQ44" s="2531"/>
      <c r="AR44" s="2554"/>
      <c r="AS44" s="803" t="s">
        <v>601</v>
      </c>
      <c r="AT44" s="912">
        <f t="shared" si="9"/>
        <v>72</v>
      </c>
      <c r="AU44" s="804">
        <f>AU43+1</f>
        <v>2</v>
      </c>
      <c r="AV44" s="962">
        <f t="shared" si="23"/>
        <v>0</v>
      </c>
      <c r="AW44" s="962">
        <f t="shared" si="24"/>
        <v>40</v>
      </c>
      <c r="AX44" s="963">
        <f t="shared" si="25"/>
        <v>0</v>
      </c>
      <c r="AY44" s="905"/>
      <c r="AZ44" s="1049">
        <v>1</v>
      </c>
      <c r="BA44" s="427">
        <v>1</v>
      </c>
      <c r="BB44" s="427">
        <v>1</v>
      </c>
      <c r="BC44" s="1050">
        <v>1</v>
      </c>
      <c r="BD44" s="1049">
        <v>1</v>
      </c>
      <c r="BE44" s="1048">
        <v>0</v>
      </c>
      <c r="BF44" s="427">
        <v>1</v>
      </c>
      <c r="BG44" s="427">
        <v>1</v>
      </c>
      <c r="BH44" s="1050">
        <v>1</v>
      </c>
    </row>
    <row r="45" spans="1:60" ht="15">
      <c r="A45" s="1799">
        <f t="shared" si="3"/>
        <v>193</v>
      </c>
      <c r="B45" s="1799">
        <v>90</v>
      </c>
      <c r="C45" s="2541"/>
      <c r="D45" s="2554"/>
      <c r="E45" s="803" t="s">
        <v>505</v>
      </c>
      <c r="F45" s="804">
        <f>F44+1</f>
        <v>3</v>
      </c>
      <c r="G45" s="805">
        <v>5</v>
      </c>
      <c r="H45" s="805">
        <v>0</v>
      </c>
      <c r="I45" s="881">
        <v>0</v>
      </c>
      <c r="J45" s="1806"/>
      <c r="K45" s="1807">
        <f t="shared" si="4"/>
        <v>293</v>
      </c>
      <c r="L45" s="1799">
        <v>90</v>
      </c>
      <c r="M45" s="2541"/>
      <c r="N45" s="2554"/>
      <c r="O45" s="803" t="s">
        <v>565</v>
      </c>
      <c r="P45" s="804">
        <f>P44+1</f>
        <v>3</v>
      </c>
      <c r="Q45" s="805">
        <v>8</v>
      </c>
      <c r="R45" s="805">
        <v>0</v>
      </c>
      <c r="S45" s="881">
        <v>0</v>
      </c>
      <c r="T45" s="1806"/>
      <c r="U45" s="1807">
        <f t="shared" si="6"/>
        <v>373</v>
      </c>
      <c r="V45" s="1808">
        <v>70</v>
      </c>
      <c r="W45" s="2531"/>
      <c r="X45" s="2554"/>
      <c r="Y45" s="803" t="s">
        <v>602</v>
      </c>
      <c r="Z45" s="804">
        <f>Z44+1</f>
        <v>3</v>
      </c>
      <c r="AA45" s="805">
        <v>125</v>
      </c>
      <c r="AB45" s="805">
        <v>0</v>
      </c>
      <c r="AC45" s="881">
        <v>0</v>
      </c>
      <c r="AD45" s="1806"/>
      <c r="AE45" s="1807">
        <v>442</v>
      </c>
      <c r="AO45" s="907">
        <f t="shared" si="8"/>
        <v>173</v>
      </c>
      <c r="AP45" s="908">
        <v>70</v>
      </c>
      <c r="AQ45" s="2531"/>
      <c r="AR45" s="2554"/>
      <c r="AS45" s="803" t="s">
        <v>602</v>
      </c>
      <c r="AT45" s="912">
        <f t="shared" si="9"/>
        <v>73</v>
      </c>
      <c r="AU45" s="804">
        <f>AU44+1</f>
        <v>3</v>
      </c>
      <c r="AV45" s="962">
        <f t="shared" si="23"/>
        <v>30</v>
      </c>
      <c r="AW45" s="962">
        <f t="shared" si="24"/>
        <v>0</v>
      </c>
      <c r="AX45" s="963">
        <f t="shared" si="25"/>
        <v>0</v>
      </c>
      <c r="AY45" s="905"/>
      <c r="AZ45" s="1049">
        <v>1.2</v>
      </c>
      <c r="BA45" s="427">
        <v>1.2</v>
      </c>
      <c r="BB45" s="427">
        <v>1</v>
      </c>
      <c r="BC45" s="1050">
        <v>1</v>
      </c>
      <c r="BD45" s="1049">
        <v>1</v>
      </c>
      <c r="BE45" s="1048">
        <v>0</v>
      </c>
      <c r="BF45" s="427">
        <v>1</v>
      </c>
      <c r="BG45" s="427">
        <v>1</v>
      </c>
      <c r="BH45" s="1050">
        <v>1</v>
      </c>
    </row>
    <row r="46" spans="1:60" ht="15.75" thickBot="1">
      <c r="A46" s="1799">
        <f t="shared" si="3"/>
        <v>194</v>
      </c>
      <c r="B46" s="1799">
        <v>90</v>
      </c>
      <c r="C46" s="2542"/>
      <c r="D46" s="2555"/>
      <c r="E46" s="806" t="s">
        <v>506</v>
      </c>
      <c r="F46" s="807">
        <f>F45+1</f>
        <v>4</v>
      </c>
      <c r="G46" s="808">
        <v>20</v>
      </c>
      <c r="H46" s="808">
        <v>0</v>
      </c>
      <c r="I46" s="882">
        <v>0</v>
      </c>
      <c r="J46" s="1806"/>
      <c r="K46" s="1807">
        <f t="shared" si="4"/>
        <v>294</v>
      </c>
      <c r="L46" s="1799">
        <v>90</v>
      </c>
      <c r="M46" s="2542"/>
      <c r="N46" s="2555"/>
      <c r="O46" s="806" t="s">
        <v>566</v>
      </c>
      <c r="P46" s="807">
        <f>P45+1</f>
        <v>4</v>
      </c>
      <c r="Q46" s="808">
        <v>30</v>
      </c>
      <c r="R46" s="808">
        <v>0</v>
      </c>
      <c r="S46" s="882">
        <v>0</v>
      </c>
      <c r="T46" s="1806"/>
      <c r="U46" s="1807">
        <f t="shared" si="6"/>
        <v>374</v>
      </c>
      <c r="V46" s="1808">
        <v>70</v>
      </c>
      <c r="W46" s="2531"/>
      <c r="X46" s="2555"/>
      <c r="Y46" s="806" t="s">
        <v>603</v>
      </c>
      <c r="Z46" s="807">
        <f>Z45+1</f>
        <v>4</v>
      </c>
      <c r="AA46" s="808">
        <v>0</v>
      </c>
      <c r="AB46" s="808">
        <v>0</v>
      </c>
      <c r="AC46" s="882">
        <v>150</v>
      </c>
      <c r="AD46" s="1806"/>
      <c r="AE46" s="1807">
        <v>443</v>
      </c>
      <c r="AO46" s="907">
        <f t="shared" si="8"/>
        <v>174</v>
      </c>
      <c r="AP46" s="908">
        <v>70</v>
      </c>
      <c r="AQ46" s="2531"/>
      <c r="AR46" s="2554"/>
      <c r="AS46" s="803" t="s">
        <v>603</v>
      </c>
      <c r="AT46" s="912">
        <f t="shared" si="9"/>
        <v>74</v>
      </c>
      <c r="AU46" s="804">
        <f>AU45+1</f>
        <v>4</v>
      </c>
      <c r="AV46" s="962">
        <f t="shared" si="23"/>
        <v>0</v>
      </c>
      <c r="AW46" s="962">
        <f t="shared" si="24"/>
        <v>0</v>
      </c>
      <c r="AX46" s="963">
        <f t="shared" si="25"/>
        <v>60</v>
      </c>
      <c r="AY46" s="905"/>
      <c r="AZ46" s="1051">
        <v>1.3</v>
      </c>
      <c r="BA46" s="1052">
        <v>1.3</v>
      </c>
      <c r="BB46" s="1052">
        <v>1</v>
      </c>
      <c r="BC46" s="1053">
        <v>1</v>
      </c>
      <c r="BD46" s="1051">
        <v>1</v>
      </c>
      <c r="BE46" s="1585">
        <v>0</v>
      </c>
      <c r="BF46" s="1052">
        <v>1</v>
      </c>
      <c r="BG46" s="1052">
        <v>1</v>
      </c>
      <c r="BH46" s="1053">
        <v>1</v>
      </c>
    </row>
    <row r="47" spans="1:60" ht="15">
      <c r="A47" s="1799">
        <f t="shared" si="3"/>
        <v>201</v>
      </c>
      <c r="B47" s="1799">
        <v>100</v>
      </c>
      <c r="C47" s="2530" t="s">
        <v>995</v>
      </c>
      <c r="D47" s="2533" t="s">
        <v>971</v>
      </c>
      <c r="E47" s="809"/>
      <c r="F47" s="810">
        <v>1</v>
      </c>
      <c r="G47" s="811">
        <v>0</v>
      </c>
      <c r="H47" s="811">
        <v>0</v>
      </c>
      <c r="I47" s="883">
        <v>0</v>
      </c>
      <c r="J47" s="1806"/>
      <c r="K47" s="1807">
        <f t="shared" si="4"/>
        <v>301</v>
      </c>
      <c r="L47" s="1799">
        <v>100</v>
      </c>
      <c r="M47" s="2530" t="s">
        <v>995</v>
      </c>
      <c r="N47" s="2533" t="s">
        <v>971</v>
      </c>
      <c r="O47" s="827" t="s">
        <v>61</v>
      </c>
      <c r="P47" s="810">
        <v>1</v>
      </c>
      <c r="Q47" s="828">
        <v>0</v>
      </c>
      <c r="R47" s="828">
        <v>0</v>
      </c>
      <c r="S47" s="893">
        <v>0</v>
      </c>
      <c r="T47" s="1806"/>
      <c r="U47" s="1807">
        <f t="shared" si="6"/>
        <v>381</v>
      </c>
      <c r="V47" s="1808">
        <v>80</v>
      </c>
      <c r="W47" s="2531"/>
      <c r="X47" s="2576" t="s">
        <v>460</v>
      </c>
      <c r="Y47" s="827" t="s">
        <v>61</v>
      </c>
      <c r="Z47" s="810">
        <v>1</v>
      </c>
      <c r="AA47" s="828">
        <v>0</v>
      </c>
      <c r="AB47" s="828">
        <v>0</v>
      </c>
      <c r="AC47" s="893">
        <v>0</v>
      </c>
      <c r="AD47" s="1806"/>
      <c r="AE47" s="1807">
        <v>444</v>
      </c>
      <c r="AO47" s="907">
        <f t="shared" si="8"/>
        <v>181</v>
      </c>
      <c r="AP47" s="908">
        <v>80</v>
      </c>
      <c r="AQ47" s="2531"/>
      <c r="AR47" s="2582" t="s">
        <v>460</v>
      </c>
      <c r="AS47" s="776" t="s">
        <v>61</v>
      </c>
      <c r="AT47" s="776">
        <f t="shared" si="9"/>
        <v>81</v>
      </c>
      <c r="AU47" s="819">
        <v>1</v>
      </c>
      <c r="AV47" s="820">
        <f>IF($AQ$5=100,VLOOKUP(AO47,$A$6:$I$50,7),IF($AQ$5=200,VLOOKUP(AO47,$K$6:$S$50,7),IF($AQ$5=300,AA47,IF($AQ$5=400,AK39,0))))</f>
        <v>0</v>
      </c>
      <c r="AW47" s="820">
        <f>IF($AQ$5=100,VLOOKUP(AO47,$A$6:$I$50,8),IF($AQ$5=200,VLOOKUP(AO47,$K$6:$S$50,8),IF($AQ$5=300,AB47,IF($AQ$5=400,AL39,0))))</f>
        <v>0</v>
      </c>
      <c r="AX47" s="888">
        <f>IF($AQ$5=100,VLOOKUP(AO47,$A$6:$I$50,9),IF($AQ$5=200,VLOOKUP(AO47,$K$6:$S$50,9),IF($AQ$5=300,AC47,IF($AQ$5=400,AM39,0))))</f>
        <v>0</v>
      </c>
      <c r="AY47" s="922"/>
      <c r="AZ47" s="994">
        <v>0</v>
      </c>
      <c r="BA47" s="995">
        <v>0</v>
      </c>
      <c r="BB47" s="995">
        <v>0</v>
      </c>
      <c r="BC47" s="996">
        <v>0</v>
      </c>
      <c r="BD47" s="994">
        <v>0</v>
      </c>
      <c r="BE47" s="1576">
        <v>0</v>
      </c>
      <c r="BF47" s="995">
        <v>0</v>
      </c>
      <c r="BG47" s="995">
        <v>0</v>
      </c>
      <c r="BH47" s="996">
        <v>0</v>
      </c>
    </row>
    <row r="48" spans="1:60" ht="15">
      <c r="A48" s="1799">
        <f t="shared" si="3"/>
        <v>202</v>
      </c>
      <c r="B48" s="1799">
        <v>100</v>
      </c>
      <c r="C48" s="2531"/>
      <c r="D48" s="2534"/>
      <c r="E48" s="812" t="s">
        <v>509</v>
      </c>
      <c r="F48" s="813">
        <f>F47+1</f>
        <v>2</v>
      </c>
      <c r="G48" s="814">
        <v>10</v>
      </c>
      <c r="H48" s="814">
        <v>0</v>
      </c>
      <c r="I48" s="884">
        <v>0</v>
      </c>
      <c r="J48" s="1806"/>
      <c r="K48" s="1807">
        <f t="shared" si="4"/>
        <v>302</v>
      </c>
      <c r="L48" s="1799">
        <v>100</v>
      </c>
      <c r="M48" s="2531"/>
      <c r="N48" s="2534"/>
      <c r="O48" s="812" t="s">
        <v>567</v>
      </c>
      <c r="P48" s="813">
        <f>P47+1</f>
        <v>2</v>
      </c>
      <c r="Q48" s="814">
        <v>20</v>
      </c>
      <c r="R48" s="814">
        <v>0</v>
      </c>
      <c r="S48" s="884">
        <v>0</v>
      </c>
      <c r="T48" s="1806"/>
      <c r="U48" s="1807">
        <f t="shared" si="6"/>
        <v>382</v>
      </c>
      <c r="V48" s="1808">
        <v>80</v>
      </c>
      <c r="W48" s="2531"/>
      <c r="X48" s="2534"/>
      <c r="Y48" s="812" t="s">
        <v>604</v>
      </c>
      <c r="Z48" s="813">
        <f>Z47+1</f>
        <v>2</v>
      </c>
      <c r="AA48" s="814">
        <v>60</v>
      </c>
      <c r="AB48" s="814">
        <v>0</v>
      </c>
      <c r="AC48" s="884">
        <v>0</v>
      </c>
      <c r="AD48" s="1806"/>
      <c r="AE48" s="1807">
        <v>471</v>
      </c>
      <c r="AO48" s="907">
        <f t="shared" si="8"/>
        <v>182</v>
      </c>
      <c r="AP48" s="908">
        <v>80</v>
      </c>
      <c r="AQ48" s="2531"/>
      <c r="AR48" s="2583"/>
      <c r="AS48" s="777" t="s">
        <v>604</v>
      </c>
      <c r="AT48" s="829">
        <f t="shared" si="9"/>
        <v>82</v>
      </c>
      <c r="AU48" s="778">
        <f>AU47+1</f>
        <v>2</v>
      </c>
      <c r="AV48" s="964">
        <f>IF($AQ$5=100,VLOOKUP(AO48,$A$6:$I$50,7),IF($AQ$5=200,VLOOKUP(AO48,$K$6:$S$50,7),IF($AQ$5=300,AA48,IF($AQ$5=400,AK40,0))))</f>
        <v>15</v>
      </c>
      <c r="AW48" s="964">
        <f>IF($AQ$5=100,VLOOKUP(AO48,$A$6:$I$50,8),IF($AQ$5=200,VLOOKUP(AO48,$K$6:$S$50,8),IF($AQ$5=300,AB48,IF($AQ$5=400,AL40,0))))</f>
        <v>0</v>
      </c>
      <c r="AX48" s="965">
        <f>IF($AQ$5=100,VLOOKUP(AO48,$A$6:$I$50,9),IF($AQ$5=200,VLOOKUP(AO48,$K$6:$S$50,9),IF($AQ$5=300,AC48,IF($AQ$5=400,AM40,0))))</f>
        <v>0</v>
      </c>
      <c r="AY48" s="923"/>
      <c r="AZ48" s="998">
        <v>1</v>
      </c>
      <c r="BA48" s="999">
        <v>1</v>
      </c>
      <c r="BB48" s="999">
        <v>1</v>
      </c>
      <c r="BC48" s="1000">
        <v>1</v>
      </c>
      <c r="BD48" s="998">
        <v>1</v>
      </c>
      <c r="BE48" s="997">
        <v>0</v>
      </c>
      <c r="BF48" s="999">
        <v>1</v>
      </c>
      <c r="BG48" s="999">
        <v>1</v>
      </c>
      <c r="BH48" s="1000">
        <v>1</v>
      </c>
    </row>
    <row r="49" spans="1:60" ht="15">
      <c r="A49" s="1799">
        <f t="shared" si="3"/>
        <v>203</v>
      </c>
      <c r="B49" s="1799">
        <v>100</v>
      </c>
      <c r="C49" s="2531"/>
      <c r="D49" s="2534"/>
      <c r="E49" s="812" t="s">
        <v>511</v>
      </c>
      <c r="F49" s="813">
        <f>F48+1</f>
        <v>3</v>
      </c>
      <c r="G49" s="814">
        <v>25</v>
      </c>
      <c r="H49" s="814">
        <v>0</v>
      </c>
      <c r="I49" s="884">
        <v>0</v>
      </c>
      <c r="J49" s="1806"/>
      <c r="K49" s="1807">
        <f t="shared" si="4"/>
        <v>303</v>
      </c>
      <c r="L49" s="1799">
        <v>100</v>
      </c>
      <c r="M49" s="2531"/>
      <c r="N49" s="2534"/>
      <c r="O49" s="812" t="s">
        <v>568</v>
      </c>
      <c r="P49" s="813">
        <f>P48+1</f>
        <v>3</v>
      </c>
      <c r="Q49" s="814">
        <v>50</v>
      </c>
      <c r="R49" s="814">
        <v>0</v>
      </c>
      <c r="S49" s="884">
        <v>0</v>
      </c>
      <c r="T49" s="1806"/>
      <c r="U49" s="1807">
        <f t="shared" si="6"/>
        <v>383</v>
      </c>
      <c r="V49" s="1808">
        <v>80</v>
      </c>
      <c r="W49" s="2531"/>
      <c r="X49" s="2534"/>
      <c r="Y49" s="812" t="s">
        <v>605</v>
      </c>
      <c r="Z49" s="813">
        <f>Z48+1</f>
        <v>3</v>
      </c>
      <c r="AA49" s="814">
        <v>90</v>
      </c>
      <c r="AB49" s="814">
        <v>0</v>
      </c>
      <c r="AC49" s="884">
        <v>0</v>
      </c>
      <c r="AD49" s="1806"/>
      <c r="AE49" s="1807">
        <v>472</v>
      </c>
      <c r="AO49" s="907">
        <f t="shared" si="8"/>
        <v>183</v>
      </c>
      <c r="AP49" s="908">
        <v>80</v>
      </c>
      <c r="AQ49" s="2531"/>
      <c r="AR49" s="2583"/>
      <c r="AS49" s="777" t="s">
        <v>605</v>
      </c>
      <c r="AT49" s="829">
        <f t="shared" si="9"/>
        <v>83</v>
      </c>
      <c r="AU49" s="778">
        <f>AU48+1</f>
        <v>3</v>
      </c>
      <c r="AV49" s="964">
        <f>IF($AQ$5=100,VLOOKUP(AO49,$A$6:$I$50,7),IF($AQ$5=200,VLOOKUP(AO49,$K$6:$S$50,7),IF($AQ$5=300,AA49,IF($AQ$5=400,AK41,0))))</f>
        <v>22.5</v>
      </c>
      <c r="AW49" s="964">
        <f>IF($AQ$5=100,VLOOKUP(AO49,$A$6:$I$50,8),IF($AQ$5=200,VLOOKUP(AO49,$K$6:$S$50,8),IF($AQ$5=300,AB49,IF($AQ$5=400,AL41,0))))</f>
        <v>0</v>
      </c>
      <c r="AX49" s="965">
        <f>IF($AQ$5=100,VLOOKUP(AO49,$A$6:$I$50,9),IF($AQ$5=200,VLOOKUP(AO49,$K$6:$S$50,9),IF($AQ$5=300,AC49,IF($AQ$5=400,AM41,0))))</f>
        <v>0</v>
      </c>
      <c r="AY49" s="923"/>
      <c r="AZ49" s="998">
        <v>1</v>
      </c>
      <c r="BA49" s="999">
        <v>1</v>
      </c>
      <c r="BB49" s="999">
        <v>1</v>
      </c>
      <c r="BC49" s="1000">
        <v>1</v>
      </c>
      <c r="BD49" s="998">
        <v>1</v>
      </c>
      <c r="BE49" s="997">
        <v>0</v>
      </c>
      <c r="BF49" s="999">
        <v>1.2</v>
      </c>
      <c r="BG49" s="999">
        <v>1</v>
      </c>
      <c r="BH49" s="1000">
        <v>1</v>
      </c>
    </row>
    <row r="50" spans="1:60" ht="15.75" thickBot="1">
      <c r="A50" s="1799">
        <f t="shared" si="3"/>
        <v>204</v>
      </c>
      <c r="B50" s="1799">
        <v>100</v>
      </c>
      <c r="C50" s="2532"/>
      <c r="D50" s="2535"/>
      <c r="E50" s="815" t="s">
        <v>513</v>
      </c>
      <c r="F50" s="816">
        <f>F49+1</f>
        <v>4</v>
      </c>
      <c r="G50" s="817">
        <v>40</v>
      </c>
      <c r="H50" s="817">
        <v>0</v>
      </c>
      <c r="I50" s="885">
        <v>0</v>
      </c>
      <c r="J50" s="1806"/>
      <c r="K50" s="1807">
        <f t="shared" si="4"/>
        <v>304</v>
      </c>
      <c r="L50" s="1799">
        <v>100</v>
      </c>
      <c r="M50" s="2532"/>
      <c r="N50" s="2535"/>
      <c r="O50" s="815" t="s">
        <v>569</v>
      </c>
      <c r="P50" s="816">
        <f>P49+1</f>
        <v>4</v>
      </c>
      <c r="Q50" s="817">
        <v>80</v>
      </c>
      <c r="R50" s="817">
        <v>0</v>
      </c>
      <c r="S50" s="885">
        <v>0</v>
      </c>
      <c r="T50" s="1806"/>
      <c r="U50" s="1807">
        <f t="shared" si="6"/>
        <v>384</v>
      </c>
      <c r="V50" s="1808">
        <v>80</v>
      </c>
      <c r="W50" s="2532"/>
      <c r="X50" s="2535"/>
      <c r="Y50" s="815" t="s">
        <v>503</v>
      </c>
      <c r="Z50" s="816">
        <f>Z49+1</f>
        <v>4</v>
      </c>
      <c r="AA50" s="817">
        <v>120</v>
      </c>
      <c r="AB50" s="817">
        <v>0</v>
      </c>
      <c r="AC50" s="885">
        <v>0</v>
      </c>
      <c r="AD50" s="1806"/>
      <c r="AE50" s="1807">
        <v>473</v>
      </c>
      <c r="AO50" s="907">
        <f t="shared" si="8"/>
        <v>184</v>
      </c>
      <c r="AP50" s="908">
        <v>80</v>
      </c>
      <c r="AQ50" s="2531"/>
      <c r="AR50" s="2584"/>
      <c r="AS50" s="780" t="s">
        <v>503</v>
      </c>
      <c r="AT50" s="830">
        <f t="shared" si="9"/>
        <v>84</v>
      </c>
      <c r="AU50" s="781">
        <f>AU49+1</f>
        <v>4</v>
      </c>
      <c r="AV50" s="966">
        <f>IF($AQ$5=100,VLOOKUP(AO50,$A$6:$I$50,7),IF($AQ$5=200,VLOOKUP(AO50,$K$6:$S$50,7),IF($AQ$5=300,AA50,IF($AQ$5=400,AK42,0))))</f>
        <v>30</v>
      </c>
      <c r="AW50" s="966">
        <f>IF($AQ$5=100,VLOOKUP(AO50,$A$6:$I$50,8),IF($AQ$5=200,VLOOKUP(AO50,$K$6:$S$50,8),IF($AQ$5=300,AB50,IF($AQ$5=400,AL42,0))))</f>
        <v>0</v>
      </c>
      <c r="AX50" s="967">
        <f>IF($AQ$5=100,VLOOKUP(AO50,$A$6:$I$50,9),IF($AQ$5=200,VLOOKUP(AO50,$K$6:$S$50,9),IF($AQ$5=300,AC50,IF($AQ$5=400,AM42,0))))</f>
        <v>0</v>
      </c>
      <c r="AY50" s="924"/>
      <c r="AZ50" s="1001">
        <v>1</v>
      </c>
      <c r="BA50" s="1002">
        <v>1</v>
      </c>
      <c r="BB50" s="1002">
        <v>1</v>
      </c>
      <c r="BC50" s="1003">
        <v>1</v>
      </c>
      <c r="BD50" s="1001">
        <v>1</v>
      </c>
      <c r="BE50" s="1577">
        <v>0</v>
      </c>
      <c r="BF50" s="1002">
        <v>1.3</v>
      </c>
      <c r="BG50" s="1002">
        <v>1</v>
      </c>
      <c r="BH50" s="1003">
        <v>1</v>
      </c>
    </row>
    <row r="51" spans="1:60" s="368" customFormat="1" ht="15">
      <c r="A51" s="1750"/>
      <c r="B51" s="1799"/>
      <c r="C51" s="861"/>
      <c r="D51" s="1587"/>
      <c r="E51" s="1588"/>
      <c r="F51" s="1541"/>
      <c r="G51" s="900"/>
      <c r="H51" s="900"/>
      <c r="I51" s="900"/>
      <c r="J51" s="1806"/>
      <c r="K51" s="1807"/>
      <c r="L51" s="1799"/>
      <c r="M51" s="861"/>
      <c r="N51" s="1587"/>
      <c r="O51" s="1588"/>
      <c r="P51" s="1541"/>
      <c r="Q51" s="900"/>
      <c r="R51" s="900"/>
      <c r="S51" s="900"/>
      <c r="T51" s="1806"/>
      <c r="U51" s="1807">
        <f t="shared" si="6"/>
        <v>401</v>
      </c>
      <c r="V51" s="1808">
        <v>100</v>
      </c>
      <c r="W51" s="2530" t="s">
        <v>995</v>
      </c>
      <c r="X51" s="2577" t="s">
        <v>393</v>
      </c>
      <c r="Y51" s="831" t="s">
        <v>61</v>
      </c>
      <c r="Z51" s="832">
        <v>1</v>
      </c>
      <c r="AA51" s="833">
        <v>0</v>
      </c>
      <c r="AB51" s="833">
        <v>0</v>
      </c>
      <c r="AC51" s="894">
        <v>0</v>
      </c>
      <c r="AD51" s="1806"/>
      <c r="AE51" s="1807">
        <v>474</v>
      </c>
      <c r="AF51" s="1750"/>
      <c r="AN51" s="722"/>
      <c r="AO51" s="907">
        <f t="shared" si="8"/>
        <v>191</v>
      </c>
      <c r="AP51" s="908">
        <v>90</v>
      </c>
      <c r="AQ51" s="2531"/>
      <c r="AR51" s="2581" t="s">
        <v>970</v>
      </c>
      <c r="AS51" s="803"/>
      <c r="AT51" s="912">
        <f t="shared" si="9"/>
        <v>91</v>
      </c>
      <c r="AU51" s="804">
        <v>1</v>
      </c>
      <c r="AV51" s="962">
        <f t="shared" ref="AV51:AV58" si="26">IF($AQ$5=100,G43,IF($AQ$5=200,VLOOKUP(AO51,$K$6:$S$50,7),IF($AQ$5=300,0,IF($AQ$5=400,0,0))))</f>
        <v>0</v>
      </c>
      <c r="AW51" s="962">
        <f t="shared" ref="AW51:AW58" si="27">IF($AQ$5=100,H43,IF($AQ$5=200,VLOOKUP(AO51,$K$6:$S$50,8),IF($AQ$5=300,0,IF($AQ$5=400,0,0))))</f>
        <v>0</v>
      </c>
      <c r="AX51" s="963">
        <f t="shared" ref="AX51:AX58" si="28">IF($AQ$5=100,I43,IF($AQ$5=200,VLOOKUP(AO51,$K$6:$S$50,9),IF($AQ$5=300,0,IF($AQ$5=400,0,0))))</f>
        <v>0</v>
      </c>
      <c r="AY51" s="905"/>
      <c r="AZ51" s="1045">
        <v>0</v>
      </c>
      <c r="BA51" s="1046">
        <v>0</v>
      </c>
      <c r="BB51" s="1046">
        <v>0</v>
      </c>
      <c r="BC51" s="1047">
        <v>0</v>
      </c>
      <c r="BD51" s="1045">
        <v>0</v>
      </c>
      <c r="BE51" s="1584">
        <v>0</v>
      </c>
      <c r="BF51" s="1046">
        <v>0</v>
      </c>
      <c r="BG51" s="1046">
        <v>0</v>
      </c>
      <c r="BH51" s="1047">
        <v>0</v>
      </c>
    </row>
    <row r="52" spans="1:60" s="368" customFormat="1" ht="15">
      <c r="A52" s="1750"/>
      <c r="B52" s="1799"/>
      <c r="C52" s="861"/>
      <c r="D52" s="1587"/>
      <c r="E52" s="1588"/>
      <c r="F52" s="1541"/>
      <c r="G52" s="900"/>
      <c r="H52" s="900"/>
      <c r="I52" s="900"/>
      <c r="J52" s="1806"/>
      <c r="K52" s="1807"/>
      <c r="L52" s="1799"/>
      <c r="M52" s="861"/>
      <c r="N52" s="1587"/>
      <c r="O52" s="1588"/>
      <c r="P52" s="1541"/>
      <c r="Q52" s="900"/>
      <c r="R52" s="900"/>
      <c r="S52" s="900"/>
      <c r="T52" s="1806"/>
      <c r="U52" s="1807">
        <f t="shared" si="6"/>
        <v>402</v>
      </c>
      <c r="V52" s="1808">
        <v>100</v>
      </c>
      <c r="W52" s="2531"/>
      <c r="X52" s="2578"/>
      <c r="Y52" s="834" t="s">
        <v>606</v>
      </c>
      <c r="Z52" s="835">
        <f>Z51+1</f>
        <v>2</v>
      </c>
      <c r="AA52" s="836">
        <v>50</v>
      </c>
      <c r="AB52" s="836">
        <v>0</v>
      </c>
      <c r="AC52" s="895">
        <v>0</v>
      </c>
      <c r="AD52" s="1806"/>
      <c r="AE52" s="1807">
        <v>491</v>
      </c>
      <c r="AF52" s="1750"/>
      <c r="AN52" s="722"/>
      <c r="AO52" s="907">
        <f t="shared" si="8"/>
        <v>192</v>
      </c>
      <c r="AP52" s="908">
        <v>90</v>
      </c>
      <c r="AQ52" s="2531"/>
      <c r="AR52" s="2581"/>
      <c r="AS52" s="803" t="s">
        <v>504</v>
      </c>
      <c r="AT52" s="912">
        <f t="shared" si="9"/>
        <v>92</v>
      </c>
      <c r="AU52" s="804">
        <f>AU51+1</f>
        <v>2</v>
      </c>
      <c r="AV52" s="962">
        <f t="shared" si="26"/>
        <v>0</v>
      </c>
      <c r="AW52" s="962">
        <f t="shared" si="27"/>
        <v>100</v>
      </c>
      <c r="AX52" s="963">
        <f t="shared" si="28"/>
        <v>0</v>
      </c>
      <c r="AY52" s="905"/>
      <c r="AZ52" s="1049">
        <v>1</v>
      </c>
      <c r="BA52" s="427">
        <v>1</v>
      </c>
      <c r="BB52" s="427">
        <v>1</v>
      </c>
      <c r="BC52" s="1050">
        <v>1</v>
      </c>
      <c r="BD52" s="1049">
        <v>1</v>
      </c>
      <c r="BE52" s="1048">
        <v>0</v>
      </c>
      <c r="BF52" s="427">
        <v>1</v>
      </c>
      <c r="BG52" s="427">
        <v>1</v>
      </c>
      <c r="BH52" s="1050">
        <v>1</v>
      </c>
    </row>
    <row r="53" spans="1:60" s="368" customFormat="1" ht="15">
      <c r="A53" s="1750"/>
      <c r="B53" s="1799"/>
      <c r="C53" s="861"/>
      <c r="D53" s="1587"/>
      <c r="E53" s="1588"/>
      <c r="F53" s="1541"/>
      <c r="G53" s="900"/>
      <c r="H53" s="900"/>
      <c r="I53" s="900"/>
      <c r="J53" s="1806"/>
      <c r="K53" s="1807"/>
      <c r="L53" s="1799"/>
      <c r="M53" s="861"/>
      <c r="N53" s="1587"/>
      <c r="O53" s="1588"/>
      <c r="P53" s="1541"/>
      <c r="Q53" s="900"/>
      <c r="R53" s="900"/>
      <c r="S53" s="900"/>
      <c r="T53" s="1806"/>
      <c r="U53" s="1807">
        <f t="shared" si="6"/>
        <v>403</v>
      </c>
      <c r="V53" s="1808">
        <v>100</v>
      </c>
      <c r="W53" s="2531"/>
      <c r="X53" s="2578"/>
      <c r="Y53" s="834" t="s">
        <v>607</v>
      </c>
      <c r="Z53" s="835">
        <f>Z52+1</f>
        <v>3</v>
      </c>
      <c r="AA53" s="836">
        <v>125</v>
      </c>
      <c r="AB53" s="836">
        <v>0</v>
      </c>
      <c r="AC53" s="895">
        <v>0</v>
      </c>
      <c r="AD53" s="1806"/>
      <c r="AE53" s="1807">
        <v>492</v>
      </c>
      <c r="AF53" s="1750"/>
      <c r="AN53" s="722"/>
      <c r="AO53" s="907">
        <f t="shared" si="8"/>
        <v>193</v>
      </c>
      <c r="AP53" s="908">
        <v>90</v>
      </c>
      <c r="AQ53" s="2531"/>
      <c r="AR53" s="2581"/>
      <c r="AS53" s="803" t="s">
        <v>505</v>
      </c>
      <c r="AT53" s="912">
        <f t="shared" si="9"/>
        <v>93</v>
      </c>
      <c r="AU53" s="804">
        <f>AU52+1</f>
        <v>3</v>
      </c>
      <c r="AV53" s="962">
        <f t="shared" si="26"/>
        <v>5</v>
      </c>
      <c r="AW53" s="962">
        <f t="shared" si="27"/>
        <v>0</v>
      </c>
      <c r="AX53" s="963">
        <f t="shared" si="28"/>
        <v>0</v>
      </c>
      <c r="AY53" s="905"/>
      <c r="AZ53" s="1049">
        <v>1</v>
      </c>
      <c r="BA53" s="427">
        <v>1</v>
      </c>
      <c r="BB53" s="427">
        <v>1</v>
      </c>
      <c r="BC53" s="1050">
        <v>1</v>
      </c>
      <c r="BD53" s="1049">
        <v>1</v>
      </c>
      <c r="BE53" s="1048">
        <v>0</v>
      </c>
      <c r="BF53" s="427">
        <v>1</v>
      </c>
      <c r="BG53" s="427">
        <v>1.2</v>
      </c>
      <c r="BH53" s="1050">
        <v>1</v>
      </c>
    </row>
    <row r="54" spans="1:60" s="368" customFormat="1" ht="15.75" thickBot="1">
      <c r="A54" s="1750"/>
      <c r="B54" s="1799"/>
      <c r="C54" s="861"/>
      <c r="D54" s="1587"/>
      <c r="E54" s="1588"/>
      <c r="F54" s="1541"/>
      <c r="G54" s="900"/>
      <c r="H54" s="900"/>
      <c r="I54" s="900"/>
      <c r="J54" s="1806"/>
      <c r="K54" s="1807"/>
      <c r="L54" s="1799"/>
      <c r="M54" s="861"/>
      <c r="N54" s="1587"/>
      <c r="O54" s="1588"/>
      <c r="P54" s="1541"/>
      <c r="Q54" s="900"/>
      <c r="R54" s="900"/>
      <c r="S54" s="900"/>
      <c r="T54" s="1806"/>
      <c r="U54" s="1807">
        <f t="shared" si="6"/>
        <v>404</v>
      </c>
      <c r="V54" s="1808">
        <v>100</v>
      </c>
      <c r="W54" s="2532"/>
      <c r="X54" s="2579"/>
      <c r="Y54" s="837" t="s">
        <v>608</v>
      </c>
      <c r="Z54" s="838">
        <f>Z53+1</f>
        <v>4</v>
      </c>
      <c r="AA54" s="839">
        <v>200</v>
      </c>
      <c r="AB54" s="839">
        <v>0</v>
      </c>
      <c r="AC54" s="896">
        <v>0</v>
      </c>
      <c r="AD54" s="1806"/>
      <c r="AE54" s="1807">
        <v>493</v>
      </c>
      <c r="AF54" s="1750"/>
      <c r="AN54" s="722"/>
      <c r="AO54" s="907">
        <f t="shared" si="8"/>
        <v>194</v>
      </c>
      <c r="AP54" s="908">
        <v>90</v>
      </c>
      <c r="AQ54" s="2532"/>
      <c r="AR54" s="2581"/>
      <c r="AS54" s="803" t="s">
        <v>506</v>
      </c>
      <c r="AT54" s="912">
        <f t="shared" si="9"/>
        <v>94</v>
      </c>
      <c r="AU54" s="804">
        <f>AU53+1</f>
        <v>4</v>
      </c>
      <c r="AV54" s="962">
        <f t="shared" si="26"/>
        <v>20</v>
      </c>
      <c r="AW54" s="962">
        <f t="shared" si="27"/>
        <v>0</v>
      </c>
      <c r="AX54" s="963">
        <f t="shared" si="28"/>
        <v>0</v>
      </c>
      <c r="AY54" s="905"/>
      <c r="AZ54" s="1051">
        <v>1</v>
      </c>
      <c r="BA54" s="1052">
        <v>1</v>
      </c>
      <c r="BB54" s="1052">
        <v>1</v>
      </c>
      <c r="BC54" s="1053">
        <v>1</v>
      </c>
      <c r="BD54" s="1051">
        <v>1</v>
      </c>
      <c r="BE54" s="1585">
        <v>0</v>
      </c>
      <c r="BF54" s="1052">
        <v>1</v>
      </c>
      <c r="BG54" s="1052">
        <v>1.3</v>
      </c>
      <c r="BH54" s="1053">
        <v>1</v>
      </c>
    </row>
    <row r="55" spans="1:60" ht="14.25" customHeight="1">
      <c r="AE55" s="1807">
        <v>494</v>
      </c>
      <c r="AO55" s="907">
        <f t="shared" si="8"/>
        <v>201</v>
      </c>
      <c r="AP55" s="908">
        <v>100</v>
      </c>
      <c r="AQ55" s="2530" t="s">
        <v>995</v>
      </c>
      <c r="AR55" s="2576" t="s">
        <v>393</v>
      </c>
      <c r="AS55" s="827" t="s">
        <v>61</v>
      </c>
      <c r="AT55" s="827">
        <f t="shared" si="9"/>
        <v>101</v>
      </c>
      <c r="AU55" s="810">
        <v>1</v>
      </c>
      <c r="AV55" s="811">
        <f t="shared" si="26"/>
        <v>0</v>
      </c>
      <c r="AW55" s="811">
        <f t="shared" si="27"/>
        <v>0</v>
      </c>
      <c r="AX55" s="883">
        <f t="shared" si="28"/>
        <v>0</v>
      </c>
      <c r="AY55" s="922"/>
      <c r="AZ55" s="1021">
        <v>0</v>
      </c>
      <c r="BA55" s="1022">
        <v>0</v>
      </c>
      <c r="BB55" s="1022">
        <v>0</v>
      </c>
      <c r="BC55" s="1023">
        <v>0</v>
      </c>
      <c r="BD55" s="1021">
        <v>0</v>
      </c>
      <c r="BE55" s="1586">
        <v>0</v>
      </c>
      <c r="BF55" s="1022">
        <v>0</v>
      </c>
      <c r="BG55" s="1022">
        <v>0</v>
      </c>
      <c r="BH55" s="1023">
        <v>0</v>
      </c>
    </row>
    <row r="56" spans="1:60" ht="15">
      <c r="AE56" s="1807">
        <v>501</v>
      </c>
      <c r="AO56" s="907">
        <f t="shared" si="8"/>
        <v>202</v>
      </c>
      <c r="AP56" s="908">
        <v>100</v>
      </c>
      <c r="AQ56" s="2531"/>
      <c r="AR56" s="2534"/>
      <c r="AS56" s="812" t="s">
        <v>606</v>
      </c>
      <c r="AT56" s="968">
        <f t="shared" si="9"/>
        <v>102</v>
      </c>
      <c r="AU56" s="813">
        <f>AU55+1</f>
        <v>2</v>
      </c>
      <c r="AV56" s="969">
        <f t="shared" si="26"/>
        <v>10</v>
      </c>
      <c r="AW56" s="969">
        <f t="shared" si="27"/>
        <v>0</v>
      </c>
      <c r="AX56" s="970">
        <f t="shared" si="28"/>
        <v>0</v>
      </c>
      <c r="AY56" s="923"/>
      <c r="AZ56" s="1014">
        <v>1</v>
      </c>
      <c r="BA56" s="1015">
        <v>1</v>
      </c>
      <c r="BB56" s="1015">
        <v>1</v>
      </c>
      <c r="BC56" s="1016">
        <v>1</v>
      </c>
      <c r="BD56" s="1014">
        <v>1</v>
      </c>
      <c r="BE56" s="1017">
        <v>0</v>
      </c>
      <c r="BF56" s="1015">
        <v>1</v>
      </c>
      <c r="BG56" s="1015">
        <v>1</v>
      </c>
      <c r="BH56" s="1016">
        <v>1</v>
      </c>
    </row>
    <row r="57" spans="1:60" ht="15">
      <c r="AE57" s="1807">
        <v>502</v>
      </c>
      <c r="AO57" s="907">
        <f t="shared" si="8"/>
        <v>203</v>
      </c>
      <c r="AP57" s="908">
        <v>100</v>
      </c>
      <c r="AQ57" s="2531"/>
      <c r="AR57" s="2534"/>
      <c r="AS57" s="812" t="s">
        <v>607</v>
      </c>
      <c r="AT57" s="968">
        <f t="shared" si="9"/>
        <v>103</v>
      </c>
      <c r="AU57" s="813">
        <f>AU56+1</f>
        <v>3</v>
      </c>
      <c r="AV57" s="969">
        <f t="shared" si="26"/>
        <v>25</v>
      </c>
      <c r="AW57" s="969">
        <f t="shared" si="27"/>
        <v>0</v>
      </c>
      <c r="AX57" s="970">
        <f t="shared" si="28"/>
        <v>0</v>
      </c>
      <c r="AY57" s="923"/>
      <c r="AZ57" s="1014">
        <v>1</v>
      </c>
      <c r="BA57" s="1015">
        <v>1</v>
      </c>
      <c r="BB57" s="1015">
        <v>1</v>
      </c>
      <c r="BC57" s="1016">
        <v>1</v>
      </c>
      <c r="BD57" s="1014">
        <v>1</v>
      </c>
      <c r="BE57" s="1017">
        <v>0</v>
      </c>
      <c r="BF57" s="1015">
        <v>1</v>
      </c>
      <c r="BG57" s="1015">
        <v>1</v>
      </c>
      <c r="BH57" s="1016">
        <v>1.2</v>
      </c>
    </row>
    <row r="58" spans="1:60" ht="15.75" thickBot="1">
      <c r="AE58" s="1807">
        <v>503</v>
      </c>
      <c r="AO58" s="907">
        <f t="shared" si="8"/>
        <v>204</v>
      </c>
      <c r="AP58" s="908">
        <v>100</v>
      </c>
      <c r="AQ58" s="2532"/>
      <c r="AR58" s="2535"/>
      <c r="AS58" s="815" t="s">
        <v>608</v>
      </c>
      <c r="AT58" s="971">
        <f t="shared" si="9"/>
        <v>104</v>
      </c>
      <c r="AU58" s="816">
        <f>AU57+1</f>
        <v>4</v>
      </c>
      <c r="AV58" s="972">
        <f t="shared" si="26"/>
        <v>40</v>
      </c>
      <c r="AW58" s="972">
        <f t="shared" si="27"/>
        <v>0</v>
      </c>
      <c r="AX58" s="973">
        <f t="shared" si="28"/>
        <v>0</v>
      </c>
      <c r="AY58" s="924"/>
      <c r="AZ58" s="1018">
        <v>1</v>
      </c>
      <c r="BA58" s="1019">
        <v>1</v>
      </c>
      <c r="BB58" s="1019">
        <v>1</v>
      </c>
      <c r="BC58" s="1020">
        <v>1</v>
      </c>
      <c r="BD58" s="1018">
        <v>1</v>
      </c>
      <c r="BE58" s="1054">
        <v>0</v>
      </c>
      <c r="BF58" s="1019">
        <v>1</v>
      </c>
      <c r="BG58" s="1019">
        <v>1</v>
      </c>
      <c r="BH58" s="1020">
        <v>1.3</v>
      </c>
    </row>
    <row r="59" spans="1:60" ht="15">
      <c r="AE59" s="1807">
        <v>504</v>
      </c>
      <c r="BE59" s="368"/>
    </row>
  </sheetData>
  <sheetProtection password="E1ED" sheet="1" objects="1" scenarios="1"/>
  <mergeCells count="60">
    <mergeCell ref="AG39:AG42"/>
    <mergeCell ref="AH39:AH42"/>
    <mergeCell ref="AR43:AR46"/>
    <mergeCell ref="AR47:AR50"/>
    <mergeCell ref="AG6:AG38"/>
    <mergeCell ref="AH25:AH28"/>
    <mergeCell ref="AH29:AH32"/>
    <mergeCell ref="AH33:AH38"/>
    <mergeCell ref="AH6:AH24"/>
    <mergeCell ref="AR6:AR24"/>
    <mergeCell ref="AQ55:AQ58"/>
    <mergeCell ref="AR55:AR58"/>
    <mergeCell ref="AK4:AM4"/>
    <mergeCell ref="AQ6:AQ42"/>
    <mergeCell ref="AR25:AR28"/>
    <mergeCell ref="AR29:AR32"/>
    <mergeCell ref="AR33:AR38"/>
    <mergeCell ref="AR39:AR42"/>
    <mergeCell ref="AR51:AR54"/>
    <mergeCell ref="AQ43:AQ54"/>
    <mergeCell ref="W3:AC3"/>
    <mergeCell ref="AA4:AC4"/>
    <mergeCell ref="AQ3:AX3"/>
    <mergeCell ref="AV4:AX4"/>
    <mergeCell ref="AG3:AM3"/>
    <mergeCell ref="W43:W50"/>
    <mergeCell ref="X43:X46"/>
    <mergeCell ref="X47:X50"/>
    <mergeCell ref="W51:W54"/>
    <mergeCell ref="X51:X54"/>
    <mergeCell ref="W6:W42"/>
    <mergeCell ref="X25:X28"/>
    <mergeCell ref="X29:X32"/>
    <mergeCell ref="X33:X38"/>
    <mergeCell ref="X39:X42"/>
    <mergeCell ref="X6:X24"/>
    <mergeCell ref="N47:N50"/>
    <mergeCell ref="M3:S3"/>
    <mergeCell ref="N25:N30"/>
    <mergeCell ref="N31:N34"/>
    <mergeCell ref="M35:M46"/>
    <mergeCell ref="N35:N38"/>
    <mergeCell ref="N39:N42"/>
    <mergeCell ref="N43:N46"/>
    <mergeCell ref="Q4:S4"/>
    <mergeCell ref="N6:N24"/>
    <mergeCell ref="C47:C50"/>
    <mergeCell ref="D47:D50"/>
    <mergeCell ref="C3:I3"/>
    <mergeCell ref="M6:M34"/>
    <mergeCell ref="C6:C34"/>
    <mergeCell ref="D25:D30"/>
    <mergeCell ref="D31:D34"/>
    <mergeCell ref="C35:C46"/>
    <mergeCell ref="D35:D38"/>
    <mergeCell ref="D39:D42"/>
    <mergeCell ref="D43:D46"/>
    <mergeCell ref="G4:I4"/>
    <mergeCell ref="M47:M50"/>
    <mergeCell ref="D6:D24"/>
  </mergeCells>
  <dataValidations count="1">
    <dataValidation allowBlank="1" showInputMessage="1" showErrorMessage="1" promptTitle="munition canon" sqref="E6:E24"/>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Feuil10"/>
  <dimension ref="A1:DX467"/>
  <sheetViews>
    <sheetView tabSelected="1" topLeftCell="C4" zoomScale="85" zoomScaleNormal="85" zoomScaleSheetLayoutView="85" workbookViewId="0">
      <selection activeCell="F5" sqref="F5"/>
    </sheetView>
  </sheetViews>
  <sheetFormatPr baseColWidth="10" defaultRowHeight="12.75"/>
  <cols>
    <col min="1" max="1" width="11.42578125" style="471" hidden="1" customWidth="1"/>
    <col min="2" max="2" width="7.5703125" style="515" hidden="1" customWidth="1"/>
    <col min="3" max="3" width="6.140625" style="515" customWidth="1"/>
    <col min="4" max="4" width="12.42578125" style="471" customWidth="1"/>
    <col min="5" max="5" width="12.140625" style="471" bestFit="1" customWidth="1"/>
    <col min="6" max="6" width="22.85546875" style="471" customWidth="1"/>
    <col min="7" max="7" width="14.7109375" style="471" customWidth="1"/>
    <col min="8" max="8" width="18.28515625" style="471" customWidth="1"/>
    <col min="9" max="9" width="13.85546875" style="471" customWidth="1"/>
    <col min="10" max="10" width="18.5703125" style="471" customWidth="1"/>
    <col min="11" max="11" width="11.42578125" style="471"/>
    <col min="12" max="12" width="18.7109375" style="471" customWidth="1"/>
    <col min="13" max="13" width="11.42578125" style="471"/>
    <col min="14" max="14" width="19.140625" style="471" customWidth="1"/>
    <col min="15" max="16" width="11.42578125" style="471"/>
    <col min="17" max="17" width="11.42578125" style="471" customWidth="1"/>
    <col min="18" max="20" width="11.42578125" style="471" hidden="1" customWidth="1"/>
    <col min="21" max="21" width="13.5703125" style="471" hidden="1" customWidth="1"/>
    <col min="22" max="22" width="13" style="471" hidden="1" customWidth="1"/>
    <col min="23" max="23" width="14.42578125" style="471" hidden="1" customWidth="1"/>
    <col min="24" max="24" width="13.7109375" style="471" hidden="1" customWidth="1"/>
    <col min="25" max="25" width="19.5703125" style="471" hidden="1" customWidth="1"/>
    <col min="26" max="26" width="12.85546875" style="471" hidden="1" customWidth="1"/>
    <col min="27" max="27" width="14.7109375" style="471" hidden="1" customWidth="1"/>
    <col min="28" max="28" width="11.42578125" style="471" hidden="1" customWidth="1"/>
    <col min="29" max="29" width="12.7109375" style="471" hidden="1" customWidth="1"/>
    <col min="30" max="30" width="20.5703125" style="471" hidden="1" customWidth="1"/>
    <col min="31" max="31" width="12.85546875" style="471" hidden="1" customWidth="1"/>
    <col min="32" max="32" width="14.5703125" style="471" hidden="1" customWidth="1"/>
    <col min="33" max="33" width="11" style="471" hidden="1" customWidth="1"/>
    <col min="34" max="34" width="12.85546875" style="471" hidden="1" customWidth="1"/>
    <col min="35" max="35" width="26" style="471" hidden="1" customWidth="1"/>
    <col min="36" max="36" width="13.85546875" style="471" hidden="1" customWidth="1"/>
    <col min="37" max="37" width="12.28515625" style="471" hidden="1" customWidth="1"/>
    <col min="38" max="38" width="12.85546875" style="471" hidden="1" customWidth="1"/>
    <col min="39" max="39" width="11.42578125" style="471" hidden="1" customWidth="1"/>
    <col min="40" max="40" width="20.5703125" style="471" hidden="1" customWidth="1"/>
    <col min="41" max="41" width="12.5703125" style="471" hidden="1" customWidth="1"/>
    <col min="42" max="47" width="11.42578125" style="471" hidden="1" customWidth="1"/>
    <col min="48" max="48" width="13.7109375" style="471" hidden="1" customWidth="1"/>
    <col min="49" max="49" width="13.28515625" style="471" hidden="1" customWidth="1"/>
    <col min="50" max="50" width="16.5703125" style="471" hidden="1" customWidth="1"/>
    <col min="51" max="51" width="17.140625" style="471" hidden="1" customWidth="1"/>
    <col min="52" max="57" width="11.42578125" style="471" hidden="1" customWidth="1"/>
    <col min="58" max="58" width="12.42578125" style="471" hidden="1" customWidth="1"/>
    <col min="59" max="92" width="11.42578125" style="471" hidden="1" customWidth="1"/>
    <col min="93" max="93" width="2.140625" style="471" hidden="1" customWidth="1"/>
    <col min="94" max="96" width="11.42578125" style="471" hidden="1" customWidth="1"/>
    <col min="97" max="97" width="2.140625" style="471" hidden="1" customWidth="1"/>
    <col min="98" max="100" width="11.42578125" style="471" hidden="1" customWidth="1"/>
    <col min="101" max="101" width="20.140625" style="471" hidden="1" customWidth="1"/>
    <col min="102" max="110" width="11.42578125" style="471" hidden="1" customWidth="1"/>
    <col min="111" max="126" width="11.42578125" style="471" customWidth="1"/>
    <col min="127" max="127" width="47.7109375" style="471" customWidth="1"/>
    <col min="128" max="434" width="11.42578125" style="471" customWidth="1"/>
    <col min="435" max="16384" width="11.42578125" style="471"/>
  </cols>
  <sheetData>
    <row r="1" spans="1:107" s="1530" customFormat="1" ht="22.5" hidden="1" customHeight="1">
      <c r="G1" s="1530" t="b">
        <f>IF(H1=2,0,G3)</f>
        <v>0</v>
      </c>
      <c r="H1" s="1530">
        <f>H3*2</f>
        <v>0</v>
      </c>
    </row>
    <row r="2" spans="1:107" s="1530" customFormat="1" ht="20.100000000000001" hidden="1" customHeight="1">
      <c r="G2" s="1530" t="s">
        <v>1115</v>
      </c>
      <c r="H2" s="1530" t="s">
        <v>1116</v>
      </c>
      <c r="I2" s="1530" t="s">
        <v>1114</v>
      </c>
    </row>
    <row r="3" spans="1:107" s="1530" customFormat="1" ht="24.95" hidden="1" customHeight="1">
      <c r="F3" s="2659">
        <v>1</v>
      </c>
      <c r="G3" s="2659" t="b">
        <v>0</v>
      </c>
      <c r="H3" s="2659" t="b">
        <v>0</v>
      </c>
      <c r="I3" s="2659" t="b">
        <v>0</v>
      </c>
    </row>
    <row r="4" spans="1:107" s="1530" customFormat="1" ht="24.95" customHeight="1">
      <c r="F4" s="2659"/>
      <c r="G4" s="2659"/>
      <c r="H4" s="2659"/>
      <c r="I4" s="2659"/>
    </row>
    <row r="5" spans="1:107" s="518" customFormat="1" ht="24.95" customHeight="1" thickBot="1">
      <c r="B5" s="515"/>
      <c r="F5" s="467"/>
      <c r="G5" s="467"/>
      <c r="H5" s="467"/>
      <c r="I5" s="467"/>
      <c r="J5" s="485"/>
      <c r="K5" s="515"/>
    </row>
    <row r="6" spans="1:107" ht="24.95" customHeight="1" thickBot="1">
      <c r="B6" s="515" t="s">
        <v>671</v>
      </c>
      <c r="D6" s="485"/>
      <c r="E6" s="472"/>
      <c r="F6" s="473" t="s">
        <v>675</v>
      </c>
      <c r="G6" s="1613" t="s">
        <v>1205</v>
      </c>
      <c r="H6" s="475">
        <v>0</v>
      </c>
      <c r="I6" s="467">
        <v>1</v>
      </c>
      <c r="J6" s="485"/>
    </row>
    <row r="7" spans="1:107" ht="24.95" customHeight="1" thickBot="1">
      <c r="B7" s="515">
        <f>F3*100+1+G1+H1</f>
        <v>101</v>
      </c>
      <c r="D7" s="485"/>
      <c r="F7" s="611"/>
      <c r="G7" s="476"/>
      <c r="H7" s="477"/>
      <c r="J7" s="485"/>
      <c r="O7" s="764"/>
    </row>
    <row r="8" spans="1:107" ht="24.95" customHeight="1">
      <c r="A8" s="471">
        <f>IF(B7=101,100,IF(B7=102,100,IF(B7=201,100,IF(B7=202,100,IF(B7=301,100,IF(B7=302,100,IF(B7=401,100,0)))))))</f>
        <v>100</v>
      </c>
      <c r="B8" s="515">
        <f>SUM(A8:A15)</f>
        <v>100</v>
      </c>
      <c r="D8" s="485"/>
      <c r="F8" s="478" t="s">
        <v>677</v>
      </c>
      <c r="G8" s="2628" t="s">
        <v>676</v>
      </c>
      <c r="H8" s="2629"/>
      <c r="I8" s="478" t="s">
        <v>39</v>
      </c>
      <c r="J8" s="485"/>
      <c r="DB8" s="1531" t="s">
        <v>1118</v>
      </c>
    </row>
    <row r="9" spans="1:107" ht="24.95" customHeight="1" thickBot="1">
      <c r="A9" s="471">
        <f>IF(B7=402,100,IF(B7=403,100,IF(B7=501,100,IF(B7=502,100,IF(B7=601,500,IF(B7=602,500,0))))))</f>
        <v>0</v>
      </c>
      <c r="B9" s="612">
        <f>$B$8</f>
        <v>100</v>
      </c>
      <c r="F9" s="479" t="str">
        <f>HLOOKUP($B$7,'Ships Table'!$C$2:$AG$43,2)</f>
        <v xml:space="preserve">Strikes </v>
      </c>
      <c r="G9" s="2630" t="str">
        <f>HLOOKUP(B7,'Ships Table'!C2:AG43,5)</f>
        <v>Standard</v>
      </c>
      <c r="H9" s="2631"/>
      <c r="I9" s="480" t="str">
        <f>HLOOKUP(B7,'Ships Table'!C2:AG43,9)</f>
        <v>Intercepte</v>
      </c>
      <c r="J9" s="481"/>
      <c r="S9" s="2619" t="s">
        <v>980</v>
      </c>
      <c r="T9" s="2619"/>
      <c r="U9" s="2619"/>
      <c r="V9" s="2619"/>
      <c r="W9" s="2619"/>
      <c r="X9" s="2619"/>
      <c r="Y9" s="2619"/>
      <c r="Z9" s="2619"/>
      <c r="AA9" s="2619"/>
      <c r="AB9" s="2619"/>
      <c r="AC9" s="2619"/>
      <c r="AD9" s="472"/>
    </row>
    <row r="10" spans="1:107" ht="24.95" customHeight="1" thickBot="1">
      <c r="A10" s="471">
        <f>IF(B7=701,200,IF(B7=702,200,IF(B7=801,200,IF(B7=802,200,IF(B7=901,200,IF(B7=902,200,0))))))</f>
        <v>0</v>
      </c>
      <c r="D10" s="2609"/>
      <c r="E10" s="2628" t="s">
        <v>678</v>
      </c>
      <c r="F10" s="482" t="s">
        <v>679</v>
      </c>
      <c r="G10" s="483" t="s">
        <v>323</v>
      </c>
      <c r="H10" s="484" t="s">
        <v>680</v>
      </c>
      <c r="I10" s="485"/>
      <c r="J10" s="485"/>
      <c r="K10" s="485"/>
    </row>
    <row r="11" spans="1:107" ht="24.95" customHeight="1" thickBot="1">
      <c r="A11" s="471">
        <f>IF(B7=1001,200,IF(B7=1002,200,IF(B7=1101,300,IF(B7=1102,300,IF(B7=1201,300,IF(B7=1202,300,0))))))</f>
        <v>0</v>
      </c>
      <c r="D11" s="2611"/>
      <c r="E11" s="2632"/>
      <c r="F11" s="1127">
        <f>HLOOKUP($B$7,'Ships Table'!$C$2:$AG$43,6)</f>
        <v>0</v>
      </c>
      <c r="G11" s="1127">
        <f>HLOOKUP($B$7,'Ships Table'!$C$2:$AG$43,7)</f>
        <v>100000</v>
      </c>
      <c r="H11" s="1126">
        <f>HLOOKUP($B$7,'Ships Table'!$C$2:$AG$43,8)</f>
        <v>0</v>
      </c>
      <c r="I11" s="485"/>
      <c r="J11" s="485"/>
      <c r="K11" s="485"/>
      <c r="P11" s="2588" t="s">
        <v>759</v>
      </c>
      <c r="Q11" s="2589"/>
      <c r="R11" s="855"/>
      <c r="S11" s="503"/>
      <c r="T11" s="2596" t="s">
        <v>773</v>
      </c>
      <c r="U11" s="2596"/>
      <c r="V11" s="2596"/>
      <c r="W11" s="2596"/>
      <c r="X11" s="2596"/>
      <c r="Y11" s="2596"/>
      <c r="Z11" s="691"/>
      <c r="AA11" s="935"/>
      <c r="AB11" s="855"/>
      <c r="AC11" s="598">
        <f>B8</f>
        <v>100</v>
      </c>
      <c r="AD11" s="503"/>
      <c r="AE11" s="503"/>
      <c r="AF11" s="503"/>
      <c r="AG11" s="503"/>
      <c r="AH11" s="503"/>
      <c r="AI11" s="503"/>
      <c r="AJ11" s="503"/>
      <c r="AK11" s="503"/>
      <c r="AL11" s="503"/>
      <c r="AM11" s="503"/>
      <c r="AN11" s="503"/>
      <c r="AO11" s="503"/>
      <c r="AP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99"/>
      <c r="CV11" s="491"/>
      <c r="CW11" s="491"/>
      <c r="CZ11" s="367"/>
      <c r="DA11" s="1110"/>
      <c r="DB11" s="367"/>
      <c r="DC11" s="367"/>
    </row>
    <row r="12" spans="1:107" ht="24.95" customHeight="1" thickBot="1">
      <c r="A12" s="471">
        <f>IF(B7=1301,300,IF(B7=1302,300,IF(B7=1401,300,IF(B7=1402,300,IF(B7=1501,400,IF(B7=1502,400,0))))))</f>
        <v>0</v>
      </c>
      <c r="D12" s="2633" t="s">
        <v>683</v>
      </c>
      <c r="E12" s="486" t="s">
        <v>681</v>
      </c>
      <c r="F12" s="487">
        <f>HLOOKUP($B$7,'Ships Table'!C2:AG43,11)</f>
        <v>3</v>
      </c>
      <c r="G12" s="488"/>
      <c r="H12" s="488"/>
      <c r="I12" s="488"/>
      <c r="J12" s="488"/>
      <c r="K12" s="488"/>
      <c r="L12" s="488"/>
      <c r="M12" s="488"/>
      <c r="N12" s="488"/>
      <c r="O12" s="489"/>
      <c r="P12" s="2590">
        <f>'Weapons Table'!M2</f>
        <v>2</v>
      </c>
      <c r="Q12" s="504"/>
      <c r="R12" s="488"/>
      <c r="S12" s="2600" t="s">
        <v>809</v>
      </c>
      <c r="T12" s="606"/>
      <c r="U12" s="488"/>
      <c r="V12" s="488"/>
      <c r="W12" s="488"/>
      <c r="X12" s="488"/>
      <c r="Y12" s="488"/>
      <c r="Z12" s="488"/>
      <c r="AA12" s="488"/>
      <c r="AB12" s="488"/>
      <c r="AC12" s="611">
        <f>IF(OR($AC$11=400,$AC$11=500),0,1)</f>
        <v>1</v>
      </c>
      <c r="AD12" s="488"/>
      <c r="AE12" s="488"/>
      <c r="AF12" s="488"/>
      <c r="AG12" s="488"/>
      <c r="AH12" s="488"/>
      <c r="AI12" s="488"/>
      <c r="AJ12" s="488"/>
      <c r="AK12" s="488"/>
      <c r="AL12" s="488"/>
      <c r="AM12" s="488"/>
      <c r="AN12" s="488"/>
      <c r="AO12" s="488"/>
      <c r="AP12" s="488"/>
      <c r="AQ12" s="488"/>
      <c r="AR12" s="488"/>
      <c r="AS12" s="488"/>
      <c r="AT12" s="488"/>
      <c r="AU12" s="488"/>
      <c r="AV12" s="488"/>
      <c r="AW12" s="488"/>
      <c r="AX12" s="488"/>
      <c r="AZ12" s="2600" t="s">
        <v>683</v>
      </c>
      <c r="BA12" s="503"/>
      <c r="BB12" s="503"/>
      <c r="BC12" s="503"/>
      <c r="BD12" s="503"/>
      <c r="BE12" s="503"/>
      <c r="BF12" s="503"/>
      <c r="BG12" s="2600" t="s">
        <v>1057</v>
      </c>
      <c r="BH12" s="503"/>
      <c r="BI12" s="503"/>
      <c r="BJ12" s="503"/>
      <c r="BK12" s="503"/>
      <c r="BL12" s="503"/>
      <c r="BM12" s="503"/>
      <c r="BN12" s="503"/>
      <c r="BO12" s="503"/>
      <c r="BP12" s="503"/>
      <c r="BQ12" s="503"/>
      <c r="BR12" s="503"/>
      <c r="BS12" s="503"/>
      <c r="BT12" s="503"/>
      <c r="BU12" s="503"/>
      <c r="BV12" s="503"/>
      <c r="BW12" s="503"/>
      <c r="BX12" s="503"/>
      <c r="BY12" s="503"/>
      <c r="BZ12" s="503"/>
      <c r="CA12" s="503"/>
      <c r="CB12" s="503"/>
      <c r="CC12" s="503"/>
      <c r="CD12" s="503"/>
      <c r="CE12" s="503"/>
      <c r="CF12" s="503"/>
      <c r="CG12" s="503"/>
      <c r="CH12" s="503"/>
      <c r="CI12" s="503"/>
      <c r="CJ12" s="503"/>
      <c r="CK12" s="503"/>
      <c r="CL12" s="503"/>
      <c r="CM12" s="503"/>
      <c r="CN12" s="503"/>
      <c r="CO12" s="503"/>
      <c r="CP12" s="503"/>
      <c r="CQ12" s="503"/>
      <c r="CR12" s="503"/>
      <c r="CS12" s="503"/>
      <c r="CT12" s="503"/>
      <c r="CU12" s="599"/>
      <c r="CV12" s="491"/>
      <c r="CW12" s="491"/>
      <c r="CZ12" s="367"/>
      <c r="DA12" s="1110"/>
      <c r="DB12" s="367"/>
      <c r="DC12" s="367"/>
    </row>
    <row r="13" spans="1:107" ht="24.95" customHeight="1" thickBot="1">
      <c r="A13" s="471">
        <f>IF(B7=103,100,IF(B7=203,100,IF(B7=303,100,IF(B7=403,0,IF(B7=503,100,IF(B7=603,500,0))))))</f>
        <v>0</v>
      </c>
      <c r="D13" s="2634"/>
      <c r="E13" s="2618" t="s">
        <v>682</v>
      </c>
      <c r="F13" s="493" t="str">
        <f>HLOOKUP($B$7,'Ships Table'!C2:AG43,10)</f>
        <v>3 face</v>
      </c>
      <c r="G13" s="490"/>
      <c r="H13" s="490"/>
      <c r="I13" s="490"/>
      <c r="J13" s="495"/>
      <c r="K13" s="490"/>
      <c r="L13" s="490"/>
      <c r="M13" s="490"/>
      <c r="N13" s="490"/>
      <c r="O13" s="494"/>
      <c r="P13" s="2591"/>
      <c r="Q13" s="945"/>
      <c r="R13" s="943"/>
      <c r="S13" s="2601"/>
      <c r="T13" s="607"/>
      <c r="U13" s="943"/>
      <c r="V13" s="943"/>
      <c r="W13" s="943"/>
      <c r="X13" s="943"/>
      <c r="Y13" s="943"/>
      <c r="Z13" s="943"/>
      <c r="AA13" s="943"/>
      <c r="AB13" s="943"/>
      <c r="AC13" s="943">
        <v>3</v>
      </c>
      <c r="AD13" s="943">
        <v>4</v>
      </c>
      <c r="AE13" s="943">
        <v>5</v>
      </c>
      <c r="AF13" s="943">
        <v>6</v>
      </c>
      <c r="AG13" s="943">
        <v>7</v>
      </c>
      <c r="AH13" s="943">
        <v>8</v>
      </c>
      <c r="AI13" s="943">
        <v>9</v>
      </c>
      <c r="AJ13" s="943">
        <v>10</v>
      </c>
      <c r="AK13" s="943">
        <v>11</v>
      </c>
      <c r="AL13" s="943">
        <v>12</v>
      </c>
      <c r="AM13" s="943">
        <v>13</v>
      </c>
      <c r="AN13" s="943">
        <v>14</v>
      </c>
      <c r="AO13" s="943">
        <v>15</v>
      </c>
      <c r="AP13" s="943"/>
      <c r="AQ13" s="943"/>
      <c r="AR13" s="2595" t="s">
        <v>1025</v>
      </c>
      <c r="AS13" s="2595"/>
      <c r="AT13" s="2595"/>
      <c r="AU13" s="2595"/>
      <c r="AV13" s="2595"/>
      <c r="AW13" s="2595"/>
      <c r="AX13" s="943"/>
      <c r="AZ13" s="2601"/>
      <c r="BA13" s="1684"/>
      <c r="BB13" s="1684"/>
      <c r="BC13" s="1684"/>
      <c r="BD13" s="1684"/>
      <c r="BE13" s="1684"/>
      <c r="BF13" s="1684"/>
      <c r="BG13" s="2601"/>
      <c r="BH13" s="751"/>
      <c r="BI13" s="751"/>
      <c r="BJ13" s="751"/>
      <c r="BK13" s="751"/>
      <c r="BL13" s="751"/>
      <c r="BM13" s="751"/>
      <c r="BN13" s="751"/>
      <c r="BO13" s="751"/>
      <c r="BP13" s="751"/>
      <c r="BQ13" s="751"/>
      <c r="BR13" s="751"/>
      <c r="BS13" s="751"/>
      <c r="BT13" s="751"/>
      <c r="BU13" s="751"/>
      <c r="BV13" s="751"/>
      <c r="BW13" s="751"/>
      <c r="BX13" s="751"/>
      <c r="BY13" s="751"/>
      <c r="BZ13" s="751"/>
      <c r="CA13" s="751"/>
      <c r="CB13" s="751"/>
      <c r="CC13" s="751"/>
      <c r="CD13" s="751"/>
      <c r="CE13" s="751"/>
      <c r="CF13" s="751"/>
      <c r="CG13" s="751"/>
      <c r="CH13" s="751"/>
      <c r="CI13" s="751"/>
      <c r="CJ13" s="751"/>
      <c r="CK13" s="751"/>
      <c r="CL13" s="751"/>
      <c r="CM13" s="751"/>
      <c r="CN13" s="751"/>
      <c r="CO13" s="751"/>
      <c r="CP13" s="751"/>
      <c r="CQ13" s="751"/>
      <c r="CR13" s="751"/>
      <c r="CS13" s="751"/>
      <c r="CT13" s="751"/>
      <c r="CU13" s="759"/>
      <c r="CV13" s="1535"/>
      <c r="CW13" s="1535"/>
      <c r="CZ13" s="367"/>
      <c r="DA13" s="1110"/>
      <c r="DB13" s="367"/>
      <c r="DC13" s="367"/>
    </row>
    <row r="14" spans="1:107" ht="24.95" customHeight="1" thickBot="1">
      <c r="A14" s="471">
        <f>IF(B7=703,200,IF(B7=803,200,IF(B7=903,200,IF(B7=1003,200,0))))</f>
        <v>0</v>
      </c>
      <c r="D14" s="2634"/>
      <c r="E14" s="2618"/>
      <c r="F14" s="495" t="s">
        <v>669</v>
      </c>
      <c r="G14" s="496">
        <v>100</v>
      </c>
      <c r="H14" s="495" t="s">
        <v>721</v>
      </c>
      <c r="I14" s="496">
        <v>200</v>
      </c>
      <c r="J14" s="495" t="s">
        <v>722</v>
      </c>
      <c r="K14" s="496">
        <v>300</v>
      </c>
      <c r="L14" s="496" t="s">
        <v>112</v>
      </c>
      <c r="M14" s="496">
        <v>400</v>
      </c>
      <c r="N14" s="496" t="s">
        <v>654</v>
      </c>
      <c r="O14" s="494">
        <v>500</v>
      </c>
      <c r="P14" s="2591"/>
      <c r="Q14" s="945"/>
      <c r="R14" s="943"/>
      <c r="S14" s="2602"/>
      <c r="T14" s="608"/>
      <c r="U14" s="491"/>
      <c r="V14" s="491"/>
      <c r="W14" s="491"/>
      <c r="X14" s="491"/>
      <c r="Y14" s="495" t="s">
        <v>1014</v>
      </c>
      <c r="Z14" s="1057" t="s">
        <v>1016</v>
      </c>
      <c r="AA14" s="1058" t="s">
        <v>1017</v>
      </c>
      <c r="AB14" s="473" t="s">
        <v>1006</v>
      </c>
      <c r="AC14" s="556" t="s">
        <v>79</v>
      </c>
      <c r="AD14" s="557" t="s">
        <v>80</v>
      </c>
      <c r="AE14" s="558" t="s">
        <v>81</v>
      </c>
      <c r="AF14" s="558" t="s">
        <v>82</v>
      </c>
      <c r="AG14" s="558" t="s">
        <v>83</v>
      </c>
      <c r="AH14" s="558" t="s">
        <v>84</v>
      </c>
      <c r="AI14" s="558" t="s">
        <v>85</v>
      </c>
      <c r="AJ14" s="558" t="s">
        <v>86</v>
      </c>
      <c r="AK14" s="558" t="s">
        <v>87</v>
      </c>
      <c r="AL14" s="558" t="s">
        <v>72</v>
      </c>
      <c r="AM14" s="558" t="s">
        <v>88</v>
      </c>
      <c r="AN14" s="558" t="s">
        <v>89</v>
      </c>
      <c r="AO14" s="559" t="s">
        <v>48</v>
      </c>
      <c r="AP14" s="604" t="s">
        <v>783</v>
      </c>
      <c r="AQ14" s="938" t="s">
        <v>810</v>
      </c>
      <c r="AR14" s="605" t="s">
        <v>786</v>
      </c>
      <c r="AS14" s="605" t="s">
        <v>785</v>
      </c>
      <c r="AT14" s="605" t="s">
        <v>784</v>
      </c>
      <c r="AU14" s="605" t="s">
        <v>787</v>
      </c>
      <c r="AV14" s="617" t="s">
        <v>811</v>
      </c>
      <c r="AW14" s="552" t="s">
        <v>863</v>
      </c>
      <c r="AX14" s="493" t="s">
        <v>1222</v>
      </c>
      <c r="AY14" s="493" t="s">
        <v>1124</v>
      </c>
      <c r="AZ14" s="2612"/>
      <c r="BA14" s="1684"/>
      <c r="BB14" s="1684"/>
      <c r="BC14" s="1684"/>
      <c r="BD14" s="1684"/>
      <c r="BE14" s="1684"/>
      <c r="BF14" s="1684"/>
      <c r="BG14" s="2601"/>
      <c r="BH14" s="751"/>
      <c r="BI14" s="751"/>
      <c r="BJ14" s="751"/>
      <c r="BK14" s="751"/>
      <c r="BL14" s="751"/>
      <c r="BM14" s="751"/>
      <c r="BN14" s="751"/>
      <c r="BO14" s="751"/>
      <c r="BP14" s="751"/>
      <c r="BQ14" s="751"/>
      <c r="BR14" s="751"/>
      <c r="BS14" s="751"/>
      <c r="BT14" s="751"/>
      <c r="BU14" s="751"/>
      <c r="BV14" s="751"/>
      <c r="BW14" s="751"/>
      <c r="BX14" s="751"/>
      <c r="BY14" s="751"/>
      <c r="BZ14" s="751"/>
      <c r="CA14" s="751"/>
      <c r="CB14" s="751"/>
      <c r="CC14" s="751"/>
      <c r="CD14" s="751"/>
      <c r="CE14" s="751"/>
      <c r="CF14" s="751"/>
      <c r="CG14" s="751"/>
      <c r="CH14" s="751"/>
      <c r="CI14" s="751"/>
      <c r="CJ14" s="751"/>
      <c r="CK14" s="751"/>
      <c r="CL14" s="751"/>
      <c r="CM14" s="751"/>
      <c r="CN14" s="751"/>
      <c r="CO14" s="751"/>
      <c r="CP14" s="751"/>
      <c r="CQ14" s="751"/>
      <c r="CR14" s="751"/>
      <c r="CS14" s="751"/>
      <c r="CT14" s="751"/>
      <c r="CU14" s="759"/>
      <c r="CV14" s="1535"/>
      <c r="CW14" s="1535"/>
      <c r="CZ14" s="367"/>
      <c r="DA14" s="1110"/>
      <c r="DB14" s="367"/>
      <c r="DC14" s="367"/>
    </row>
    <row r="15" spans="1:107" ht="24.95" customHeight="1">
      <c r="A15" s="471">
        <f>IF(B7=1103,300,IF(B7=1203,300,IF(B7=1303,300,IF(B7=1403,300,IF(B7=1503,400,0)))))</f>
        <v>0</v>
      </c>
      <c r="B15" s="515">
        <v>1</v>
      </c>
      <c r="D15" s="2634"/>
      <c r="E15" s="490">
        <f>IF($F$12=0,0,1)</f>
        <v>1</v>
      </c>
      <c r="F15" s="490"/>
      <c r="G15" s="469">
        <v>1</v>
      </c>
      <c r="H15" s="490"/>
      <c r="I15" s="469">
        <v>1</v>
      </c>
      <c r="J15" s="490"/>
      <c r="K15" s="469">
        <v>1</v>
      </c>
      <c r="L15" s="2604"/>
      <c r="M15" s="490"/>
      <c r="N15" s="2593"/>
      <c r="O15" s="494"/>
      <c r="P15" s="2591"/>
      <c r="Q15" s="945"/>
      <c r="R15" s="943"/>
      <c r="S15" s="943">
        <f>IF(OR(E15=0,E15=" "),0,E15)</f>
        <v>1</v>
      </c>
      <c r="T15" s="943">
        <f>IF(S15=0,0,1)</f>
        <v>1</v>
      </c>
      <c r="U15" s="609">
        <f t="shared" ref="U15:U23" si="0">HLOOKUP($AC$11,$F$14:$O$23,D148)</f>
        <v>1</v>
      </c>
      <c r="V15" s="943">
        <f>U15*T15</f>
        <v>1</v>
      </c>
      <c r="W15" s="943">
        <f t="shared" ref="W15:W23" si="1">$AC$11*$AC$12+V15</f>
        <v>101</v>
      </c>
      <c r="X15" s="943">
        <f>IF(W15=$AC$11*$AC$12,$AC$11+1,W15)</f>
        <v>101</v>
      </c>
      <c r="Y15" s="943">
        <f>IF(AND(V15&gt;1,V15&lt;=10),1,0)</f>
        <v>0</v>
      </c>
      <c r="Z15" s="1055" t="str">
        <f>IF(V15&lt;=10,"C",IF(OR(AND(OR($AC$11=100,$AC$11=200),V15&gt;10,V15&lt;=11),X15=312,X15=313),"ex",IF(OR(AND(X15&gt;=112,X15&lt;=117),AND(X15&gt;=212,X15&lt;=216)),"M",IF(OR(X15=217,AND(X15&gt;=118,X15&lt;=119)),"T",0))))</f>
        <v>C</v>
      </c>
      <c r="AA15" s="1055">
        <f>IF(X15=310,"D",IF(X15=311,"F",IF(OR(X15=312,X15=313),"ex",IF(AND(X15&gt;=314,X15&lt;=318),"M",IF(X15=319,"T",0)))))</f>
        <v>0</v>
      </c>
      <c r="AB15" s="495" t="s">
        <v>774</v>
      </c>
      <c r="AC15" s="943">
        <f>IF(OR(X15=401,X15=501),0,VLOOKUP(X15,'Weapons Table'!$C$6:$Q$93,$AC$13))</f>
        <v>0</v>
      </c>
      <c r="AD15" s="943">
        <f>IF(OR(X15=401,X15=501),0,VLOOKUP(X15,'Weapons Table'!$C$6:$Q$93,$AD$13))</f>
        <v>0</v>
      </c>
      <c r="AE15" s="943">
        <f>IF(OR(X15=401,X15=501),0,VLOOKUP(X15,'Weapons Table'!$C$6:$Q$93,$AE$13))</f>
        <v>0</v>
      </c>
      <c r="AF15" s="615">
        <f>IF(OR(X15=401,X15=501),0,VLOOKUP(X15,'Weapons Table'!$C$6:$Q$93,$AF$13))</f>
        <v>0</v>
      </c>
      <c r="AG15" s="943">
        <f>IF(OR(X15=401,X15=501),0,VLOOKUP(X15,'Weapons Table'!$C$6:$Q$93,$AG$13))</f>
        <v>0</v>
      </c>
      <c r="AH15" s="943">
        <f>IF(OR(X15=401,X15=501),0,VLOOKUP(X15,'Weapons Table'!$C$6:$Q$93,$AH$13))</f>
        <v>0</v>
      </c>
      <c r="AI15" s="943">
        <f>IF(OR(X15=401,X15=501),0,VLOOKUP(X15,'Weapons Table'!$C$6:$Q$93,$AI$13))</f>
        <v>0</v>
      </c>
      <c r="AJ15" s="943">
        <f>IF(OR(X15=501,X15=401),0,VLOOKUP(X15,'Weapons Table'!$C$6:$Q$93,$AJ$13))</f>
        <v>0</v>
      </c>
      <c r="AK15" s="943">
        <f>IF(OR(X15=501,X15=401),0,VLOOKUP(X15,'Weapons Table'!$C$6:$Q$93,$AK$13))</f>
        <v>0</v>
      </c>
      <c r="AL15" s="943">
        <f>IF(OR(X15=401,X15=501),0,VLOOKUP(X15,'Weapons Table'!$C$6:$Q$93,$AL$13))</f>
        <v>0</v>
      </c>
      <c r="AM15" s="943">
        <f>IF(OR(X15=401,X15=501),0,VLOOKUP(X15,'Weapons Table'!$C$6:$Q$93,$AM$13))</f>
        <v>0</v>
      </c>
      <c r="AN15" s="943">
        <f>IF(OR(X15=401,X15=501),0,VLOOKUP(X15,'Weapons Table'!$C$6:$Q$93,$AN$13))</f>
        <v>0</v>
      </c>
      <c r="AO15" s="943">
        <f>IF(OR(X15=401,X15=501),0,VLOOKUP(X15,'Weapons Table'!$C$6:$Q$93,$AO$13))</f>
        <v>0</v>
      </c>
      <c r="AP15" s="625">
        <f>IF(AL15=0,0,AVERAGE(AC15:AD15)/AL15)</f>
        <v>0</v>
      </c>
      <c r="AQ15" s="620">
        <f>IF(V15&lt;=10,AP15*AF15,0)</f>
        <v>0</v>
      </c>
      <c r="AR15" s="936"/>
      <c r="AS15" s="937"/>
      <c r="AT15" s="937"/>
      <c r="AU15" s="937"/>
      <c r="AV15" s="937"/>
      <c r="AW15" s="937"/>
      <c r="AX15" s="943"/>
      <c r="AZ15" s="2601"/>
      <c r="BA15" s="1684"/>
      <c r="BB15" s="1684"/>
      <c r="BC15" s="1684"/>
      <c r="BD15" s="1684"/>
      <c r="BE15" s="1684"/>
      <c r="BF15" s="1684"/>
      <c r="BG15" s="2601"/>
      <c r="BH15" s="751"/>
      <c r="BI15" s="751"/>
      <c r="BJ15" s="751"/>
      <c r="BK15" s="751"/>
      <c r="BL15" s="751"/>
      <c r="BM15" s="751"/>
      <c r="BN15" s="751"/>
      <c r="BO15" s="751"/>
      <c r="BP15" s="751"/>
      <c r="BQ15" s="751"/>
      <c r="BR15" s="751"/>
      <c r="BS15" s="751"/>
      <c r="BT15" s="751"/>
      <c r="BU15" s="751"/>
      <c r="BV15" s="751"/>
      <c r="BW15" s="751"/>
      <c r="BX15" s="751"/>
      <c r="BY15" s="751"/>
      <c r="BZ15" s="751"/>
      <c r="CA15" s="751"/>
      <c r="CB15" s="751"/>
      <c r="CC15" s="751"/>
      <c r="CD15" s="751"/>
      <c r="CE15" s="751"/>
      <c r="CF15" s="751"/>
      <c r="CG15" s="751"/>
      <c r="CH15" s="751"/>
      <c r="CI15" s="751"/>
      <c r="CJ15" s="751"/>
      <c r="CK15" s="751"/>
      <c r="CL15" s="751"/>
      <c r="CM15" s="751"/>
      <c r="CN15" s="751"/>
      <c r="CO15" s="751"/>
      <c r="CP15" s="751"/>
      <c r="CQ15" s="751"/>
      <c r="CR15" s="751"/>
      <c r="CS15" s="751"/>
      <c r="CT15" s="751"/>
      <c r="CU15" s="759"/>
      <c r="CV15" s="1535"/>
      <c r="CW15" s="1535"/>
      <c r="CZ15" s="367"/>
      <c r="DA15" s="1110"/>
      <c r="DB15" s="367"/>
      <c r="DC15" s="367"/>
    </row>
    <row r="16" spans="1:107" ht="24.95" customHeight="1">
      <c r="B16" s="515">
        <v>2</v>
      </c>
      <c r="D16" s="2634"/>
      <c r="E16" s="490">
        <f>IF($F$12&gt;E15,E15+1," ")</f>
        <v>2</v>
      </c>
      <c r="F16" s="495"/>
      <c r="G16" s="469">
        <v>1</v>
      </c>
      <c r="H16" s="490"/>
      <c r="I16" s="469">
        <v>1</v>
      </c>
      <c r="J16" s="490"/>
      <c r="K16" s="469">
        <v>1</v>
      </c>
      <c r="L16" s="2604"/>
      <c r="M16" s="490"/>
      <c r="N16" s="2593"/>
      <c r="O16" s="494"/>
      <c r="P16" s="2591"/>
      <c r="Q16" s="945"/>
      <c r="R16" s="943"/>
      <c r="S16" s="943">
        <f t="shared" ref="S16:S23" si="2">IF(OR(E16=0,E16=" "),0,E16)</f>
        <v>2</v>
      </c>
      <c r="T16" s="943">
        <f t="shared" ref="T16:T23" si="3">IF(S16=0,0,1)</f>
        <v>1</v>
      </c>
      <c r="U16" s="609">
        <f t="shared" si="0"/>
        <v>1</v>
      </c>
      <c r="V16" s="943">
        <f t="shared" ref="V16:V23" si="4">U16*T16</f>
        <v>1</v>
      </c>
      <c r="W16" s="943">
        <f t="shared" si="1"/>
        <v>101</v>
      </c>
      <c r="X16" s="943">
        <f t="shared" ref="X16:X23" si="5">IF(W16=$AC$11*$AC$12,$AC$11+1,W16)</f>
        <v>101</v>
      </c>
      <c r="Y16" s="943">
        <f t="shared" ref="Y16:Y23" si="6">IF(AND(V16&gt;1,V16&lt;=10),1,0)</f>
        <v>0</v>
      </c>
      <c r="Z16" s="1055" t="str">
        <f t="shared" ref="Z16:Z23" si="7">IF(V16&lt;=9,"C",IF(OR(AND(OR($AC$11=100,$AC$11=200),V16&gt;=9,V16&lt;=11),X16=312,X16=313),"ex",IF(OR(AND(X16&gt;=112,X16&lt;=117),AND(X16&gt;=212,X16&lt;=216)),"M",IF(OR(X16=217,AND(X16&gt;=118,X16&lt;=119)),"T",0))))</f>
        <v>C</v>
      </c>
      <c r="AA16" s="1055">
        <f t="shared" ref="AA16:AA23" si="8">IF(X16=310,"D",IF(X16=311,"F",IF(OR(X16=312,X16=313),"ex",IF(AND(X16&gt;=314,X16&lt;=318),"M",IF(X16=319,"T",0)))))</f>
        <v>0</v>
      </c>
      <c r="AB16" s="495" t="s">
        <v>775</v>
      </c>
      <c r="AC16" s="943">
        <f>IF(OR(X16=401,X16=501),0,VLOOKUP(X16,'Weapons Table'!$C$6:$Q$93,$AC$13))</f>
        <v>0</v>
      </c>
      <c r="AD16" s="943">
        <f>IF(OR(X16=401,X16=501),0,VLOOKUP(X16,'Weapons Table'!$C$6:$Q$93,$AD$13))</f>
        <v>0</v>
      </c>
      <c r="AE16" s="943">
        <f>IF(OR(X16=401,X16=501),0,VLOOKUP(X16,'Weapons Table'!$C$6:$Q$93,$AE$13))</f>
        <v>0</v>
      </c>
      <c r="AF16" s="615">
        <f>IF(OR(X16=401,X16=501),0,VLOOKUP(X16,'Weapons Table'!$C$6:$Q$93,$AF$13))</f>
        <v>0</v>
      </c>
      <c r="AG16" s="943">
        <f>IF(OR(X16=401,X16=501),0,VLOOKUP(X16,'Weapons Table'!$C$6:$Q$93,$AG$13))</f>
        <v>0</v>
      </c>
      <c r="AH16" s="943">
        <f>IF(OR(X16=401,X16=501),0,VLOOKUP(X16,'Weapons Table'!$C$6:$Q$93,$AH$13))</f>
        <v>0</v>
      </c>
      <c r="AI16" s="943">
        <f>IF(OR(X16=401,X16=501),0,VLOOKUP(X16,'Weapons Table'!$C$6:$Q$93,$AI$13))</f>
        <v>0</v>
      </c>
      <c r="AJ16" s="943">
        <f>IF(OR(X16=501,X16=401),0,VLOOKUP(X16,'Weapons Table'!$C$6:$Q$93,$AJ$13))</f>
        <v>0</v>
      </c>
      <c r="AK16" s="943">
        <f>IF(OR(X16=501,X16=401),0,VLOOKUP(X16,'Weapons Table'!$C$6:$Q$93,$AK$13))</f>
        <v>0</v>
      </c>
      <c r="AL16" s="943">
        <f>IF(OR(X16=401,X16=501),0,VLOOKUP(X16,'Weapons Table'!$C$6:$Q$93,$AL$13))</f>
        <v>0</v>
      </c>
      <c r="AM16" s="943">
        <f>IF(OR(X16=401,X16=501),0,VLOOKUP(X16,'Weapons Table'!$C$6:$Q$93,$AM$13))</f>
        <v>0</v>
      </c>
      <c r="AN16" s="943">
        <f>IF(OR(X16=401,X16=501),0,VLOOKUP(X16,'Weapons Table'!$C$6:$Q$93,$AN$13))</f>
        <v>0</v>
      </c>
      <c r="AO16" s="943">
        <f>IF(OR(X16=401,X16=501),0,VLOOKUP(X16,'Weapons Table'!$C$6:$Q$93,$AO$13))</f>
        <v>0</v>
      </c>
      <c r="AP16" s="625">
        <f t="shared" ref="AP16:AP23" si="9">IF(AL16=0,0,AVERAGE(AC16:AD16)/AL16)</f>
        <v>0</v>
      </c>
      <c r="AQ16" s="620">
        <f t="shared" ref="AQ16:AQ23" si="10">IF(V16&lt;=10,AP16*AF16,0)</f>
        <v>0</v>
      </c>
      <c r="AR16" s="943"/>
      <c r="AS16" s="553"/>
      <c r="AT16" s="943"/>
      <c r="AU16" s="943"/>
      <c r="AV16" s="943"/>
      <c r="AW16" s="943"/>
      <c r="AX16" s="943"/>
      <c r="AZ16" s="2601"/>
      <c r="BA16" s="1684"/>
      <c r="BB16" s="1684"/>
      <c r="BC16" s="1684"/>
      <c r="BD16" s="1684"/>
      <c r="BE16" s="1684"/>
      <c r="BF16" s="1684"/>
      <c r="BG16" s="2601"/>
      <c r="BH16" s="751"/>
      <c r="BI16" s="751"/>
      <c r="BJ16" s="751"/>
      <c r="BK16" s="751"/>
      <c r="BL16" s="751"/>
      <c r="BM16" s="751"/>
      <c r="BN16" s="751"/>
      <c r="BO16" s="751"/>
      <c r="BP16" s="751"/>
      <c r="BQ16" s="751"/>
      <c r="BR16" s="751"/>
      <c r="BS16" s="751"/>
      <c r="BT16" s="751"/>
      <c r="BU16" s="751"/>
      <c r="BV16" s="751"/>
      <c r="BW16" s="751"/>
      <c r="BX16" s="751"/>
      <c r="BY16" s="751"/>
      <c r="BZ16" s="751"/>
      <c r="CA16" s="751"/>
      <c r="CB16" s="751"/>
      <c r="CC16" s="751"/>
      <c r="CD16" s="751"/>
      <c r="CE16" s="751"/>
      <c r="CF16" s="751"/>
      <c r="CG16" s="751"/>
      <c r="CH16" s="751"/>
      <c r="CI16" s="751"/>
      <c r="CJ16" s="751"/>
      <c r="CK16" s="751"/>
      <c r="CL16" s="751"/>
      <c r="CM16" s="751"/>
      <c r="CN16" s="751"/>
      <c r="CO16" s="751"/>
      <c r="CP16" s="751"/>
      <c r="CQ16" s="751"/>
      <c r="CR16" s="751"/>
      <c r="CS16" s="751"/>
      <c r="CT16" s="751"/>
      <c r="CU16" s="759"/>
      <c r="CV16" s="1535"/>
      <c r="CW16" s="1535"/>
      <c r="CZ16" s="367"/>
      <c r="DA16" s="1110"/>
      <c r="DB16" s="367"/>
      <c r="DC16" s="367"/>
    </row>
    <row r="17" spans="2:107" ht="24.95" customHeight="1">
      <c r="B17" s="515">
        <v>3</v>
      </c>
      <c r="D17" s="2634"/>
      <c r="E17" s="490">
        <f t="shared" ref="E17:E23" si="11">IF($F$12&gt;E16,E16+1," ")</f>
        <v>3</v>
      </c>
      <c r="F17" s="490"/>
      <c r="G17" s="469">
        <v>1</v>
      </c>
      <c r="H17" s="490"/>
      <c r="I17" s="469">
        <v>1</v>
      </c>
      <c r="J17" s="490"/>
      <c r="K17" s="469">
        <v>1</v>
      </c>
      <c r="L17" s="2604"/>
      <c r="M17" s="490"/>
      <c r="N17" s="2593"/>
      <c r="O17" s="494"/>
      <c r="P17" s="2591"/>
      <c r="Q17" s="945"/>
      <c r="R17" s="943"/>
      <c r="S17" s="943">
        <f t="shared" si="2"/>
        <v>3</v>
      </c>
      <c r="T17" s="943">
        <f t="shared" si="3"/>
        <v>1</v>
      </c>
      <c r="U17" s="609">
        <f t="shared" si="0"/>
        <v>1</v>
      </c>
      <c r="V17" s="943">
        <f t="shared" si="4"/>
        <v>1</v>
      </c>
      <c r="W17" s="943">
        <f t="shared" si="1"/>
        <v>101</v>
      </c>
      <c r="X17" s="943">
        <f t="shared" si="5"/>
        <v>101</v>
      </c>
      <c r="Y17" s="943">
        <f t="shared" si="6"/>
        <v>0</v>
      </c>
      <c r="Z17" s="1055" t="str">
        <f t="shared" si="7"/>
        <v>C</v>
      </c>
      <c r="AA17" s="1055">
        <f t="shared" si="8"/>
        <v>0</v>
      </c>
      <c r="AB17" s="495" t="s">
        <v>776</v>
      </c>
      <c r="AC17" s="943">
        <f>IF(OR(X17=401,X17=501),0,VLOOKUP(X17,'Weapons Table'!$C$6:$Q$93,$AC$13))</f>
        <v>0</v>
      </c>
      <c r="AD17" s="943">
        <f>IF(OR(X17=401,X17=501),0,VLOOKUP(X17,'Weapons Table'!$C$6:$Q$93,$AD$13))</f>
        <v>0</v>
      </c>
      <c r="AE17" s="943">
        <f>IF(OR(X17=401,X17=501),0,VLOOKUP(X17,'Weapons Table'!$C$6:$Q$93,$AE$13))</f>
        <v>0</v>
      </c>
      <c r="AF17" s="615">
        <f>IF(OR(X17=401,X17=501),0,VLOOKUP(X17,'Weapons Table'!$C$6:$Q$93,$AF$13))</f>
        <v>0</v>
      </c>
      <c r="AG17" s="943">
        <f>IF(OR(X17=401,X17=501),0,VLOOKUP(X17,'Weapons Table'!$C$6:$Q$93,$AG$13))</f>
        <v>0</v>
      </c>
      <c r="AH17" s="943">
        <f>IF(OR(X17=401,X17=501),0,VLOOKUP(X17,'Weapons Table'!$C$6:$Q$93,$AH$13))</f>
        <v>0</v>
      </c>
      <c r="AI17" s="943">
        <f>IF(OR(X17=401,X17=501),0,VLOOKUP(X17,'Weapons Table'!$C$6:$Q$93,$AI$13))</f>
        <v>0</v>
      </c>
      <c r="AJ17" s="943">
        <f>IF(OR(X17=501,X17=401),0,VLOOKUP(X17,'Weapons Table'!$C$6:$Q$93,$AJ$13))</f>
        <v>0</v>
      </c>
      <c r="AK17" s="943">
        <f>IF(OR(X17=501,X17=401),0,VLOOKUP(X17,'Weapons Table'!$C$6:$Q$93,$AK$13))</f>
        <v>0</v>
      </c>
      <c r="AL17" s="943">
        <f>IF(OR(X17=401,X17=501),0,VLOOKUP(X17,'Weapons Table'!$C$6:$Q$93,$AL$13))</f>
        <v>0</v>
      </c>
      <c r="AM17" s="943">
        <f>IF(OR(X17=401,X17=501),0,VLOOKUP(X17,'Weapons Table'!$C$6:$Q$93,$AM$13))</f>
        <v>0</v>
      </c>
      <c r="AN17" s="943">
        <f>IF(OR(X17=401,X17=501),0,VLOOKUP(X17,'Weapons Table'!$C$6:$Q$93,$AN$13))</f>
        <v>0</v>
      </c>
      <c r="AO17" s="943">
        <f>IF(OR(X17=401,X17=501),0,VLOOKUP(X17,'Weapons Table'!$C$6:$Q$93,$AO$13))</f>
        <v>0</v>
      </c>
      <c r="AP17" s="625">
        <f t="shared" si="9"/>
        <v>0</v>
      </c>
      <c r="AQ17" s="620">
        <f t="shared" si="10"/>
        <v>0</v>
      </c>
      <c r="AR17" s="943"/>
      <c r="AS17" s="553"/>
      <c r="AT17" s="943"/>
      <c r="AU17" s="943"/>
      <c r="AV17" s="943"/>
      <c r="AW17" s="943"/>
      <c r="AX17" s="943"/>
      <c r="AZ17" s="2601"/>
      <c r="BA17" s="1684"/>
      <c r="BB17" s="1684"/>
      <c r="BC17" s="1684"/>
      <c r="BD17" s="1684"/>
      <c r="BE17" s="1684"/>
      <c r="BF17" s="1684"/>
      <c r="BG17" s="2601"/>
      <c r="BH17" s="751"/>
      <c r="BI17" s="751"/>
      <c r="BJ17" s="751"/>
      <c r="BK17" s="751"/>
      <c r="BL17" s="751"/>
      <c r="BM17" s="751"/>
      <c r="BN17" s="751"/>
      <c r="BO17" s="751"/>
      <c r="BP17" s="751"/>
      <c r="BQ17" s="751"/>
      <c r="BR17" s="751"/>
      <c r="BS17" s="751"/>
      <c r="BT17" s="751"/>
      <c r="BU17" s="751"/>
      <c r="BV17" s="751"/>
      <c r="BW17" s="751"/>
      <c r="BX17" s="751"/>
      <c r="BY17" s="751"/>
      <c r="BZ17" s="751"/>
      <c r="CA17" s="751"/>
      <c r="CB17" s="751"/>
      <c r="CC17" s="751"/>
      <c r="CD17" s="751"/>
      <c r="CE17" s="751"/>
      <c r="CF17" s="751"/>
      <c r="CG17" s="751"/>
      <c r="CH17" s="751"/>
      <c r="CI17" s="751"/>
      <c r="CJ17" s="751"/>
      <c r="CK17" s="751"/>
      <c r="CL17" s="751"/>
      <c r="CM17" s="751"/>
      <c r="CN17" s="751"/>
      <c r="CO17" s="751"/>
      <c r="CP17" s="751"/>
      <c r="CQ17" s="751"/>
      <c r="CR17" s="751"/>
      <c r="CS17" s="751"/>
      <c r="CT17" s="751"/>
      <c r="CU17" s="759"/>
      <c r="CV17" s="1535"/>
      <c r="CW17" s="1535"/>
      <c r="CZ17" s="367"/>
      <c r="DA17" s="1110"/>
      <c r="DB17" s="367"/>
      <c r="DC17" s="367"/>
    </row>
    <row r="18" spans="2:107" ht="24.95" customHeight="1">
      <c r="B18" s="515">
        <v>4</v>
      </c>
      <c r="D18" s="2634"/>
      <c r="E18" s="490" t="str">
        <f t="shared" si="11"/>
        <v xml:space="preserve"> </v>
      </c>
      <c r="F18" s="490"/>
      <c r="G18" s="469">
        <v>1</v>
      </c>
      <c r="H18" s="490"/>
      <c r="I18" s="469">
        <v>1</v>
      </c>
      <c r="J18" s="490"/>
      <c r="K18" s="469">
        <v>1</v>
      </c>
      <c r="L18" s="2604"/>
      <c r="M18" s="490"/>
      <c r="N18" s="2593"/>
      <c r="O18" s="494"/>
      <c r="P18" s="2591"/>
      <c r="Q18" s="945"/>
      <c r="R18" s="943"/>
      <c r="S18" s="943">
        <f t="shared" si="2"/>
        <v>0</v>
      </c>
      <c r="T18" s="943">
        <f t="shared" si="3"/>
        <v>0</v>
      </c>
      <c r="U18" s="609">
        <f t="shared" si="0"/>
        <v>1</v>
      </c>
      <c r="V18" s="943">
        <f t="shared" si="4"/>
        <v>0</v>
      </c>
      <c r="W18" s="943">
        <f t="shared" si="1"/>
        <v>100</v>
      </c>
      <c r="X18" s="943">
        <f t="shared" si="5"/>
        <v>101</v>
      </c>
      <c r="Y18" s="943">
        <f t="shared" si="6"/>
        <v>0</v>
      </c>
      <c r="Z18" s="1055" t="str">
        <f t="shared" si="7"/>
        <v>C</v>
      </c>
      <c r="AA18" s="1055">
        <f t="shared" si="8"/>
        <v>0</v>
      </c>
      <c r="AB18" s="495" t="s">
        <v>777</v>
      </c>
      <c r="AC18" s="943">
        <f>IF(OR(X18=401,X18=501),0,VLOOKUP(X18,'Weapons Table'!$C$6:$Q$93,$AC$13))</f>
        <v>0</v>
      </c>
      <c r="AD18" s="943">
        <f>IF(OR(X18=401,X18=501),0,VLOOKUP(X18,'Weapons Table'!$C$6:$Q$93,$AD$13))</f>
        <v>0</v>
      </c>
      <c r="AE18" s="943">
        <f>IF(OR(X18=401,X18=501),0,VLOOKUP(X18,'Weapons Table'!$C$6:$Q$93,$AE$13))</f>
        <v>0</v>
      </c>
      <c r="AF18" s="615">
        <f>IF(OR(X18=401,X18=501),0,VLOOKUP(X18,'Weapons Table'!$C$6:$Q$93,$AF$13))</f>
        <v>0</v>
      </c>
      <c r="AG18" s="943">
        <f>IF(OR(X18=401,X18=501),0,VLOOKUP(X18,'Weapons Table'!$C$6:$Q$93,$AG$13))</f>
        <v>0</v>
      </c>
      <c r="AH18" s="943">
        <f>IF(OR(X18=401,X18=501),0,VLOOKUP(X18,'Weapons Table'!$C$6:$Q$93,$AH$13))</f>
        <v>0</v>
      </c>
      <c r="AI18" s="943">
        <f>IF(OR(X18=401,X18=501),0,VLOOKUP(X18,'Weapons Table'!$C$6:$Q$93,$AI$13))</f>
        <v>0</v>
      </c>
      <c r="AJ18" s="943">
        <f>IF(OR(X18=501,X18=401),0,VLOOKUP(X18,'Weapons Table'!$C$6:$Q$93,$AJ$13))</f>
        <v>0</v>
      </c>
      <c r="AK18" s="943">
        <f>IF(OR(X18=501,X18=401),0,VLOOKUP(X18,'Weapons Table'!$C$6:$Q$93,$AK$13))</f>
        <v>0</v>
      </c>
      <c r="AL18" s="943">
        <f>IF(OR(X18=401,X18=501),0,VLOOKUP(X18,'Weapons Table'!$C$6:$Q$93,$AL$13))</f>
        <v>0</v>
      </c>
      <c r="AM18" s="943">
        <f>IF(OR(X18=401,X18=501),0,VLOOKUP(X18,'Weapons Table'!$C$6:$Q$93,$AM$13))</f>
        <v>0</v>
      </c>
      <c r="AN18" s="943">
        <f>IF(OR(X18=401,X18=501),0,VLOOKUP(X18,'Weapons Table'!$C$6:$Q$93,$AN$13))</f>
        <v>0</v>
      </c>
      <c r="AO18" s="943">
        <f>IF(OR(X18=401,X18=501),0,VLOOKUP(X18,'Weapons Table'!$C$6:$Q$93,$AO$13))</f>
        <v>0</v>
      </c>
      <c r="AP18" s="625">
        <f t="shared" si="9"/>
        <v>0</v>
      </c>
      <c r="AQ18" s="620">
        <f t="shared" si="10"/>
        <v>0</v>
      </c>
      <c r="AR18" s="943"/>
      <c r="AS18" s="553"/>
      <c r="AT18" s="943"/>
      <c r="AU18" s="943"/>
      <c r="AV18" s="943"/>
      <c r="AW18" s="943"/>
      <c r="AX18" s="943"/>
      <c r="AZ18" s="2601"/>
      <c r="BA18" s="1684"/>
      <c r="BB18" s="1684"/>
      <c r="BC18" s="1684"/>
      <c r="BD18" s="1684"/>
      <c r="BE18" s="1684"/>
      <c r="BF18" s="1684"/>
      <c r="BG18" s="2601"/>
      <c r="BH18" s="751"/>
      <c r="BI18" s="751"/>
      <c r="BJ18" s="751"/>
      <c r="BK18" s="751"/>
      <c r="BL18" s="751"/>
      <c r="BM18" s="751"/>
      <c r="BN18" s="751"/>
      <c r="BO18" s="751"/>
      <c r="BP18" s="751"/>
      <c r="BQ18" s="751"/>
      <c r="BR18" s="751"/>
      <c r="BS18" s="751"/>
      <c r="BT18" s="751"/>
      <c r="BU18" s="751"/>
      <c r="BV18" s="751"/>
      <c r="BW18" s="751"/>
      <c r="BX18" s="751"/>
      <c r="BY18" s="751"/>
      <c r="BZ18" s="751"/>
      <c r="CA18" s="751"/>
      <c r="CB18" s="751"/>
      <c r="CC18" s="751"/>
      <c r="CD18" s="751"/>
      <c r="CE18" s="751"/>
      <c r="CF18" s="751"/>
      <c r="CG18" s="751"/>
      <c r="CH18" s="751"/>
      <c r="CI18" s="751"/>
      <c r="CJ18" s="751"/>
      <c r="CK18" s="751"/>
      <c r="CL18" s="751"/>
      <c r="CM18" s="751"/>
      <c r="CN18" s="751"/>
      <c r="CO18" s="751"/>
      <c r="CP18" s="751"/>
      <c r="CQ18" s="751"/>
      <c r="CR18" s="751"/>
      <c r="CS18" s="751"/>
      <c r="CT18" s="751"/>
      <c r="CU18" s="759"/>
      <c r="CV18" s="1535"/>
      <c r="CW18" s="1535"/>
      <c r="CZ18" s="367"/>
      <c r="DA18" s="1110"/>
      <c r="DB18" s="367"/>
      <c r="DC18" s="367"/>
    </row>
    <row r="19" spans="2:107" ht="24.95" customHeight="1">
      <c r="B19" s="515">
        <v>5</v>
      </c>
      <c r="D19" s="2634"/>
      <c r="E19" s="490" t="str">
        <f t="shared" si="11"/>
        <v xml:space="preserve"> </v>
      </c>
      <c r="F19" s="490"/>
      <c r="G19" s="469">
        <v>1</v>
      </c>
      <c r="H19" s="490"/>
      <c r="I19" s="469">
        <v>1</v>
      </c>
      <c r="J19" s="490"/>
      <c r="K19" s="469">
        <v>1</v>
      </c>
      <c r="L19" s="2604"/>
      <c r="M19" s="490"/>
      <c r="N19" s="2593"/>
      <c r="O19" s="494"/>
      <c r="P19" s="2591"/>
      <c r="Q19" s="945"/>
      <c r="R19" s="943"/>
      <c r="S19" s="943">
        <f t="shared" si="2"/>
        <v>0</v>
      </c>
      <c r="T19" s="943">
        <f t="shared" si="3"/>
        <v>0</v>
      </c>
      <c r="U19" s="609">
        <f t="shared" si="0"/>
        <v>1</v>
      </c>
      <c r="V19" s="943">
        <f t="shared" si="4"/>
        <v>0</v>
      </c>
      <c r="W19" s="943">
        <f t="shared" si="1"/>
        <v>100</v>
      </c>
      <c r="X19" s="943">
        <f t="shared" si="5"/>
        <v>101</v>
      </c>
      <c r="Y19" s="943">
        <f t="shared" si="6"/>
        <v>0</v>
      </c>
      <c r="Z19" s="1055" t="str">
        <f t="shared" si="7"/>
        <v>C</v>
      </c>
      <c r="AA19" s="1055">
        <f t="shared" si="8"/>
        <v>0</v>
      </c>
      <c r="AB19" s="495" t="s">
        <v>778</v>
      </c>
      <c r="AC19" s="943">
        <f>IF(OR(X19=401,X19=501),0,VLOOKUP(X19,'Weapons Table'!$C$6:$Q$93,$AC$13))</f>
        <v>0</v>
      </c>
      <c r="AD19" s="943">
        <f>IF(OR(X19=401,X19=501),0,VLOOKUP(X19,'Weapons Table'!$C$6:$Q$93,$AD$13))</f>
        <v>0</v>
      </c>
      <c r="AE19" s="943">
        <f>IF(OR(X19=401,X19=501),0,VLOOKUP(X19,'Weapons Table'!$C$6:$Q$93,$AE$13))</f>
        <v>0</v>
      </c>
      <c r="AF19" s="615">
        <f>IF(OR(X19=401,X19=501),0,VLOOKUP(X19,'Weapons Table'!$C$6:$Q$93,$AF$13))</f>
        <v>0</v>
      </c>
      <c r="AG19" s="943">
        <f>IF(OR(X19=401,X19=501),0,VLOOKUP(X19,'Weapons Table'!$C$6:$Q$93,$AG$13))</f>
        <v>0</v>
      </c>
      <c r="AH19" s="943">
        <f>IF(OR(X19=401,X19=501),0,VLOOKUP(X19,'Weapons Table'!$C$6:$Q$93,$AH$13))</f>
        <v>0</v>
      </c>
      <c r="AI19" s="943">
        <f>IF(OR(X19=401,X19=501),0,VLOOKUP(X19,'Weapons Table'!$C$6:$Q$93,$AI$13))</f>
        <v>0</v>
      </c>
      <c r="AJ19" s="943">
        <f>IF(OR(X19=501,X19=401),0,VLOOKUP(X19,'Weapons Table'!$C$6:$Q$93,$AJ$13))</f>
        <v>0</v>
      </c>
      <c r="AK19" s="943">
        <f>IF(OR(X19=501,X19=401),0,VLOOKUP(X19,'Weapons Table'!$C$6:$Q$93,$AK$13))</f>
        <v>0</v>
      </c>
      <c r="AL19" s="943">
        <f>IF(OR(X19=401,X19=501),0,VLOOKUP(X19,'Weapons Table'!$C$6:$Q$93,$AL$13))</f>
        <v>0</v>
      </c>
      <c r="AM19" s="943">
        <f>IF(OR(X19=401,X19=501),0,VLOOKUP(X19,'Weapons Table'!$C$6:$Q$93,$AM$13))</f>
        <v>0</v>
      </c>
      <c r="AN19" s="943">
        <f>IF(OR(X19=401,X19=501),0,VLOOKUP(X19,'Weapons Table'!$C$6:$Q$93,$AN$13))</f>
        <v>0</v>
      </c>
      <c r="AO19" s="943">
        <f>IF(OR(X19=401,X19=501),0,VLOOKUP(X19,'Weapons Table'!$C$6:$Q$93,$AO$13))</f>
        <v>0</v>
      </c>
      <c r="AP19" s="625">
        <f t="shared" si="9"/>
        <v>0</v>
      </c>
      <c r="AQ19" s="620">
        <f t="shared" si="10"/>
        <v>0</v>
      </c>
      <c r="AR19" s="943"/>
      <c r="AS19" s="553"/>
      <c r="AT19" s="943"/>
      <c r="AU19" s="943"/>
      <c r="AV19" s="943"/>
      <c r="AW19" s="943"/>
      <c r="AX19" s="943"/>
      <c r="AZ19" s="2601"/>
      <c r="BA19" s="1684"/>
      <c r="BB19" s="1684"/>
      <c r="BC19" s="1684"/>
      <c r="BD19" s="1684"/>
      <c r="BE19" s="1684"/>
      <c r="BF19" s="1684"/>
      <c r="BG19" s="2601"/>
      <c r="BH19" s="751"/>
      <c r="BI19" s="751"/>
      <c r="BJ19" s="751"/>
      <c r="BK19" s="751"/>
      <c r="BL19" s="751"/>
      <c r="BM19" s="751"/>
      <c r="BN19" s="751"/>
      <c r="BO19" s="751"/>
      <c r="BP19" s="751"/>
      <c r="BQ19" s="751"/>
      <c r="BR19" s="751"/>
      <c r="BS19" s="751"/>
      <c r="BT19" s="751"/>
      <c r="BU19" s="751"/>
      <c r="BV19" s="751"/>
      <c r="BW19" s="751"/>
      <c r="BX19" s="751"/>
      <c r="BY19" s="751"/>
      <c r="BZ19" s="751"/>
      <c r="CA19" s="751"/>
      <c r="CB19" s="751"/>
      <c r="CC19" s="751"/>
      <c r="CD19" s="751"/>
      <c r="CE19" s="751"/>
      <c r="CF19" s="751"/>
      <c r="CG19" s="751"/>
      <c r="CH19" s="751"/>
      <c r="CI19" s="751"/>
      <c r="CJ19" s="751"/>
      <c r="CK19" s="751"/>
      <c r="CL19" s="751"/>
      <c r="CM19" s="751"/>
      <c r="CN19" s="751"/>
      <c r="CO19" s="751"/>
      <c r="CP19" s="751"/>
      <c r="CQ19" s="751"/>
      <c r="CR19" s="751"/>
      <c r="CS19" s="751"/>
      <c r="CT19" s="751"/>
      <c r="CU19" s="759"/>
      <c r="CV19" s="1535"/>
      <c r="CW19" s="1535"/>
      <c r="CZ19" s="367"/>
      <c r="DA19" s="1110"/>
      <c r="DB19" s="367"/>
      <c r="DC19" s="367"/>
    </row>
    <row r="20" spans="2:107" ht="24.95" customHeight="1">
      <c r="B20" s="515">
        <v>6</v>
      </c>
      <c r="D20" s="2634"/>
      <c r="E20" s="490" t="str">
        <f t="shared" si="11"/>
        <v xml:space="preserve"> </v>
      </c>
      <c r="F20" s="2604"/>
      <c r="G20" s="490"/>
      <c r="H20" s="490"/>
      <c r="I20" s="469">
        <v>1</v>
      </c>
      <c r="J20" s="490"/>
      <c r="K20" s="469">
        <v>1</v>
      </c>
      <c r="L20" s="2604"/>
      <c r="M20" s="490"/>
      <c r="N20" s="2593"/>
      <c r="O20" s="494"/>
      <c r="P20" s="2591"/>
      <c r="Q20" s="945"/>
      <c r="R20" s="943"/>
      <c r="S20" s="943">
        <f t="shared" si="2"/>
        <v>0</v>
      </c>
      <c r="T20" s="943">
        <f t="shared" si="3"/>
        <v>0</v>
      </c>
      <c r="U20" s="609">
        <f t="shared" si="0"/>
        <v>0</v>
      </c>
      <c r="V20" s="943">
        <f t="shared" si="4"/>
        <v>0</v>
      </c>
      <c r="W20" s="943">
        <f t="shared" si="1"/>
        <v>100</v>
      </c>
      <c r="X20" s="943">
        <f t="shared" si="5"/>
        <v>101</v>
      </c>
      <c r="Y20" s="943">
        <f t="shared" si="6"/>
        <v>0</v>
      </c>
      <c r="Z20" s="1055" t="str">
        <f t="shared" si="7"/>
        <v>C</v>
      </c>
      <c r="AA20" s="1055">
        <f t="shared" si="8"/>
        <v>0</v>
      </c>
      <c r="AB20" s="495" t="s">
        <v>779</v>
      </c>
      <c r="AC20" s="943">
        <f>IF(OR(X20=401,X20=501),0,VLOOKUP(X20,'Weapons Table'!$C$6:$Q$93,$AC$13))</f>
        <v>0</v>
      </c>
      <c r="AD20" s="943">
        <f>IF(OR(X20=401,X20=501),0,VLOOKUP(X20,'Weapons Table'!$C$6:$Q$93,$AD$13))</f>
        <v>0</v>
      </c>
      <c r="AE20" s="943">
        <f>IF(OR(X20=401,X20=501),0,VLOOKUP(X20,'Weapons Table'!$C$6:$Q$93,$AE$13))</f>
        <v>0</v>
      </c>
      <c r="AF20" s="615">
        <f>IF(OR(X20=401,X20=501),0,VLOOKUP(X20,'Weapons Table'!$C$6:$Q$93,$AF$13))</f>
        <v>0</v>
      </c>
      <c r="AG20" s="943">
        <f>IF(OR(X20=401,X20=501),0,VLOOKUP(X20,'Weapons Table'!$C$6:$Q$93,$AG$13))</f>
        <v>0</v>
      </c>
      <c r="AH20" s="943">
        <f>IF(OR(X20=401,X20=501),0,VLOOKUP(X20,'Weapons Table'!$C$6:$Q$93,$AH$13))</f>
        <v>0</v>
      </c>
      <c r="AI20" s="943">
        <f>IF(OR(X20=401,X20=501),0,VLOOKUP(X20,'Weapons Table'!$C$6:$Q$93,$AI$13))</f>
        <v>0</v>
      </c>
      <c r="AJ20" s="943">
        <f>IF(OR(X20=501,X20=401),0,VLOOKUP(X20,'Weapons Table'!$C$6:$Q$93,$AJ$13))</f>
        <v>0</v>
      </c>
      <c r="AK20" s="943">
        <f>IF(OR(X20=501,X20=401),0,VLOOKUP(X20,'Weapons Table'!$C$6:$Q$93,$AK$13))</f>
        <v>0</v>
      </c>
      <c r="AL20" s="943">
        <f>IF(OR(X20=401,X20=501),0,VLOOKUP(X20,'Weapons Table'!$C$6:$Q$93,$AL$13))</f>
        <v>0</v>
      </c>
      <c r="AM20" s="943">
        <f>IF(OR(X20=401,X20=501),0,VLOOKUP(X20,'Weapons Table'!$C$6:$Q$93,$AM$13))</f>
        <v>0</v>
      </c>
      <c r="AN20" s="943">
        <f>IF(OR(X20=401,X20=501),0,VLOOKUP(X20,'Weapons Table'!$C$6:$Q$93,$AN$13))</f>
        <v>0</v>
      </c>
      <c r="AO20" s="943">
        <f>IF(OR(X20=401,X20=501),0,VLOOKUP(X20,'Weapons Table'!$C$6:$Q$93,$AO$13))</f>
        <v>0</v>
      </c>
      <c r="AP20" s="625">
        <f t="shared" si="9"/>
        <v>0</v>
      </c>
      <c r="AQ20" s="620">
        <f t="shared" si="10"/>
        <v>0</v>
      </c>
      <c r="AR20" s="943"/>
      <c r="AS20" s="553"/>
      <c r="AT20" s="943"/>
      <c r="AU20" s="943"/>
      <c r="AV20" s="943"/>
      <c r="AW20" s="943"/>
      <c r="AX20" s="943"/>
      <c r="AZ20" s="2601"/>
      <c r="BA20" s="1684"/>
      <c r="BB20" s="1684"/>
      <c r="BC20" s="1684"/>
      <c r="BD20" s="1684"/>
      <c r="BE20" s="1684"/>
      <c r="BF20" s="1684"/>
      <c r="BG20" s="2601"/>
      <c r="BH20" s="751"/>
      <c r="BI20" s="751"/>
      <c r="BJ20" s="751"/>
      <c r="BK20" s="751"/>
      <c r="BL20" s="751"/>
      <c r="BM20" s="751"/>
      <c r="BN20" s="751"/>
      <c r="BO20" s="751"/>
      <c r="BP20" s="751"/>
      <c r="BQ20" s="751"/>
      <c r="BR20" s="751"/>
      <c r="BS20" s="751"/>
      <c r="BT20" s="751"/>
      <c r="BU20" s="751"/>
      <c r="BV20" s="751"/>
      <c r="BW20" s="751"/>
      <c r="BX20" s="751"/>
      <c r="BY20" s="751"/>
      <c r="BZ20" s="751"/>
      <c r="CA20" s="751"/>
      <c r="CB20" s="751"/>
      <c r="CC20" s="751"/>
      <c r="CD20" s="751"/>
      <c r="CE20" s="751"/>
      <c r="CF20" s="751"/>
      <c r="CG20" s="751"/>
      <c r="CH20" s="751"/>
      <c r="CI20" s="751"/>
      <c r="CJ20" s="751"/>
      <c r="CK20" s="751"/>
      <c r="CL20" s="751"/>
      <c r="CM20" s="751"/>
      <c r="CN20" s="751"/>
      <c r="CO20" s="751"/>
      <c r="CP20" s="751"/>
      <c r="CQ20" s="751"/>
      <c r="CR20" s="751"/>
      <c r="CS20" s="751"/>
      <c r="CT20" s="751"/>
      <c r="CU20" s="759"/>
      <c r="CV20" s="1535"/>
      <c r="CW20" s="1535"/>
      <c r="CZ20" s="367"/>
      <c r="DA20" s="1110"/>
      <c r="DB20" s="367"/>
      <c r="DC20" s="367"/>
    </row>
    <row r="21" spans="2:107" ht="24.95" customHeight="1">
      <c r="B21" s="515">
        <v>7</v>
      </c>
      <c r="D21" s="2634"/>
      <c r="E21" s="490" t="str">
        <f t="shared" si="11"/>
        <v xml:space="preserve"> </v>
      </c>
      <c r="F21" s="2604"/>
      <c r="G21" s="490"/>
      <c r="H21" s="490"/>
      <c r="I21" s="469">
        <v>1</v>
      </c>
      <c r="J21" s="490"/>
      <c r="K21" s="469">
        <v>1</v>
      </c>
      <c r="L21" s="2604"/>
      <c r="M21" s="490"/>
      <c r="N21" s="2593"/>
      <c r="O21" s="494"/>
      <c r="P21" s="2591"/>
      <c r="Q21" s="945"/>
      <c r="R21" s="943"/>
      <c r="S21" s="943">
        <f t="shared" si="2"/>
        <v>0</v>
      </c>
      <c r="T21" s="943">
        <f t="shared" si="3"/>
        <v>0</v>
      </c>
      <c r="U21" s="609">
        <f t="shared" si="0"/>
        <v>0</v>
      </c>
      <c r="V21" s="943">
        <f t="shared" si="4"/>
        <v>0</v>
      </c>
      <c r="W21" s="943">
        <f t="shared" si="1"/>
        <v>100</v>
      </c>
      <c r="X21" s="943">
        <f t="shared" si="5"/>
        <v>101</v>
      </c>
      <c r="Y21" s="943">
        <f t="shared" si="6"/>
        <v>0</v>
      </c>
      <c r="Z21" s="1055" t="str">
        <f t="shared" si="7"/>
        <v>C</v>
      </c>
      <c r="AA21" s="1055">
        <f t="shared" si="8"/>
        <v>0</v>
      </c>
      <c r="AB21" s="495" t="s">
        <v>780</v>
      </c>
      <c r="AC21" s="943">
        <f>IF(OR(X21=401,X21=501),0,VLOOKUP(X21,'Weapons Table'!$C$6:$Q$93,$AC$13))</f>
        <v>0</v>
      </c>
      <c r="AD21" s="943">
        <f>IF(OR(X21=401,X21=501),0,VLOOKUP(X21,'Weapons Table'!$C$6:$Q$93,$AD$13))</f>
        <v>0</v>
      </c>
      <c r="AE21" s="943">
        <f>IF(OR(X21=401,X21=501),0,VLOOKUP(X21,'Weapons Table'!$C$6:$Q$93,$AE$13))</f>
        <v>0</v>
      </c>
      <c r="AF21" s="615">
        <f>IF(OR(X21=401,X21=501),0,VLOOKUP(X21,'Weapons Table'!$C$6:$Q$93,$AF$13))</f>
        <v>0</v>
      </c>
      <c r="AG21" s="943">
        <f>IF(OR(X21=401,X21=501),0,VLOOKUP(X21,'Weapons Table'!$C$6:$Q$93,$AG$13))</f>
        <v>0</v>
      </c>
      <c r="AH21" s="943">
        <f>IF(OR(X21=401,X21=501),0,VLOOKUP(X21,'Weapons Table'!$C$6:$Q$93,$AH$13))</f>
        <v>0</v>
      </c>
      <c r="AI21" s="943">
        <f>IF(OR(X21=401,X21=501),0,VLOOKUP(X21,'Weapons Table'!$C$6:$Q$93,$AI$13))</f>
        <v>0</v>
      </c>
      <c r="AJ21" s="943">
        <f>IF(OR(X21=501,X21=401),0,VLOOKUP(X21,'Weapons Table'!$C$6:$Q$93,$AJ$13))</f>
        <v>0</v>
      </c>
      <c r="AK21" s="943">
        <f>IF(OR(X21=501,X21=401),0,VLOOKUP(X21,'Weapons Table'!$C$6:$Q$93,$AK$13))</f>
        <v>0</v>
      </c>
      <c r="AL21" s="943">
        <f>IF(OR(X21=401,X21=501),0,VLOOKUP(X21,'Weapons Table'!$C$6:$Q$93,$AL$13))</f>
        <v>0</v>
      </c>
      <c r="AM21" s="943">
        <f>IF(OR(X21=401,X21=501),0,VLOOKUP(X21,'Weapons Table'!$C$6:$Q$93,$AM$13))</f>
        <v>0</v>
      </c>
      <c r="AN21" s="943">
        <f>IF(OR(X21=401,X21=501),0,VLOOKUP(X21,'Weapons Table'!$C$6:$Q$93,$AN$13))</f>
        <v>0</v>
      </c>
      <c r="AO21" s="943">
        <f>IF(OR(X21=401,X21=501),0,VLOOKUP(X21,'Weapons Table'!$C$6:$Q$93,$AO$13))</f>
        <v>0</v>
      </c>
      <c r="AP21" s="625">
        <f t="shared" si="9"/>
        <v>0</v>
      </c>
      <c r="AQ21" s="620">
        <f t="shared" si="10"/>
        <v>0</v>
      </c>
      <c r="AR21" s="943"/>
      <c r="AS21" s="553"/>
      <c r="AT21" s="943"/>
      <c r="AU21" s="943"/>
      <c r="AV21" s="943"/>
      <c r="AW21" s="943"/>
      <c r="AX21" s="943"/>
      <c r="AZ21" s="2601"/>
      <c r="BA21" s="1684"/>
      <c r="BB21" s="1684"/>
      <c r="BC21" s="1684"/>
      <c r="BD21" s="1684"/>
      <c r="BE21" s="1684"/>
      <c r="BF21" s="1684"/>
      <c r="BG21" s="2601"/>
      <c r="BH21" s="751"/>
      <c r="BI21" s="751"/>
      <c r="BJ21" s="751"/>
      <c r="BK21" s="751"/>
      <c r="BL21" s="751"/>
      <c r="BM21" s="751"/>
      <c r="BN21" s="751"/>
      <c r="BO21" s="751"/>
      <c r="BP21" s="751"/>
      <c r="BQ21" s="751"/>
      <c r="BR21" s="751"/>
      <c r="BS21" s="751"/>
      <c r="BT21" s="751"/>
      <c r="BU21" s="751"/>
      <c r="BV21" s="751"/>
      <c r="BW21" s="751"/>
      <c r="BX21" s="751"/>
      <c r="BY21" s="751"/>
      <c r="BZ21" s="751"/>
      <c r="CA21" s="751"/>
      <c r="CB21" s="751"/>
      <c r="CC21" s="751"/>
      <c r="CD21" s="751"/>
      <c r="CE21" s="751"/>
      <c r="CF21" s="751"/>
      <c r="CG21" s="751"/>
      <c r="CH21" s="751"/>
      <c r="CI21" s="751"/>
      <c r="CJ21" s="751"/>
      <c r="CK21" s="751"/>
      <c r="CL21" s="751"/>
      <c r="CM21" s="751"/>
      <c r="CN21" s="751"/>
      <c r="CO21" s="751"/>
      <c r="CP21" s="751"/>
      <c r="CQ21" s="751"/>
      <c r="CR21" s="751"/>
      <c r="CS21" s="751"/>
      <c r="CT21" s="751"/>
      <c r="CU21" s="759"/>
      <c r="CV21" s="1535"/>
      <c r="CW21" s="1535"/>
      <c r="CZ21" s="367"/>
      <c r="DA21" s="1110"/>
      <c r="DB21" s="367"/>
      <c r="DC21" s="367"/>
    </row>
    <row r="22" spans="2:107" ht="24.95" customHeight="1">
      <c r="B22" s="515">
        <v>8</v>
      </c>
      <c r="D22" s="2634"/>
      <c r="E22" s="490" t="str">
        <f t="shared" si="11"/>
        <v xml:space="preserve"> </v>
      </c>
      <c r="F22" s="2604"/>
      <c r="G22" s="490"/>
      <c r="H22" s="2604"/>
      <c r="I22" s="490"/>
      <c r="J22" s="490"/>
      <c r="K22" s="469">
        <v>1</v>
      </c>
      <c r="L22" s="2604"/>
      <c r="M22" s="490"/>
      <c r="N22" s="2593"/>
      <c r="O22" s="494"/>
      <c r="P22" s="2591"/>
      <c r="Q22" s="945"/>
      <c r="R22" s="943"/>
      <c r="S22" s="943">
        <f t="shared" si="2"/>
        <v>0</v>
      </c>
      <c r="T22" s="943">
        <f t="shared" si="3"/>
        <v>0</v>
      </c>
      <c r="U22" s="609">
        <f t="shared" si="0"/>
        <v>0</v>
      </c>
      <c r="V22" s="943">
        <f t="shared" si="4"/>
        <v>0</v>
      </c>
      <c r="W22" s="943">
        <f t="shared" si="1"/>
        <v>100</v>
      </c>
      <c r="X22" s="943">
        <f t="shared" si="5"/>
        <v>101</v>
      </c>
      <c r="Y22" s="943">
        <f t="shared" si="6"/>
        <v>0</v>
      </c>
      <c r="Z22" s="1055" t="str">
        <f t="shared" si="7"/>
        <v>C</v>
      </c>
      <c r="AA22" s="1055">
        <f t="shared" si="8"/>
        <v>0</v>
      </c>
      <c r="AB22" s="495" t="s">
        <v>781</v>
      </c>
      <c r="AC22" s="943">
        <f>IF(OR(X22=401,X22=501),0,VLOOKUP(X22,'Weapons Table'!$C$6:$Q$93,$AC$13))</f>
        <v>0</v>
      </c>
      <c r="AD22" s="943">
        <f>IF(OR(X22=401,X22=501),0,VLOOKUP(X22,'Weapons Table'!$C$6:$Q$93,$AD$13))</f>
        <v>0</v>
      </c>
      <c r="AE22" s="943">
        <f>IF(OR(X22=401,X22=501),0,VLOOKUP(X22,'Weapons Table'!$C$6:$Q$93,$AE$13))</f>
        <v>0</v>
      </c>
      <c r="AF22" s="615">
        <f>IF(OR(X22=401,X22=501),0,VLOOKUP(X22,'Weapons Table'!$C$6:$Q$93,$AF$13))</f>
        <v>0</v>
      </c>
      <c r="AG22" s="943">
        <f>IF(OR(X22=401,X22=501),0,VLOOKUP(X22,'Weapons Table'!$C$6:$Q$93,$AG$13))</f>
        <v>0</v>
      </c>
      <c r="AH22" s="943">
        <f>IF(OR(X22=401,X22=501),0,VLOOKUP(X22,'Weapons Table'!$C$6:$Q$93,$AH$13))</f>
        <v>0</v>
      </c>
      <c r="AI22" s="943">
        <f>IF(OR(X22=401,X22=501),0,VLOOKUP(X22,'Weapons Table'!$C$6:$Q$93,$AI$13))</f>
        <v>0</v>
      </c>
      <c r="AJ22" s="943">
        <f>IF(OR(X22=501,X22=401),0,VLOOKUP(X22,'Weapons Table'!$C$6:$Q$93,$AJ$13))</f>
        <v>0</v>
      </c>
      <c r="AK22" s="943">
        <f>IF(OR(X22=501,X22=401),0,VLOOKUP(X22,'Weapons Table'!$C$6:$Q$93,$AK$13))</f>
        <v>0</v>
      </c>
      <c r="AL22" s="943">
        <f>IF(OR(X22=401,X22=501),0,VLOOKUP(X22,'Weapons Table'!$C$6:$Q$93,$AL$13))</f>
        <v>0</v>
      </c>
      <c r="AM22" s="943">
        <f>IF(OR(X22=401,X22=501),0,VLOOKUP(X22,'Weapons Table'!$C$6:$Q$93,$AM$13))</f>
        <v>0</v>
      </c>
      <c r="AN22" s="943">
        <f>IF(OR(X22=401,X22=501),0,VLOOKUP(X22,'Weapons Table'!$C$6:$Q$93,$AN$13))</f>
        <v>0</v>
      </c>
      <c r="AO22" s="943">
        <f>IF(OR(X22=401,X22=501),0,VLOOKUP(X22,'Weapons Table'!$C$6:$Q$93,$AO$13))</f>
        <v>0</v>
      </c>
      <c r="AP22" s="625">
        <f t="shared" si="9"/>
        <v>0</v>
      </c>
      <c r="AQ22" s="620">
        <f t="shared" si="10"/>
        <v>0</v>
      </c>
      <c r="AR22" s="943"/>
      <c r="AS22" s="553"/>
      <c r="AT22" s="943"/>
      <c r="AU22" s="943"/>
      <c r="AV22" s="943"/>
      <c r="AW22" s="943"/>
      <c r="AX22" s="943"/>
      <c r="AZ22" s="2601"/>
      <c r="BA22" s="1684"/>
      <c r="BB22" s="1684"/>
      <c r="BC22" s="1684"/>
      <c r="BD22" s="1684"/>
      <c r="BE22" s="1684"/>
      <c r="BF22" s="1684"/>
      <c r="BG22" s="2601"/>
      <c r="BH22" s="751"/>
      <c r="BI22" s="751"/>
      <c r="BJ22" s="751"/>
      <c r="BK22" s="751"/>
      <c r="BL22" s="751"/>
      <c r="BM22" s="751"/>
      <c r="BN22" s="751"/>
      <c r="BO22" s="751"/>
      <c r="BP22" s="751"/>
      <c r="BQ22" s="751"/>
      <c r="BR22" s="751"/>
      <c r="BS22" s="751"/>
      <c r="BT22" s="751"/>
      <c r="BU22" s="751"/>
      <c r="BV22" s="751"/>
      <c r="BW22" s="751"/>
      <c r="BX22" s="751"/>
      <c r="BY22" s="751"/>
      <c r="BZ22" s="751"/>
      <c r="CA22" s="751"/>
      <c r="CB22" s="751"/>
      <c r="CC22" s="751"/>
      <c r="CD22" s="751"/>
      <c r="CE22" s="751"/>
      <c r="CF22" s="751"/>
      <c r="CG22" s="751"/>
      <c r="CH22" s="751"/>
      <c r="CI22" s="751"/>
      <c r="CJ22" s="751"/>
      <c r="CK22" s="751"/>
      <c r="CL22" s="751"/>
      <c r="CM22" s="751"/>
      <c r="CN22" s="751"/>
      <c r="CO22" s="751"/>
      <c r="CP22" s="751"/>
      <c r="CQ22" s="751"/>
      <c r="CR22" s="751"/>
      <c r="CS22" s="751"/>
      <c r="CT22" s="751"/>
      <c r="CU22" s="759"/>
      <c r="CV22" s="1535"/>
      <c r="CW22" s="1535"/>
      <c r="CZ22" s="367"/>
      <c r="DA22" s="1110"/>
      <c r="DB22" s="367"/>
      <c r="DC22" s="367"/>
    </row>
    <row r="23" spans="2:107" ht="24.95" customHeight="1" thickBot="1">
      <c r="B23" s="515">
        <v>9</v>
      </c>
      <c r="D23" s="2635"/>
      <c r="E23" s="497" t="str">
        <f t="shared" si="11"/>
        <v xml:space="preserve"> </v>
      </c>
      <c r="F23" s="2605"/>
      <c r="G23" s="497"/>
      <c r="H23" s="2605"/>
      <c r="I23" s="497"/>
      <c r="J23" s="497"/>
      <c r="K23" s="470">
        <v>1</v>
      </c>
      <c r="L23" s="2605"/>
      <c r="M23" s="497"/>
      <c r="N23" s="2594"/>
      <c r="O23" s="499"/>
      <c r="P23" s="2592"/>
      <c r="Q23" s="946"/>
      <c r="R23" s="944"/>
      <c r="S23" s="944">
        <f t="shared" si="2"/>
        <v>0</v>
      </c>
      <c r="T23" s="944">
        <f t="shared" si="3"/>
        <v>0</v>
      </c>
      <c r="U23" s="841">
        <f t="shared" si="0"/>
        <v>0</v>
      </c>
      <c r="V23" s="944">
        <f t="shared" si="4"/>
        <v>0</v>
      </c>
      <c r="W23" s="944">
        <f t="shared" si="1"/>
        <v>100</v>
      </c>
      <c r="X23" s="944">
        <f t="shared" si="5"/>
        <v>101</v>
      </c>
      <c r="Y23" s="944">
        <f t="shared" si="6"/>
        <v>0</v>
      </c>
      <c r="Z23" s="1078" t="str">
        <f t="shared" si="7"/>
        <v>C</v>
      </c>
      <c r="AA23" s="1078">
        <f t="shared" si="8"/>
        <v>0</v>
      </c>
      <c r="AB23" s="947" t="s">
        <v>782</v>
      </c>
      <c r="AC23" s="944">
        <f>IF(OR(X23=401,X23=501),0,VLOOKUP(X23,'Weapons Table'!$C$6:$Q$93,$AC$13))</f>
        <v>0</v>
      </c>
      <c r="AD23" s="944">
        <f>IF(OR(X23=401,X23=501),0,VLOOKUP(X23,'Weapons Table'!$C$6:$Q$93,$AD$13))</f>
        <v>0</v>
      </c>
      <c r="AE23" s="944">
        <f>IF(OR(X23=401,X23=501),0,VLOOKUP(X23,'Weapons Table'!$C$6:$Q$93,$AE$13))</f>
        <v>0</v>
      </c>
      <c r="AF23" s="842">
        <f>IF(OR(X23=401,X23=501),0,VLOOKUP(X23,'Weapons Table'!$C$6:$Q$93,$AF$13))</f>
        <v>0</v>
      </c>
      <c r="AG23" s="944">
        <f>IF(OR(X23=401,X23=501),0,VLOOKUP(X23,'Weapons Table'!$C$6:$Q$93,$AG$13))</f>
        <v>0</v>
      </c>
      <c r="AH23" s="944">
        <f>IF(OR(X23=401,X23=501),0,VLOOKUP(X23,'Weapons Table'!$C$6:$Q$93,$AH$13))</f>
        <v>0</v>
      </c>
      <c r="AI23" s="944">
        <f>IF(OR(X23=401,X23=501),0,VLOOKUP(X23,'Weapons Table'!$C$6:$Q$93,$AI$13))</f>
        <v>0</v>
      </c>
      <c r="AJ23" s="944">
        <f>IF(OR(X23=501,X23=401),0,VLOOKUP(X23,'Weapons Table'!$C$6:$Q$93,$AJ$13))</f>
        <v>0</v>
      </c>
      <c r="AK23" s="944">
        <f>IF(OR(X23=501,X23=401),0,VLOOKUP(X23,'Weapons Table'!$C$6:$Q$93,$AK$13))</f>
        <v>0</v>
      </c>
      <c r="AL23" s="944">
        <f>IF(OR(X23=401,X23=501),0,VLOOKUP(X23,'Weapons Table'!$C$6:$Q$93,$AL$13))</f>
        <v>0</v>
      </c>
      <c r="AM23" s="944">
        <f>IF(OR(X23=401,X23=501),0,VLOOKUP(X23,'Weapons Table'!$C$6:$Q$93,$AM$13))</f>
        <v>0</v>
      </c>
      <c r="AN23" s="944">
        <f>IF(OR(X23=401,X23=501),0,VLOOKUP(X23,'Weapons Table'!$C$6:$Q$93,$AN$13))</f>
        <v>0</v>
      </c>
      <c r="AO23" s="944">
        <f>IF(OR(X23=401,X23=501),0,VLOOKUP(X23,'Weapons Table'!$C$6:$Q$93,$AO$13))</f>
        <v>0</v>
      </c>
      <c r="AP23" s="843">
        <f t="shared" si="9"/>
        <v>0</v>
      </c>
      <c r="AQ23" s="844">
        <f t="shared" si="10"/>
        <v>0</v>
      </c>
      <c r="AR23" s="2613" t="s">
        <v>1027</v>
      </c>
      <c r="AS23" s="2613"/>
      <c r="AT23" s="2613"/>
      <c r="AU23" s="2613"/>
      <c r="AV23" s="2613"/>
      <c r="AW23" s="2613"/>
      <c r="AX23" s="1684"/>
      <c r="AZ23" s="2602"/>
      <c r="BA23" s="1685"/>
      <c r="BB23" s="1685"/>
      <c r="BC23" s="1685"/>
      <c r="BD23" s="1685"/>
      <c r="BE23" s="1685"/>
      <c r="BF23" s="1685"/>
      <c r="BG23" s="2601"/>
      <c r="BH23" s="752"/>
      <c r="BI23" s="752"/>
      <c r="BJ23" s="752"/>
      <c r="BK23" s="752"/>
      <c r="BL23" s="752"/>
      <c r="BM23" s="752"/>
      <c r="BN23" s="752"/>
      <c r="BO23" s="752"/>
      <c r="BP23" s="752"/>
      <c r="BQ23" s="752"/>
      <c r="BR23" s="752"/>
      <c r="BS23" s="752"/>
      <c r="BT23" s="752"/>
      <c r="BU23" s="752"/>
      <c r="BV23" s="752"/>
      <c r="BW23" s="752"/>
      <c r="BX23" s="752"/>
      <c r="BY23" s="752"/>
      <c r="BZ23" s="752"/>
      <c r="CA23" s="752"/>
      <c r="CB23" s="752"/>
      <c r="CC23" s="752"/>
      <c r="CD23" s="752"/>
      <c r="CE23" s="752"/>
      <c r="CF23" s="752"/>
      <c r="CG23" s="752"/>
      <c r="CH23" s="752"/>
      <c r="CI23" s="752"/>
      <c r="CJ23" s="752"/>
      <c r="CK23" s="752"/>
      <c r="CL23" s="752"/>
      <c r="CM23" s="752"/>
      <c r="CN23" s="752"/>
      <c r="CO23" s="752"/>
      <c r="CP23" s="752"/>
      <c r="CQ23" s="752"/>
      <c r="CR23" s="752"/>
      <c r="CS23" s="752"/>
      <c r="CT23" s="752"/>
      <c r="CU23" s="760"/>
      <c r="CV23" s="1535"/>
      <c r="CW23" s="1535"/>
      <c r="CZ23" s="367"/>
      <c r="DA23" s="1110"/>
      <c r="DB23" s="367"/>
      <c r="DC23" s="367"/>
    </row>
    <row r="24" spans="2:107" ht="26.25" thickBot="1">
      <c r="D24" s="2600" t="s">
        <v>1206</v>
      </c>
      <c r="E24" s="751"/>
      <c r="F24" s="495" t="s">
        <v>969</v>
      </c>
      <c r="G24" s="751"/>
      <c r="H24" s="495" t="s">
        <v>70</v>
      </c>
      <c r="I24" s="751"/>
      <c r="J24" s="495" t="s">
        <v>996</v>
      </c>
      <c r="K24" s="469"/>
      <c r="L24" s="495" t="s">
        <v>997</v>
      </c>
      <c r="M24" s="751"/>
      <c r="N24" s="495" t="s">
        <v>1004</v>
      </c>
      <c r="O24" s="494"/>
      <c r="P24" s="2606"/>
      <c r="Q24" s="2607"/>
      <c r="R24" s="495" t="s">
        <v>1020</v>
      </c>
      <c r="S24" s="948" t="s">
        <v>1019</v>
      </c>
      <c r="T24" s="948" t="s">
        <v>1023</v>
      </c>
      <c r="U24" s="1067" t="s">
        <v>79</v>
      </c>
      <c r="V24" s="1068" t="s">
        <v>80</v>
      </c>
      <c r="W24" s="1068" t="s">
        <v>81</v>
      </c>
      <c r="X24" s="1069" t="s">
        <v>967</v>
      </c>
      <c r="Y24" s="1068" t="s">
        <v>88</v>
      </c>
      <c r="Z24" s="1070" t="s">
        <v>979</v>
      </c>
      <c r="AA24" s="1071" t="s">
        <v>1016</v>
      </c>
      <c r="AB24" s="1072" t="s">
        <v>1006</v>
      </c>
      <c r="AC24" s="600" t="s">
        <v>79</v>
      </c>
      <c r="AD24" s="601" t="s">
        <v>80</v>
      </c>
      <c r="AE24" s="602" t="s">
        <v>81</v>
      </c>
      <c r="AF24" s="602" t="s">
        <v>82</v>
      </c>
      <c r="AG24" s="602" t="s">
        <v>83</v>
      </c>
      <c r="AH24" s="602" t="s">
        <v>84</v>
      </c>
      <c r="AI24" s="602" t="s">
        <v>85</v>
      </c>
      <c r="AJ24" s="602" t="s">
        <v>86</v>
      </c>
      <c r="AK24" s="602" t="s">
        <v>87</v>
      </c>
      <c r="AL24" s="602" t="s">
        <v>72</v>
      </c>
      <c r="AM24" s="602" t="s">
        <v>88</v>
      </c>
      <c r="AN24" s="602" t="s">
        <v>89</v>
      </c>
      <c r="AO24" s="603" t="s">
        <v>48</v>
      </c>
      <c r="AP24" s="1073" t="s">
        <v>783</v>
      </c>
      <c r="AQ24" s="1074" t="s">
        <v>810</v>
      </c>
      <c r="AR24" s="1075" t="s">
        <v>786</v>
      </c>
      <c r="AS24" s="1075" t="s">
        <v>785</v>
      </c>
      <c r="AT24" s="1075" t="s">
        <v>784</v>
      </c>
      <c r="AU24" s="1075" t="s">
        <v>787</v>
      </c>
      <c r="AV24" s="1076" t="s">
        <v>811</v>
      </c>
      <c r="AW24" s="1077" t="s">
        <v>863</v>
      </c>
      <c r="AX24" s="493" t="s">
        <v>1222</v>
      </c>
      <c r="AY24" s="493" t="s">
        <v>1124</v>
      </c>
      <c r="AZ24" s="2589" t="s">
        <v>683</v>
      </c>
      <c r="BA24" s="1684"/>
      <c r="BB24" s="1684"/>
      <c r="BC24" s="1684"/>
      <c r="BD24" s="1684"/>
      <c r="BE24" s="1684"/>
      <c r="BF24" s="1684"/>
      <c r="BG24" s="2601"/>
      <c r="BH24" s="751"/>
      <c r="BI24" s="751"/>
      <c r="BJ24" s="751"/>
      <c r="BK24" s="751"/>
      <c r="BL24" s="751"/>
      <c r="BM24" s="751"/>
      <c r="BN24" s="751"/>
      <c r="BO24" s="751"/>
      <c r="BP24" s="751"/>
      <c r="BQ24" s="751"/>
      <c r="BR24" s="751"/>
      <c r="BS24" s="751"/>
      <c r="BT24" s="751"/>
      <c r="BU24" s="751"/>
      <c r="BV24" s="751"/>
      <c r="BW24" s="751"/>
      <c r="BX24" s="751"/>
      <c r="BY24" s="751"/>
      <c r="BZ24" s="751"/>
      <c r="CA24" s="751"/>
      <c r="CB24" s="751"/>
      <c r="CC24" s="751"/>
      <c r="CD24" s="751"/>
      <c r="CE24" s="751"/>
      <c r="CF24" s="751"/>
      <c r="CG24" s="751"/>
      <c r="CH24" s="751"/>
      <c r="CI24" s="751"/>
      <c r="CJ24" s="751"/>
      <c r="CK24" s="751"/>
      <c r="CL24" s="751"/>
      <c r="CM24" s="751"/>
      <c r="CN24" s="751"/>
      <c r="CO24" s="751"/>
      <c r="CP24" s="751"/>
      <c r="CQ24" s="751"/>
      <c r="CR24" s="751"/>
      <c r="CS24" s="751"/>
      <c r="CT24" s="751"/>
      <c r="CU24" s="759"/>
      <c r="CV24" s="1535"/>
      <c r="CW24" s="1535"/>
      <c r="CZ24" s="367"/>
      <c r="DA24" s="1110"/>
      <c r="DB24" s="367"/>
      <c r="DC24" s="367"/>
    </row>
    <row r="25" spans="2:107" ht="24.95" customHeight="1">
      <c r="D25" s="2601"/>
      <c r="E25" s="751"/>
      <c r="F25" s="751"/>
      <c r="G25" s="2661">
        <v>1</v>
      </c>
      <c r="H25" s="2662"/>
      <c r="I25" s="2661">
        <v>1</v>
      </c>
      <c r="J25" s="2662"/>
      <c r="K25" s="2663">
        <v>1</v>
      </c>
      <c r="L25" s="2662"/>
      <c r="M25" s="2661">
        <v>1</v>
      </c>
      <c r="N25" s="2664"/>
      <c r="O25" s="2665">
        <v>1</v>
      </c>
      <c r="P25" s="2608"/>
      <c r="Q25" s="2609"/>
      <c r="R25" s="495" t="s">
        <v>1009</v>
      </c>
      <c r="S25" s="495" t="s">
        <v>969</v>
      </c>
      <c r="T25" s="751">
        <f>G25+10</f>
        <v>11</v>
      </c>
      <c r="U25" s="860">
        <f>VLOOKUP(Calculateur!$T$25,muntions!$AT$6:$BE$23,muntions!AZ1)</f>
        <v>0</v>
      </c>
      <c r="V25" s="860">
        <f>VLOOKUP(Calculateur!$T$25,muntions!$AT$6:$BE$23,muntions!BA1)</f>
        <v>0</v>
      </c>
      <c r="W25" s="860">
        <f>VLOOKUP(Calculateur!$T$25,muntions!$AT$6:$BE$23,muntions!BB1)</f>
        <v>0</v>
      </c>
      <c r="X25" s="860">
        <f>VLOOKUP(Calculateur!$T$25,muntions!$AT$6:$BE$23,muntions!BC1)</f>
        <v>0</v>
      </c>
      <c r="Y25" s="860">
        <f>VLOOKUP(Calculateur!$T$25,muntions!$AT$6:$BE$23,muntions!BD1)</f>
        <v>0</v>
      </c>
      <c r="Z25" s="860">
        <f>VLOOKUP(Calculateur!$T$25,muntions!$AT$6:$BE$23,muntions!BE1)</f>
        <v>0</v>
      </c>
      <c r="AA25" s="1056" t="str">
        <f>IF(Z15=0,AA15,Z15)</f>
        <v>C</v>
      </c>
      <c r="AB25" s="495" t="s">
        <v>774</v>
      </c>
      <c r="AC25" s="751">
        <f>IF(AA25=$R$25,AC15*$U$25,IF(AA25=$R$26,AC15*$U$26,IF(AA25=$R$27,AC15*$U$27,IF(AA25=$R$28,AC15*$U$28,IF(AA25=$R$29,$U$29*AC15,IF(AA25=$R$30,AC15,0))))))</f>
        <v>0</v>
      </c>
      <c r="AD25" s="857">
        <f>IF(AA25=$R$25,AD15*$V$25,IF(AA25=$R$26,AD15*$V$26,IF(AA25=$R$27,AD15*$V$27,IF(AA25=$R$28,AD15*$V$28,IF(AA25=$R$29,$V$29*AD15,IF(AA25=$R$30,AD15,0))))))</f>
        <v>0</v>
      </c>
      <c r="AE25" s="857">
        <f>IF(AA25=$R$25,AE15*$W$25,IF(AA25=$R$26,AE15*$W$26,IF(AA25=$R$27,AE15*$W$27,IF(AA25=$R$28,AE15*$W$28,IF(AA25=$R$29,$W$29*AE15,IF(AA25=$R$30,AE15,0))))))</f>
        <v>0</v>
      </c>
      <c r="AF25" s="615">
        <f>AF15</f>
        <v>0</v>
      </c>
      <c r="AG25" s="751">
        <f>AG15</f>
        <v>0</v>
      </c>
      <c r="AH25" s="751">
        <f>AH15</f>
        <v>0</v>
      </c>
      <c r="AI25" s="751">
        <f>AI15</f>
        <v>0</v>
      </c>
      <c r="AJ25" s="751">
        <f>IF(AA25=$R$25,AJ15*$X$25,IF(AA25=$R$26,AJ15*$X$26,IF(AA25=$R$27,AJ15*$X$27,IF(AA25=$R$28,AJ15*$X$28,IF(AA25=$R$29,AJ15*$X$29,IF(AA25=$R$30,AJ15,0))))))</f>
        <v>0</v>
      </c>
      <c r="AK25" s="751">
        <f>AK15</f>
        <v>0</v>
      </c>
      <c r="AL25" s="751">
        <f>AL15</f>
        <v>0</v>
      </c>
      <c r="AM25" s="751">
        <f>IF(AA25=$R$25,AM15*$Y$25,IF(AA25=$R$26,AM15*$Y$26,IF(AA25=$R$27,AM15*$Y$27,IF(AA25=$R$28,AM15*$Y$28,IF(AA25=$R$29,AM15*$Y$29,IF(AA25=$R$30,AM15,0))))))</f>
        <v>0</v>
      </c>
      <c r="AN25" s="751">
        <f>AN15</f>
        <v>0</v>
      </c>
      <c r="AO25" s="751">
        <f>AO15</f>
        <v>0</v>
      </c>
      <c r="AP25" s="625">
        <f>IF(AL25=0,0,AVERAGE(AC25:AD25)/AL25)</f>
        <v>0</v>
      </c>
      <c r="AQ25" s="625">
        <f>IF(V15&lt;=10,AP25*AF25,0)</f>
        <v>0</v>
      </c>
      <c r="AR25" s="553">
        <f>IF(OR($B$7=701,$B$7=801),AP25,IF($B$9=200,SUM(AP25:AP26),IF(OR(B7=1201,B7=1301),SUM(AP25:AP26),IF(B9=300,SUM(AP25:AP27),0))))</f>
        <v>0</v>
      </c>
      <c r="AS25" s="553">
        <f>IF(B7=501,SUM(AP25:AP29),IF(OR(B7=502,B7=503),SUM(AP25:AP29),IF(B9=100,SUM(AP25:AP27),IF(B9=200,SUM(AP27:AP28),IF(B7=1002,SUM(AP27:AP29),IF(OR(B7=1201,B7=1031),SUM(AP27:AP28),IF(OR(B7=1402,B7=1403),SUM(AP28:AP30),SUM(AP28:AP29))))))))</f>
        <v>0</v>
      </c>
      <c r="AT25" s="553">
        <f>IF(OR(B7=701,B7=801),SUM(AP29:AP30),IF(OR(B7=1002,B7=1003),SUM(AP30:AP31),IF(OR(B7=1201,B7=1301),SUM(AP29:AP30),IF(OR(B7=1402,B7=1403),SUM(AP31:AP33),IF(B9=300,SUM(AP30:AP32),0)))))</f>
        <v>0</v>
      </c>
      <c r="AU25" s="553">
        <f>IF(OR(B7=202,B7=203),AP29,0)</f>
        <v>0</v>
      </c>
      <c r="AV25" s="553">
        <f>IF(OR(B7=202,B7=203),SUM(AQ25:AQ28),SUM(AQ25:AQ33))</f>
        <v>0</v>
      </c>
      <c r="AW25" s="553">
        <f>IF(SUM(AJ25:AJ33)=0,0,SUM(AJ25:AJ33)/SUM(Y15:Y23))</f>
        <v>0</v>
      </c>
      <c r="AZ25" s="2601"/>
      <c r="BA25" s="1684"/>
      <c r="BB25" s="1684"/>
      <c r="BC25" s="1684"/>
      <c r="BD25" s="1684"/>
      <c r="BE25" s="1684"/>
      <c r="BF25" s="1684"/>
      <c r="BG25" s="2601"/>
      <c r="BH25" s="751"/>
      <c r="BI25" s="751"/>
      <c r="BJ25" s="751"/>
      <c r="BK25" s="751"/>
      <c r="BL25" s="751"/>
      <c r="BM25" s="751"/>
      <c r="BN25" s="751"/>
      <c r="BO25" s="751"/>
      <c r="BP25" s="751"/>
      <c r="BQ25" s="751"/>
      <c r="BR25" s="751"/>
      <c r="BS25" s="751"/>
      <c r="BT25" s="751"/>
      <c r="BU25" s="751"/>
      <c r="BV25" s="751"/>
      <c r="BW25" s="751"/>
      <c r="BX25" s="751"/>
      <c r="BY25" s="751"/>
      <c r="BZ25" s="751"/>
      <c r="CA25" s="751"/>
      <c r="CB25" s="751"/>
      <c r="CC25" s="751"/>
      <c r="CD25" s="751"/>
      <c r="CE25" s="751"/>
      <c r="CF25" s="751"/>
      <c r="CG25" s="751"/>
      <c r="CH25" s="751"/>
      <c r="CI25" s="751"/>
      <c r="CJ25" s="751"/>
      <c r="CK25" s="751"/>
      <c r="CL25" s="751"/>
      <c r="CM25" s="751"/>
      <c r="CN25" s="751"/>
      <c r="CO25" s="751"/>
      <c r="CP25" s="751"/>
      <c r="CQ25" s="751"/>
      <c r="CR25" s="751"/>
      <c r="CS25" s="751"/>
      <c r="CT25" s="751"/>
      <c r="CU25" s="759"/>
      <c r="CV25" s="1535"/>
      <c r="CW25" s="1535"/>
      <c r="CZ25" s="367"/>
      <c r="DA25" s="1110"/>
      <c r="DB25" s="367"/>
      <c r="DC25" s="367"/>
    </row>
    <row r="26" spans="2:107" ht="24.95" customHeight="1">
      <c r="D26" s="2601"/>
      <c r="E26" s="763"/>
      <c r="F26" s="763"/>
      <c r="G26" s="763"/>
      <c r="H26" s="763"/>
      <c r="I26" s="763"/>
      <c r="J26" s="763"/>
      <c r="K26" s="469"/>
      <c r="L26" s="763"/>
      <c r="M26" s="763"/>
      <c r="N26" s="761"/>
      <c r="O26" s="494"/>
      <c r="P26" s="2608"/>
      <c r="Q26" s="2609"/>
      <c r="R26" s="495" t="s">
        <v>1010</v>
      </c>
      <c r="S26" s="495" t="s">
        <v>70</v>
      </c>
      <c r="T26" s="751">
        <f>I25+30</f>
        <v>31</v>
      </c>
      <c r="U26" s="862">
        <f>VLOOKUP($T$26,muntions!$AT$33:$BE$38,muntions!AZ1)</f>
        <v>0</v>
      </c>
      <c r="V26" s="862">
        <f>VLOOKUP($T$26,muntions!$AT$33:$BE$38,muntions!BA1)</f>
        <v>0</v>
      </c>
      <c r="W26" s="862">
        <f>VLOOKUP($T$26,muntions!$AT$33:$BE$38,muntions!BB1)</f>
        <v>0</v>
      </c>
      <c r="X26" s="862">
        <f>VLOOKUP($T$26,muntions!$AT$33:$BE$38,muntions!BC1)</f>
        <v>0</v>
      </c>
      <c r="Y26" s="862">
        <f>VLOOKUP($T$26,muntions!$AT$33:$BE$38,muntions!BD1)</f>
        <v>0</v>
      </c>
      <c r="Z26" s="862">
        <f>VLOOKUP($T$26,muntions!$AT$33:$BE$38,muntions!BE1)</f>
        <v>0</v>
      </c>
      <c r="AA26" s="1056" t="str">
        <f t="shared" ref="AA26:AA33" si="12">IF(Z16=0,AA16,Z16)</f>
        <v>C</v>
      </c>
      <c r="AB26" s="495" t="s">
        <v>775</v>
      </c>
      <c r="AC26" s="939">
        <f t="shared" ref="AC26:AC33" si="13">IF(AA26=$R$25,AC16*$U$25,IF(AA26=$R$26,AC16*$U$26,IF(AA26=$R$27,AC16*$U$27,IF(AA26=$R$28,AC16*$U$28,IF(AA26=$R$29,$U$29*AC16,IF(AA26=$R$30,AC16,0))))))</f>
        <v>0</v>
      </c>
      <c r="AD26" s="939">
        <f t="shared" ref="AD26:AD33" si="14">IF(AA26=$R$25,AD16*$V$25,IF(AA26=$R$26,AD16*$V$26,IF(AA26=$R$27,AD16*$V$27,IF(AA26=$R$28,AD16*$V$28,IF(AA26=$R$29,$V$29*AD16,IF(AA26=$R$30,AD16,0))))))</f>
        <v>0</v>
      </c>
      <c r="AE26" s="939">
        <f t="shared" ref="AE26:AE33" si="15">IF(AA26=$R$25,AE16*$W$25,IF(AA26=$R$26,AE16*$W$26,IF(AA26=$R$27,AE16*$W$27,IF(AA26=$R$28,AE16*$W$28,IF(AA26=$R$29,$W$29*AE16,IF(AA26=$R$30,AE16,0))))))</f>
        <v>0</v>
      </c>
      <c r="AF26" s="615">
        <f>AF16</f>
        <v>0</v>
      </c>
      <c r="AG26" s="857">
        <f t="shared" ref="AG26:AI33" si="16">AG16</f>
        <v>0</v>
      </c>
      <c r="AH26" s="857">
        <f t="shared" si="16"/>
        <v>0</v>
      </c>
      <c r="AI26" s="857">
        <f t="shared" si="16"/>
        <v>0</v>
      </c>
      <c r="AJ26" s="939">
        <f t="shared" ref="AJ26:AJ33" si="17">IF(AA26=$R$25,AJ16*$X$25,IF(AA26=$R$26,AJ16*$X$26,IF(AA26=$R$27,AJ16*$X$27,IF(AA26=$R$28,AJ16*$X$28,IF(AA26=$R$29,AJ16*$X$29,IF(AA26=$R$30,AJ16,0))))))</f>
        <v>0</v>
      </c>
      <c r="AK26" s="864">
        <f t="shared" ref="AK26:AL33" si="18">AK16</f>
        <v>0</v>
      </c>
      <c r="AL26" s="864">
        <f t="shared" si="18"/>
        <v>0</v>
      </c>
      <c r="AM26" s="939">
        <f t="shared" ref="AM26:AM33" si="19">IF(AA26=$R$25,AM16*$Y$25,IF(AA26=$R$26,AM16*$Y$26,IF(AA26=$R$27,AM16*$Y$27,IF(AA26=$R$28,AM16*$Y$28,IF(AA26=$R$29,AM16*$Y$29,IF(AA26=$R$30,AM16,0))))))</f>
        <v>0</v>
      </c>
      <c r="AN26" s="864">
        <f t="shared" ref="AN26:AO33" si="20">AN16</f>
        <v>0</v>
      </c>
      <c r="AO26" s="864">
        <f t="shared" si="20"/>
        <v>0</v>
      </c>
      <c r="AP26" s="625">
        <f t="shared" ref="AP26:AP33" si="21">IF(AL26=0,0,AVERAGE(AC26:AD26)/AL26)</f>
        <v>0</v>
      </c>
      <c r="AQ26" s="625">
        <f t="shared" ref="AQ26:AQ33" si="22">IF(V16&lt;=10,AP26*AF26,0)</f>
        <v>0</v>
      </c>
      <c r="AR26" s="763"/>
      <c r="AS26" s="553"/>
      <c r="AT26" s="763"/>
      <c r="AU26" s="763"/>
      <c r="AV26" s="763"/>
      <c r="AW26" s="763"/>
      <c r="AZ26" s="2601"/>
      <c r="BA26" s="1684"/>
      <c r="BB26" s="1684"/>
      <c r="BC26" s="1684"/>
      <c r="BD26" s="1684"/>
      <c r="BE26" s="1684"/>
      <c r="BF26" s="1684"/>
      <c r="BG26" s="2601"/>
      <c r="BH26" s="763"/>
      <c r="BI26" s="763"/>
      <c r="BJ26" s="763"/>
      <c r="BK26" s="763"/>
      <c r="BL26" s="763"/>
      <c r="BM26" s="763"/>
      <c r="BN26" s="763"/>
      <c r="BO26" s="763"/>
      <c r="BP26" s="763"/>
      <c r="BQ26" s="763"/>
      <c r="BR26" s="763"/>
      <c r="BS26" s="763"/>
      <c r="BT26" s="763"/>
      <c r="BU26" s="763"/>
      <c r="BV26" s="763"/>
      <c r="BW26" s="763"/>
      <c r="BX26" s="763"/>
      <c r="BY26" s="763"/>
      <c r="BZ26" s="763"/>
      <c r="CA26" s="763"/>
      <c r="CB26" s="763"/>
      <c r="CC26" s="763"/>
      <c r="CD26" s="763"/>
      <c r="CE26" s="763"/>
      <c r="CF26" s="763"/>
      <c r="CG26" s="763"/>
      <c r="CH26" s="763"/>
      <c r="CI26" s="763"/>
      <c r="CJ26" s="763"/>
      <c r="CK26" s="763"/>
      <c r="CL26" s="763"/>
      <c r="CM26" s="763"/>
      <c r="CN26" s="763"/>
      <c r="CO26" s="763"/>
      <c r="CP26" s="763"/>
      <c r="CQ26" s="763"/>
      <c r="CR26" s="763"/>
      <c r="CS26" s="763"/>
      <c r="CT26" s="763"/>
      <c r="CU26" s="762"/>
      <c r="CV26" s="1535"/>
      <c r="CW26" s="1535"/>
    </row>
    <row r="27" spans="2:107" ht="24.95" customHeight="1">
      <c r="D27" s="2601"/>
      <c r="E27" s="763"/>
      <c r="F27" s="763"/>
      <c r="G27" s="763"/>
      <c r="H27" s="763"/>
      <c r="I27" s="763"/>
      <c r="J27" s="763"/>
      <c r="K27" s="469"/>
      <c r="L27" s="763"/>
      <c r="M27" s="763"/>
      <c r="N27" s="761"/>
      <c r="O27" s="494"/>
      <c r="P27" s="2608"/>
      <c r="Q27" s="2609"/>
      <c r="R27" s="495" t="s">
        <v>1011</v>
      </c>
      <c r="S27" s="495" t="s">
        <v>996</v>
      </c>
      <c r="T27" s="763">
        <f>K25+40</f>
        <v>41</v>
      </c>
      <c r="U27" s="862">
        <f>VLOOKUP($T$27,muntions!$AT$39:$BE$42,muntions!AZ1)</f>
        <v>0</v>
      </c>
      <c r="V27" s="862">
        <f>VLOOKUP($T$27,muntions!$AT$39:$BE$42,muntions!BA1)</f>
        <v>0</v>
      </c>
      <c r="W27" s="862">
        <f>VLOOKUP($T$27,muntions!$AT$39:$BE$42,muntions!BB1)</f>
        <v>0</v>
      </c>
      <c r="X27" s="862">
        <f>VLOOKUP($T$27,muntions!$AT$39:$BE$42,muntions!BC1)</f>
        <v>0</v>
      </c>
      <c r="Y27" s="862">
        <f>VLOOKUP($T$27,muntions!$AT$39:$BE$42,muntions!BD1)</f>
        <v>0</v>
      </c>
      <c r="Z27" s="862">
        <f>VLOOKUP($T$27,muntions!$AT$39:$BE$42,muntions!BE1)</f>
        <v>0</v>
      </c>
      <c r="AA27" s="1056" t="str">
        <f t="shared" si="12"/>
        <v>C</v>
      </c>
      <c r="AB27" s="495" t="s">
        <v>776</v>
      </c>
      <c r="AC27" s="939">
        <f t="shared" si="13"/>
        <v>0</v>
      </c>
      <c r="AD27" s="939">
        <f t="shared" si="14"/>
        <v>0</v>
      </c>
      <c r="AE27" s="939">
        <f t="shared" si="15"/>
        <v>0</v>
      </c>
      <c r="AF27" s="615">
        <f t="shared" ref="AF27:AF33" si="23">AF17</f>
        <v>0</v>
      </c>
      <c r="AG27" s="857">
        <f t="shared" si="16"/>
        <v>0</v>
      </c>
      <c r="AH27" s="857">
        <f t="shared" si="16"/>
        <v>0</v>
      </c>
      <c r="AI27" s="857">
        <f t="shared" si="16"/>
        <v>0</v>
      </c>
      <c r="AJ27" s="939">
        <f t="shared" si="17"/>
        <v>0</v>
      </c>
      <c r="AK27" s="864">
        <f t="shared" si="18"/>
        <v>0</v>
      </c>
      <c r="AL27" s="864">
        <f t="shared" si="18"/>
        <v>0</v>
      </c>
      <c r="AM27" s="939">
        <f t="shared" si="19"/>
        <v>0</v>
      </c>
      <c r="AN27" s="864">
        <f t="shared" si="20"/>
        <v>0</v>
      </c>
      <c r="AO27" s="864">
        <f t="shared" si="20"/>
        <v>0</v>
      </c>
      <c r="AP27" s="625">
        <f t="shared" si="21"/>
        <v>0</v>
      </c>
      <c r="AQ27" s="625">
        <f>IF(V17&lt;=10,AP27*AF27,0)</f>
        <v>0</v>
      </c>
      <c r="AR27" s="763"/>
      <c r="AS27" s="553"/>
      <c r="AT27" s="495"/>
      <c r="AU27" s="763"/>
      <c r="AV27" s="763"/>
      <c r="AW27" s="763"/>
      <c r="AZ27" s="2601"/>
      <c r="BA27" s="1684"/>
      <c r="BB27" s="1684"/>
      <c r="BC27" s="1684"/>
      <c r="BD27" s="1684"/>
      <c r="BE27" s="1684"/>
      <c r="BF27" s="1684"/>
      <c r="BG27" s="2601"/>
      <c r="BH27" s="763"/>
      <c r="BI27" s="763"/>
      <c r="BJ27" s="763"/>
      <c r="BK27" s="763"/>
      <c r="BL27" s="763"/>
      <c r="BM27" s="763"/>
      <c r="BN27" s="763"/>
      <c r="BO27" s="763"/>
      <c r="BP27" s="763"/>
      <c r="BQ27" s="763"/>
      <c r="BR27" s="763"/>
      <c r="BS27" s="763"/>
      <c r="BT27" s="763"/>
      <c r="BU27" s="763"/>
      <c r="BV27" s="763"/>
      <c r="BW27" s="763"/>
      <c r="BX27" s="763"/>
      <c r="BY27" s="763"/>
      <c r="BZ27" s="763"/>
      <c r="CA27" s="763"/>
      <c r="CB27" s="763"/>
      <c r="CC27" s="763"/>
      <c r="CD27" s="763"/>
      <c r="CE27" s="763"/>
      <c r="CF27" s="763"/>
      <c r="CG27" s="763"/>
      <c r="CH27" s="763"/>
      <c r="CI27" s="763"/>
      <c r="CJ27" s="763"/>
      <c r="CK27" s="763"/>
      <c r="CL27" s="763"/>
      <c r="CM27" s="763"/>
      <c r="CN27" s="763"/>
      <c r="CO27" s="763"/>
      <c r="CP27" s="763"/>
      <c r="CQ27" s="763"/>
      <c r="CR27" s="763"/>
      <c r="CS27" s="763"/>
      <c r="CT27" s="763"/>
      <c r="CU27" s="762"/>
      <c r="CV27" s="1535"/>
      <c r="CW27" s="1535"/>
    </row>
    <row r="28" spans="2:107" ht="24.95" customHeight="1">
      <c r="D28" s="2601"/>
      <c r="E28" s="763"/>
      <c r="F28" s="763"/>
      <c r="G28" s="763"/>
      <c r="H28" s="763"/>
      <c r="I28" s="763"/>
      <c r="J28" s="763"/>
      <c r="K28" s="469"/>
      <c r="L28" s="763"/>
      <c r="M28" s="763"/>
      <c r="N28" s="761"/>
      <c r="O28" s="494"/>
      <c r="P28" s="2608"/>
      <c r="Q28" s="2609"/>
      <c r="R28" s="495" t="s">
        <v>1012</v>
      </c>
      <c r="S28" s="495" t="s">
        <v>997</v>
      </c>
      <c r="T28" s="763">
        <f>M25+50</f>
        <v>51</v>
      </c>
      <c r="U28" s="862">
        <f>VLOOKUP($T$28,muntions!$AT$29:$BE$32,muntions!AZ1)</f>
        <v>0</v>
      </c>
      <c r="V28" s="862">
        <f>VLOOKUP($T$28,muntions!$AT$29:$BE$32,muntions!BA1)</f>
        <v>0</v>
      </c>
      <c r="W28" s="862">
        <f>VLOOKUP($T$28,muntions!$AT$29:$BE$32,muntions!BB1)</f>
        <v>0</v>
      </c>
      <c r="X28" s="862">
        <f>VLOOKUP($T$28,muntions!$AT$29:$BE$32,muntions!BC1)</f>
        <v>0</v>
      </c>
      <c r="Y28" s="862">
        <f>VLOOKUP($T$28,muntions!$AT$29:$BE$32,muntions!BD1)</f>
        <v>0</v>
      </c>
      <c r="Z28" s="862">
        <f>VLOOKUP($T$28,muntions!$AT$29:$BE$32,muntions!BE1)</f>
        <v>0</v>
      </c>
      <c r="AA28" s="1056" t="str">
        <f t="shared" si="12"/>
        <v>C</v>
      </c>
      <c r="AB28" s="495" t="s">
        <v>777</v>
      </c>
      <c r="AC28" s="939">
        <f t="shared" si="13"/>
        <v>0</v>
      </c>
      <c r="AD28" s="939">
        <f t="shared" si="14"/>
        <v>0</v>
      </c>
      <c r="AE28" s="939">
        <f t="shared" si="15"/>
        <v>0</v>
      </c>
      <c r="AF28" s="615">
        <f t="shared" si="23"/>
        <v>0</v>
      </c>
      <c r="AG28" s="857">
        <f t="shared" si="16"/>
        <v>0</v>
      </c>
      <c r="AH28" s="857">
        <f t="shared" si="16"/>
        <v>0</v>
      </c>
      <c r="AI28" s="857">
        <f t="shared" si="16"/>
        <v>0</v>
      </c>
      <c r="AJ28" s="939">
        <f t="shared" si="17"/>
        <v>0</v>
      </c>
      <c r="AK28" s="864">
        <f t="shared" si="18"/>
        <v>0</v>
      </c>
      <c r="AL28" s="864">
        <f t="shared" si="18"/>
        <v>0</v>
      </c>
      <c r="AM28" s="939">
        <f t="shared" si="19"/>
        <v>0</v>
      </c>
      <c r="AN28" s="864">
        <f t="shared" si="20"/>
        <v>0</v>
      </c>
      <c r="AO28" s="864">
        <f t="shared" si="20"/>
        <v>0</v>
      </c>
      <c r="AP28" s="625">
        <f t="shared" si="21"/>
        <v>0</v>
      </c>
      <c r="AQ28" s="625">
        <f t="shared" si="22"/>
        <v>0</v>
      </c>
      <c r="AR28" s="763"/>
      <c r="AS28" s="553"/>
      <c r="AT28" s="763"/>
      <c r="AU28" s="763"/>
      <c r="AV28" s="763"/>
      <c r="AW28" s="763"/>
      <c r="AZ28" s="2601"/>
      <c r="BA28" s="1684"/>
      <c r="BB28" s="1684"/>
      <c r="BC28" s="1684"/>
      <c r="BD28" s="1684"/>
      <c r="BE28" s="1684"/>
      <c r="BF28" s="1684"/>
      <c r="BG28" s="2601"/>
      <c r="BH28" s="763"/>
      <c r="BI28" s="763"/>
      <c r="BJ28" s="763"/>
      <c r="BK28" s="763"/>
      <c r="BL28" s="763"/>
      <c r="BM28" s="763"/>
      <c r="BN28" s="763"/>
      <c r="BO28" s="763"/>
      <c r="BP28" s="763"/>
      <c r="BQ28" s="763"/>
      <c r="BR28" s="763"/>
      <c r="BS28" s="763"/>
      <c r="BT28" s="763"/>
      <c r="BU28" s="763"/>
      <c r="BV28" s="763"/>
      <c r="BW28" s="763"/>
      <c r="BX28" s="763"/>
      <c r="BY28" s="763"/>
      <c r="BZ28" s="763"/>
      <c r="CA28" s="763"/>
      <c r="CB28" s="763"/>
      <c r="CC28" s="763"/>
      <c r="CD28" s="763"/>
      <c r="CE28" s="763"/>
      <c r="CF28" s="763"/>
      <c r="CG28" s="763"/>
      <c r="CH28" s="763"/>
      <c r="CI28" s="763"/>
      <c r="CJ28" s="763"/>
      <c r="CK28" s="763"/>
      <c r="CL28" s="763"/>
      <c r="CM28" s="763"/>
      <c r="CN28" s="763"/>
      <c r="CO28" s="763"/>
      <c r="CP28" s="763"/>
      <c r="CQ28" s="763"/>
      <c r="CR28" s="763"/>
      <c r="CS28" s="763"/>
      <c r="CT28" s="763"/>
      <c r="CU28" s="762"/>
      <c r="CV28" s="1535"/>
      <c r="CW28" s="1535"/>
    </row>
    <row r="29" spans="2:107" ht="24.95" customHeight="1">
      <c r="D29" s="2601"/>
      <c r="E29" s="763"/>
      <c r="F29" s="763"/>
      <c r="G29" s="763"/>
      <c r="H29" s="763"/>
      <c r="I29" s="763"/>
      <c r="J29" s="763"/>
      <c r="K29" s="469"/>
      <c r="L29" s="763"/>
      <c r="M29" s="763"/>
      <c r="N29" s="761"/>
      <c r="O29" s="494"/>
      <c r="P29" s="2608"/>
      <c r="Q29" s="2609"/>
      <c r="R29" s="495" t="s">
        <v>1013</v>
      </c>
      <c r="S29" s="495" t="s">
        <v>1004</v>
      </c>
      <c r="T29" s="763">
        <f>O25+60</f>
        <v>61</v>
      </c>
      <c r="U29" s="862">
        <f>VLOOKUP($T$29,muntions!$AT$25:$BE$28,muntions!AZ1)</f>
        <v>0</v>
      </c>
      <c r="V29" s="862">
        <f>VLOOKUP($T$29,muntions!$AT$25:$BE$28,muntions!BA1)</f>
        <v>0</v>
      </c>
      <c r="W29" s="862">
        <f>VLOOKUP($T$29,muntions!$AT$25:$BE$28,muntions!BB1)</f>
        <v>0</v>
      </c>
      <c r="X29" s="862">
        <f>VLOOKUP($T$29,muntions!$AT$25:$BE$28,muntions!BC1)</f>
        <v>0</v>
      </c>
      <c r="Y29" s="862">
        <f>VLOOKUP($T$29,muntions!$AT$25:$BE$28,muntions!BD1)</f>
        <v>0</v>
      </c>
      <c r="Z29" s="862">
        <f>VLOOKUP($T$29,muntions!$AT$25:$BE$28,muntions!BE1)</f>
        <v>0</v>
      </c>
      <c r="AA29" s="1056" t="str">
        <f t="shared" si="12"/>
        <v>C</v>
      </c>
      <c r="AB29" s="495" t="s">
        <v>778</v>
      </c>
      <c r="AC29" s="939">
        <f t="shared" si="13"/>
        <v>0</v>
      </c>
      <c r="AD29" s="939">
        <f t="shared" si="14"/>
        <v>0</v>
      </c>
      <c r="AE29" s="939">
        <f t="shared" si="15"/>
        <v>0</v>
      </c>
      <c r="AF29" s="615">
        <f t="shared" si="23"/>
        <v>0</v>
      </c>
      <c r="AG29" s="857">
        <f t="shared" si="16"/>
        <v>0</v>
      </c>
      <c r="AH29" s="857">
        <f t="shared" si="16"/>
        <v>0</v>
      </c>
      <c r="AI29" s="857">
        <f t="shared" si="16"/>
        <v>0</v>
      </c>
      <c r="AJ29" s="939">
        <f t="shared" si="17"/>
        <v>0</v>
      </c>
      <c r="AK29" s="864">
        <f t="shared" si="18"/>
        <v>0</v>
      </c>
      <c r="AL29" s="864">
        <f t="shared" si="18"/>
        <v>0</v>
      </c>
      <c r="AM29" s="939">
        <f t="shared" si="19"/>
        <v>0</v>
      </c>
      <c r="AN29" s="864">
        <f t="shared" si="20"/>
        <v>0</v>
      </c>
      <c r="AO29" s="864">
        <f t="shared" si="20"/>
        <v>0</v>
      </c>
      <c r="AP29" s="625">
        <f t="shared" si="21"/>
        <v>0</v>
      </c>
      <c r="AQ29" s="625">
        <f t="shared" si="22"/>
        <v>0</v>
      </c>
      <c r="AR29" s="763"/>
      <c r="AS29" s="553"/>
      <c r="AT29" s="763"/>
      <c r="AU29" s="763"/>
      <c r="AV29" s="763"/>
      <c r="AW29" s="763"/>
      <c r="AZ29" s="2601"/>
      <c r="BA29" s="1684"/>
      <c r="BB29" s="1684"/>
      <c r="BC29" s="1684"/>
      <c r="BD29" s="1684"/>
      <c r="BE29" s="1684"/>
      <c r="BF29" s="1684"/>
      <c r="BG29" s="2601"/>
      <c r="BH29" s="763"/>
      <c r="BI29" s="763"/>
      <c r="BJ29" s="763"/>
      <c r="BK29" s="763"/>
      <c r="BL29" s="763"/>
      <c r="BM29" s="763"/>
      <c r="BN29" s="763"/>
      <c r="BO29" s="763"/>
      <c r="BP29" s="763"/>
      <c r="BQ29" s="763"/>
      <c r="BR29" s="763"/>
      <c r="BS29" s="763"/>
      <c r="BT29" s="763"/>
      <c r="BU29" s="763"/>
      <c r="BV29" s="763"/>
      <c r="BW29" s="763"/>
      <c r="BX29" s="763"/>
      <c r="BY29" s="763"/>
      <c r="BZ29" s="763"/>
      <c r="CA29" s="763"/>
      <c r="CB29" s="763"/>
      <c r="CC29" s="763"/>
      <c r="CD29" s="763"/>
      <c r="CE29" s="763"/>
      <c r="CF29" s="763"/>
      <c r="CG29" s="763"/>
      <c r="CH29" s="763"/>
      <c r="CI29" s="763"/>
      <c r="CJ29" s="763"/>
      <c r="CK29" s="763"/>
      <c r="CL29" s="763"/>
      <c r="CM29" s="763"/>
      <c r="CN29" s="763"/>
      <c r="CO29" s="763"/>
      <c r="CP29" s="763"/>
      <c r="CQ29" s="763"/>
      <c r="CR29" s="763"/>
      <c r="CS29" s="763"/>
      <c r="CT29" s="763"/>
      <c r="CU29" s="762"/>
      <c r="CV29" s="1535"/>
      <c r="CW29" s="1535"/>
    </row>
    <row r="30" spans="2:107" ht="24.95" customHeight="1">
      <c r="D30" s="2601"/>
      <c r="E30" s="857"/>
      <c r="F30" s="857"/>
      <c r="G30" s="857"/>
      <c r="H30" s="857"/>
      <c r="I30" s="857"/>
      <c r="J30" s="857"/>
      <c r="K30" s="469"/>
      <c r="L30" s="857"/>
      <c r="M30" s="857"/>
      <c r="N30" s="854"/>
      <c r="O30" s="494"/>
      <c r="P30" s="2608"/>
      <c r="Q30" s="2609"/>
      <c r="R30" s="495" t="s">
        <v>1008</v>
      </c>
      <c r="S30" s="495" t="s">
        <v>1007</v>
      </c>
      <c r="T30" s="495"/>
      <c r="U30" s="862"/>
      <c r="V30" s="862"/>
      <c r="W30" s="862"/>
      <c r="X30" s="862"/>
      <c r="Y30" s="862"/>
      <c r="Z30" s="862"/>
      <c r="AA30" s="1056" t="str">
        <f>IF(Z20=0,AA20,Z20)</f>
        <v>C</v>
      </c>
      <c r="AB30" s="495" t="s">
        <v>779</v>
      </c>
      <c r="AC30" s="939">
        <f t="shared" si="13"/>
        <v>0</v>
      </c>
      <c r="AD30" s="939">
        <f t="shared" si="14"/>
        <v>0</v>
      </c>
      <c r="AE30" s="939">
        <f t="shared" si="15"/>
        <v>0</v>
      </c>
      <c r="AF30" s="615">
        <f t="shared" si="23"/>
        <v>0</v>
      </c>
      <c r="AG30" s="857">
        <f t="shared" si="16"/>
        <v>0</v>
      </c>
      <c r="AH30" s="857">
        <f t="shared" si="16"/>
        <v>0</v>
      </c>
      <c r="AI30" s="857">
        <f t="shared" si="16"/>
        <v>0</v>
      </c>
      <c r="AJ30" s="939">
        <f t="shared" si="17"/>
        <v>0</v>
      </c>
      <c r="AK30" s="864">
        <f t="shared" si="18"/>
        <v>0</v>
      </c>
      <c r="AL30" s="864">
        <f t="shared" si="18"/>
        <v>0</v>
      </c>
      <c r="AM30" s="939">
        <f t="shared" si="19"/>
        <v>0</v>
      </c>
      <c r="AN30" s="864">
        <f t="shared" si="20"/>
        <v>0</v>
      </c>
      <c r="AO30" s="864">
        <f t="shared" si="20"/>
        <v>0</v>
      </c>
      <c r="AP30" s="625">
        <f t="shared" si="21"/>
        <v>0</v>
      </c>
      <c r="AQ30" s="625">
        <f t="shared" si="22"/>
        <v>0</v>
      </c>
      <c r="AR30" s="857"/>
      <c r="AS30" s="553"/>
      <c r="AT30" s="857"/>
      <c r="AU30" s="857"/>
      <c r="AV30" s="857"/>
      <c r="AW30" s="857"/>
      <c r="AZ30" s="2601"/>
      <c r="BA30" s="1684"/>
      <c r="BB30" s="1684"/>
      <c r="BC30" s="1684"/>
      <c r="BD30" s="1684"/>
      <c r="BE30" s="1684"/>
      <c r="BF30" s="1684"/>
      <c r="BG30" s="2601"/>
      <c r="BH30" s="857"/>
      <c r="BI30" s="857"/>
      <c r="BJ30" s="857"/>
      <c r="BK30" s="857"/>
      <c r="BL30" s="857"/>
      <c r="BM30" s="857"/>
      <c r="BN30" s="857"/>
      <c r="BO30" s="857"/>
      <c r="BP30" s="857"/>
      <c r="BQ30" s="857"/>
      <c r="BR30" s="857"/>
      <c r="BS30" s="857"/>
      <c r="BT30" s="857"/>
      <c r="BU30" s="857"/>
      <c r="BV30" s="857"/>
      <c r="BW30" s="857"/>
      <c r="BX30" s="857"/>
      <c r="BY30" s="857"/>
      <c r="BZ30" s="857"/>
      <c r="CA30" s="857"/>
      <c r="CB30" s="857"/>
      <c r="CC30" s="857"/>
      <c r="CD30" s="857"/>
      <c r="CE30" s="857"/>
      <c r="CF30" s="857"/>
      <c r="CG30" s="857"/>
      <c r="CH30" s="857"/>
      <c r="CI30" s="857"/>
      <c r="CJ30" s="857"/>
      <c r="CK30" s="857"/>
      <c r="CL30" s="857"/>
      <c r="CM30" s="857"/>
      <c r="CN30" s="857"/>
      <c r="CO30" s="857"/>
      <c r="CP30" s="857"/>
      <c r="CQ30" s="857"/>
      <c r="CR30" s="857"/>
      <c r="CS30" s="857"/>
      <c r="CT30" s="857"/>
      <c r="CU30" s="856"/>
      <c r="CV30" s="1535"/>
      <c r="CW30" s="1535"/>
    </row>
    <row r="31" spans="2:107" ht="24.95" customHeight="1">
      <c r="D31" s="2601"/>
      <c r="E31" s="857"/>
      <c r="F31" s="857"/>
      <c r="G31" s="857"/>
      <c r="H31" s="857"/>
      <c r="I31" s="857"/>
      <c r="J31" s="857"/>
      <c r="K31" s="469"/>
      <c r="L31" s="857"/>
      <c r="M31" s="857"/>
      <c r="N31" s="854"/>
      <c r="O31" s="494"/>
      <c r="P31" s="2608"/>
      <c r="Q31" s="2609"/>
      <c r="R31" s="857"/>
      <c r="S31" s="495"/>
      <c r="T31" s="857"/>
      <c r="U31" s="862"/>
      <c r="V31" s="862"/>
      <c r="W31" s="862"/>
      <c r="X31" s="862"/>
      <c r="Y31" s="862"/>
      <c r="Z31" s="862"/>
      <c r="AA31" s="1056" t="str">
        <f t="shared" si="12"/>
        <v>C</v>
      </c>
      <c r="AB31" s="495" t="s">
        <v>780</v>
      </c>
      <c r="AC31" s="939">
        <f t="shared" si="13"/>
        <v>0</v>
      </c>
      <c r="AD31" s="939">
        <f t="shared" si="14"/>
        <v>0</v>
      </c>
      <c r="AE31" s="939">
        <f t="shared" si="15"/>
        <v>0</v>
      </c>
      <c r="AF31" s="615">
        <f t="shared" si="23"/>
        <v>0</v>
      </c>
      <c r="AG31" s="857">
        <f t="shared" si="16"/>
        <v>0</v>
      </c>
      <c r="AH31" s="857">
        <f t="shared" si="16"/>
        <v>0</v>
      </c>
      <c r="AI31" s="857">
        <f t="shared" si="16"/>
        <v>0</v>
      </c>
      <c r="AJ31" s="939">
        <f t="shared" si="17"/>
        <v>0</v>
      </c>
      <c r="AK31" s="864">
        <f t="shared" si="18"/>
        <v>0</v>
      </c>
      <c r="AL31" s="864">
        <f t="shared" si="18"/>
        <v>0</v>
      </c>
      <c r="AM31" s="939">
        <f t="shared" si="19"/>
        <v>0</v>
      </c>
      <c r="AN31" s="864">
        <f t="shared" si="20"/>
        <v>0</v>
      </c>
      <c r="AO31" s="864">
        <f t="shared" si="20"/>
        <v>0</v>
      </c>
      <c r="AP31" s="625">
        <f t="shared" si="21"/>
        <v>0</v>
      </c>
      <c r="AQ31" s="625">
        <f t="shared" si="22"/>
        <v>0</v>
      </c>
      <c r="AR31" s="857"/>
      <c r="AS31" s="553"/>
      <c r="AT31" s="857"/>
      <c r="AU31" s="857"/>
      <c r="AV31" s="857"/>
      <c r="AW31" s="857"/>
      <c r="AZ31" s="2601"/>
      <c r="BA31" s="1684"/>
      <c r="BB31" s="1684"/>
      <c r="BC31" s="1684"/>
      <c r="BD31" s="1684"/>
      <c r="BE31" s="1684"/>
      <c r="BF31" s="1684"/>
      <c r="BG31" s="2601"/>
      <c r="BH31" s="857"/>
      <c r="BI31" s="857"/>
      <c r="BJ31" s="857"/>
      <c r="BK31" s="857"/>
      <c r="BL31" s="857"/>
      <c r="BM31" s="857"/>
      <c r="BN31" s="857"/>
      <c r="BO31" s="857"/>
      <c r="BP31" s="857"/>
      <c r="BQ31" s="857"/>
      <c r="BR31" s="857"/>
      <c r="BS31" s="857"/>
      <c r="BT31" s="857"/>
      <c r="BU31" s="857"/>
      <c r="BV31" s="857"/>
      <c r="BW31" s="857"/>
      <c r="BX31" s="857"/>
      <c r="BY31" s="857"/>
      <c r="BZ31" s="857"/>
      <c r="CA31" s="857"/>
      <c r="CB31" s="857"/>
      <c r="CC31" s="857"/>
      <c r="CD31" s="857"/>
      <c r="CE31" s="857"/>
      <c r="CF31" s="857"/>
      <c r="CG31" s="857"/>
      <c r="CH31" s="857"/>
      <c r="CI31" s="857"/>
      <c r="CJ31" s="857"/>
      <c r="CK31" s="857"/>
      <c r="CL31" s="857"/>
      <c r="CM31" s="857"/>
      <c r="CN31" s="857"/>
      <c r="CO31" s="857"/>
      <c r="CP31" s="857"/>
      <c r="CQ31" s="857"/>
      <c r="CR31" s="857"/>
      <c r="CS31" s="857"/>
      <c r="CT31" s="857"/>
      <c r="CU31" s="856"/>
      <c r="CV31" s="1535"/>
      <c r="CW31" s="1535"/>
    </row>
    <row r="32" spans="2:107" ht="24.95" customHeight="1">
      <c r="D32" s="2601"/>
      <c r="E32" s="857"/>
      <c r="F32" s="857"/>
      <c r="G32" s="857"/>
      <c r="H32" s="857"/>
      <c r="I32" s="857"/>
      <c r="J32" s="857"/>
      <c r="K32" s="469"/>
      <c r="L32" s="857"/>
      <c r="M32" s="857"/>
      <c r="N32" s="854"/>
      <c r="O32" s="494"/>
      <c r="P32" s="2608"/>
      <c r="Q32" s="2609"/>
      <c r="R32" s="857"/>
      <c r="S32" s="495"/>
      <c r="T32" s="857"/>
      <c r="U32" s="862"/>
      <c r="V32" s="862"/>
      <c r="W32" s="862"/>
      <c r="X32" s="862"/>
      <c r="Y32" s="862"/>
      <c r="Z32" s="862"/>
      <c r="AA32" s="1056" t="str">
        <f t="shared" si="12"/>
        <v>C</v>
      </c>
      <c r="AB32" s="495" t="s">
        <v>781</v>
      </c>
      <c r="AC32" s="939">
        <f t="shared" si="13"/>
        <v>0</v>
      </c>
      <c r="AD32" s="939">
        <f t="shared" si="14"/>
        <v>0</v>
      </c>
      <c r="AE32" s="939">
        <f t="shared" si="15"/>
        <v>0</v>
      </c>
      <c r="AF32" s="615">
        <f t="shared" si="23"/>
        <v>0</v>
      </c>
      <c r="AG32" s="857">
        <f t="shared" si="16"/>
        <v>0</v>
      </c>
      <c r="AH32" s="857">
        <f t="shared" si="16"/>
        <v>0</v>
      </c>
      <c r="AI32" s="857">
        <f t="shared" si="16"/>
        <v>0</v>
      </c>
      <c r="AJ32" s="939">
        <f t="shared" si="17"/>
        <v>0</v>
      </c>
      <c r="AK32" s="864">
        <f t="shared" si="18"/>
        <v>0</v>
      </c>
      <c r="AL32" s="864">
        <f t="shared" si="18"/>
        <v>0</v>
      </c>
      <c r="AM32" s="939">
        <f t="shared" si="19"/>
        <v>0</v>
      </c>
      <c r="AN32" s="864">
        <f t="shared" si="20"/>
        <v>0</v>
      </c>
      <c r="AO32" s="864">
        <f t="shared" si="20"/>
        <v>0</v>
      </c>
      <c r="AP32" s="625">
        <f t="shared" si="21"/>
        <v>0</v>
      </c>
      <c r="AQ32" s="625">
        <f t="shared" si="22"/>
        <v>0</v>
      </c>
      <c r="AR32" s="857"/>
      <c r="AS32" s="553"/>
      <c r="AT32" s="857"/>
      <c r="AU32" s="857"/>
      <c r="AV32" s="857"/>
      <c r="AW32" s="857"/>
      <c r="AZ32" s="2601"/>
      <c r="BA32" s="1684"/>
      <c r="BB32" s="1684"/>
      <c r="BC32" s="1684"/>
      <c r="BD32" s="1684"/>
      <c r="BE32" s="1684"/>
      <c r="BF32" s="1684"/>
      <c r="BG32" s="2601"/>
      <c r="BH32" s="857"/>
      <c r="BI32" s="857"/>
      <c r="BJ32" s="857"/>
      <c r="BK32" s="857"/>
      <c r="BL32" s="857"/>
      <c r="BM32" s="857"/>
      <c r="BN32" s="857"/>
      <c r="BO32" s="857"/>
      <c r="BP32" s="857"/>
      <c r="BQ32" s="857"/>
      <c r="BR32" s="857"/>
      <c r="BS32" s="857"/>
      <c r="BT32" s="857"/>
      <c r="BU32" s="857"/>
      <c r="BV32" s="857"/>
      <c r="BW32" s="857"/>
      <c r="BX32" s="857"/>
      <c r="BY32" s="857"/>
      <c r="BZ32" s="857"/>
      <c r="CA32" s="857"/>
      <c r="CB32" s="857"/>
      <c r="CC32" s="857"/>
      <c r="CD32" s="857"/>
      <c r="CE32" s="857"/>
      <c r="CF32" s="857"/>
      <c r="CG32" s="857"/>
      <c r="CH32" s="857"/>
      <c r="CI32" s="857"/>
      <c r="CJ32" s="857"/>
      <c r="CK32" s="857"/>
      <c r="CL32" s="857"/>
      <c r="CM32" s="857"/>
      <c r="CN32" s="857"/>
      <c r="CO32" s="857"/>
      <c r="CP32" s="857"/>
      <c r="CQ32" s="857"/>
      <c r="CR32" s="857"/>
      <c r="CS32" s="857"/>
      <c r="CT32" s="857"/>
      <c r="CU32" s="856"/>
      <c r="CV32" s="1535"/>
      <c r="CW32" s="1535"/>
    </row>
    <row r="33" spans="2:101" ht="24.95" customHeight="1" thickBot="1">
      <c r="D33" s="2602"/>
      <c r="E33" s="857"/>
      <c r="F33" s="857"/>
      <c r="G33" s="857"/>
      <c r="H33" s="857"/>
      <c r="I33" s="857"/>
      <c r="J33" s="857"/>
      <c r="K33" s="469"/>
      <c r="L33" s="857"/>
      <c r="M33" s="857"/>
      <c r="N33" s="854"/>
      <c r="O33" s="494"/>
      <c r="P33" s="2610"/>
      <c r="Q33" s="2611"/>
      <c r="R33" s="857"/>
      <c r="S33" s="495"/>
      <c r="T33" s="857"/>
      <c r="U33" s="862"/>
      <c r="V33" s="862"/>
      <c r="W33" s="862"/>
      <c r="X33" s="862"/>
      <c r="Y33" s="862"/>
      <c r="Z33" s="862"/>
      <c r="AA33" s="1056" t="str">
        <f t="shared" si="12"/>
        <v>C</v>
      </c>
      <c r="AB33" s="859" t="s">
        <v>782</v>
      </c>
      <c r="AC33" s="939">
        <f t="shared" si="13"/>
        <v>0</v>
      </c>
      <c r="AD33" s="939">
        <f t="shared" si="14"/>
        <v>0</v>
      </c>
      <c r="AE33" s="939">
        <f t="shared" si="15"/>
        <v>0</v>
      </c>
      <c r="AF33" s="615">
        <f t="shared" si="23"/>
        <v>0</v>
      </c>
      <c r="AG33" s="857">
        <f t="shared" si="16"/>
        <v>0</v>
      </c>
      <c r="AH33" s="857">
        <f t="shared" si="16"/>
        <v>0</v>
      </c>
      <c r="AI33" s="857">
        <f t="shared" si="16"/>
        <v>0</v>
      </c>
      <c r="AJ33" s="939">
        <f t="shared" si="17"/>
        <v>0</v>
      </c>
      <c r="AK33" s="864">
        <f t="shared" si="18"/>
        <v>0</v>
      </c>
      <c r="AL33" s="864">
        <f t="shared" si="18"/>
        <v>0</v>
      </c>
      <c r="AM33" s="939">
        <f t="shared" si="19"/>
        <v>0</v>
      </c>
      <c r="AN33" s="864">
        <f t="shared" si="20"/>
        <v>0</v>
      </c>
      <c r="AO33" s="864">
        <f t="shared" si="20"/>
        <v>0</v>
      </c>
      <c r="AP33" s="625">
        <f t="shared" si="21"/>
        <v>0</v>
      </c>
      <c r="AQ33" s="625">
        <f t="shared" si="22"/>
        <v>0</v>
      </c>
      <c r="AR33" s="857"/>
      <c r="AS33" s="553"/>
      <c r="AT33" s="857"/>
      <c r="AU33" s="857"/>
      <c r="AV33" s="857"/>
      <c r="AW33" s="857"/>
      <c r="AZ33" s="2602"/>
      <c r="BA33" s="1684"/>
      <c r="BB33" s="1684"/>
      <c r="BC33" s="1684"/>
      <c r="BD33" s="1684"/>
      <c r="BE33" s="1684"/>
      <c r="BF33" s="1684"/>
      <c r="BG33" s="2601"/>
      <c r="BH33" s="857"/>
      <c r="BI33" s="857"/>
      <c r="BJ33" s="857"/>
      <c r="BK33" s="857"/>
      <c r="BL33" s="857"/>
      <c r="BM33" s="857"/>
      <c r="BN33" s="857"/>
      <c r="BO33" s="857"/>
      <c r="BP33" s="857"/>
      <c r="BQ33" s="857"/>
      <c r="BR33" s="857"/>
      <c r="BS33" s="857"/>
      <c r="BT33" s="857"/>
      <c r="BU33" s="857"/>
      <c r="BV33" s="857"/>
      <c r="BW33" s="857"/>
      <c r="BX33" s="857"/>
      <c r="BY33" s="857"/>
      <c r="BZ33" s="857"/>
      <c r="CA33" s="857"/>
      <c r="CB33" s="857"/>
      <c r="CC33" s="857"/>
      <c r="CD33" s="857"/>
      <c r="CE33" s="857"/>
      <c r="CF33" s="857"/>
      <c r="CG33" s="857"/>
      <c r="CH33" s="857"/>
      <c r="CI33" s="857"/>
      <c r="CJ33" s="857"/>
      <c r="CK33" s="857"/>
      <c r="CL33" s="857"/>
      <c r="CM33" s="857"/>
      <c r="CN33" s="857"/>
      <c r="CO33" s="857"/>
      <c r="CP33" s="857"/>
      <c r="CQ33" s="857"/>
      <c r="CR33" s="857"/>
      <c r="CS33" s="857"/>
      <c r="CT33" s="857"/>
      <c r="CU33" s="856"/>
      <c r="CV33" s="1535"/>
      <c r="CW33" s="1535"/>
    </row>
    <row r="34" spans="2:101" ht="24.95" customHeight="1" thickBot="1">
      <c r="D34" s="2600" t="s">
        <v>696</v>
      </c>
      <c r="E34" s="757" t="s">
        <v>681</v>
      </c>
      <c r="F34" s="487">
        <f>HLOOKUP($B$7,'Ships Table'!C2:AG43,13)</f>
        <v>0</v>
      </c>
      <c r="G34" s="488"/>
      <c r="H34" s="488"/>
      <c r="I34" s="488"/>
      <c r="J34" s="488"/>
      <c r="K34" s="488"/>
      <c r="L34" s="488"/>
      <c r="M34" s="488"/>
      <c r="N34" s="488"/>
      <c r="O34" s="489"/>
      <c r="P34" s="2590">
        <f>'Weapons Table'!M2</f>
        <v>2</v>
      </c>
      <c r="Q34" s="504"/>
      <c r="R34" s="488"/>
      <c r="S34" s="2600" t="s">
        <v>809</v>
      </c>
      <c r="T34" s="488"/>
      <c r="U34" s="488"/>
      <c r="V34" s="488"/>
      <c r="W34" s="488"/>
      <c r="X34" s="488"/>
      <c r="Y34" s="488"/>
      <c r="Z34" s="488"/>
      <c r="AA34" s="488"/>
      <c r="AB34" s="488"/>
      <c r="AC34" s="611">
        <f>IF($AC$11=400,1,0)</f>
        <v>0</v>
      </c>
      <c r="AD34" s="488"/>
      <c r="AE34" s="488"/>
      <c r="AF34" s="488"/>
      <c r="AG34" s="488"/>
      <c r="AH34" s="488"/>
      <c r="AI34" s="488"/>
      <c r="AJ34" s="488"/>
      <c r="AK34" s="488"/>
      <c r="AL34" s="488"/>
      <c r="AM34" s="488"/>
      <c r="AN34" s="488"/>
      <c r="AO34" s="488"/>
      <c r="AP34" s="488"/>
      <c r="AQ34" s="488"/>
      <c r="AR34" s="488"/>
      <c r="AS34" s="488"/>
      <c r="AT34" s="488"/>
      <c r="AU34" s="488"/>
      <c r="AV34" s="488"/>
      <c r="AW34" s="488"/>
      <c r="AX34" s="488"/>
      <c r="AZ34" s="2600" t="s">
        <v>1032</v>
      </c>
      <c r="BA34" s="488"/>
      <c r="BB34" s="488"/>
      <c r="BC34" s="488"/>
      <c r="BD34" s="488"/>
      <c r="BE34" s="488"/>
      <c r="BF34" s="488"/>
      <c r="BG34" s="2601"/>
      <c r="BH34" s="488"/>
      <c r="BI34" s="488"/>
      <c r="BJ34" s="488"/>
      <c r="BK34" s="488"/>
      <c r="BL34" s="488"/>
      <c r="BM34" s="488"/>
      <c r="BN34" s="488"/>
      <c r="BO34" s="488"/>
      <c r="BP34" s="488"/>
      <c r="BQ34" s="488"/>
      <c r="BR34" s="488"/>
      <c r="BS34" s="488"/>
      <c r="BT34" s="488"/>
      <c r="BU34" s="488"/>
      <c r="BV34" s="488"/>
      <c r="BW34" s="488"/>
      <c r="BX34" s="488"/>
      <c r="BY34" s="488"/>
      <c r="BZ34" s="488"/>
      <c r="CA34" s="488"/>
      <c r="CB34" s="488"/>
      <c r="CC34" s="488"/>
      <c r="CD34" s="488"/>
      <c r="CE34" s="488"/>
      <c r="CF34" s="488"/>
      <c r="CG34" s="488"/>
      <c r="CH34" s="488"/>
      <c r="CI34" s="488"/>
      <c r="CJ34" s="488"/>
      <c r="CK34" s="488"/>
      <c r="CL34" s="488"/>
      <c r="CM34" s="488"/>
      <c r="CN34" s="488"/>
      <c r="CO34" s="488"/>
      <c r="CP34" s="488"/>
      <c r="CQ34" s="488"/>
      <c r="CR34" s="488"/>
      <c r="CS34" s="488"/>
      <c r="CT34" s="488"/>
      <c r="CU34" s="504"/>
      <c r="CV34" s="1535"/>
      <c r="CW34" s="1535"/>
    </row>
    <row r="35" spans="2:101" ht="24.95" customHeight="1" thickBot="1">
      <c r="D35" s="2601"/>
      <c r="E35" s="2618" t="s">
        <v>682</v>
      </c>
      <c r="F35" s="500">
        <f>HLOOKUP($B$7,'Ships Table'!$C$2:$AG$43,12)</f>
        <v>0</v>
      </c>
      <c r="G35" s="501"/>
      <c r="H35" s="501"/>
      <c r="I35" s="751"/>
      <c r="J35" s="751"/>
      <c r="K35" s="751"/>
      <c r="L35" s="751"/>
      <c r="M35" s="561"/>
      <c r="N35" s="751"/>
      <c r="O35" s="494"/>
      <c r="P35" s="2591"/>
      <c r="Q35" s="759"/>
      <c r="R35" s="857"/>
      <c r="S35" s="2601"/>
      <c r="T35" s="751"/>
      <c r="U35" s="607"/>
      <c r="V35" s="751"/>
      <c r="W35" s="751"/>
      <c r="X35" s="751"/>
      <c r="Y35" s="751"/>
      <c r="Z35" s="751"/>
      <c r="AA35" s="934"/>
      <c r="AB35" s="857"/>
      <c r="AC35" s="751">
        <v>3</v>
      </c>
      <c r="AD35" s="751">
        <v>4</v>
      </c>
      <c r="AE35" s="751">
        <v>5</v>
      </c>
      <c r="AF35" s="751">
        <v>6</v>
      </c>
      <c r="AG35" s="751">
        <v>7</v>
      </c>
      <c r="AH35" s="751">
        <v>8</v>
      </c>
      <c r="AI35" s="751">
        <v>9</v>
      </c>
      <c r="AJ35" s="751">
        <v>10</v>
      </c>
      <c r="AK35" s="751">
        <v>11</v>
      </c>
      <c r="AL35" s="751">
        <v>12</v>
      </c>
      <c r="AM35" s="751">
        <v>13</v>
      </c>
      <c r="AN35" s="751">
        <v>14</v>
      </c>
      <c r="AO35" s="751">
        <v>15</v>
      </c>
      <c r="AP35" s="751"/>
      <c r="AQ35" s="751"/>
      <c r="AR35" s="2595" t="s">
        <v>1025</v>
      </c>
      <c r="AS35" s="2595"/>
      <c r="AT35" s="2595"/>
      <c r="AU35" s="2595"/>
      <c r="AV35" s="2595"/>
      <c r="AW35" s="2595"/>
      <c r="AX35" s="751"/>
      <c r="AZ35" s="2601"/>
      <c r="BA35" s="1684"/>
      <c r="BB35" s="1684"/>
      <c r="BC35" s="1684"/>
      <c r="BD35" s="1684"/>
      <c r="BE35" s="1684"/>
      <c r="BF35" s="1684"/>
      <c r="BG35" s="2601"/>
      <c r="BH35" s="751"/>
      <c r="BI35" s="751"/>
      <c r="BJ35" s="751"/>
      <c r="BK35" s="751"/>
      <c r="BL35" s="751"/>
      <c r="BM35" s="751"/>
      <c r="BN35" s="751"/>
      <c r="BO35" s="751"/>
      <c r="BP35" s="751"/>
      <c r="BQ35" s="751"/>
      <c r="BR35" s="751"/>
      <c r="BS35" s="751"/>
      <c r="BT35" s="751"/>
      <c r="BU35" s="751"/>
      <c r="BV35" s="751"/>
      <c r="BW35" s="751"/>
      <c r="BX35" s="751"/>
      <c r="BY35" s="751"/>
      <c r="BZ35" s="751"/>
      <c r="CA35" s="751"/>
      <c r="CB35" s="751"/>
      <c r="CC35" s="751"/>
      <c r="CD35" s="751"/>
      <c r="CE35" s="751"/>
      <c r="CF35" s="751"/>
      <c r="CG35" s="751"/>
      <c r="CH35" s="751"/>
      <c r="CI35" s="751"/>
      <c r="CJ35" s="751"/>
      <c r="CK35" s="751"/>
      <c r="CL35" s="751"/>
      <c r="CM35" s="751"/>
      <c r="CN35" s="751"/>
      <c r="CO35" s="751"/>
      <c r="CP35" s="751"/>
      <c r="CQ35" s="751"/>
      <c r="CR35" s="751"/>
      <c r="CS35" s="751"/>
      <c r="CT35" s="751"/>
      <c r="CU35" s="759"/>
      <c r="CV35" s="1535"/>
      <c r="CW35" s="1535"/>
    </row>
    <row r="36" spans="2:101" ht="26.25" thickBot="1">
      <c r="D36" s="2601"/>
      <c r="E36" s="2618"/>
      <c r="F36" s="496" t="s">
        <v>669</v>
      </c>
      <c r="G36" s="502">
        <v>100</v>
      </c>
      <c r="H36" s="496" t="s">
        <v>721</v>
      </c>
      <c r="I36" s="502">
        <v>200</v>
      </c>
      <c r="J36" s="496" t="s">
        <v>722</v>
      </c>
      <c r="K36" s="496">
        <v>300</v>
      </c>
      <c r="L36" s="495" t="s">
        <v>112</v>
      </c>
      <c r="M36" s="496">
        <v>400</v>
      </c>
      <c r="N36" s="496" t="s">
        <v>654</v>
      </c>
      <c r="O36" s="494">
        <v>500</v>
      </c>
      <c r="P36" s="2591"/>
      <c r="Q36" s="759"/>
      <c r="R36" s="857"/>
      <c r="S36" s="2602"/>
      <c r="T36" s="607"/>
      <c r="U36" s="607"/>
      <c r="V36" s="751"/>
      <c r="W36" s="751"/>
      <c r="X36" s="491"/>
      <c r="Y36" s="495" t="s">
        <v>1030</v>
      </c>
      <c r="AA36" s="1057" t="s">
        <v>1016</v>
      </c>
      <c r="AB36" s="933" t="s">
        <v>1006</v>
      </c>
      <c r="AC36" s="600" t="s">
        <v>79</v>
      </c>
      <c r="AD36" s="601" t="s">
        <v>80</v>
      </c>
      <c r="AE36" s="602" t="s">
        <v>81</v>
      </c>
      <c r="AF36" s="602" t="s">
        <v>82</v>
      </c>
      <c r="AG36" s="602" t="s">
        <v>83</v>
      </c>
      <c r="AH36" s="602" t="s">
        <v>84</v>
      </c>
      <c r="AI36" s="602" t="s">
        <v>85</v>
      </c>
      <c r="AJ36" s="602" t="s">
        <v>86</v>
      </c>
      <c r="AK36" s="602" t="s">
        <v>87</v>
      </c>
      <c r="AL36" s="602" t="s">
        <v>72</v>
      </c>
      <c r="AM36" s="602" t="s">
        <v>88</v>
      </c>
      <c r="AN36" s="602" t="s">
        <v>89</v>
      </c>
      <c r="AO36" s="603" t="s">
        <v>48</v>
      </c>
      <c r="AP36" s="604" t="s">
        <v>783</v>
      </c>
      <c r="AQ36" s="614" t="s">
        <v>810</v>
      </c>
      <c r="AR36" s="605" t="s">
        <v>786</v>
      </c>
      <c r="AS36" s="605" t="s">
        <v>785</v>
      </c>
      <c r="AT36" s="605" t="s">
        <v>784</v>
      </c>
      <c r="AU36" s="605" t="s">
        <v>787</v>
      </c>
      <c r="AV36" s="617" t="s">
        <v>811</v>
      </c>
      <c r="AW36" s="552" t="s">
        <v>863</v>
      </c>
      <c r="AX36" s="493" t="s">
        <v>1222</v>
      </c>
      <c r="AY36" s="493" t="s">
        <v>1124</v>
      </c>
      <c r="AZ36" s="2612"/>
      <c r="BA36" s="1684"/>
      <c r="BB36" s="1684"/>
      <c r="BC36" s="1684"/>
      <c r="BD36" s="1684"/>
      <c r="BE36" s="1684"/>
      <c r="BF36" s="1684"/>
      <c r="BG36" s="2601"/>
      <c r="BH36" s="751"/>
      <c r="BI36" s="751"/>
      <c r="BJ36" s="751"/>
      <c r="BK36" s="751"/>
      <c r="BL36" s="751"/>
      <c r="BM36" s="751"/>
      <c r="BN36" s="751"/>
      <c r="BO36" s="751"/>
      <c r="BP36" s="751"/>
      <c r="BQ36" s="751"/>
      <c r="BR36" s="751"/>
      <c r="BS36" s="751"/>
      <c r="BT36" s="751"/>
      <c r="BU36" s="751"/>
      <c r="BV36" s="751"/>
      <c r="BW36" s="751"/>
      <c r="BX36" s="751"/>
      <c r="BY36" s="751"/>
      <c r="BZ36" s="751"/>
      <c r="CA36" s="751"/>
      <c r="CB36" s="751"/>
      <c r="CC36" s="751"/>
      <c r="CD36" s="751"/>
      <c r="CE36" s="751"/>
      <c r="CF36" s="751"/>
      <c r="CG36" s="751"/>
      <c r="CH36" s="751"/>
      <c r="CI36" s="751"/>
      <c r="CJ36" s="751"/>
      <c r="CK36" s="751"/>
      <c r="CL36" s="751"/>
      <c r="CM36" s="751"/>
      <c r="CN36" s="751"/>
      <c r="CO36" s="751"/>
      <c r="CP36" s="751"/>
      <c r="CQ36" s="751"/>
      <c r="CR36" s="751"/>
      <c r="CS36" s="751"/>
      <c r="CT36" s="751"/>
      <c r="CU36" s="759"/>
      <c r="CV36" s="1535"/>
      <c r="CW36" s="1535"/>
    </row>
    <row r="37" spans="2:101" ht="24.95" customHeight="1">
      <c r="B37" s="515">
        <v>1</v>
      </c>
      <c r="D37" s="2601"/>
      <c r="E37" s="751">
        <f>IF($F$34=0,0,1)</f>
        <v>0</v>
      </c>
      <c r="F37" s="2604"/>
      <c r="G37" s="501"/>
      <c r="H37" s="2604"/>
      <c r="I37" s="501"/>
      <c r="J37" s="2604"/>
      <c r="K37" s="751"/>
      <c r="L37" s="751"/>
      <c r="M37" s="469">
        <v>1</v>
      </c>
      <c r="N37" s="2604"/>
      <c r="O37" s="494"/>
      <c r="P37" s="2591"/>
      <c r="Q37" s="759"/>
      <c r="R37" s="857"/>
      <c r="S37" s="751">
        <f>IF(OR(E37=0,E37=" "),0,E37)</f>
        <v>0</v>
      </c>
      <c r="T37" s="495">
        <f>IF(S37=0,0,1)</f>
        <v>0</v>
      </c>
      <c r="U37" s="607">
        <f>HLOOKUP($AC$11,$F$36:$O$40,D148)</f>
        <v>0</v>
      </c>
      <c r="V37" s="751">
        <f>U37*T37</f>
        <v>0</v>
      </c>
      <c r="W37" s="751">
        <f>$AC$11*10*$AC$34+V37</f>
        <v>0</v>
      </c>
      <c r="X37" s="751">
        <f>IF(AND(W37&gt;$AC$11*10,W37&lt;4999),W37,0)</f>
        <v>0</v>
      </c>
      <c r="Y37" s="751">
        <f t="shared" ref="Y37:Y66" si="24">IF(AND(V37&gt;1,V37&lt;=10),1,0)</f>
        <v>0</v>
      </c>
      <c r="Z37" s="495"/>
      <c r="AA37" s="1080">
        <f>IF(AND(V37&gt;=2,V37&lt;=3),"D",IF(V37=4,"F",0))</f>
        <v>0</v>
      </c>
      <c r="AB37" s="495" t="s">
        <v>790</v>
      </c>
      <c r="AC37" s="495">
        <f>IF($X$37=0,0,VLOOKUP($X$37,'Weapons Table'!$C$66:$Q$93,AC35))</f>
        <v>0</v>
      </c>
      <c r="AD37" s="495">
        <f>IF($X$37=0,0,VLOOKUP($X$37,'Weapons Table'!$C$66:$Q$93,AD35))</f>
        <v>0</v>
      </c>
      <c r="AE37" s="495">
        <f>IF($X$37=0,0,VLOOKUP($X$37,'Weapons Table'!$C$66:$Q$93,AE35))</f>
        <v>0</v>
      </c>
      <c r="AF37" s="495">
        <f>IF($X$37=0,0,VLOOKUP($X$37,'Weapons Table'!$C$66:$Q$93,AF35))</f>
        <v>0</v>
      </c>
      <c r="AG37" s="495">
        <f>IF($X$37=0,0,VLOOKUP($X$37,'Weapons Table'!$C$66:$Q$93,AG35))</f>
        <v>0</v>
      </c>
      <c r="AH37" s="495">
        <f>IF($X$37=0,0,VLOOKUP($X$37,'Weapons Table'!$C$66:$Q$93,AH35))</f>
        <v>0</v>
      </c>
      <c r="AI37" s="495">
        <f>IF($X$37=0,0,VLOOKUP($X$37,'Weapons Table'!$C$66:$Q$93,AI35))</f>
        <v>0</v>
      </c>
      <c r="AJ37" s="495">
        <f>IF($X$37=0,0,VLOOKUP($X$37,'Weapons Table'!$C$66:$Q$93,AJ35))</f>
        <v>0</v>
      </c>
      <c r="AK37" s="495">
        <f>IF($X$37=0,0,VLOOKUP($X$37,'Weapons Table'!$C$66:$Q$93,AK35))</f>
        <v>0</v>
      </c>
      <c r="AL37" s="495">
        <f>IF($X$37=0,0,VLOOKUP($X$37,'Weapons Table'!$C$66:$Q$93,AL35))</f>
        <v>0</v>
      </c>
      <c r="AM37" s="495">
        <f>IF($X$37=0,0,VLOOKUP($X$37,'Weapons Table'!$C$66:$Q$93,AM35))</f>
        <v>0</v>
      </c>
      <c r="AN37" s="495">
        <f>IF($X$37=0,0,VLOOKUP($X$37,'Weapons Table'!$C$66:$Q$93,AN35))</f>
        <v>0</v>
      </c>
      <c r="AO37" s="495">
        <f>IF($X$37=0,0,VLOOKUP($X$37,'Weapons Table'!$C$66:$Q$93,AO35))</f>
        <v>0</v>
      </c>
      <c r="AP37" s="751">
        <f>IF(AL37=0,0,AVERAGE(AC37:AD37)/AL37)</f>
        <v>0</v>
      </c>
      <c r="AQ37" s="751">
        <f>AP37*AF37</f>
        <v>0</v>
      </c>
      <c r="AR37" s="554">
        <f>SUM(AP37:AP38)</f>
        <v>0</v>
      </c>
      <c r="AS37" s="553">
        <f>SUM(AP38:AP39)</f>
        <v>0</v>
      </c>
      <c r="AT37" s="553">
        <f>SUM(AP39:AP40)</f>
        <v>0</v>
      </c>
      <c r="AU37" s="553">
        <f>AP40+AP37</f>
        <v>0</v>
      </c>
      <c r="AV37" s="553">
        <v>0</v>
      </c>
      <c r="AW37" s="553">
        <f>IF(SUM(AJ37:AJ40)=0,0,SUM(AJ37:AJ40)/SUM(Y37:Y40))</f>
        <v>0</v>
      </c>
      <c r="AX37" s="751"/>
      <c r="AZ37" s="2601"/>
      <c r="BA37" s="1684"/>
      <c r="BB37" s="1684"/>
      <c r="BC37" s="1684"/>
      <c r="BD37" s="1684"/>
      <c r="BE37" s="1684"/>
      <c r="BF37" s="1684"/>
      <c r="BG37" s="2601"/>
      <c r="BH37" s="751"/>
      <c r="BI37" s="751"/>
      <c r="BJ37" s="751"/>
      <c r="BK37" s="751"/>
      <c r="BL37" s="751"/>
      <c r="BM37" s="751"/>
      <c r="BN37" s="751"/>
      <c r="BO37" s="751"/>
      <c r="BP37" s="751"/>
      <c r="BQ37" s="751"/>
      <c r="BR37" s="751"/>
      <c r="BS37" s="751"/>
      <c r="BT37" s="751"/>
      <c r="BU37" s="751"/>
      <c r="BV37" s="751"/>
      <c r="BW37" s="751"/>
      <c r="BX37" s="751"/>
      <c r="BY37" s="751"/>
      <c r="BZ37" s="751"/>
      <c r="CA37" s="751"/>
      <c r="CB37" s="751"/>
      <c r="CC37" s="751"/>
      <c r="CD37" s="751"/>
      <c r="CE37" s="751"/>
      <c r="CF37" s="751"/>
      <c r="CG37" s="751"/>
      <c r="CH37" s="751"/>
      <c r="CI37" s="751"/>
      <c r="CJ37" s="751"/>
      <c r="CK37" s="751"/>
      <c r="CL37" s="751"/>
      <c r="CM37" s="751"/>
      <c r="CN37" s="751"/>
      <c r="CO37" s="751"/>
      <c r="CP37" s="751"/>
      <c r="CQ37" s="751"/>
      <c r="CR37" s="751"/>
      <c r="CS37" s="751"/>
      <c r="CT37" s="751"/>
      <c r="CU37" s="759"/>
      <c r="CV37" s="1535"/>
      <c r="CW37" s="1535"/>
    </row>
    <row r="38" spans="2:101" ht="24.95" customHeight="1">
      <c r="B38" s="515">
        <v>2</v>
      </c>
      <c r="D38" s="2601"/>
      <c r="E38" s="495" t="str">
        <f>IF($F$34&gt;E37,E37+1," ")</f>
        <v xml:space="preserve"> </v>
      </c>
      <c r="F38" s="2604"/>
      <c r="G38" s="751"/>
      <c r="H38" s="2604"/>
      <c r="I38" s="751"/>
      <c r="J38" s="2604"/>
      <c r="K38" s="751"/>
      <c r="L38" s="751"/>
      <c r="M38" s="469">
        <v>1</v>
      </c>
      <c r="N38" s="2604"/>
      <c r="O38" s="494"/>
      <c r="P38" s="2591"/>
      <c r="Q38" s="759"/>
      <c r="R38" s="857"/>
      <c r="S38" s="751">
        <f t="shared" ref="S38:S40" si="25">IF(OR(E38=0,E38=" "),0,E38)</f>
        <v>0</v>
      </c>
      <c r="T38" s="495">
        <f t="shared" ref="T38:T40" si="26">IF(S38=0,0,1)</f>
        <v>0</v>
      </c>
      <c r="U38" s="607">
        <f>HLOOKUP($AC$11,$F$36:$O$40,D149)</f>
        <v>0</v>
      </c>
      <c r="V38" s="751">
        <f t="shared" ref="V38:V54" si="27">U38*T38</f>
        <v>0</v>
      </c>
      <c r="W38" s="1684">
        <f t="shared" ref="W38:W40" si="28">$AC$11*10*$AC$34+V38</f>
        <v>0</v>
      </c>
      <c r="X38" s="1684">
        <f t="shared" ref="X38:X40" si="29">IF(AND(W38&gt;$AC$11*10,W38&lt;4999),W38,0)</f>
        <v>0</v>
      </c>
      <c r="Y38" s="751">
        <f t="shared" si="24"/>
        <v>0</v>
      </c>
      <c r="Z38" s="495"/>
      <c r="AA38" s="1080">
        <f t="shared" ref="AA38:AA40" si="30">IF(AND(V38&gt;=2,V38&lt;=3),"D",IF(V38=4,"F",0))</f>
        <v>0</v>
      </c>
      <c r="AB38" s="495" t="s">
        <v>791</v>
      </c>
      <c r="AC38" s="495">
        <f>IF($X$38=0,0,VLOOKUP($X$38,'Weapons Table'!$C$66:$Q$93,AC35))</f>
        <v>0</v>
      </c>
      <c r="AD38" s="495">
        <f>IF($X$38=0,0,VLOOKUP($X$38,'Weapons Table'!$C$66:$Q$93,AD35))</f>
        <v>0</v>
      </c>
      <c r="AE38" s="495">
        <f>IF($X$38=0,0,VLOOKUP($X$38,'Weapons Table'!$C$66:$Q$93,AE35))</f>
        <v>0</v>
      </c>
      <c r="AF38" s="495">
        <f>IF($X$38=0,0,VLOOKUP($X$38,'Weapons Table'!$C$66:$Q$93,AF35))</f>
        <v>0</v>
      </c>
      <c r="AG38" s="495">
        <f>IF($X$38=0,0,VLOOKUP($X$38,'Weapons Table'!$C$66:$Q$93,AG35))</f>
        <v>0</v>
      </c>
      <c r="AH38" s="495">
        <f>IF($X$38=0,0,VLOOKUP($X$38,'Weapons Table'!$C$66:$Q$93,AH35))</f>
        <v>0</v>
      </c>
      <c r="AI38" s="495">
        <f>IF($X$38=0,0,VLOOKUP($X$38,'Weapons Table'!$C$66:$Q$93,AI35))</f>
        <v>0</v>
      </c>
      <c r="AJ38" s="495">
        <f>IF($X$38=0,0,VLOOKUP($X$38,'Weapons Table'!$C$66:$Q$93,AJ35))</f>
        <v>0</v>
      </c>
      <c r="AK38" s="495">
        <f>IF($X$38=0,0,VLOOKUP($X$38,'Weapons Table'!$C$66:$Q$93,AK35))</f>
        <v>0</v>
      </c>
      <c r="AL38" s="495">
        <f>IF($X$38=0,0,VLOOKUP($X$38,'Weapons Table'!$C$66:$Q$93,AL35))</f>
        <v>0</v>
      </c>
      <c r="AM38" s="495">
        <f>IF($X$38=0,0,VLOOKUP($X$38,'Weapons Table'!$C$66:$Q$93,AM35))</f>
        <v>0</v>
      </c>
      <c r="AN38" s="495">
        <f>IF($X$38=0,0,VLOOKUP($X$38,'Weapons Table'!$C$66:$Q$93,AN35))</f>
        <v>0</v>
      </c>
      <c r="AO38" s="495">
        <f>IF($X$38=0,0,VLOOKUP($X$38,'Weapons Table'!$C$66:$Q$93,AO35))</f>
        <v>0</v>
      </c>
      <c r="AP38" s="751">
        <f t="shared" ref="AP38:AP40" si="31">IF(AL38=0,0,AVERAGE(AC38:AD38)/AL38)</f>
        <v>0</v>
      </c>
      <c r="AQ38" s="943">
        <f t="shared" ref="AQ38:AQ40" si="32">AP38*AF38</f>
        <v>0</v>
      </c>
      <c r="AR38" s="751"/>
      <c r="AS38" s="751"/>
      <c r="AT38" s="751"/>
      <c r="AU38" s="751"/>
      <c r="AV38" s="751"/>
      <c r="AW38" s="751"/>
      <c r="AX38" s="751"/>
      <c r="AZ38" s="2601"/>
      <c r="BA38" s="1684"/>
      <c r="BB38" s="1684"/>
      <c r="BC38" s="1684"/>
      <c r="BD38" s="1684"/>
      <c r="BE38" s="1684"/>
      <c r="BF38" s="1684"/>
      <c r="BG38" s="2601"/>
      <c r="BH38" s="751"/>
      <c r="BI38" s="751"/>
      <c r="BJ38" s="751"/>
      <c r="BK38" s="751"/>
      <c r="BL38" s="751"/>
      <c r="BM38" s="751"/>
      <c r="BN38" s="751"/>
      <c r="BO38" s="751"/>
      <c r="BP38" s="751"/>
      <c r="BQ38" s="751"/>
      <c r="BR38" s="751"/>
      <c r="BS38" s="751"/>
      <c r="BT38" s="751"/>
      <c r="BU38" s="751"/>
      <c r="BV38" s="751"/>
      <c r="BW38" s="751"/>
      <c r="BX38" s="751"/>
      <c r="BY38" s="751"/>
      <c r="BZ38" s="751"/>
      <c r="CA38" s="751"/>
      <c r="CB38" s="751"/>
      <c r="CC38" s="751"/>
      <c r="CD38" s="751"/>
      <c r="CE38" s="751"/>
      <c r="CF38" s="751"/>
      <c r="CG38" s="751"/>
      <c r="CH38" s="751"/>
      <c r="CI38" s="751"/>
      <c r="CJ38" s="751"/>
      <c r="CK38" s="751"/>
      <c r="CL38" s="751"/>
      <c r="CM38" s="751"/>
      <c r="CN38" s="751"/>
      <c r="CO38" s="751"/>
      <c r="CP38" s="751"/>
      <c r="CQ38" s="751"/>
      <c r="CR38" s="751"/>
      <c r="CS38" s="751"/>
      <c r="CT38" s="751"/>
      <c r="CU38" s="759"/>
      <c r="CV38" s="1535"/>
      <c r="CW38" s="1535"/>
    </row>
    <row r="39" spans="2:101" ht="24.95" customHeight="1">
      <c r="B39" s="515">
        <v>3</v>
      </c>
      <c r="D39" s="2601"/>
      <c r="E39" s="495" t="str">
        <f t="shared" ref="E39:E40" si="33">IF($F$34&gt;E38,E38+1," ")</f>
        <v xml:space="preserve"> </v>
      </c>
      <c r="F39" s="2604"/>
      <c r="G39" s="751"/>
      <c r="H39" s="2604"/>
      <c r="I39" s="751"/>
      <c r="J39" s="2604"/>
      <c r="K39" s="751"/>
      <c r="L39" s="751"/>
      <c r="M39" s="469">
        <v>1</v>
      </c>
      <c r="N39" s="2604"/>
      <c r="O39" s="494"/>
      <c r="P39" s="2591"/>
      <c r="Q39" s="759"/>
      <c r="R39" s="857"/>
      <c r="S39" s="751">
        <f t="shared" si="25"/>
        <v>0</v>
      </c>
      <c r="T39" s="495">
        <f t="shared" si="26"/>
        <v>0</v>
      </c>
      <c r="U39" s="607">
        <f>HLOOKUP($AC$11,$F$36:$O$40,D150)</f>
        <v>0</v>
      </c>
      <c r="V39" s="751">
        <f t="shared" si="27"/>
        <v>0</v>
      </c>
      <c r="W39" s="1684">
        <f t="shared" si="28"/>
        <v>0</v>
      </c>
      <c r="X39" s="1684">
        <f t="shared" si="29"/>
        <v>0</v>
      </c>
      <c r="Y39" s="751">
        <f t="shared" si="24"/>
        <v>0</v>
      </c>
      <c r="Z39" s="495"/>
      <c r="AA39" s="1080">
        <f t="shared" si="30"/>
        <v>0</v>
      </c>
      <c r="AB39" s="495" t="s">
        <v>792</v>
      </c>
      <c r="AC39" s="495">
        <f>IF($X$39=0,0,VLOOKUP($X$39,'Weapons Table'!$C$66:$Q$93,AC35))</f>
        <v>0</v>
      </c>
      <c r="AD39" s="495">
        <f>IF($X$39=0,0,VLOOKUP($X$39,'Weapons Table'!$C$66:$Q$93,AD35))</f>
        <v>0</v>
      </c>
      <c r="AE39" s="495">
        <f>IF($X$39=0,0,VLOOKUP($X$39,'Weapons Table'!$C$66:$Q$93,AE35))</f>
        <v>0</v>
      </c>
      <c r="AF39" s="495">
        <f>IF($X$39=0,0,VLOOKUP($X$39,'Weapons Table'!$C$66:$Q$93,AF35))</f>
        <v>0</v>
      </c>
      <c r="AG39" s="495">
        <f>IF($X$39=0,0,VLOOKUP($X$39,'Weapons Table'!$C$66:$Q$93,AG35))</f>
        <v>0</v>
      </c>
      <c r="AH39" s="495">
        <f>IF($X$39=0,0,VLOOKUP($X$39,'Weapons Table'!$C$66:$Q$93,AH35))</f>
        <v>0</v>
      </c>
      <c r="AI39" s="495">
        <f>IF($X$39=0,0,VLOOKUP($X$39,'Weapons Table'!$C$66:$Q$93,AI35))</f>
        <v>0</v>
      </c>
      <c r="AJ39" s="495">
        <f>IF($X$39=0,0,VLOOKUP($X$39,'Weapons Table'!$C$66:$Q$93,AJ35))</f>
        <v>0</v>
      </c>
      <c r="AK39" s="495">
        <f>IF($X$39=0,0,VLOOKUP($X$39,'Weapons Table'!$C$66:$Q$93,AK35))</f>
        <v>0</v>
      </c>
      <c r="AL39" s="495">
        <f>IF($X$39=0,0,VLOOKUP($X$39,'Weapons Table'!$C$66:$Q$93,AL35))</f>
        <v>0</v>
      </c>
      <c r="AM39" s="495">
        <f>IF($X$39=0,0,VLOOKUP($X$39,'Weapons Table'!$C$66:$Q$93,AM35))</f>
        <v>0</v>
      </c>
      <c r="AN39" s="495">
        <f>IF($X$39=0,0,VLOOKUP($X$39,'Weapons Table'!$C$66:$Q$93,AN35))</f>
        <v>0</v>
      </c>
      <c r="AO39" s="495">
        <f>IF($X$39=0,0,VLOOKUP($X$39,'Weapons Table'!$C$66:$Q$93,AO35))</f>
        <v>0</v>
      </c>
      <c r="AP39" s="751">
        <f t="shared" si="31"/>
        <v>0</v>
      </c>
      <c r="AQ39" s="943">
        <f t="shared" si="32"/>
        <v>0</v>
      </c>
      <c r="AR39" s="751"/>
      <c r="AS39" s="751"/>
      <c r="AT39" s="751"/>
      <c r="AU39" s="751"/>
      <c r="AV39" s="751"/>
      <c r="AW39" s="751"/>
      <c r="AX39" s="751"/>
      <c r="AZ39" s="2601"/>
      <c r="BA39" s="1684"/>
      <c r="BB39" s="1684"/>
      <c r="BC39" s="1684"/>
      <c r="BD39" s="1684"/>
      <c r="BE39" s="1684"/>
      <c r="BF39" s="1684"/>
      <c r="BG39" s="2601"/>
      <c r="BH39" s="751"/>
      <c r="BI39" s="751"/>
      <c r="BJ39" s="751"/>
      <c r="BK39" s="751"/>
      <c r="BL39" s="751"/>
      <c r="BM39" s="751"/>
      <c r="BN39" s="751"/>
      <c r="BO39" s="751"/>
      <c r="BP39" s="751"/>
      <c r="BQ39" s="751"/>
      <c r="BR39" s="751"/>
      <c r="BS39" s="751"/>
      <c r="BT39" s="751"/>
      <c r="BU39" s="751"/>
      <c r="BV39" s="751"/>
      <c r="BW39" s="751"/>
      <c r="BX39" s="751"/>
      <c r="BY39" s="751"/>
      <c r="BZ39" s="751"/>
      <c r="CA39" s="751"/>
      <c r="CB39" s="751"/>
      <c r="CC39" s="751"/>
      <c r="CD39" s="751"/>
      <c r="CE39" s="751"/>
      <c r="CF39" s="751"/>
      <c r="CG39" s="751"/>
      <c r="CH39" s="751"/>
      <c r="CI39" s="751"/>
      <c r="CJ39" s="751"/>
      <c r="CK39" s="751"/>
      <c r="CL39" s="751"/>
      <c r="CM39" s="751"/>
      <c r="CN39" s="751"/>
      <c r="CO39" s="751"/>
      <c r="CP39" s="751"/>
      <c r="CQ39" s="751"/>
      <c r="CR39" s="751"/>
      <c r="CS39" s="751"/>
      <c r="CT39" s="751"/>
      <c r="CU39" s="759"/>
      <c r="CV39" s="1535"/>
      <c r="CW39" s="1535"/>
    </row>
    <row r="40" spans="2:101" ht="24.95" customHeight="1" thickBot="1">
      <c r="B40" s="515">
        <v>4</v>
      </c>
      <c r="D40" s="2601"/>
      <c r="E40" s="495" t="str">
        <f t="shared" si="33"/>
        <v xml:space="preserve"> </v>
      </c>
      <c r="F40" s="2604"/>
      <c r="G40" s="943"/>
      <c r="H40" s="2604"/>
      <c r="I40" s="943"/>
      <c r="J40" s="2604"/>
      <c r="K40" s="943"/>
      <c r="L40" s="943"/>
      <c r="M40" s="469">
        <v>1</v>
      </c>
      <c r="N40" s="2604"/>
      <c r="O40" s="494"/>
      <c r="P40" s="2591"/>
      <c r="Q40" s="945"/>
      <c r="R40" s="943"/>
      <c r="S40" s="943">
        <f t="shared" si="25"/>
        <v>0</v>
      </c>
      <c r="T40" s="495">
        <f t="shared" si="26"/>
        <v>0</v>
      </c>
      <c r="U40" s="607">
        <f>HLOOKUP($AC$11,$F$36:$O$40,D151)</f>
        <v>0</v>
      </c>
      <c r="V40" s="943">
        <f t="shared" si="27"/>
        <v>0</v>
      </c>
      <c r="W40" s="1684">
        <f t="shared" si="28"/>
        <v>0</v>
      </c>
      <c r="X40" s="1684">
        <f t="shared" si="29"/>
        <v>0</v>
      </c>
      <c r="Y40" s="943">
        <f t="shared" si="24"/>
        <v>0</v>
      </c>
      <c r="Z40" s="495"/>
      <c r="AA40" s="1080">
        <f t="shared" si="30"/>
        <v>0</v>
      </c>
      <c r="AB40" s="495" t="s">
        <v>793</v>
      </c>
      <c r="AC40" s="495">
        <f>IF($X$40=0,0,VLOOKUP($X$40,'Weapons Table'!$C$66:$Q$93,AC35))</f>
        <v>0</v>
      </c>
      <c r="AD40" s="495">
        <f>IF($X$40=0,0,VLOOKUP($X$40,'Weapons Table'!$C$66:$Q$93,AD35))</f>
        <v>0</v>
      </c>
      <c r="AE40" s="495">
        <f>IF($X$40=0,0,VLOOKUP($X$40,'Weapons Table'!$C$66:$Q$93,AE35))</f>
        <v>0</v>
      </c>
      <c r="AF40" s="495">
        <f>IF($X$40=0,0,VLOOKUP($X$40,'Weapons Table'!$C$66:$Q$93,AF35))</f>
        <v>0</v>
      </c>
      <c r="AG40" s="495">
        <f>IF($X$40=0,0,VLOOKUP($X$40,'Weapons Table'!$C$66:$Q$93,AG35))</f>
        <v>0</v>
      </c>
      <c r="AH40" s="495">
        <f>IF($X$40=0,0,VLOOKUP($X$40,'Weapons Table'!$C$66:$Q$93,AH35))</f>
        <v>0</v>
      </c>
      <c r="AI40" s="495">
        <f>IF($X$40=0,0,VLOOKUP($X$40,'Weapons Table'!$C$66:$Q$93,AI35))</f>
        <v>0</v>
      </c>
      <c r="AJ40" s="495">
        <f>IF($X$40=0,0,VLOOKUP($X$40,'Weapons Table'!$C$66:$Q$93,AJ35))</f>
        <v>0</v>
      </c>
      <c r="AK40" s="495">
        <f>IF($X$40=0,0,VLOOKUP($X$40,'Weapons Table'!$C$66:$Q$93,AK35))</f>
        <v>0</v>
      </c>
      <c r="AL40" s="495">
        <f>IF($X$40=0,0,VLOOKUP($X$40,'Weapons Table'!$C$66:$Q$93,AL35))</f>
        <v>0</v>
      </c>
      <c r="AM40" s="495">
        <f>IF($X$40=0,0,VLOOKUP($X$40,'Weapons Table'!$C$66:$Q$93,AM35))</f>
        <v>0</v>
      </c>
      <c r="AN40" s="495">
        <f>IF($X$40=0,0,VLOOKUP($X$40,'Weapons Table'!$C$66:$Q$93,AN35))</f>
        <v>0</v>
      </c>
      <c r="AO40" s="495">
        <f>IF($X$40=0,0,VLOOKUP($X$40,'Weapons Table'!$C$66:$Q$93,AO35))</f>
        <v>0</v>
      </c>
      <c r="AP40" s="943">
        <f t="shared" si="31"/>
        <v>0</v>
      </c>
      <c r="AQ40" s="943">
        <f t="shared" si="32"/>
        <v>0</v>
      </c>
      <c r="AR40" s="2615" t="s">
        <v>1026</v>
      </c>
      <c r="AS40" s="2615"/>
      <c r="AT40" s="2615"/>
      <c r="AU40" s="2615"/>
      <c r="AV40" s="2615"/>
      <c r="AW40" s="2615"/>
      <c r="AX40" s="943"/>
      <c r="AZ40" s="2602"/>
      <c r="BA40" s="1684"/>
      <c r="BB40" s="1684"/>
      <c r="BC40" s="1684"/>
      <c r="BD40" s="1684"/>
      <c r="BE40" s="1684"/>
      <c r="BF40" s="1684"/>
      <c r="BG40" s="2601"/>
      <c r="BH40" s="943"/>
      <c r="BI40" s="943"/>
      <c r="BJ40" s="943"/>
      <c r="BK40" s="943"/>
      <c r="BL40" s="943"/>
      <c r="BM40" s="943"/>
      <c r="BN40" s="943"/>
      <c r="BO40" s="943"/>
      <c r="BP40" s="943"/>
      <c r="BQ40" s="943"/>
      <c r="BR40" s="943"/>
      <c r="BS40" s="943"/>
      <c r="BT40" s="943"/>
      <c r="BU40" s="943"/>
      <c r="BV40" s="943"/>
      <c r="BW40" s="943"/>
      <c r="BX40" s="943"/>
      <c r="BY40" s="943"/>
      <c r="BZ40" s="943"/>
      <c r="CA40" s="943"/>
      <c r="CB40" s="943"/>
      <c r="CC40" s="943"/>
      <c r="CD40" s="943"/>
      <c r="CE40" s="943"/>
      <c r="CF40" s="943"/>
      <c r="CG40" s="943"/>
      <c r="CH40" s="943"/>
      <c r="CI40" s="943"/>
      <c r="CJ40" s="943"/>
      <c r="CK40" s="943"/>
      <c r="CL40" s="943"/>
      <c r="CM40" s="943"/>
      <c r="CN40" s="943"/>
      <c r="CO40" s="943"/>
      <c r="CP40" s="943"/>
      <c r="CQ40" s="943"/>
      <c r="CR40" s="943"/>
      <c r="CS40" s="943"/>
      <c r="CT40" s="943"/>
      <c r="CU40" s="945"/>
      <c r="CV40" s="1535"/>
      <c r="CW40" s="1535"/>
    </row>
    <row r="41" spans="2:101" ht="26.25" thickBot="1">
      <c r="D41" s="2600" t="s">
        <v>973</v>
      </c>
      <c r="E41" s="949"/>
      <c r="F41" s="949" t="s">
        <v>997</v>
      </c>
      <c r="G41" s="488"/>
      <c r="H41" s="949" t="s">
        <v>1004</v>
      </c>
      <c r="I41" s="488"/>
      <c r="J41" s="488"/>
      <c r="K41" s="488"/>
      <c r="L41" s="488"/>
      <c r="M41" s="845"/>
      <c r="N41" s="488"/>
      <c r="O41" s="489"/>
      <c r="P41" s="2606"/>
      <c r="Q41" s="2607"/>
      <c r="R41" s="949" t="s">
        <v>1018</v>
      </c>
      <c r="S41" s="949" t="s">
        <v>1021</v>
      </c>
      <c r="T41" s="949" t="s">
        <v>1024</v>
      </c>
      <c r="U41" s="926" t="s">
        <v>79</v>
      </c>
      <c r="V41" s="925" t="s">
        <v>80</v>
      </c>
      <c r="W41" s="925" t="s">
        <v>81</v>
      </c>
      <c r="X41" s="918" t="s">
        <v>967</v>
      </c>
      <c r="Y41" s="925" t="s">
        <v>88</v>
      </c>
      <c r="Z41" s="1061" t="s">
        <v>979</v>
      </c>
      <c r="AA41" s="920" t="s">
        <v>1022</v>
      </c>
      <c r="AB41" s="1064" t="s">
        <v>1006</v>
      </c>
      <c r="AC41" s="1065" t="s">
        <v>79</v>
      </c>
      <c r="AD41" s="1066" t="s">
        <v>80</v>
      </c>
      <c r="AE41" s="1062" t="s">
        <v>81</v>
      </c>
      <c r="AF41" s="927" t="s">
        <v>82</v>
      </c>
      <c r="AG41" s="927" t="s">
        <v>83</v>
      </c>
      <c r="AH41" s="927" t="s">
        <v>84</v>
      </c>
      <c r="AI41" s="927" t="s">
        <v>85</v>
      </c>
      <c r="AJ41" s="927" t="s">
        <v>86</v>
      </c>
      <c r="AK41" s="927" t="s">
        <v>87</v>
      </c>
      <c r="AL41" s="927" t="s">
        <v>72</v>
      </c>
      <c r="AM41" s="927" t="s">
        <v>88</v>
      </c>
      <c r="AN41" s="927" t="s">
        <v>89</v>
      </c>
      <c r="AO41" s="928" t="s">
        <v>48</v>
      </c>
      <c r="AP41" s="929" t="s">
        <v>783</v>
      </c>
      <c r="AQ41" s="930" t="s">
        <v>810</v>
      </c>
      <c r="AR41" s="687" t="s">
        <v>786</v>
      </c>
      <c r="AS41" s="687" t="s">
        <v>785</v>
      </c>
      <c r="AT41" s="687" t="s">
        <v>784</v>
      </c>
      <c r="AU41" s="687" t="s">
        <v>787</v>
      </c>
      <c r="AV41" s="931" t="s">
        <v>811</v>
      </c>
      <c r="AW41" s="932" t="s">
        <v>863</v>
      </c>
      <c r="AX41" s="493" t="s">
        <v>1222</v>
      </c>
      <c r="AY41" s="493" t="s">
        <v>1124</v>
      </c>
      <c r="AZ41" s="2589" t="s">
        <v>1032</v>
      </c>
      <c r="BA41" s="488"/>
      <c r="BB41" s="488"/>
      <c r="BC41" s="488"/>
      <c r="BD41" s="488"/>
      <c r="BE41" s="488"/>
      <c r="BF41" s="488"/>
      <c r="BG41" s="2601"/>
      <c r="BH41" s="488"/>
      <c r="BI41" s="488"/>
      <c r="BJ41" s="488"/>
      <c r="BK41" s="488"/>
      <c r="BL41" s="488"/>
      <c r="BM41" s="488"/>
      <c r="BN41" s="488"/>
      <c r="BO41" s="488"/>
      <c r="BP41" s="488"/>
      <c r="BQ41" s="488"/>
      <c r="BR41" s="488"/>
      <c r="BS41" s="488"/>
      <c r="BT41" s="488"/>
      <c r="BU41" s="488"/>
      <c r="BV41" s="488"/>
      <c r="BW41" s="488"/>
      <c r="BX41" s="488"/>
      <c r="BY41" s="488"/>
      <c r="BZ41" s="488"/>
      <c r="CA41" s="488"/>
      <c r="CB41" s="488"/>
      <c r="CC41" s="488"/>
      <c r="CD41" s="488"/>
      <c r="CE41" s="488"/>
      <c r="CF41" s="488"/>
      <c r="CG41" s="488"/>
      <c r="CH41" s="488"/>
      <c r="CI41" s="488"/>
      <c r="CJ41" s="488"/>
      <c r="CK41" s="488"/>
      <c r="CL41" s="488"/>
      <c r="CM41" s="488"/>
      <c r="CN41" s="488"/>
      <c r="CO41" s="488"/>
      <c r="CP41" s="488"/>
      <c r="CQ41" s="488"/>
      <c r="CR41" s="488"/>
      <c r="CS41" s="488"/>
      <c r="CT41" s="488"/>
      <c r="CU41" s="504"/>
      <c r="CV41" s="1535"/>
      <c r="CW41" s="1535"/>
    </row>
    <row r="42" spans="2:101" ht="24.95" customHeight="1">
      <c r="D42" s="2601"/>
      <c r="E42" s="495"/>
      <c r="F42" s="943"/>
      <c r="G42" s="2660">
        <v>1</v>
      </c>
      <c r="H42" s="943"/>
      <c r="I42" s="2660">
        <v>1</v>
      </c>
      <c r="J42" s="943"/>
      <c r="K42" s="943"/>
      <c r="L42" s="943"/>
      <c r="M42" s="469"/>
      <c r="N42" s="943"/>
      <c r="O42" s="494"/>
      <c r="P42" s="2608"/>
      <c r="Q42" s="2609"/>
      <c r="R42" s="495" t="s">
        <v>1012</v>
      </c>
      <c r="S42" s="495" t="s">
        <v>997</v>
      </c>
      <c r="T42" s="495">
        <f>$G$42+50</f>
        <v>51</v>
      </c>
      <c r="U42" s="607">
        <f>VLOOKUP($T$42,muntions!$AT$29:$BH$32,muntions!AZ1)</f>
        <v>0</v>
      </c>
      <c r="V42" s="607">
        <f>VLOOKUP($T$42,muntions!$AT$29:$BH$32,muntions!BA1)</f>
        <v>0</v>
      </c>
      <c r="W42" s="607">
        <f>VLOOKUP($T$42,muntions!$AT$29:$BH$32,muntions!BB1)</f>
        <v>0</v>
      </c>
      <c r="X42" s="607">
        <f>VLOOKUP($T$42,muntions!$AT$29:$BH$32,muntions!BC1)</f>
        <v>0</v>
      </c>
      <c r="Y42" s="607">
        <f>VLOOKUP($T$42,muntions!$AT$29:$BH$32,muntions!BD1)</f>
        <v>0</v>
      </c>
      <c r="Z42" s="607">
        <f>VLOOKUP($T$42,muntions!$AT$29:$BH$32,muntions!BE1)</f>
        <v>0</v>
      </c>
      <c r="AA42" s="1080">
        <f>AA37</f>
        <v>0</v>
      </c>
      <c r="AB42" s="495" t="s">
        <v>790</v>
      </c>
      <c r="AC42" s="495">
        <f>IF(AA42=$R$42,AC37*$U$42,IF(AA42=$R$43,AC37*$U$43,0))</f>
        <v>0</v>
      </c>
      <c r="AD42" s="495">
        <f t="shared" ref="AD42:AE42" si="34">IF($AA$42=$R$42,AD37*V42,IF($AA$42=$R$43,AD37*V43,0))</f>
        <v>0</v>
      </c>
      <c r="AE42" s="495">
        <f t="shared" si="34"/>
        <v>0</v>
      </c>
      <c r="AF42" s="495">
        <f>AF37</f>
        <v>0</v>
      </c>
      <c r="AG42" s="495">
        <f>AG37</f>
        <v>0</v>
      </c>
      <c r="AH42" s="495">
        <f>AH37</f>
        <v>0</v>
      </c>
      <c r="AI42" s="495">
        <f>AI37</f>
        <v>0</v>
      </c>
      <c r="AJ42" s="495">
        <f>IF(AA42=$R$42,AJ37*$X$42,IF(AA42=$R$43,AJ37*$X$43,0))</f>
        <v>0</v>
      </c>
      <c r="AK42" s="495">
        <f>AK37</f>
        <v>0</v>
      </c>
      <c r="AL42" s="495">
        <f>AL37</f>
        <v>0</v>
      </c>
      <c r="AM42" s="495">
        <f>IF(AA42=$R$42,AM37*$Y$42,IF(AA42=$R$43,AM37*$Y$43,0))</f>
        <v>0</v>
      </c>
      <c r="AN42" s="495">
        <f>AN37</f>
        <v>0</v>
      </c>
      <c r="AO42" s="495">
        <f>AO37</f>
        <v>0</v>
      </c>
      <c r="AP42" s="943">
        <f>IF(AL42=0,0,AVERAGE(AC42:AD42)/AL42)</f>
        <v>0</v>
      </c>
      <c r="AQ42" s="943">
        <f>AP42*AF42</f>
        <v>0</v>
      </c>
      <c r="AR42" s="553">
        <f>SUM(AP42:AP43)</f>
        <v>0</v>
      </c>
      <c r="AS42" s="553">
        <f>SUM(AP43:AP44)</f>
        <v>0</v>
      </c>
      <c r="AT42" s="553">
        <f>SUM(AP44:AP45)</f>
        <v>0</v>
      </c>
      <c r="AU42" s="553">
        <f>AP45+AP42</f>
        <v>0</v>
      </c>
      <c r="AV42" s="553">
        <v>0</v>
      </c>
      <c r="AW42" s="553">
        <f>IF(SUM(AJ42:AJ45)=0,0,SUM(AJ42:AJ45)/SUM(Y37:Y40))</f>
        <v>0</v>
      </c>
      <c r="AX42" s="943"/>
      <c r="AZ42" s="2601"/>
      <c r="BA42" s="1684"/>
      <c r="BB42" s="1684"/>
      <c r="BC42" s="1684"/>
      <c r="BD42" s="1684"/>
      <c r="BE42" s="1684"/>
      <c r="BF42" s="1684"/>
      <c r="BG42" s="2601"/>
      <c r="BH42" s="943"/>
      <c r="BI42" s="943"/>
      <c r="BJ42" s="943"/>
      <c r="BK42" s="943"/>
      <c r="BL42" s="943"/>
      <c r="BM42" s="943"/>
      <c r="BN42" s="943"/>
      <c r="BO42" s="943"/>
      <c r="BP42" s="943"/>
      <c r="BQ42" s="943"/>
      <c r="BR42" s="943"/>
      <c r="BS42" s="943"/>
      <c r="BT42" s="943"/>
      <c r="BU42" s="943"/>
      <c r="BV42" s="943"/>
      <c r="BW42" s="943"/>
      <c r="BX42" s="943"/>
      <c r="BY42" s="943"/>
      <c r="BZ42" s="943"/>
      <c r="CA42" s="943"/>
      <c r="CB42" s="943"/>
      <c r="CC42" s="943"/>
      <c r="CD42" s="943"/>
      <c r="CE42" s="943"/>
      <c r="CF42" s="943"/>
      <c r="CG42" s="943"/>
      <c r="CH42" s="943"/>
      <c r="CI42" s="943"/>
      <c r="CJ42" s="943"/>
      <c r="CK42" s="943"/>
      <c r="CL42" s="943"/>
      <c r="CM42" s="943"/>
      <c r="CN42" s="943"/>
      <c r="CO42" s="943"/>
      <c r="CP42" s="943"/>
      <c r="CQ42" s="943"/>
      <c r="CR42" s="943"/>
      <c r="CS42" s="943"/>
      <c r="CT42" s="943"/>
      <c r="CU42" s="945"/>
      <c r="CV42" s="1535"/>
      <c r="CW42" s="1535"/>
    </row>
    <row r="43" spans="2:101" ht="24.95" hidden="1" customHeight="1">
      <c r="D43" s="2601"/>
      <c r="E43" s="495"/>
      <c r="F43" s="943"/>
      <c r="G43" s="943"/>
      <c r="H43" s="943"/>
      <c r="I43" s="943"/>
      <c r="J43" s="943"/>
      <c r="K43" s="943"/>
      <c r="L43" s="943"/>
      <c r="M43" s="469"/>
      <c r="N43" s="943"/>
      <c r="O43" s="494"/>
      <c r="P43" s="2608"/>
      <c r="Q43" s="2609"/>
      <c r="R43" s="495" t="s">
        <v>1013</v>
      </c>
      <c r="S43" s="495" t="s">
        <v>1004</v>
      </c>
      <c r="T43" s="495">
        <f>$I$42+60</f>
        <v>61</v>
      </c>
      <c r="U43" s="607">
        <f>VLOOKUP($T$43,muntions!$AT$25:$BH$28,muntions!AZ1)</f>
        <v>0</v>
      </c>
      <c r="V43" s="607">
        <f>VLOOKUP($T$43,muntions!$AT$25:$BH$28,muntions!BA1)</f>
        <v>0</v>
      </c>
      <c r="W43" s="607">
        <f>VLOOKUP($T$43,muntions!$AT$25:$BH$28,muntions!BB1)</f>
        <v>0</v>
      </c>
      <c r="X43" s="607">
        <f>VLOOKUP($T$43,muntions!$AT$25:$BH$28,muntions!BC1)</f>
        <v>0</v>
      </c>
      <c r="Y43" s="607">
        <f>VLOOKUP($T$43,muntions!$AT$25:$BH$28,muntions!BD1)</f>
        <v>0</v>
      </c>
      <c r="Z43" s="607">
        <f>VLOOKUP($T$43,muntions!$AT$25:$BH$28,muntions!BE1)</f>
        <v>0</v>
      </c>
      <c r="AA43" s="1080">
        <f t="shared" ref="AA43:AA45" si="35">AA38</f>
        <v>0</v>
      </c>
      <c r="AB43" s="495" t="s">
        <v>791</v>
      </c>
      <c r="AC43" s="495">
        <f>IF($AA$43=$R$42,AC38*U42,IF($AA$43=$R$43,AC38*U43,0))</f>
        <v>0</v>
      </c>
      <c r="AD43" s="495">
        <f t="shared" ref="AD43:AE43" si="36">IF($AA$43=$R$42,AD38*V42,IF($AA$43=$R$43,AD38*V43,0))</f>
        <v>0</v>
      </c>
      <c r="AE43" s="495">
        <f t="shared" si="36"/>
        <v>0</v>
      </c>
      <c r="AF43" s="495">
        <f t="shared" ref="AF43:AI45" si="37">AF38</f>
        <v>0</v>
      </c>
      <c r="AG43" s="495">
        <f t="shared" si="37"/>
        <v>0</v>
      </c>
      <c r="AH43" s="495">
        <f t="shared" si="37"/>
        <v>0</v>
      </c>
      <c r="AI43" s="495">
        <f t="shared" si="37"/>
        <v>0</v>
      </c>
      <c r="AJ43" s="495">
        <f t="shared" ref="AJ43:AJ45" si="38">IF(AA43=$R$42,AJ38*$X$42,IF(AA43=$R$43,AJ38*$X$43,0))</f>
        <v>0</v>
      </c>
      <c r="AK43" s="495">
        <f t="shared" ref="AK43:AL45" si="39">AK38</f>
        <v>0</v>
      </c>
      <c r="AL43" s="495">
        <f t="shared" si="39"/>
        <v>0</v>
      </c>
      <c r="AM43" s="495">
        <f t="shared" ref="AM43:AM45" si="40">IF(AA43=$R$42,AM38*$Y$42,IF(AA43=$R$43,AM38*$Y$43,0))</f>
        <v>0</v>
      </c>
      <c r="AN43" s="495">
        <f t="shared" ref="AN43:AO45" si="41">AN38</f>
        <v>0</v>
      </c>
      <c r="AO43" s="495">
        <f t="shared" si="41"/>
        <v>0</v>
      </c>
      <c r="AP43" s="943">
        <f t="shared" ref="AP43:AP45" si="42">IF(AL43=0,0,AVERAGE(AC43:AD43)/AL43)</f>
        <v>0</v>
      </c>
      <c r="AQ43" s="943">
        <f t="shared" ref="AQ43:AQ45" si="43">AP43*AF43</f>
        <v>0</v>
      </c>
      <c r="AR43" s="943"/>
      <c r="AS43" s="943"/>
      <c r="AT43" s="943"/>
      <c r="AU43" s="943"/>
      <c r="AV43" s="943"/>
      <c r="AW43" s="943"/>
      <c r="AX43" s="943"/>
      <c r="AZ43" s="2601"/>
      <c r="BA43" s="1684"/>
      <c r="BB43" s="1684"/>
      <c r="BC43" s="1684"/>
      <c r="BD43" s="1684"/>
      <c r="BE43" s="1684"/>
      <c r="BF43" s="1684"/>
      <c r="BG43" s="2601"/>
      <c r="BH43" s="943"/>
      <c r="BI43" s="943"/>
      <c r="BJ43" s="943"/>
      <c r="BK43" s="943"/>
      <c r="BL43" s="943"/>
      <c r="BM43" s="943"/>
      <c r="BN43" s="943"/>
      <c r="BO43" s="943"/>
      <c r="BP43" s="943"/>
      <c r="BQ43" s="943"/>
      <c r="BR43" s="943"/>
      <c r="BS43" s="943"/>
      <c r="BT43" s="943"/>
      <c r="BU43" s="943"/>
      <c r="BV43" s="943"/>
      <c r="BW43" s="943"/>
      <c r="BX43" s="943"/>
      <c r="BY43" s="943"/>
      <c r="BZ43" s="943"/>
      <c r="CA43" s="943"/>
      <c r="CB43" s="943"/>
      <c r="CC43" s="943"/>
      <c r="CD43" s="943"/>
      <c r="CE43" s="943"/>
      <c r="CF43" s="943"/>
      <c r="CG43" s="943"/>
      <c r="CH43" s="943"/>
      <c r="CI43" s="943"/>
      <c r="CJ43" s="943"/>
      <c r="CK43" s="943"/>
      <c r="CL43" s="943"/>
      <c r="CM43" s="943"/>
      <c r="CN43" s="943"/>
      <c r="CO43" s="943"/>
      <c r="CP43" s="943"/>
      <c r="CQ43" s="943"/>
      <c r="CR43" s="943"/>
      <c r="CS43" s="943"/>
      <c r="CT43" s="943"/>
      <c r="CU43" s="945"/>
      <c r="CV43" s="1535"/>
      <c r="CW43" s="1535"/>
    </row>
    <row r="44" spans="2:101" ht="24.95" hidden="1" customHeight="1">
      <c r="D44" s="2601"/>
      <c r="E44" s="495"/>
      <c r="F44" s="943"/>
      <c r="G44" s="943"/>
      <c r="H44" s="943"/>
      <c r="I44" s="943"/>
      <c r="J44" s="943"/>
      <c r="K44" s="943"/>
      <c r="L44" s="943"/>
      <c r="M44" s="469"/>
      <c r="N44" s="943"/>
      <c r="O44" s="494"/>
      <c r="P44" s="2608"/>
      <c r="Q44" s="2609"/>
      <c r="R44" s="943"/>
      <c r="S44" s="943"/>
      <c r="T44" s="495"/>
      <c r="U44" s="607"/>
      <c r="V44" s="943"/>
      <c r="W44" s="943"/>
      <c r="X44" s="943"/>
      <c r="Y44" s="943"/>
      <c r="Z44" s="495"/>
      <c r="AA44" s="1080">
        <f t="shared" si="35"/>
        <v>0</v>
      </c>
      <c r="AB44" s="495" t="s">
        <v>792</v>
      </c>
      <c r="AC44" s="495">
        <f>IF($AA$44=$R$42,AC39*U42,IF($AA$44=$R$43,AC39*U43,0))</f>
        <v>0</v>
      </c>
      <c r="AD44" s="495">
        <f t="shared" ref="AD44:AE44" si="44">IF($AA$44=$R$42,AD39*V42,IF($AA$44=$R$43,AD39*V43,0))</f>
        <v>0</v>
      </c>
      <c r="AE44" s="495">
        <f t="shared" si="44"/>
        <v>0</v>
      </c>
      <c r="AF44" s="495">
        <f t="shared" si="37"/>
        <v>0</v>
      </c>
      <c r="AG44" s="495">
        <f t="shared" si="37"/>
        <v>0</v>
      </c>
      <c r="AH44" s="495">
        <f t="shared" si="37"/>
        <v>0</v>
      </c>
      <c r="AI44" s="495">
        <f t="shared" si="37"/>
        <v>0</v>
      </c>
      <c r="AJ44" s="495">
        <f t="shared" si="38"/>
        <v>0</v>
      </c>
      <c r="AK44" s="495">
        <f t="shared" si="39"/>
        <v>0</v>
      </c>
      <c r="AL44" s="495">
        <f t="shared" si="39"/>
        <v>0</v>
      </c>
      <c r="AM44" s="495">
        <f t="shared" si="40"/>
        <v>0</v>
      </c>
      <c r="AN44" s="495">
        <f t="shared" si="41"/>
        <v>0</v>
      </c>
      <c r="AO44" s="495">
        <f t="shared" si="41"/>
        <v>0</v>
      </c>
      <c r="AP44" s="943">
        <f t="shared" si="42"/>
        <v>0</v>
      </c>
      <c r="AQ44" s="943">
        <f t="shared" si="43"/>
        <v>0</v>
      </c>
      <c r="AR44" s="943"/>
      <c r="AS44" s="943"/>
      <c r="AT44" s="943"/>
      <c r="AU44" s="943"/>
      <c r="AV44" s="943"/>
      <c r="AW44" s="943"/>
      <c r="AX44" s="943"/>
      <c r="AZ44" s="2601"/>
      <c r="BA44" s="1684"/>
      <c r="BB44" s="1684"/>
      <c r="BC44" s="1684"/>
      <c r="BD44" s="1684"/>
      <c r="BE44" s="1684"/>
      <c r="BF44" s="1684"/>
      <c r="BG44" s="2601"/>
      <c r="BH44" s="943"/>
      <c r="BI44" s="943"/>
      <c r="BJ44" s="943"/>
      <c r="BK44" s="943"/>
      <c r="BL44" s="943"/>
      <c r="BM44" s="943"/>
      <c r="BN44" s="943"/>
      <c r="BO44" s="943"/>
      <c r="BP44" s="943"/>
      <c r="BQ44" s="943"/>
      <c r="BR44" s="943"/>
      <c r="BS44" s="943"/>
      <c r="BT44" s="943"/>
      <c r="BU44" s="943"/>
      <c r="BV44" s="943"/>
      <c r="BW44" s="943"/>
      <c r="BX44" s="943"/>
      <c r="BY44" s="943"/>
      <c r="BZ44" s="943"/>
      <c r="CA44" s="943"/>
      <c r="CB44" s="943"/>
      <c r="CC44" s="943"/>
      <c r="CD44" s="943"/>
      <c r="CE44" s="943"/>
      <c r="CF44" s="943"/>
      <c r="CG44" s="943"/>
      <c r="CH44" s="943"/>
      <c r="CI44" s="943"/>
      <c r="CJ44" s="943"/>
      <c r="CK44" s="943"/>
      <c r="CL44" s="943"/>
      <c r="CM44" s="943"/>
      <c r="CN44" s="943"/>
      <c r="CO44" s="943"/>
      <c r="CP44" s="943"/>
      <c r="CQ44" s="943"/>
      <c r="CR44" s="943"/>
      <c r="CS44" s="943"/>
      <c r="CT44" s="943"/>
      <c r="CU44" s="945"/>
      <c r="CV44" s="1535"/>
      <c r="CW44" s="1535"/>
    </row>
    <row r="45" spans="2:101" ht="24.95" customHeight="1" thickBot="1">
      <c r="D45" s="2602"/>
      <c r="E45" s="947"/>
      <c r="F45" s="944"/>
      <c r="G45" s="944"/>
      <c r="H45" s="944"/>
      <c r="I45" s="944"/>
      <c r="J45" s="944"/>
      <c r="K45" s="944"/>
      <c r="L45" s="944"/>
      <c r="M45" s="470"/>
      <c r="N45" s="944"/>
      <c r="O45" s="499"/>
      <c r="P45" s="2610"/>
      <c r="Q45" s="2611"/>
      <c r="R45" s="944"/>
      <c r="S45" s="944"/>
      <c r="T45" s="947"/>
      <c r="U45" s="610"/>
      <c r="V45" s="944"/>
      <c r="W45" s="944"/>
      <c r="X45" s="944"/>
      <c r="Y45" s="944"/>
      <c r="Z45" s="947"/>
      <c r="AA45" s="1081">
        <f t="shared" si="35"/>
        <v>0</v>
      </c>
      <c r="AB45" s="947" t="s">
        <v>793</v>
      </c>
      <c r="AC45" s="947">
        <f>IF($AA$45=$R$42,AC40*U42,IF($AA$45=$R$43,AC40*U43,0))</f>
        <v>0</v>
      </c>
      <c r="AD45" s="947">
        <f t="shared" ref="AD45:AE45" si="45">IF($AA$45=$R$42,AD40*V42,IF($AA$45=$R$43,AD40*V43,0))</f>
        <v>0</v>
      </c>
      <c r="AE45" s="947">
        <f t="shared" si="45"/>
        <v>0</v>
      </c>
      <c r="AF45" s="947">
        <f t="shared" si="37"/>
        <v>0</v>
      </c>
      <c r="AG45" s="947">
        <f t="shared" si="37"/>
        <v>0</v>
      </c>
      <c r="AH45" s="947">
        <f t="shared" si="37"/>
        <v>0</v>
      </c>
      <c r="AI45" s="947">
        <f t="shared" si="37"/>
        <v>0</v>
      </c>
      <c r="AJ45" s="947">
        <f t="shared" si="38"/>
        <v>0</v>
      </c>
      <c r="AK45" s="947">
        <f t="shared" si="39"/>
        <v>0</v>
      </c>
      <c r="AL45" s="947">
        <f t="shared" si="39"/>
        <v>0</v>
      </c>
      <c r="AM45" s="947">
        <f t="shared" si="40"/>
        <v>0</v>
      </c>
      <c r="AN45" s="947">
        <f t="shared" si="41"/>
        <v>0</v>
      </c>
      <c r="AO45" s="947">
        <f t="shared" si="41"/>
        <v>0</v>
      </c>
      <c r="AP45" s="944">
        <f t="shared" si="42"/>
        <v>0</v>
      </c>
      <c r="AQ45" s="944">
        <f t="shared" si="43"/>
        <v>0</v>
      </c>
      <c r="AR45" s="944"/>
      <c r="AS45" s="944"/>
      <c r="AT45" s="944"/>
      <c r="AU45" s="944"/>
      <c r="AV45" s="944"/>
      <c r="AW45" s="944"/>
      <c r="AX45" s="944"/>
      <c r="AZ45" s="2602"/>
      <c r="BA45" s="1685"/>
      <c r="BB45" s="1685"/>
      <c r="BC45" s="1685"/>
      <c r="BD45" s="1685"/>
      <c r="BE45" s="1685"/>
      <c r="BF45" s="1685"/>
      <c r="BG45" s="2601"/>
      <c r="BH45" s="944"/>
      <c r="BI45" s="944"/>
      <c r="BJ45" s="944"/>
      <c r="BK45" s="944"/>
      <c r="BL45" s="944"/>
      <c r="BM45" s="944"/>
      <c r="BN45" s="944"/>
      <c r="BO45" s="944"/>
      <c r="BP45" s="944"/>
      <c r="BQ45" s="944"/>
      <c r="BR45" s="944"/>
      <c r="BS45" s="944"/>
      <c r="BT45" s="944"/>
      <c r="BU45" s="944"/>
      <c r="BV45" s="944"/>
      <c r="BW45" s="944"/>
      <c r="BX45" s="944"/>
      <c r="BY45" s="944"/>
      <c r="BZ45" s="944"/>
      <c r="CA45" s="944"/>
      <c r="CB45" s="944"/>
      <c r="CC45" s="944"/>
      <c r="CD45" s="944"/>
      <c r="CE45" s="944"/>
      <c r="CF45" s="944"/>
      <c r="CG45" s="944"/>
      <c r="CH45" s="944"/>
      <c r="CI45" s="944"/>
      <c r="CJ45" s="944"/>
      <c r="CK45" s="944"/>
      <c r="CL45" s="944"/>
      <c r="CM45" s="944"/>
      <c r="CN45" s="944"/>
      <c r="CO45" s="944"/>
      <c r="CP45" s="944"/>
      <c r="CQ45" s="944"/>
      <c r="CR45" s="944"/>
      <c r="CS45" s="944"/>
      <c r="CT45" s="944"/>
      <c r="CU45" s="946"/>
      <c r="CV45" s="1535"/>
      <c r="CW45" s="1535"/>
    </row>
    <row r="46" spans="2:101" ht="24.95" customHeight="1" thickBot="1">
      <c r="D46" s="2601" t="s">
        <v>697</v>
      </c>
      <c r="E46" s="1059" t="s">
        <v>681</v>
      </c>
      <c r="F46" s="1060">
        <f>HLOOKUP($B$7,'Ships Table'!C2:$AG$43,15)</f>
        <v>0</v>
      </c>
      <c r="G46" s="491"/>
      <c r="H46" s="491"/>
      <c r="I46" s="491"/>
      <c r="J46" s="943"/>
      <c r="K46" s="943"/>
      <c r="L46" s="943"/>
      <c r="M46" s="943"/>
      <c r="N46" s="943"/>
      <c r="O46" s="494"/>
      <c r="P46" s="2591">
        <f>'Weapons Table'!M2</f>
        <v>2</v>
      </c>
      <c r="Q46" s="945"/>
      <c r="R46" s="943"/>
      <c r="S46" s="2600" t="s">
        <v>809</v>
      </c>
      <c r="T46" s="495"/>
      <c r="U46" s="607"/>
      <c r="V46" s="943"/>
      <c r="W46" s="943"/>
      <c r="X46" s="943"/>
      <c r="Y46" s="943"/>
      <c r="Z46" s="943"/>
      <c r="AA46" s="943"/>
      <c r="AB46" s="943"/>
      <c r="AC46" s="941">
        <f>IF(OR($AC$11=400,$AC$11=500),1,0)</f>
        <v>0</v>
      </c>
      <c r="AD46" s="943"/>
      <c r="AE46" s="943"/>
      <c r="AF46" s="943"/>
      <c r="AG46" s="943"/>
      <c r="AH46" s="943"/>
      <c r="AI46" s="943"/>
      <c r="AJ46" s="943"/>
      <c r="AK46" s="943"/>
      <c r="AL46" s="943"/>
      <c r="AM46" s="943"/>
      <c r="AN46" s="943"/>
      <c r="AO46" s="943"/>
      <c r="AP46" s="943"/>
      <c r="AQ46" s="943"/>
      <c r="AR46" s="943"/>
      <c r="AS46" s="943"/>
      <c r="AT46" s="943"/>
      <c r="AU46" s="943"/>
      <c r="AV46" s="943"/>
      <c r="AW46" s="943"/>
      <c r="AX46" s="943"/>
      <c r="AZ46" s="2600" t="s">
        <v>697</v>
      </c>
      <c r="BA46" s="1684"/>
      <c r="BB46" s="1684"/>
      <c r="BC46" s="1684"/>
      <c r="BD46" s="1684"/>
      <c r="BE46" s="1684"/>
      <c r="BF46" s="1684"/>
      <c r="BG46" s="2601"/>
      <c r="BH46" s="943"/>
      <c r="BI46" s="943"/>
      <c r="BJ46" s="943"/>
      <c r="BK46" s="943"/>
      <c r="BL46" s="943"/>
      <c r="BM46" s="943"/>
      <c r="BN46" s="943"/>
      <c r="BO46" s="943"/>
      <c r="BP46" s="943"/>
      <c r="BQ46" s="943"/>
      <c r="BR46" s="943"/>
      <c r="BS46" s="943"/>
      <c r="BT46" s="943"/>
      <c r="BU46" s="943"/>
      <c r="BV46" s="943"/>
      <c r="BW46" s="943"/>
      <c r="BX46" s="943"/>
      <c r="BY46" s="943"/>
      <c r="BZ46" s="943"/>
      <c r="CA46" s="943"/>
      <c r="CB46" s="943"/>
      <c r="CC46" s="943"/>
      <c r="CD46" s="943"/>
      <c r="CE46" s="943"/>
      <c r="CF46" s="943"/>
      <c r="CG46" s="943"/>
      <c r="CH46" s="943"/>
      <c r="CI46" s="943"/>
      <c r="CJ46" s="943"/>
      <c r="CK46" s="943"/>
      <c r="CL46" s="943"/>
      <c r="CM46" s="943"/>
      <c r="CN46" s="943"/>
      <c r="CO46" s="943"/>
      <c r="CP46" s="943"/>
      <c r="CQ46" s="943"/>
      <c r="CR46" s="943"/>
      <c r="CS46" s="943"/>
      <c r="CT46" s="943"/>
      <c r="CU46" s="945"/>
      <c r="CV46" s="1535"/>
      <c r="CW46" s="1535"/>
    </row>
    <row r="47" spans="2:101" ht="24.95" customHeight="1" thickBot="1">
      <c r="D47" s="2601"/>
      <c r="E47" s="2618" t="s">
        <v>682</v>
      </c>
      <c r="F47" s="500">
        <f>HLOOKUP($B$7,'Ships Table'!C2:AG43,14)</f>
        <v>0</v>
      </c>
      <c r="G47" s="490"/>
      <c r="H47" s="490"/>
      <c r="I47" s="490"/>
      <c r="J47" s="490"/>
      <c r="K47" s="490"/>
      <c r="L47" s="490"/>
      <c r="M47" s="490"/>
      <c r="N47" s="490"/>
      <c r="O47" s="494"/>
      <c r="P47" s="2591"/>
      <c r="Q47" s="759"/>
      <c r="R47" s="857"/>
      <c r="S47" s="2601"/>
      <c r="T47" s="495"/>
      <c r="U47" s="607"/>
      <c r="V47" s="751"/>
      <c r="W47" s="751"/>
      <c r="X47" s="751"/>
      <c r="Y47" s="751"/>
      <c r="Z47" s="751"/>
      <c r="AA47" s="934"/>
      <c r="AB47" s="857"/>
      <c r="AC47" s="751">
        <v>3</v>
      </c>
      <c r="AD47" s="751">
        <v>4</v>
      </c>
      <c r="AE47" s="751">
        <v>5</v>
      </c>
      <c r="AF47" s="751">
        <v>6</v>
      </c>
      <c r="AG47" s="751">
        <v>7</v>
      </c>
      <c r="AH47" s="751">
        <v>8</v>
      </c>
      <c r="AI47" s="751">
        <v>9</v>
      </c>
      <c r="AJ47" s="751">
        <v>10</v>
      </c>
      <c r="AK47" s="751">
        <v>11</v>
      </c>
      <c r="AL47" s="751">
        <v>12</v>
      </c>
      <c r="AM47" s="751">
        <v>13</v>
      </c>
      <c r="AN47" s="751">
        <v>14</v>
      </c>
      <c r="AO47" s="751">
        <v>15</v>
      </c>
      <c r="AP47" s="751"/>
      <c r="AQ47" s="751"/>
      <c r="AR47" s="2595" t="s">
        <v>1025</v>
      </c>
      <c r="AS47" s="2595"/>
      <c r="AT47" s="2595"/>
      <c r="AU47" s="2595"/>
      <c r="AV47" s="2595"/>
      <c r="AW47" s="2595"/>
      <c r="AX47" s="751"/>
      <c r="AZ47" s="2601"/>
      <c r="BA47" s="1684"/>
      <c r="BB47" s="1684"/>
      <c r="BC47" s="1684"/>
      <c r="BD47" s="1684"/>
      <c r="BE47" s="1684"/>
      <c r="BF47" s="1684"/>
      <c r="BG47" s="2601"/>
      <c r="BH47" s="751"/>
      <c r="BI47" s="751"/>
      <c r="BJ47" s="751"/>
      <c r="BK47" s="751"/>
      <c r="BL47" s="751"/>
      <c r="BM47" s="751"/>
      <c r="BN47" s="751"/>
      <c r="BO47" s="751"/>
      <c r="BP47" s="751"/>
      <c r="BQ47" s="751"/>
      <c r="BR47" s="751"/>
      <c r="BS47" s="751"/>
      <c r="BT47" s="751"/>
      <c r="BU47" s="751"/>
      <c r="BV47" s="751"/>
      <c r="BW47" s="751"/>
      <c r="BX47" s="751"/>
      <c r="BY47" s="751"/>
      <c r="BZ47" s="751"/>
      <c r="CA47" s="751"/>
      <c r="CB47" s="751"/>
      <c r="CC47" s="751"/>
      <c r="CD47" s="751"/>
      <c r="CE47" s="751"/>
      <c r="CF47" s="751"/>
      <c r="CG47" s="751"/>
      <c r="CH47" s="751"/>
      <c r="CI47" s="751"/>
      <c r="CJ47" s="751"/>
      <c r="CK47" s="751"/>
      <c r="CL47" s="751"/>
      <c r="CM47" s="751"/>
      <c r="CN47" s="751"/>
      <c r="CO47" s="751"/>
      <c r="CP47" s="751"/>
      <c r="CQ47" s="751"/>
      <c r="CR47" s="751"/>
      <c r="CS47" s="751"/>
      <c r="CT47" s="751"/>
      <c r="CU47" s="759"/>
      <c r="CV47" s="1535"/>
      <c r="CW47" s="1535"/>
    </row>
    <row r="48" spans="2:101" ht="26.25" thickBot="1">
      <c r="D48" s="2601"/>
      <c r="E48" s="2618"/>
      <c r="F48" s="496" t="s">
        <v>669</v>
      </c>
      <c r="G48" s="496">
        <v>100</v>
      </c>
      <c r="H48" s="496" t="s">
        <v>721</v>
      </c>
      <c r="I48" s="496">
        <v>200</v>
      </c>
      <c r="J48" s="496">
        <v>300</v>
      </c>
      <c r="K48" s="490"/>
      <c r="L48" s="495" t="s">
        <v>112</v>
      </c>
      <c r="M48" s="496">
        <v>400</v>
      </c>
      <c r="N48" s="495" t="s">
        <v>654</v>
      </c>
      <c r="O48" s="494">
        <v>500</v>
      </c>
      <c r="P48" s="2591"/>
      <c r="Q48" s="759"/>
      <c r="R48" s="857"/>
      <c r="S48" s="2602"/>
      <c r="T48" s="495"/>
      <c r="U48" s="607"/>
      <c r="V48" s="751"/>
      <c r="W48" s="751"/>
      <c r="X48" s="751"/>
      <c r="Y48" s="495" t="s">
        <v>1031</v>
      </c>
      <c r="Z48" s="751"/>
      <c r="AA48" s="920" t="s">
        <v>1035</v>
      </c>
      <c r="AB48" s="933" t="s">
        <v>1006</v>
      </c>
      <c r="AC48" s="556" t="s">
        <v>79</v>
      </c>
      <c r="AD48" s="557" t="s">
        <v>80</v>
      </c>
      <c r="AE48" s="558" t="s">
        <v>81</v>
      </c>
      <c r="AF48" s="558" t="s">
        <v>82</v>
      </c>
      <c r="AG48" s="558" t="s">
        <v>83</v>
      </c>
      <c r="AH48" s="558" t="s">
        <v>84</v>
      </c>
      <c r="AI48" s="558" t="s">
        <v>85</v>
      </c>
      <c r="AJ48" s="558" t="s">
        <v>86</v>
      </c>
      <c r="AK48" s="558" t="s">
        <v>87</v>
      </c>
      <c r="AL48" s="558" t="s">
        <v>72</v>
      </c>
      <c r="AM48" s="558" t="s">
        <v>88</v>
      </c>
      <c r="AN48" s="558" t="s">
        <v>89</v>
      </c>
      <c r="AO48" s="559" t="s">
        <v>48</v>
      </c>
      <c r="AP48" s="604" t="s">
        <v>783</v>
      </c>
      <c r="AQ48" s="614" t="s">
        <v>810</v>
      </c>
      <c r="AR48" s="605" t="s">
        <v>786</v>
      </c>
      <c r="AS48" s="605" t="s">
        <v>785</v>
      </c>
      <c r="AT48" s="605" t="s">
        <v>784</v>
      </c>
      <c r="AU48" s="605" t="s">
        <v>787</v>
      </c>
      <c r="AV48" s="617" t="s">
        <v>811</v>
      </c>
      <c r="AW48" s="552" t="s">
        <v>863</v>
      </c>
      <c r="AX48" s="493" t="s">
        <v>1222</v>
      </c>
      <c r="AY48" s="493" t="s">
        <v>1124</v>
      </c>
      <c r="AZ48" s="2612"/>
      <c r="BA48" s="1684"/>
      <c r="BB48" s="1684"/>
      <c r="BC48" s="1684"/>
      <c r="BD48" s="1684"/>
      <c r="BE48" s="1684"/>
      <c r="BF48" s="1684"/>
      <c r="BG48" s="2601"/>
      <c r="BH48" s="751"/>
      <c r="BI48" s="751"/>
      <c r="BJ48" s="751"/>
      <c r="BK48" s="751"/>
      <c r="BL48" s="751"/>
      <c r="BM48" s="751"/>
      <c r="BN48" s="751"/>
      <c r="BO48" s="751"/>
      <c r="BP48" s="751"/>
      <c r="BQ48" s="751"/>
      <c r="BR48" s="751"/>
      <c r="BS48" s="751"/>
      <c r="BT48" s="751"/>
      <c r="BU48" s="751"/>
      <c r="BV48" s="751"/>
      <c r="BW48" s="751"/>
      <c r="BX48" s="751"/>
      <c r="BY48" s="751"/>
      <c r="BZ48" s="751"/>
      <c r="CA48" s="751"/>
      <c r="CB48" s="751"/>
      <c r="CC48" s="751"/>
      <c r="CD48" s="751"/>
      <c r="CE48" s="751"/>
      <c r="CF48" s="751"/>
      <c r="CG48" s="751"/>
      <c r="CH48" s="751"/>
      <c r="CI48" s="751"/>
      <c r="CJ48" s="751"/>
      <c r="CK48" s="751"/>
      <c r="CL48" s="751"/>
      <c r="CM48" s="751"/>
      <c r="CN48" s="751"/>
      <c r="CO48" s="751"/>
      <c r="CP48" s="751"/>
      <c r="CQ48" s="751"/>
      <c r="CR48" s="751"/>
      <c r="CS48" s="751"/>
      <c r="CT48" s="751"/>
      <c r="CU48" s="759"/>
      <c r="CV48" s="1535"/>
      <c r="CW48" s="1535"/>
    </row>
    <row r="49" spans="2:101" ht="24.95" customHeight="1">
      <c r="B49" s="515">
        <v>1</v>
      </c>
      <c r="D49" s="2601"/>
      <c r="E49" s="490">
        <f>IF($F$46=0,0,1)</f>
        <v>0</v>
      </c>
      <c r="F49" s="2604"/>
      <c r="G49" s="501"/>
      <c r="H49" s="2604"/>
      <c r="I49" s="501"/>
      <c r="J49" s="2604"/>
      <c r="K49" s="490"/>
      <c r="L49" s="490"/>
      <c r="M49" s="469">
        <v>1</v>
      </c>
      <c r="N49" s="490"/>
      <c r="O49" s="468">
        <v>1</v>
      </c>
      <c r="P49" s="2591"/>
      <c r="Q49" s="759"/>
      <c r="R49" s="857"/>
      <c r="S49" s="751">
        <f>IF(OR(E49=0,E49=" "),0,E49)</f>
        <v>0</v>
      </c>
      <c r="T49" s="495">
        <f>IF(S49=0,0,1)</f>
        <v>0</v>
      </c>
      <c r="U49" s="607">
        <f t="shared" ref="U49:U54" si="46">HLOOKUP($AC$11,$F$48:$O$54,D148)</f>
        <v>0</v>
      </c>
      <c r="V49" s="751">
        <f>U49*T49</f>
        <v>0</v>
      </c>
      <c r="W49" s="751">
        <f>$AC$11*$AC$46+V49</f>
        <v>0</v>
      </c>
      <c r="X49" s="751">
        <f>IF(OR(AND(W49&gt;400,W49&lt;499),AND(W49&gt;501,W49&lt;599)),W49*10,0)</f>
        <v>0</v>
      </c>
      <c r="Y49" s="751">
        <f>IF(AND(V49&gt;1,V49&lt;=10),1,0)</f>
        <v>0</v>
      </c>
      <c r="Z49" s="495"/>
      <c r="AA49" s="1080" t="str">
        <f>IF(X49=430,"CC","C")</f>
        <v>C</v>
      </c>
      <c r="AB49" s="495" t="s">
        <v>794</v>
      </c>
      <c r="AC49" s="751">
        <f>IF($X$49=0,0,VLOOKUP($X$49,'Weapons Table'!$C$66:$Q$93,AC47))</f>
        <v>0</v>
      </c>
      <c r="AD49" s="751">
        <f>IF($X$49=0,0,VLOOKUP($X$49,'Weapons Table'!$C$66:$Q$93,AD47))</f>
        <v>0</v>
      </c>
      <c r="AE49" s="751">
        <f>IF($X$49=0,0,VLOOKUP($X$49,'Weapons Table'!$C$66:$Q$93,AE47))</f>
        <v>0</v>
      </c>
      <c r="AF49" s="751">
        <f>IF($X$49=0,0,VLOOKUP($X$49,'Weapons Table'!$C$66:$Q$93,AF47))</f>
        <v>0</v>
      </c>
      <c r="AG49" s="751">
        <f>IF($X$49=0,0,VLOOKUP($X$49,'Weapons Table'!$C$66:$Q$93,AG47))</f>
        <v>0</v>
      </c>
      <c r="AH49" s="751">
        <f>IF($X$49=0,0,VLOOKUP($X$49,'Weapons Table'!$C$66:$Q$93,AH47))</f>
        <v>0</v>
      </c>
      <c r="AI49" s="751">
        <f>IF($X$49=0,0,VLOOKUP($X$49,'Weapons Table'!$C$66:$Q$93,AI47))</f>
        <v>0</v>
      </c>
      <c r="AJ49" s="751">
        <f>IF($X$49=0,0,VLOOKUP($X$49,'Weapons Table'!$C$66:$Q$93,AJ47))</f>
        <v>0</v>
      </c>
      <c r="AK49" s="751">
        <f>IF($X$49=0,0,VLOOKUP($X$49,'Weapons Table'!$C$66:$Q$93,AK47))</f>
        <v>0</v>
      </c>
      <c r="AL49" s="751">
        <f>IF($X$49=0,0,VLOOKUP($X$49,'Weapons Table'!$C$66:$Q$93,AL47))</f>
        <v>0</v>
      </c>
      <c r="AM49" s="751">
        <f>IF($X$49=0,0,VLOOKUP($X$49,'Weapons Table'!$C$66:$Q$93,AM47))</f>
        <v>0</v>
      </c>
      <c r="AN49" s="751">
        <f>IF($X$49=0,0,VLOOKUP($X$49,'Weapons Table'!$C$66:$Q$93,AN47))</f>
        <v>0</v>
      </c>
      <c r="AO49" s="751">
        <f>IF($X$49=0,0,VLOOKUP($X$49,'Weapons Table'!$C$66:$Q$93,AO47))</f>
        <v>0</v>
      </c>
      <c r="AP49" s="508">
        <f>IF(AL49=0,0,AVERAGE(AC49:AD49)/AL49)</f>
        <v>0</v>
      </c>
      <c r="AQ49" s="751">
        <f>AP49*AF49</f>
        <v>0</v>
      </c>
      <c r="AR49" s="553">
        <f>IF($B$7=1501,SUM(AP49:AP50),IF($B$7=1502,SUM(AP49:AP51),0))</f>
        <v>0</v>
      </c>
      <c r="AS49" s="553">
        <f>IF(OR($B$7=1501,$B$7=1502),0,SUM(AP49:AP50))</f>
        <v>0</v>
      </c>
      <c r="AT49" s="553">
        <f>IF($B$7=1501,SUM(AP51:AP52),IF($B$7=1502,SUM(AP52:AP54),0))</f>
        <v>0</v>
      </c>
      <c r="AU49" s="553">
        <v>0</v>
      </c>
      <c r="AV49" s="553">
        <v>0</v>
      </c>
      <c r="AW49" s="553">
        <f>IF(SUM(AJ49:AJ54)=0,0,SUM(AJ49:AJ54)/SUM(Y49:Y54))</f>
        <v>0</v>
      </c>
      <c r="AX49" s="751"/>
      <c r="AZ49" s="2601"/>
      <c r="BA49" s="1684"/>
      <c r="BB49" s="1684"/>
      <c r="BC49" s="1684"/>
      <c r="BD49" s="1684"/>
      <c r="BE49" s="1684"/>
      <c r="BF49" s="1684"/>
      <c r="BG49" s="2601"/>
      <c r="BH49" s="751"/>
      <c r="BI49" s="751"/>
      <c r="BJ49" s="751"/>
      <c r="BK49" s="751"/>
      <c r="BL49" s="751"/>
      <c r="BM49" s="751"/>
      <c r="BN49" s="751"/>
      <c r="BO49" s="751"/>
      <c r="BP49" s="751"/>
      <c r="BQ49" s="751"/>
      <c r="BR49" s="751"/>
      <c r="BS49" s="751"/>
      <c r="BT49" s="751"/>
      <c r="BU49" s="751"/>
      <c r="BV49" s="751"/>
      <c r="BW49" s="751"/>
      <c r="BX49" s="751"/>
      <c r="BY49" s="751"/>
      <c r="BZ49" s="751"/>
      <c r="CA49" s="751"/>
      <c r="CB49" s="751"/>
      <c r="CC49" s="751"/>
      <c r="CD49" s="751"/>
      <c r="CE49" s="751"/>
      <c r="CF49" s="751"/>
      <c r="CG49" s="751"/>
      <c r="CH49" s="751"/>
      <c r="CI49" s="751"/>
      <c r="CJ49" s="751"/>
      <c r="CK49" s="751"/>
      <c r="CL49" s="751"/>
      <c r="CM49" s="751"/>
      <c r="CN49" s="751"/>
      <c r="CO49" s="751"/>
      <c r="CP49" s="751"/>
      <c r="CQ49" s="751"/>
      <c r="CR49" s="751"/>
      <c r="CS49" s="751"/>
      <c r="CT49" s="751"/>
      <c r="CU49" s="759"/>
      <c r="CV49" s="1535"/>
      <c r="CW49" s="1535"/>
    </row>
    <row r="50" spans="2:101" ht="24.95" customHeight="1">
      <c r="B50" s="515">
        <v>2</v>
      </c>
      <c r="D50" s="2601"/>
      <c r="E50" s="490" t="str">
        <f>IF($F$46&gt;E49,E49+1," ")</f>
        <v xml:space="preserve"> </v>
      </c>
      <c r="F50" s="2604"/>
      <c r="G50" s="490"/>
      <c r="H50" s="2604"/>
      <c r="I50" s="490"/>
      <c r="J50" s="2604"/>
      <c r="K50" s="490"/>
      <c r="L50" s="490"/>
      <c r="M50" s="469">
        <v>1</v>
      </c>
      <c r="N50" s="490"/>
      <c r="O50" s="468">
        <v>1</v>
      </c>
      <c r="P50" s="2591"/>
      <c r="Q50" s="759"/>
      <c r="R50" s="857"/>
      <c r="S50" s="751">
        <f t="shared" ref="S50:S54" si="47">IF(OR(E50=0,E50=" "),0,E50)</f>
        <v>0</v>
      </c>
      <c r="T50" s="495">
        <f t="shared" ref="T50:T54" si="48">IF(S50=0,0,1)</f>
        <v>0</v>
      </c>
      <c r="U50" s="607">
        <f t="shared" si="46"/>
        <v>0</v>
      </c>
      <c r="V50" s="751">
        <f t="shared" si="27"/>
        <v>0</v>
      </c>
      <c r="W50" s="1684">
        <f t="shared" ref="W50:W54" si="49">$AC$11*$AC$46+V50</f>
        <v>0</v>
      </c>
      <c r="X50" s="1684">
        <f t="shared" ref="X50:X54" si="50">IF(OR(AND(W50&gt;400,W50&lt;499),AND(W50&gt;501,W50&lt;599)),W50*10,0)</f>
        <v>0</v>
      </c>
      <c r="Y50" s="751">
        <f t="shared" si="24"/>
        <v>0</v>
      </c>
      <c r="Z50" s="495"/>
      <c r="AA50" s="1080" t="str">
        <f t="shared" ref="AA50:AA54" si="51">IF(X50=430,"CC","C")</f>
        <v>C</v>
      </c>
      <c r="AB50" s="495" t="s">
        <v>795</v>
      </c>
      <c r="AC50" s="751">
        <f>IF($X$50=0,0,VLOOKUP($X$50,'Weapons Table'!$C$66:$Q$93,AC47))</f>
        <v>0</v>
      </c>
      <c r="AD50" s="751">
        <f>IF($X$50=0,0,VLOOKUP($X$50,'Weapons Table'!$C$66:$Q$93,AD47))</f>
        <v>0</v>
      </c>
      <c r="AE50" s="751">
        <f>IF($X$50=0,0,VLOOKUP($X$50,'Weapons Table'!$C$66:$Q$93,AE47))</f>
        <v>0</v>
      </c>
      <c r="AF50" s="751">
        <f>IF($X$50=0,0,VLOOKUP($X$50,'Weapons Table'!$C$66:$Q$93,AF47))</f>
        <v>0</v>
      </c>
      <c r="AG50" s="751">
        <f>IF($X$50=0,0,VLOOKUP($X$50,'Weapons Table'!$C$66:$Q$93,AG47))</f>
        <v>0</v>
      </c>
      <c r="AH50" s="751">
        <f>IF($X$50=0,0,VLOOKUP($X$50,'Weapons Table'!$C$66:$Q$93,AH47))</f>
        <v>0</v>
      </c>
      <c r="AI50" s="751">
        <f>IF($X$50=0,0,VLOOKUP($X$50,'Weapons Table'!$C$66:$Q$93,AI47))</f>
        <v>0</v>
      </c>
      <c r="AJ50" s="751">
        <f>IF($X$50=0,0,VLOOKUP($X$50,'Weapons Table'!$C$66:$Q$93,AJ47))</f>
        <v>0</v>
      </c>
      <c r="AK50" s="751">
        <f>IF($X$50=0,0,VLOOKUP($X$50,'Weapons Table'!$C$66:$Q$93,AK47))</f>
        <v>0</v>
      </c>
      <c r="AL50" s="751">
        <f>IF($X$50=0,0,VLOOKUP($X$50,'Weapons Table'!$C$66:$Q$93,AL47))</f>
        <v>0</v>
      </c>
      <c r="AM50" s="751">
        <f>IF($X$50=0,0,VLOOKUP($X$50,'Weapons Table'!$C$66:$Q$93,AM47))</f>
        <v>0</v>
      </c>
      <c r="AN50" s="751">
        <f>IF($X$50=0,0,VLOOKUP($X$50,'Weapons Table'!$C$66:$Q$93,AN47))</f>
        <v>0</v>
      </c>
      <c r="AO50" s="751">
        <f>IF($X$50=0,0,VLOOKUP($X$50,'Weapons Table'!$C$66:$Q$93,AO47))</f>
        <v>0</v>
      </c>
      <c r="AP50" s="508">
        <f t="shared" ref="AP50:AP54" si="52">IF(AL50=0,0,AVERAGE(AC50:AD50)/AL50)</f>
        <v>0</v>
      </c>
      <c r="AQ50" s="943">
        <f t="shared" ref="AQ50:AQ54" si="53">AP50*AF50</f>
        <v>0</v>
      </c>
      <c r="AR50" s="751"/>
      <c r="AS50" s="751"/>
      <c r="AT50" s="751"/>
      <c r="AU50" s="751"/>
      <c r="AV50" s="751"/>
      <c r="AW50" s="751"/>
      <c r="AX50" s="751"/>
      <c r="AZ50" s="2601"/>
      <c r="BA50" s="1684"/>
      <c r="BB50" s="1684"/>
      <c r="BC50" s="1684"/>
      <c r="BD50" s="1684"/>
      <c r="BE50" s="1684"/>
      <c r="BF50" s="1684"/>
      <c r="BG50" s="2601"/>
      <c r="BH50" s="751"/>
      <c r="BI50" s="751"/>
      <c r="BJ50" s="751"/>
      <c r="BK50" s="751"/>
      <c r="BL50" s="751"/>
      <c r="BM50" s="751"/>
      <c r="BN50" s="751"/>
      <c r="BO50" s="751"/>
      <c r="BP50" s="751"/>
      <c r="BQ50" s="751"/>
      <c r="BR50" s="751"/>
      <c r="BS50" s="751"/>
      <c r="BT50" s="751"/>
      <c r="BU50" s="751"/>
      <c r="BV50" s="751"/>
      <c r="BW50" s="751"/>
      <c r="BX50" s="751"/>
      <c r="BY50" s="751"/>
      <c r="BZ50" s="751"/>
      <c r="CA50" s="751"/>
      <c r="CB50" s="751"/>
      <c r="CC50" s="751"/>
      <c r="CD50" s="751"/>
      <c r="CE50" s="751"/>
      <c r="CF50" s="751"/>
      <c r="CG50" s="751"/>
      <c r="CH50" s="751"/>
      <c r="CI50" s="751"/>
      <c r="CJ50" s="751"/>
      <c r="CK50" s="751"/>
      <c r="CL50" s="751"/>
      <c r="CM50" s="751"/>
      <c r="CN50" s="751"/>
      <c r="CO50" s="751"/>
      <c r="CP50" s="751"/>
      <c r="CQ50" s="751"/>
      <c r="CR50" s="751"/>
      <c r="CS50" s="751"/>
      <c r="CT50" s="751"/>
      <c r="CU50" s="759"/>
      <c r="CV50" s="1535"/>
      <c r="CW50" s="1535"/>
    </row>
    <row r="51" spans="2:101" ht="24.95" customHeight="1">
      <c r="B51" s="515">
        <v>3</v>
      </c>
      <c r="D51" s="2601"/>
      <c r="E51" s="490" t="str">
        <f t="shared" ref="E51:E54" si="54">IF($F$46&gt;E50,E50+1," ")</f>
        <v xml:space="preserve"> </v>
      </c>
      <c r="F51" s="2604"/>
      <c r="G51" s="490"/>
      <c r="H51" s="2604"/>
      <c r="I51" s="490"/>
      <c r="J51" s="2604"/>
      <c r="K51" s="490"/>
      <c r="L51" s="490"/>
      <c r="M51" s="469">
        <v>1</v>
      </c>
      <c r="N51" s="2604"/>
      <c r="O51" s="494"/>
      <c r="P51" s="2591"/>
      <c r="Q51" s="759"/>
      <c r="R51" s="857"/>
      <c r="S51" s="751">
        <f t="shared" si="47"/>
        <v>0</v>
      </c>
      <c r="T51" s="495">
        <f t="shared" si="48"/>
        <v>0</v>
      </c>
      <c r="U51" s="607">
        <f t="shared" si="46"/>
        <v>0</v>
      </c>
      <c r="V51" s="751">
        <f t="shared" si="27"/>
        <v>0</v>
      </c>
      <c r="W51" s="1684">
        <f t="shared" si="49"/>
        <v>0</v>
      </c>
      <c r="X51" s="1684">
        <f t="shared" si="50"/>
        <v>0</v>
      </c>
      <c r="Y51" s="751">
        <f t="shared" si="24"/>
        <v>0</v>
      </c>
      <c r="Z51" s="495"/>
      <c r="AA51" s="1080" t="str">
        <f t="shared" si="51"/>
        <v>C</v>
      </c>
      <c r="AB51" s="495" t="s">
        <v>796</v>
      </c>
      <c r="AC51" s="751">
        <f>IF($X$51=0,0,VLOOKUP($X$51,'Weapons Table'!$C$66:$Q$93,AC47))</f>
        <v>0</v>
      </c>
      <c r="AD51" s="751">
        <f>IF($X$51=0,0,VLOOKUP($X$51,'Weapons Table'!$C$66:$Q$93,AD47))</f>
        <v>0</v>
      </c>
      <c r="AE51" s="751">
        <f>IF($X$51=0,0,VLOOKUP($X$51,'Weapons Table'!$C$66:$Q$93,AE47))</f>
        <v>0</v>
      </c>
      <c r="AF51" s="751">
        <f>IF($X$51=0,0,VLOOKUP($X$51,'Weapons Table'!$C$66:$Q$93,AF47))</f>
        <v>0</v>
      </c>
      <c r="AG51" s="751">
        <f>IF($X$51=0,0,VLOOKUP($X$51,'Weapons Table'!$C$66:$Q$93,AG47))</f>
        <v>0</v>
      </c>
      <c r="AH51" s="751">
        <f>IF($X$51=0,0,VLOOKUP($X$51,'Weapons Table'!$C$66:$Q$93,AH47))</f>
        <v>0</v>
      </c>
      <c r="AI51" s="751">
        <f>IF($X$51=0,0,VLOOKUP($X$51,'Weapons Table'!$C$66:$Q$93,AI47))</f>
        <v>0</v>
      </c>
      <c r="AJ51" s="751">
        <f>IF($X$51=0,0,VLOOKUP($X$51,'Weapons Table'!$C$66:$Q$93,AJ47))</f>
        <v>0</v>
      </c>
      <c r="AK51" s="751">
        <f>IF($X$51=0,0,VLOOKUP($X$51,'Weapons Table'!$C$66:$Q$93,AK47))</f>
        <v>0</v>
      </c>
      <c r="AL51" s="751">
        <f>IF($X$51=0,0,VLOOKUP($X$51,'Weapons Table'!$C$66:$Q$93,AL47))</f>
        <v>0</v>
      </c>
      <c r="AM51" s="751">
        <f>IF($X$51=0,0,VLOOKUP($X$51,'Weapons Table'!$C$66:$Q$93,AM47))</f>
        <v>0</v>
      </c>
      <c r="AN51" s="751">
        <f>IF($X$51=0,0,VLOOKUP($X$51,'Weapons Table'!$C$66:$Q$93,AN47))</f>
        <v>0</v>
      </c>
      <c r="AO51" s="751">
        <f>IF($X$51=0,0,VLOOKUP($X$51,'Weapons Table'!$C$66:$Q$93,AO47))</f>
        <v>0</v>
      </c>
      <c r="AP51" s="508">
        <f t="shared" si="52"/>
        <v>0</v>
      </c>
      <c r="AQ51" s="943">
        <f t="shared" si="53"/>
        <v>0</v>
      </c>
      <c r="AR51" s="751"/>
      <c r="AS51" s="751"/>
      <c r="AT51" s="751"/>
      <c r="AU51" s="751"/>
      <c r="AV51" s="751"/>
      <c r="AW51" s="751"/>
      <c r="AX51" s="751"/>
      <c r="AZ51" s="2601"/>
      <c r="BA51" s="1684"/>
      <c r="BB51" s="1684"/>
      <c r="BC51" s="1684"/>
      <c r="BD51" s="1684"/>
      <c r="BE51" s="1684"/>
      <c r="BF51" s="1684"/>
      <c r="BG51" s="2601"/>
      <c r="BH51" s="751"/>
      <c r="BI51" s="751"/>
      <c r="BJ51" s="751"/>
      <c r="BK51" s="751"/>
      <c r="BL51" s="751"/>
      <c r="BM51" s="751"/>
      <c r="BN51" s="751"/>
      <c r="BO51" s="751"/>
      <c r="BP51" s="751"/>
      <c r="BQ51" s="751"/>
      <c r="BR51" s="751"/>
      <c r="BS51" s="751"/>
      <c r="BT51" s="751"/>
      <c r="BU51" s="751"/>
      <c r="BV51" s="751"/>
      <c r="BW51" s="751"/>
      <c r="BX51" s="751"/>
      <c r="BY51" s="751"/>
      <c r="BZ51" s="751"/>
      <c r="CA51" s="751"/>
      <c r="CB51" s="751"/>
      <c r="CC51" s="751"/>
      <c r="CD51" s="751"/>
      <c r="CE51" s="751"/>
      <c r="CF51" s="751"/>
      <c r="CG51" s="751"/>
      <c r="CH51" s="751"/>
      <c r="CI51" s="751"/>
      <c r="CJ51" s="751"/>
      <c r="CK51" s="751"/>
      <c r="CL51" s="751"/>
      <c r="CM51" s="751"/>
      <c r="CN51" s="751"/>
      <c r="CO51" s="751"/>
      <c r="CP51" s="751"/>
      <c r="CQ51" s="751"/>
      <c r="CR51" s="751"/>
      <c r="CS51" s="751"/>
      <c r="CT51" s="751"/>
      <c r="CU51" s="759"/>
      <c r="CV51" s="1535"/>
      <c r="CW51" s="1535"/>
    </row>
    <row r="52" spans="2:101" ht="24.95" customHeight="1">
      <c r="B52" s="515">
        <v>4</v>
      </c>
      <c r="D52" s="2601"/>
      <c r="E52" s="490" t="str">
        <f t="shared" si="54"/>
        <v xml:space="preserve"> </v>
      </c>
      <c r="F52" s="2604"/>
      <c r="G52" s="490"/>
      <c r="H52" s="2604"/>
      <c r="I52" s="490"/>
      <c r="J52" s="2604"/>
      <c r="K52" s="490"/>
      <c r="L52" s="490"/>
      <c r="M52" s="469">
        <v>1</v>
      </c>
      <c r="N52" s="2604"/>
      <c r="O52" s="494"/>
      <c r="P52" s="2591"/>
      <c r="Q52" s="759"/>
      <c r="R52" s="857"/>
      <c r="S52" s="751">
        <f t="shared" si="47"/>
        <v>0</v>
      </c>
      <c r="T52" s="495">
        <f t="shared" si="48"/>
        <v>0</v>
      </c>
      <c r="U52" s="607">
        <f t="shared" si="46"/>
        <v>0</v>
      </c>
      <c r="V52" s="751">
        <f t="shared" si="27"/>
        <v>0</v>
      </c>
      <c r="W52" s="1684">
        <f t="shared" si="49"/>
        <v>0</v>
      </c>
      <c r="X52" s="1684">
        <f t="shared" si="50"/>
        <v>0</v>
      </c>
      <c r="Y52" s="751">
        <f t="shared" si="24"/>
        <v>0</v>
      </c>
      <c r="Z52" s="495"/>
      <c r="AA52" s="1080" t="str">
        <f t="shared" si="51"/>
        <v>C</v>
      </c>
      <c r="AB52" s="495" t="s">
        <v>797</v>
      </c>
      <c r="AC52" s="751">
        <f>IF($X$52=0,0,VLOOKUP($X$52,'Weapons Table'!$C$66:$Q$93,AC47))</f>
        <v>0</v>
      </c>
      <c r="AD52" s="751">
        <f>IF($X$52=0,0,VLOOKUP($X$52,'Weapons Table'!$C$66:$Q$93,AD47))</f>
        <v>0</v>
      </c>
      <c r="AE52" s="751">
        <f>IF($X$52=0,0,VLOOKUP($X$52,'Weapons Table'!$C$66:$Q$93,AE47))</f>
        <v>0</v>
      </c>
      <c r="AF52" s="751">
        <f>IF($X$52=0,0,VLOOKUP($X$52,'Weapons Table'!$C$66:$Q$93,AF47))</f>
        <v>0</v>
      </c>
      <c r="AG52" s="751">
        <f>IF($X$52=0,0,VLOOKUP($X$52,'Weapons Table'!$C$66:$Q$93,AG47))</f>
        <v>0</v>
      </c>
      <c r="AH52" s="751">
        <f>IF($X$52=0,0,VLOOKUP($X$52,'Weapons Table'!$C$66:$Q$93,AH47))</f>
        <v>0</v>
      </c>
      <c r="AI52" s="751">
        <f>IF($X$52=0,0,VLOOKUP($X$52,'Weapons Table'!$C$66:$Q$93,AI47))</f>
        <v>0</v>
      </c>
      <c r="AJ52" s="751">
        <f>IF($X$52=0,0,VLOOKUP($X$52,'Weapons Table'!$C$66:$Q$93,AJ47))</f>
        <v>0</v>
      </c>
      <c r="AK52" s="751">
        <f>IF($X$52=0,0,VLOOKUP($X$52,'Weapons Table'!$C$66:$Q$93,AK47))</f>
        <v>0</v>
      </c>
      <c r="AL52" s="751">
        <f>IF($X$52=0,0,VLOOKUP($X$52,'Weapons Table'!$C$66:$Q$93,AL47))</f>
        <v>0</v>
      </c>
      <c r="AM52" s="751">
        <f>IF($X$52=0,0,VLOOKUP($X$52,'Weapons Table'!$C$66:$Q$93,AM47))</f>
        <v>0</v>
      </c>
      <c r="AN52" s="751">
        <f>IF($X$52=0,0,VLOOKUP($X$52,'Weapons Table'!$C$66:$Q$93,AN47))</f>
        <v>0</v>
      </c>
      <c r="AO52" s="751">
        <f>IF($X$52=0,0,VLOOKUP($X$52,'Weapons Table'!$C$66:$Q$93,AO47))</f>
        <v>0</v>
      </c>
      <c r="AP52" s="508">
        <f t="shared" si="52"/>
        <v>0</v>
      </c>
      <c r="AQ52" s="943">
        <f t="shared" si="53"/>
        <v>0</v>
      </c>
      <c r="AR52" s="751"/>
      <c r="AS52" s="751"/>
      <c r="AT52" s="751"/>
      <c r="AU52" s="751"/>
      <c r="AV52" s="751"/>
      <c r="AW52" s="751"/>
      <c r="AX52" s="751"/>
      <c r="AZ52" s="2601"/>
      <c r="BA52" s="1684"/>
      <c r="BB52" s="1684"/>
      <c r="BC52" s="1684"/>
      <c r="BD52" s="1684"/>
      <c r="BE52" s="1684"/>
      <c r="BF52" s="1684"/>
      <c r="BG52" s="2601"/>
      <c r="BH52" s="751"/>
      <c r="BI52" s="751"/>
      <c r="BJ52" s="751"/>
      <c r="BK52" s="751"/>
      <c r="BL52" s="751"/>
      <c r="BM52" s="751"/>
      <c r="BN52" s="751"/>
      <c r="BO52" s="751"/>
      <c r="BP52" s="751"/>
      <c r="BQ52" s="751"/>
      <c r="BR52" s="751"/>
      <c r="BS52" s="751"/>
      <c r="BT52" s="751"/>
      <c r="BU52" s="751"/>
      <c r="BV52" s="751"/>
      <c r="BW52" s="751"/>
      <c r="BX52" s="751"/>
      <c r="BY52" s="751"/>
      <c r="BZ52" s="751"/>
      <c r="CA52" s="751"/>
      <c r="CB52" s="751"/>
      <c r="CC52" s="751"/>
      <c r="CD52" s="751"/>
      <c r="CE52" s="751"/>
      <c r="CF52" s="751"/>
      <c r="CG52" s="751"/>
      <c r="CH52" s="751"/>
      <c r="CI52" s="751"/>
      <c r="CJ52" s="751"/>
      <c r="CK52" s="751"/>
      <c r="CL52" s="751"/>
      <c r="CM52" s="751"/>
      <c r="CN52" s="751"/>
      <c r="CO52" s="751"/>
      <c r="CP52" s="751"/>
      <c r="CQ52" s="751"/>
      <c r="CR52" s="751"/>
      <c r="CS52" s="751"/>
      <c r="CT52" s="751"/>
      <c r="CU52" s="759"/>
      <c r="CV52" s="1535"/>
      <c r="CW52" s="1535"/>
    </row>
    <row r="53" spans="2:101" ht="24.95" customHeight="1">
      <c r="B53" s="515">
        <v>5</v>
      </c>
      <c r="D53" s="2601"/>
      <c r="E53" s="490" t="str">
        <f t="shared" si="54"/>
        <v xml:space="preserve"> </v>
      </c>
      <c r="F53" s="2604"/>
      <c r="G53" s="490"/>
      <c r="H53" s="2604"/>
      <c r="I53" s="490"/>
      <c r="J53" s="2604"/>
      <c r="K53" s="490"/>
      <c r="L53" s="490"/>
      <c r="M53" s="469">
        <v>1</v>
      </c>
      <c r="N53" s="2604"/>
      <c r="O53" s="494"/>
      <c r="P53" s="2591"/>
      <c r="Q53" s="759"/>
      <c r="R53" s="857"/>
      <c r="S53" s="751">
        <f t="shared" si="47"/>
        <v>0</v>
      </c>
      <c r="T53" s="495">
        <f t="shared" si="48"/>
        <v>0</v>
      </c>
      <c r="U53" s="607">
        <f t="shared" si="46"/>
        <v>0</v>
      </c>
      <c r="V53" s="751">
        <f t="shared" si="27"/>
        <v>0</v>
      </c>
      <c r="W53" s="1684">
        <f t="shared" si="49"/>
        <v>0</v>
      </c>
      <c r="X53" s="1684">
        <f t="shared" si="50"/>
        <v>0</v>
      </c>
      <c r="Y53" s="751">
        <f t="shared" si="24"/>
        <v>0</v>
      </c>
      <c r="Z53" s="495"/>
      <c r="AA53" s="1080" t="str">
        <f t="shared" si="51"/>
        <v>C</v>
      </c>
      <c r="AB53" s="495" t="s">
        <v>798</v>
      </c>
      <c r="AC53" s="751">
        <f>IF($X$53=0,0,VLOOKUP($X$53,'Weapons Table'!$C$66:$Q$93,AC47))</f>
        <v>0</v>
      </c>
      <c r="AD53" s="751">
        <f>IF($X$53=0,0,VLOOKUP($X$53,'Weapons Table'!$C$66:$Q$93,AD47))</f>
        <v>0</v>
      </c>
      <c r="AE53" s="751">
        <f>IF($X$53=0,0,VLOOKUP($X$53,'Weapons Table'!$C$66:$Q$93,AE47))</f>
        <v>0</v>
      </c>
      <c r="AF53" s="751">
        <f>IF($X$53=0,0,VLOOKUP($X$53,'Weapons Table'!$C$66:$Q$93,AF47))</f>
        <v>0</v>
      </c>
      <c r="AG53" s="751">
        <f>IF($X$53=0,0,VLOOKUP($X$53,'Weapons Table'!$C$66:$Q$93,AG47))</f>
        <v>0</v>
      </c>
      <c r="AH53" s="751">
        <f>IF($X$53=0,0,VLOOKUP($X$53,'Weapons Table'!$C$66:$Q$93,AH47))</f>
        <v>0</v>
      </c>
      <c r="AI53" s="751">
        <f>IF($X$53=0,0,VLOOKUP($X$53,'Weapons Table'!$C$66:$Q$93,AI47))</f>
        <v>0</v>
      </c>
      <c r="AJ53" s="751">
        <f>IF($X$53=0,0,VLOOKUP($X$53,'Weapons Table'!$C$66:$Q$93,AJ47))</f>
        <v>0</v>
      </c>
      <c r="AK53" s="751">
        <f>IF($X$53=0,0,VLOOKUP($X$53,'Weapons Table'!$C$66:$Q$93,AK47))</f>
        <v>0</v>
      </c>
      <c r="AL53" s="751">
        <f>IF($X$53=0,0,VLOOKUP($X$53,'Weapons Table'!$C$66:$Q$93,AL47))</f>
        <v>0</v>
      </c>
      <c r="AM53" s="751">
        <f>IF($X$53=0,0,VLOOKUP($X$53,'Weapons Table'!$C$66:$Q$93,AM47))</f>
        <v>0</v>
      </c>
      <c r="AN53" s="751">
        <f>IF($X$53=0,0,VLOOKUP($X$53,'Weapons Table'!$C$66:$Q$93,AN47))</f>
        <v>0</v>
      </c>
      <c r="AO53" s="751">
        <f>IF($X$53=0,0,VLOOKUP($X$53,'Weapons Table'!$C$66:$Q$93,AO47))</f>
        <v>0</v>
      </c>
      <c r="AP53" s="508">
        <f t="shared" si="52"/>
        <v>0</v>
      </c>
      <c r="AQ53" s="943">
        <f t="shared" si="53"/>
        <v>0</v>
      </c>
      <c r="AR53" s="751"/>
      <c r="AS53" s="751"/>
      <c r="AT53" s="751"/>
      <c r="AU53" s="751"/>
      <c r="AV53" s="751"/>
      <c r="AW53" s="751"/>
      <c r="AX53" s="751"/>
      <c r="AZ53" s="2601"/>
      <c r="BA53" s="1684"/>
      <c r="BB53" s="1684"/>
      <c r="BC53" s="1684"/>
      <c r="BD53" s="1684"/>
      <c r="BE53" s="1684"/>
      <c r="BF53" s="1684"/>
      <c r="BG53" s="2601"/>
      <c r="BH53" s="751"/>
      <c r="BI53" s="751"/>
      <c r="BJ53" s="751"/>
      <c r="BK53" s="751"/>
      <c r="BL53" s="751"/>
      <c r="BM53" s="751"/>
      <c r="BN53" s="751"/>
      <c r="BO53" s="751"/>
      <c r="BP53" s="751"/>
      <c r="BQ53" s="751"/>
      <c r="BR53" s="751"/>
      <c r="BS53" s="751"/>
      <c r="BT53" s="751"/>
      <c r="BU53" s="751"/>
      <c r="BV53" s="751"/>
      <c r="BW53" s="751"/>
      <c r="BX53" s="751"/>
      <c r="BY53" s="751"/>
      <c r="BZ53" s="751"/>
      <c r="CA53" s="751"/>
      <c r="CB53" s="751"/>
      <c r="CC53" s="751"/>
      <c r="CD53" s="751"/>
      <c r="CE53" s="751"/>
      <c r="CF53" s="751"/>
      <c r="CG53" s="751"/>
      <c r="CH53" s="751"/>
      <c r="CI53" s="751"/>
      <c r="CJ53" s="751"/>
      <c r="CK53" s="751"/>
      <c r="CL53" s="751"/>
      <c r="CM53" s="751"/>
      <c r="CN53" s="751"/>
      <c r="CO53" s="751"/>
      <c r="CP53" s="751"/>
      <c r="CQ53" s="751"/>
      <c r="CR53" s="751"/>
      <c r="CS53" s="751"/>
      <c r="CT53" s="751"/>
      <c r="CU53" s="759"/>
      <c r="CV53" s="1535"/>
      <c r="CW53" s="1535"/>
    </row>
    <row r="54" spans="2:101" ht="24.95" customHeight="1" thickBot="1">
      <c r="B54" s="515">
        <v>6</v>
      </c>
      <c r="D54" s="2602"/>
      <c r="E54" s="497" t="str">
        <f t="shared" si="54"/>
        <v xml:space="preserve"> </v>
      </c>
      <c r="F54" s="2605"/>
      <c r="G54" s="497"/>
      <c r="H54" s="2605"/>
      <c r="I54" s="497"/>
      <c r="J54" s="2605"/>
      <c r="K54" s="497"/>
      <c r="L54" s="497"/>
      <c r="M54" s="470">
        <v>1</v>
      </c>
      <c r="N54" s="2605"/>
      <c r="O54" s="499"/>
      <c r="P54" s="2592"/>
      <c r="Q54" s="760"/>
      <c r="R54" s="858"/>
      <c r="S54" s="752">
        <f t="shared" si="47"/>
        <v>0</v>
      </c>
      <c r="T54" s="750">
        <f t="shared" si="48"/>
        <v>0</v>
      </c>
      <c r="U54" s="610">
        <f t="shared" si="46"/>
        <v>0</v>
      </c>
      <c r="V54" s="752">
        <f t="shared" si="27"/>
        <v>0</v>
      </c>
      <c r="W54" s="1684">
        <f t="shared" si="49"/>
        <v>0</v>
      </c>
      <c r="X54" s="1684">
        <f t="shared" si="50"/>
        <v>0</v>
      </c>
      <c r="Y54" s="752">
        <f t="shared" si="24"/>
        <v>0</v>
      </c>
      <c r="Z54" s="750"/>
      <c r="AA54" s="1080" t="str">
        <f t="shared" si="51"/>
        <v>C</v>
      </c>
      <c r="AB54" s="859" t="s">
        <v>799</v>
      </c>
      <c r="AC54" s="752">
        <f>IF($X$54=0,0,VLOOKUP($X$54,'Weapons Table'!$C$66:$Q$93,AC47))</f>
        <v>0</v>
      </c>
      <c r="AD54" s="752">
        <f>IF($X$54=0,0,VLOOKUP($X$54,'Weapons Table'!$C$66:$Q$93,AD47))</f>
        <v>0</v>
      </c>
      <c r="AE54" s="752">
        <f>IF($X$54=0,0,VLOOKUP($X$54,'Weapons Table'!$C$66:$Q$93,AE47))</f>
        <v>0</v>
      </c>
      <c r="AF54" s="752">
        <f>IF($X$54=0,0,VLOOKUP($X$54,'Weapons Table'!$C$66:$Q$93,AF47))</f>
        <v>0</v>
      </c>
      <c r="AG54" s="752">
        <f>IF($X$54=0,0,VLOOKUP($X$54,'Weapons Table'!$C$66:$Q$93,AG47))</f>
        <v>0</v>
      </c>
      <c r="AH54" s="752">
        <f>IF($X$54=0,0,VLOOKUP($X$54,'Weapons Table'!$C$66:$Q$93,AH47))</f>
        <v>0</v>
      </c>
      <c r="AI54" s="752">
        <f>IF($X$54=0,0,VLOOKUP($X$54,'Weapons Table'!$C$66:$Q$93,AI47))</f>
        <v>0</v>
      </c>
      <c r="AJ54" s="752">
        <f>IF($X$54=0,0,VLOOKUP($X$54,'Weapons Table'!$C$66:$Q$93,AJ47))</f>
        <v>0</v>
      </c>
      <c r="AK54" s="752">
        <f>IF($X$54=0,0,VLOOKUP($X$54,'Weapons Table'!$C$66:$Q$93,AK47))</f>
        <v>0</v>
      </c>
      <c r="AL54" s="752">
        <f>IF($X$54=0,0,VLOOKUP($X$54,'Weapons Table'!$C$66:$Q$93,AL47))</f>
        <v>0</v>
      </c>
      <c r="AM54" s="752">
        <f>IF($X$54=0,0,VLOOKUP($X$54,'Weapons Table'!$C$66:$Q$93,AM47))</f>
        <v>0</v>
      </c>
      <c r="AN54" s="752">
        <f>IF($X$54=0,0,VLOOKUP($X$54,'Weapons Table'!$C$66:$Q$93,AN47))</f>
        <v>0</v>
      </c>
      <c r="AO54" s="752">
        <f>IF($X$54=0,0,VLOOKUP($X$54,'Weapons Table'!$C$66:$Q$93,AO47))</f>
        <v>0</v>
      </c>
      <c r="AP54" s="514">
        <f t="shared" si="52"/>
        <v>0</v>
      </c>
      <c r="AQ54" s="943">
        <f t="shared" si="53"/>
        <v>0</v>
      </c>
      <c r="AR54" s="2613" t="s">
        <v>1027</v>
      </c>
      <c r="AS54" s="2613"/>
      <c r="AT54" s="2613"/>
      <c r="AU54" s="2613"/>
      <c r="AV54" s="2613"/>
      <c r="AW54" s="2613"/>
      <c r="AX54" s="1684"/>
      <c r="AZ54" s="2602"/>
      <c r="BA54" s="1685"/>
      <c r="BB54" s="1685"/>
      <c r="BC54" s="1685"/>
      <c r="BD54" s="1685"/>
      <c r="BE54" s="1685"/>
      <c r="BF54" s="1685"/>
      <c r="BG54" s="2601"/>
      <c r="BH54" s="752"/>
      <c r="BI54" s="752"/>
      <c r="BJ54" s="752"/>
      <c r="BK54" s="752"/>
      <c r="BL54" s="752"/>
      <c r="BM54" s="752"/>
      <c r="BN54" s="752"/>
      <c r="BO54" s="752"/>
      <c r="BP54" s="752"/>
      <c r="BQ54" s="752"/>
      <c r="BR54" s="752"/>
      <c r="BS54" s="752"/>
      <c r="BT54" s="752"/>
      <c r="BU54" s="752"/>
      <c r="BV54" s="752"/>
      <c r="BW54" s="752"/>
      <c r="BX54" s="752"/>
      <c r="BY54" s="752"/>
      <c r="BZ54" s="752"/>
      <c r="CA54" s="752"/>
      <c r="CB54" s="752"/>
      <c r="CC54" s="752"/>
      <c r="CD54" s="752"/>
      <c r="CE54" s="752"/>
      <c r="CF54" s="752"/>
      <c r="CG54" s="752"/>
      <c r="CH54" s="752"/>
      <c r="CI54" s="752"/>
      <c r="CJ54" s="752"/>
      <c r="CK54" s="752"/>
      <c r="CL54" s="752"/>
      <c r="CM54" s="752"/>
      <c r="CN54" s="752"/>
      <c r="CO54" s="752"/>
      <c r="CP54" s="752"/>
      <c r="CQ54" s="752"/>
      <c r="CR54" s="752"/>
      <c r="CS54" s="752"/>
      <c r="CT54" s="752"/>
      <c r="CU54" s="760"/>
      <c r="CV54" s="1535"/>
      <c r="CW54" s="1535"/>
    </row>
    <row r="55" spans="2:101" ht="30.75" customHeight="1" thickBot="1">
      <c r="D55" s="2600" t="s">
        <v>974</v>
      </c>
      <c r="E55" s="857"/>
      <c r="F55" s="495" t="s">
        <v>969</v>
      </c>
      <c r="G55" s="857"/>
      <c r="H55" s="857"/>
      <c r="I55" s="857"/>
      <c r="J55" s="857"/>
      <c r="K55" s="857"/>
      <c r="L55" s="857"/>
      <c r="M55" s="469"/>
      <c r="N55" s="857"/>
      <c r="O55" s="494"/>
      <c r="P55" s="2606"/>
      <c r="Q55" s="2607"/>
      <c r="R55" s="949" t="s">
        <v>1041</v>
      </c>
      <c r="S55" s="949" t="s">
        <v>1028</v>
      </c>
      <c r="T55" s="949" t="s">
        <v>1029</v>
      </c>
      <c r="U55" s="926" t="s">
        <v>79</v>
      </c>
      <c r="V55" s="925" t="s">
        <v>80</v>
      </c>
      <c r="W55" s="925" t="s">
        <v>81</v>
      </c>
      <c r="X55" s="918" t="s">
        <v>967</v>
      </c>
      <c r="Y55" s="925" t="s">
        <v>88</v>
      </c>
      <c r="Z55" s="1061" t="s">
        <v>979</v>
      </c>
      <c r="AA55" s="920" t="s">
        <v>1035</v>
      </c>
      <c r="AB55" s="933" t="s">
        <v>1006</v>
      </c>
      <c r="AC55" s="556" t="s">
        <v>79</v>
      </c>
      <c r="AD55" s="557" t="s">
        <v>80</v>
      </c>
      <c r="AE55" s="558" t="s">
        <v>81</v>
      </c>
      <c r="AF55" s="558" t="s">
        <v>82</v>
      </c>
      <c r="AG55" s="558" t="s">
        <v>83</v>
      </c>
      <c r="AH55" s="558" t="s">
        <v>84</v>
      </c>
      <c r="AI55" s="558" t="s">
        <v>85</v>
      </c>
      <c r="AJ55" s="558" t="s">
        <v>86</v>
      </c>
      <c r="AK55" s="558" t="s">
        <v>87</v>
      </c>
      <c r="AL55" s="558" t="s">
        <v>72</v>
      </c>
      <c r="AM55" s="558" t="s">
        <v>88</v>
      </c>
      <c r="AN55" s="558" t="s">
        <v>89</v>
      </c>
      <c r="AO55" s="559" t="s">
        <v>48</v>
      </c>
      <c r="AP55" s="604" t="s">
        <v>783</v>
      </c>
      <c r="AQ55" s="614" t="s">
        <v>810</v>
      </c>
      <c r="AR55" s="605" t="s">
        <v>786</v>
      </c>
      <c r="AS55" s="605" t="s">
        <v>785</v>
      </c>
      <c r="AT55" s="605" t="s">
        <v>784</v>
      </c>
      <c r="AU55" s="605" t="s">
        <v>787</v>
      </c>
      <c r="AV55" s="617" t="s">
        <v>811</v>
      </c>
      <c r="AW55" s="552" t="s">
        <v>863</v>
      </c>
      <c r="AX55" s="493" t="s">
        <v>1222</v>
      </c>
      <c r="AY55" s="493" t="s">
        <v>1124</v>
      </c>
      <c r="AZ55" s="2589" t="s">
        <v>697</v>
      </c>
      <c r="BA55" s="1684"/>
      <c r="BB55" s="1684"/>
      <c r="BC55" s="1684"/>
      <c r="BD55" s="1684"/>
      <c r="BE55" s="1684"/>
      <c r="BF55" s="1684"/>
      <c r="BG55" s="2601"/>
      <c r="BH55" s="857"/>
      <c r="BI55" s="857"/>
      <c r="BJ55" s="857"/>
      <c r="BK55" s="857"/>
      <c r="BL55" s="857"/>
      <c r="BM55" s="857"/>
      <c r="BN55" s="857"/>
      <c r="BO55" s="857"/>
      <c r="BP55" s="857"/>
      <c r="BQ55" s="857"/>
      <c r="BR55" s="857"/>
      <c r="BS55" s="857"/>
      <c r="BT55" s="857"/>
      <c r="BU55" s="857"/>
      <c r="BV55" s="857"/>
      <c r="BW55" s="857"/>
      <c r="BX55" s="857"/>
      <c r="BY55" s="857"/>
      <c r="BZ55" s="857"/>
      <c r="CA55" s="857"/>
      <c r="CB55" s="857"/>
      <c r="CC55" s="857"/>
      <c r="CD55" s="857"/>
      <c r="CE55" s="857"/>
      <c r="CF55" s="857"/>
      <c r="CG55" s="857"/>
      <c r="CH55" s="857"/>
      <c r="CI55" s="857"/>
      <c r="CJ55" s="857"/>
      <c r="CK55" s="857"/>
      <c r="CL55" s="857"/>
      <c r="CM55" s="857"/>
      <c r="CN55" s="857"/>
      <c r="CO55" s="857"/>
      <c r="CP55" s="857"/>
      <c r="CQ55" s="857"/>
      <c r="CR55" s="857"/>
      <c r="CS55" s="857"/>
      <c r="CT55" s="857"/>
      <c r="CU55" s="856"/>
      <c r="CV55" s="1535"/>
      <c r="CW55" s="1535"/>
    </row>
    <row r="56" spans="2:101" ht="28.5" customHeight="1">
      <c r="D56" s="2601"/>
      <c r="E56" s="751"/>
      <c r="F56" s="751"/>
      <c r="G56" s="2660">
        <v>1</v>
      </c>
      <c r="H56" s="751"/>
      <c r="I56" s="751"/>
      <c r="J56" s="751"/>
      <c r="K56" s="751"/>
      <c r="L56" s="751"/>
      <c r="M56" s="469"/>
      <c r="N56" s="751"/>
      <c r="O56" s="494"/>
      <c r="P56" s="2608"/>
      <c r="Q56" s="2609"/>
      <c r="R56" s="495" t="s">
        <v>1009</v>
      </c>
      <c r="S56" s="495" t="s">
        <v>1033</v>
      </c>
      <c r="T56" s="495">
        <f>$G$56+10</f>
        <v>11</v>
      </c>
      <c r="U56" s="607">
        <f>VLOOKUP($T$56,muntions!$AT$6:$BH$23,muntions!AZ1)</f>
        <v>0</v>
      </c>
      <c r="V56" s="607">
        <f>VLOOKUP($T$56,muntions!$AT$6:$BH$23,muntions!BA1)</f>
        <v>0</v>
      </c>
      <c r="W56" s="607">
        <f>VLOOKUP($T$56,muntions!$AT$6:$BH$23,muntions!BB1)</f>
        <v>0</v>
      </c>
      <c r="X56" s="607">
        <f>VLOOKUP($T$56,muntions!$AT$6:$BH$23,muntions!BC1)</f>
        <v>0</v>
      </c>
      <c r="Y56" s="607">
        <f>VLOOKUP($T$56,muntions!$AT$6:$BH$23,muntions!BD1)</f>
        <v>0</v>
      </c>
      <c r="Z56" s="607">
        <f>VLOOKUP($T$56,muntions!$AT$6:$BH$23,muntions!BE1)</f>
        <v>0</v>
      </c>
      <c r="AA56" s="1080" t="str">
        <f>AA49</f>
        <v>C</v>
      </c>
      <c r="AB56" s="495" t="s">
        <v>794</v>
      </c>
      <c r="AC56" s="751">
        <f>IF(X49=430,AC49,AC49*$U$56)</f>
        <v>0</v>
      </c>
      <c r="AD56" s="943">
        <f>IF(X49=430,AD49,AD49*$V$56)</f>
        <v>0</v>
      </c>
      <c r="AE56" s="943">
        <f>IF(X49=430,AE49,AE49*$W$56)</f>
        <v>0</v>
      </c>
      <c r="AF56" s="751">
        <f>AF49</f>
        <v>0</v>
      </c>
      <c r="AG56" s="751">
        <f>AG49</f>
        <v>0</v>
      </c>
      <c r="AH56" s="751">
        <f>AH49</f>
        <v>0</v>
      </c>
      <c r="AI56" s="751">
        <f>AI49</f>
        <v>0</v>
      </c>
      <c r="AJ56" s="751">
        <f>IF(X49=430,AJ49,AJ49*$X$56)</f>
        <v>0</v>
      </c>
      <c r="AK56" s="751">
        <f>AK49</f>
        <v>0</v>
      </c>
      <c r="AL56" s="751">
        <f>AL49</f>
        <v>0</v>
      </c>
      <c r="AM56" s="751">
        <f>IF(X49=430,AM49,AM49*$Y$56)</f>
        <v>0</v>
      </c>
      <c r="AN56" s="751">
        <f>AN49</f>
        <v>0</v>
      </c>
      <c r="AO56" s="751">
        <f>AO49</f>
        <v>0</v>
      </c>
      <c r="AP56" s="508">
        <f>IF(AL56=0,0,AVERAGE(AC56:AD56)/AL56)</f>
        <v>0</v>
      </c>
      <c r="AQ56" s="751">
        <f>AP56*AF56</f>
        <v>0</v>
      </c>
      <c r="AR56" s="553">
        <f>IF(OR($B$7=1502,$B$7=1503),SUM(AP56:AP58),IF($B$7=1501,SUM(AP56:AP57),0))</f>
        <v>0</v>
      </c>
      <c r="AS56" s="553">
        <f>IF($AC$11=400,0,SUM(AP56:AP57))</f>
        <v>0</v>
      </c>
      <c r="AT56" s="553">
        <f>IF(OR(B7=1502,B7=1503),SUM(AP59:AP61),IF(B7=1501,SUM(AP58:AP59),0))</f>
        <v>0</v>
      </c>
      <c r="AU56" s="553">
        <v>0</v>
      </c>
      <c r="AV56" s="553">
        <f>SUM(AQ56:AQ61)</f>
        <v>0</v>
      </c>
      <c r="AW56" s="553">
        <f>IF(SUM(AJ56:AJ61)=0,0,SUM(AJ56:AJ61)/SUM(Y49:Y54))</f>
        <v>0</v>
      </c>
      <c r="AX56" s="751"/>
      <c r="AZ56" s="2601"/>
      <c r="BA56" s="1684"/>
      <c r="BB56" s="1684"/>
      <c r="BC56" s="1684"/>
      <c r="BD56" s="1684"/>
      <c r="BE56" s="1684"/>
      <c r="BF56" s="1684"/>
      <c r="BG56" s="2601"/>
      <c r="BH56" s="751"/>
      <c r="BI56" s="751"/>
      <c r="BJ56" s="751"/>
      <c r="BK56" s="751"/>
      <c r="BL56" s="751"/>
      <c r="BM56" s="751"/>
      <c r="BN56" s="751"/>
      <c r="BO56" s="751"/>
      <c r="BP56" s="751"/>
      <c r="BQ56" s="751"/>
      <c r="BR56" s="751"/>
      <c r="BS56" s="751"/>
      <c r="BT56" s="751"/>
      <c r="BU56" s="751"/>
      <c r="BV56" s="751"/>
      <c r="BW56" s="751"/>
      <c r="BX56" s="751"/>
      <c r="BY56" s="751"/>
      <c r="BZ56" s="751"/>
      <c r="CA56" s="751"/>
      <c r="CB56" s="751"/>
      <c r="CC56" s="751"/>
      <c r="CD56" s="751"/>
      <c r="CE56" s="751"/>
      <c r="CF56" s="751"/>
      <c r="CG56" s="751"/>
      <c r="CH56" s="751"/>
      <c r="CI56" s="751"/>
      <c r="CJ56" s="751"/>
      <c r="CK56" s="751"/>
      <c r="CL56" s="751"/>
      <c r="CM56" s="751"/>
      <c r="CN56" s="751"/>
      <c r="CO56" s="751"/>
      <c r="CP56" s="751"/>
      <c r="CQ56" s="751"/>
      <c r="CR56" s="751"/>
      <c r="CS56" s="751"/>
      <c r="CT56" s="751"/>
      <c r="CU56" s="759"/>
      <c r="CV56" s="1535"/>
      <c r="CW56" s="1535"/>
    </row>
    <row r="57" spans="2:101" ht="24.95" hidden="1" customHeight="1">
      <c r="D57" s="2601"/>
      <c r="E57" s="751"/>
      <c r="F57" s="751"/>
      <c r="G57" s="751"/>
      <c r="H57" s="751"/>
      <c r="I57" s="751"/>
      <c r="J57" s="751"/>
      <c r="K57" s="751"/>
      <c r="L57" s="751"/>
      <c r="M57" s="469"/>
      <c r="N57" s="751"/>
      <c r="O57" s="494"/>
      <c r="P57" s="2608"/>
      <c r="Q57" s="2609"/>
      <c r="R57" s="495" t="s">
        <v>1046</v>
      </c>
      <c r="S57" s="495" t="s">
        <v>1047</v>
      </c>
      <c r="T57" s="495">
        <v>0</v>
      </c>
      <c r="U57" s="607">
        <v>1</v>
      </c>
      <c r="V57" s="751">
        <v>1</v>
      </c>
      <c r="W57" s="751">
        <v>1</v>
      </c>
      <c r="X57" s="751">
        <v>1</v>
      </c>
      <c r="Y57" s="751">
        <v>1</v>
      </c>
      <c r="Z57" s="495">
        <v>0</v>
      </c>
      <c r="AA57" s="1080" t="str">
        <f t="shared" ref="AA57:AA61" si="55">AA50</f>
        <v>C</v>
      </c>
      <c r="AB57" s="495" t="s">
        <v>795</v>
      </c>
      <c r="AC57" s="943">
        <f t="shared" ref="AC57:AC61" si="56">IF(X50=430,AC50,AC50*$U$56)</f>
        <v>0</v>
      </c>
      <c r="AD57" s="943">
        <f t="shared" ref="AD57:AD61" si="57">IF(X50=430,AD50,AD50*$V$56)</f>
        <v>0</v>
      </c>
      <c r="AE57" s="943">
        <f t="shared" ref="AE57:AE61" si="58">IF(X50=430,AE50,AE50*$W$56)</f>
        <v>0</v>
      </c>
      <c r="AF57" s="943">
        <f t="shared" ref="AF57:AI61" si="59">AF50</f>
        <v>0</v>
      </c>
      <c r="AG57" s="943">
        <f t="shared" si="59"/>
        <v>0</v>
      </c>
      <c r="AH57" s="943">
        <f t="shared" si="59"/>
        <v>0</v>
      </c>
      <c r="AI57" s="943">
        <f t="shared" si="59"/>
        <v>0</v>
      </c>
      <c r="AJ57" s="943">
        <f t="shared" ref="AJ57:AJ61" si="60">IF(X50=430,AJ50,AJ50*$X$56)</f>
        <v>0</v>
      </c>
      <c r="AK57" s="943">
        <f t="shared" ref="AK57:AL61" si="61">AK50</f>
        <v>0</v>
      </c>
      <c r="AL57" s="943">
        <f t="shared" si="61"/>
        <v>0</v>
      </c>
      <c r="AM57" s="943">
        <f t="shared" ref="AM57:AM61" si="62">IF(X50=430,AM50,AM50*$Y$56)</f>
        <v>0</v>
      </c>
      <c r="AN57" s="943">
        <f t="shared" ref="AN57:AO61" si="63">AN50</f>
        <v>0</v>
      </c>
      <c r="AO57" s="943">
        <f t="shared" si="63"/>
        <v>0</v>
      </c>
      <c r="AP57" s="508">
        <f t="shared" ref="AP57:AP61" si="64">IF(AL57=0,0,AVERAGE(AC57:AD57)/AL57)</f>
        <v>0</v>
      </c>
      <c r="AQ57" s="943">
        <f t="shared" ref="AQ57:AQ61" si="65">AP57*AF57</f>
        <v>0</v>
      </c>
      <c r="AR57" s="751"/>
      <c r="AS57" s="751"/>
      <c r="AT57" s="751"/>
      <c r="AU57" s="751"/>
      <c r="AV57" s="751"/>
      <c r="AW57" s="751"/>
      <c r="AX57" s="751"/>
      <c r="AZ57" s="2601"/>
      <c r="BA57" s="1684"/>
      <c r="BB57" s="1684"/>
      <c r="BC57" s="1684"/>
      <c r="BD57" s="1684"/>
      <c r="BE57" s="1684"/>
      <c r="BF57" s="1684"/>
      <c r="BG57" s="2601"/>
      <c r="BH57" s="751"/>
      <c r="BI57" s="751"/>
      <c r="BJ57" s="751"/>
      <c r="BK57" s="751"/>
      <c r="BL57" s="751"/>
      <c r="BM57" s="751"/>
      <c r="BN57" s="751"/>
      <c r="BO57" s="751"/>
      <c r="BP57" s="751"/>
      <c r="BQ57" s="751"/>
      <c r="BR57" s="751"/>
      <c r="BS57" s="751"/>
      <c r="BT57" s="751"/>
      <c r="BU57" s="751"/>
      <c r="BV57" s="751"/>
      <c r="BW57" s="751"/>
      <c r="BX57" s="751"/>
      <c r="BY57" s="751"/>
      <c r="BZ57" s="751"/>
      <c r="CA57" s="751"/>
      <c r="CB57" s="751"/>
      <c r="CC57" s="751"/>
      <c r="CD57" s="751"/>
      <c r="CE57" s="751"/>
      <c r="CF57" s="751"/>
      <c r="CG57" s="751"/>
      <c r="CH57" s="751"/>
      <c r="CI57" s="751"/>
      <c r="CJ57" s="751"/>
      <c r="CK57" s="751"/>
      <c r="CL57" s="751"/>
      <c r="CM57" s="751"/>
      <c r="CN57" s="751"/>
      <c r="CO57" s="751"/>
      <c r="CP57" s="751"/>
      <c r="CQ57" s="751"/>
      <c r="CR57" s="751"/>
      <c r="CS57" s="751"/>
      <c r="CT57" s="751"/>
      <c r="CU57" s="759"/>
      <c r="CV57" s="1535"/>
      <c r="CW57" s="1535"/>
    </row>
    <row r="58" spans="2:101" ht="24.95" hidden="1" customHeight="1">
      <c r="D58" s="2601"/>
      <c r="E58" s="751"/>
      <c r="F58" s="751"/>
      <c r="G58" s="751"/>
      <c r="H58" s="751"/>
      <c r="I58" s="751"/>
      <c r="J58" s="751"/>
      <c r="K58" s="751"/>
      <c r="L58" s="751"/>
      <c r="M58" s="469"/>
      <c r="N58" s="751"/>
      <c r="O58" s="494"/>
      <c r="P58" s="2608"/>
      <c r="Q58" s="2609"/>
      <c r="R58" s="857"/>
      <c r="S58" s="751"/>
      <c r="T58" s="495"/>
      <c r="U58" s="607"/>
      <c r="V58" s="751"/>
      <c r="W58" s="751"/>
      <c r="X58" s="751"/>
      <c r="Y58" s="751"/>
      <c r="Z58" s="495"/>
      <c r="AA58" s="1080" t="str">
        <f t="shared" si="55"/>
        <v>C</v>
      </c>
      <c r="AB58" s="495" t="s">
        <v>796</v>
      </c>
      <c r="AC58" s="943">
        <f t="shared" si="56"/>
        <v>0</v>
      </c>
      <c r="AD58" s="943">
        <f t="shared" si="57"/>
        <v>0</v>
      </c>
      <c r="AE58" s="943">
        <f t="shared" si="58"/>
        <v>0</v>
      </c>
      <c r="AF58" s="943">
        <f t="shared" si="59"/>
        <v>0</v>
      </c>
      <c r="AG58" s="943">
        <f t="shared" si="59"/>
        <v>0</v>
      </c>
      <c r="AH58" s="943">
        <f t="shared" si="59"/>
        <v>0</v>
      </c>
      <c r="AI58" s="943">
        <f t="shared" si="59"/>
        <v>0</v>
      </c>
      <c r="AJ58" s="943">
        <f t="shared" si="60"/>
        <v>0</v>
      </c>
      <c r="AK58" s="943">
        <f t="shared" si="61"/>
        <v>0</v>
      </c>
      <c r="AL58" s="943">
        <f t="shared" si="61"/>
        <v>0</v>
      </c>
      <c r="AM58" s="943">
        <f t="shared" si="62"/>
        <v>0</v>
      </c>
      <c r="AN58" s="943">
        <f t="shared" si="63"/>
        <v>0</v>
      </c>
      <c r="AO58" s="943">
        <f t="shared" si="63"/>
        <v>0</v>
      </c>
      <c r="AP58" s="508">
        <f t="shared" si="64"/>
        <v>0</v>
      </c>
      <c r="AQ58" s="943">
        <f t="shared" si="65"/>
        <v>0</v>
      </c>
      <c r="AR58" s="751"/>
      <c r="AS58" s="751"/>
      <c r="AT58" s="751"/>
      <c r="AU58" s="751"/>
      <c r="AV58" s="751"/>
      <c r="AW58" s="751"/>
      <c r="AX58" s="751"/>
      <c r="AZ58" s="2601"/>
      <c r="BA58" s="1684"/>
      <c r="BB58" s="1684"/>
      <c r="BC58" s="1684"/>
      <c r="BD58" s="1684"/>
      <c r="BE58" s="1684"/>
      <c r="BF58" s="1684"/>
      <c r="BG58" s="2601"/>
      <c r="BH58" s="751"/>
      <c r="BI58" s="751"/>
      <c r="BJ58" s="751"/>
      <c r="BK58" s="751"/>
      <c r="BL58" s="751"/>
      <c r="BM58" s="751"/>
      <c r="BN58" s="751"/>
      <c r="BO58" s="751"/>
      <c r="BP58" s="751"/>
      <c r="BQ58" s="751"/>
      <c r="BR58" s="751"/>
      <c r="BS58" s="751"/>
      <c r="BT58" s="751"/>
      <c r="BU58" s="751"/>
      <c r="BV58" s="751"/>
      <c r="BW58" s="751"/>
      <c r="BX58" s="751"/>
      <c r="BY58" s="751"/>
      <c r="BZ58" s="751"/>
      <c r="CA58" s="751"/>
      <c r="CB58" s="751"/>
      <c r="CC58" s="751"/>
      <c r="CD58" s="751"/>
      <c r="CE58" s="751"/>
      <c r="CF58" s="751"/>
      <c r="CG58" s="751"/>
      <c r="CH58" s="751"/>
      <c r="CI58" s="751"/>
      <c r="CJ58" s="751"/>
      <c r="CK58" s="751"/>
      <c r="CL58" s="751"/>
      <c r="CM58" s="751"/>
      <c r="CN58" s="751"/>
      <c r="CO58" s="751"/>
      <c r="CP58" s="751"/>
      <c r="CQ58" s="751"/>
      <c r="CR58" s="751"/>
      <c r="CS58" s="751"/>
      <c r="CT58" s="751"/>
      <c r="CU58" s="759"/>
      <c r="CV58" s="1535"/>
      <c r="CW58" s="1535"/>
    </row>
    <row r="59" spans="2:101" ht="24.95" hidden="1" customHeight="1">
      <c r="D59" s="2601"/>
      <c r="E59" s="751"/>
      <c r="F59" s="751"/>
      <c r="G59" s="751"/>
      <c r="H59" s="751"/>
      <c r="I59" s="751"/>
      <c r="J59" s="751"/>
      <c r="K59" s="751"/>
      <c r="L59" s="751"/>
      <c r="M59" s="469"/>
      <c r="N59" s="751"/>
      <c r="O59" s="494"/>
      <c r="P59" s="2608"/>
      <c r="Q59" s="2609"/>
      <c r="R59" s="857"/>
      <c r="S59" s="751"/>
      <c r="T59" s="495"/>
      <c r="U59" s="607"/>
      <c r="V59" s="751"/>
      <c r="W59" s="751"/>
      <c r="X59" s="751"/>
      <c r="Y59" s="751"/>
      <c r="Z59" s="495"/>
      <c r="AA59" s="1080" t="str">
        <f t="shared" si="55"/>
        <v>C</v>
      </c>
      <c r="AB59" s="495" t="s">
        <v>797</v>
      </c>
      <c r="AC59" s="943">
        <f t="shared" si="56"/>
        <v>0</v>
      </c>
      <c r="AD59" s="943">
        <f t="shared" si="57"/>
        <v>0</v>
      </c>
      <c r="AE59" s="943">
        <f t="shared" si="58"/>
        <v>0</v>
      </c>
      <c r="AF59" s="943">
        <f t="shared" si="59"/>
        <v>0</v>
      </c>
      <c r="AG59" s="943">
        <f t="shared" si="59"/>
        <v>0</v>
      </c>
      <c r="AH59" s="943">
        <f t="shared" si="59"/>
        <v>0</v>
      </c>
      <c r="AI59" s="943">
        <f t="shared" si="59"/>
        <v>0</v>
      </c>
      <c r="AJ59" s="943">
        <f t="shared" si="60"/>
        <v>0</v>
      </c>
      <c r="AK59" s="943">
        <f t="shared" si="61"/>
        <v>0</v>
      </c>
      <c r="AL59" s="943">
        <f t="shared" si="61"/>
        <v>0</v>
      </c>
      <c r="AM59" s="943">
        <f t="shared" si="62"/>
        <v>0</v>
      </c>
      <c r="AN59" s="943">
        <f t="shared" si="63"/>
        <v>0</v>
      </c>
      <c r="AO59" s="943">
        <f t="shared" si="63"/>
        <v>0</v>
      </c>
      <c r="AP59" s="508">
        <f t="shared" si="64"/>
        <v>0</v>
      </c>
      <c r="AQ59" s="943">
        <f t="shared" si="65"/>
        <v>0</v>
      </c>
      <c r="AR59" s="751"/>
      <c r="AS59" s="751"/>
      <c r="AT59" s="751"/>
      <c r="AU59" s="751"/>
      <c r="AV59" s="751"/>
      <c r="AW59" s="751"/>
      <c r="AX59" s="751"/>
      <c r="AZ59" s="2601"/>
      <c r="BA59" s="1684"/>
      <c r="BB59" s="1684"/>
      <c r="BC59" s="1684"/>
      <c r="BD59" s="1684"/>
      <c r="BE59" s="1684"/>
      <c r="BF59" s="1684"/>
      <c r="BG59" s="2601"/>
      <c r="BH59" s="751"/>
      <c r="BI59" s="751"/>
      <c r="BJ59" s="751"/>
      <c r="BK59" s="751"/>
      <c r="BL59" s="751"/>
      <c r="BM59" s="751"/>
      <c r="BN59" s="751"/>
      <c r="BO59" s="751"/>
      <c r="BP59" s="751"/>
      <c r="BQ59" s="751"/>
      <c r="BR59" s="751"/>
      <c r="BS59" s="751"/>
      <c r="BT59" s="751"/>
      <c r="BU59" s="751"/>
      <c r="BV59" s="751"/>
      <c r="BW59" s="751"/>
      <c r="BX59" s="751"/>
      <c r="BY59" s="751"/>
      <c r="BZ59" s="751"/>
      <c r="CA59" s="751"/>
      <c r="CB59" s="751"/>
      <c r="CC59" s="751"/>
      <c r="CD59" s="751"/>
      <c r="CE59" s="751"/>
      <c r="CF59" s="751"/>
      <c r="CG59" s="751"/>
      <c r="CH59" s="751"/>
      <c r="CI59" s="751"/>
      <c r="CJ59" s="751"/>
      <c r="CK59" s="751"/>
      <c r="CL59" s="751"/>
      <c r="CM59" s="751"/>
      <c r="CN59" s="751"/>
      <c r="CO59" s="751"/>
      <c r="CP59" s="751"/>
      <c r="CQ59" s="751"/>
      <c r="CR59" s="751"/>
      <c r="CS59" s="751"/>
      <c r="CT59" s="751"/>
      <c r="CU59" s="759"/>
      <c r="CV59" s="1535"/>
      <c r="CW59" s="1535"/>
    </row>
    <row r="60" spans="2:101" ht="24.95" hidden="1" customHeight="1">
      <c r="D60" s="2601"/>
      <c r="E60" s="751"/>
      <c r="F60" s="751"/>
      <c r="G60" s="751"/>
      <c r="H60" s="751"/>
      <c r="I60" s="751"/>
      <c r="J60" s="751"/>
      <c r="K60" s="751"/>
      <c r="L60" s="751"/>
      <c r="M60" s="469"/>
      <c r="N60" s="751"/>
      <c r="O60" s="494"/>
      <c r="P60" s="2608"/>
      <c r="Q60" s="2609"/>
      <c r="R60" s="857"/>
      <c r="S60" s="751"/>
      <c r="T60" s="495"/>
      <c r="U60" s="607"/>
      <c r="V60" s="751"/>
      <c r="W60" s="751"/>
      <c r="X60" s="751"/>
      <c r="Y60" s="751"/>
      <c r="Z60" s="495"/>
      <c r="AA60" s="1080" t="str">
        <f t="shared" si="55"/>
        <v>C</v>
      </c>
      <c r="AB60" s="495" t="s">
        <v>798</v>
      </c>
      <c r="AC60" s="943">
        <f t="shared" si="56"/>
        <v>0</v>
      </c>
      <c r="AD60" s="943">
        <f t="shared" si="57"/>
        <v>0</v>
      </c>
      <c r="AE60" s="943">
        <f t="shared" si="58"/>
        <v>0</v>
      </c>
      <c r="AF60" s="943">
        <f t="shared" si="59"/>
        <v>0</v>
      </c>
      <c r="AG60" s="943">
        <f t="shared" si="59"/>
        <v>0</v>
      </c>
      <c r="AH60" s="943">
        <f t="shared" si="59"/>
        <v>0</v>
      </c>
      <c r="AI60" s="943">
        <f t="shared" si="59"/>
        <v>0</v>
      </c>
      <c r="AJ60" s="943">
        <f t="shared" si="60"/>
        <v>0</v>
      </c>
      <c r="AK60" s="943">
        <f t="shared" si="61"/>
        <v>0</v>
      </c>
      <c r="AL60" s="943">
        <f t="shared" si="61"/>
        <v>0</v>
      </c>
      <c r="AM60" s="943">
        <f t="shared" si="62"/>
        <v>0</v>
      </c>
      <c r="AN60" s="943">
        <f t="shared" si="63"/>
        <v>0</v>
      </c>
      <c r="AO60" s="943">
        <f t="shared" si="63"/>
        <v>0</v>
      </c>
      <c r="AP60" s="508">
        <f t="shared" si="64"/>
        <v>0</v>
      </c>
      <c r="AQ60" s="943">
        <f t="shared" si="65"/>
        <v>0</v>
      </c>
      <c r="AR60" s="751"/>
      <c r="AS60" s="751"/>
      <c r="AT60" s="751"/>
      <c r="AU60" s="751"/>
      <c r="AV60" s="751"/>
      <c r="AW60" s="751"/>
      <c r="AX60" s="751"/>
      <c r="AZ60" s="2601"/>
      <c r="BA60" s="1684"/>
      <c r="BB60" s="1684"/>
      <c r="BC60" s="1684"/>
      <c r="BD60" s="1684"/>
      <c r="BE60" s="1684"/>
      <c r="BF60" s="1684"/>
      <c r="BG60" s="2601"/>
      <c r="BH60" s="751"/>
      <c r="BI60" s="751"/>
      <c r="BJ60" s="751"/>
      <c r="BK60" s="751"/>
      <c r="BL60" s="751"/>
      <c r="BM60" s="751"/>
      <c r="BN60" s="751"/>
      <c r="BO60" s="751"/>
      <c r="BP60" s="751"/>
      <c r="BQ60" s="751"/>
      <c r="BR60" s="751"/>
      <c r="BS60" s="751"/>
      <c r="BT60" s="751"/>
      <c r="BU60" s="751"/>
      <c r="BV60" s="751"/>
      <c r="BW60" s="751"/>
      <c r="BX60" s="751"/>
      <c r="BY60" s="751"/>
      <c r="BZ60" s="751"/>
      <c r="CA60" s="751"/>
      <c r="CB60" s="751"/>
      <c r="CC60" s="751"/>
      <c r="CD60" s="751"/>
      <c r="CE60" s="751"/>
      <c r="CF60" s="751"/>
      <c r="CG60" s="751"/>
      <c r="CH60" s="751"/>
      <c r="CI60" s="751"/>
      <c r="CJ60" s="751"/>
      <c r="CK60" s="751"/>
      <c r="CL60" s="751"/>
      <c r="CM60" s="751"/>
      <c r="CN60" s="751"/>
      <c r="CO60" s="751"/>
      <c r="CP60" s="751"/>
      <c r="CQ60" s="751"/>
      <c r="CR60" s="751"/>
      <c r="CS60" s="751"/>
      <c r="CT60" s="751"/>
      <c r="CU60" s="759"/>
      <c r="CV60" s="1535"/>
      <c r="CW60" s="1535"/>
    </row>
    <row r="61" spans="2:101" ht="24.95" customHeight="1" thickBot="1">
      <c r="D61" s="2602"/>
      <c r="E61" s="751"/>
      <c r="F61" s="751"/>
      <c r="G61" s="751"/>
      <c r="H61" s="751"/>
      <c r="I61" s="751"/>
      <c r="J61" s="751"/>
      <c r="K61" s="751"/>
      <c r="L61" s="751"/>
      <c r="M61" s="469"/>
      <c r="N61" s="751"/>
      <c r="O61" s="494"/>
      <c r="P61" s="2610"/>
      <c r="Q61" s="2611"/>
      <c r="R61" s="857"/>
      <c r="S61" s="751"/>
      <c r="T61" s="495"/>
      <c r="U61" s="607"/>
      <c r="V61" s="751"/>
      <c r="W61" s="751"/>
      <c r="X61" s="751"/>
      <c r="Y61" s="751"/>
      <c r="Z61" s="495"/>
      <c r="AA61" s="1080" t="str">
        <f t="shared" si="55"/>
        <v>C</v>
      </c>
      <c r="AB61" s="859" t="s">
        <v>799</v>
      </c>
      <c r="AC61" s="943">
        <f t="shared" si="56"/>
        <v>0</v>
      </c>
      <c r="AD61" s="943">
        <f t="shared" si="57"/>
        <v>0</v>
      </c>
      <c r="AE61" s="943">
        <f t="shared" si="58"/>
        <v>0</v>
      </c>
      <c r="AF61" s="943">
        <f t="shared" si="59"/>
        <v>0</v>
      </c>
      <c r="AG61" s="943">
        <f t="shared" si="59"/>
        <v>0</v>
      </c>
      <c r="AH61" s="943">
        <f t="shared" si="59"/>
        <v>0</v>
      </c>
      <c r="AI61" s="943">
        <f t="shared" si="59"/>
        <v>0</v>
      </c>
      <c r="AJ61" s="943">
        <f t="shared" si="60"/>
        <v>0</v>
      </c>
      <c r="AK61" s="943">
        <f t="shared" si="61"/>
        <v>0</v>
      </c>
      <c r="AL61" s="943">
        <f t="shared" si="61"/>
        <v>0</v>
      </c>
      <c r="AM61" s="943">
        <f t="shared" si="62"/>
        <v>0</v>
      </c>
      <c r="AN61" s="943">
        <f t="shared" si="63"/>
        <v>0</v>
      </c>
      <c r="AO61" s="943">
        <f t="shared" si="63"/>
        <v>0</v>
      </c>
      <c r="AP61" s="508">
        <f t="shared" si="64"/>
        <v>0</v>
      </c>
      <c r="AQ61" s="943">
        <f t="shared" si="65"/>
        <v>0</v>
      </c>
      <c r="AR61" s="751"/>
      <c r="AS61" s="751"/>
      <c r="AT61" s="751"/>
      <c r="AU61" s="751"/>
      <c r="AV61" s="751"/>
      <c r="AW61" s="751"/>
      <c r="AX61" s="751"/>
      <c r="AZ61" s="2602"/>
      <c r="BA61" s="1684"/>
      <c r="BB61" s="1684"/>
      <c r="BC61" s="1684"/>
      <c r="BD61" s="1684"/>
      <c r="BE61" s="1684"/>
      <c r="BF61" s="1684"/>
      <c r="BG61" s="2601"/>
      <c r="BH61" s="751"/>
      <c r="BI61" s="751"/>
      <c r="BJ61" s="751"/>
      <c r="BK61" s="751"/>
      <c r="BL61" s="751"/>
      <c r="BM61" s="751"/>
      <c r="BN61" s="751"/>
      <c r="BO61" s="751"/>
      <c r="BP61" s="751"/>
      <c r="BQ61" s="751"/>
      <c r="BR61" s="751"/>
      <c r="BS61" s="751"/>
      <c r="BT61" s="751"/>
      <c r="BU61" s="751"/>
      <c r="BV61" s="751"/>
      <c r="BW61" s="751"/>
      <c r="BX61" s="751"/>
      <c r="BY61" s="751"/>
      <c r="BZ61" s="751"/>
      <c r="CA61" s="751"/>
      <c r="CB61" s="751"/>
      <c r="CC61" s="751"/>
      <c r="CD61" s="751"/>
      <c r="CE61" s="751"/>
      <c r="CF61" s="751"/>
      <c r="CG61" s="751"/>
      <c r="CH61" s="751"/>
      <c r="CI61" s="751"/>
      <c r="CJ61" s="751"/>
      <c r="CK61" s="751"/>
      <c r="CL61" s="751"/>
      <c r="CM61" s="751"/>
      <c r="CN61" s="751"/>
      <c r="CO61" s="751"/>
      <c r="CP61" s="751"/>
      <c r="CQ61" s="751"/>
      <c r="CR61" s="751"/>
      <c r="CS61" s="751"/>
      <c r="CT61" s="751"/>
      <c r="CU61" s="759"/>
      <c r="CV61" s="1535"/>
      <c r="CW61" s="1535"/>
    </row>
    <row r="62" spans="2:101" ht="24.95" customHeight="1" thickBot="1">
      <c r="D62" s="2600" t="s">
        <v>789</v>
      </c>
      <c r="E62" s="942" t="s">
        <v>681</v>
      </c>
      <c r="F62" s="487">
        <f>HLOOKUP($B$7,'Ships Table'!$C$2:$AG$43,17)</f>
        <v>0</v>
      </c>
      <c r="G62" s="488"/>
      <c r="H62" s="488"/>
      <c r="I62" s="488"/>
      <c r="J62" s="488"/>
      <c r="K62" s="488"/>
      <c r="L62" s="488"/>
      <c r="M62" s="507"/>
      <c r="N62" s="488"/>
      <c r="O62" s="489"/>
      <c r="P62" s="2590">
        <f>'Weapons Table'!M2</f>
        <v>2</v>
      </c>
      <c r="Q62" s="1091"/>
      <c r="R62" s="488"/>
      <c r="S62" s="2600" t="s">
        <v>809</v>
      </c>
      <c r="T62" s="949"/>
      <c r="U62" s="606"/>
      <c r="V62" s="488"/>
      <c r="W62" s="488"/>
      <c r="X62" s="488"/>
      <c r="Y62" s="488"/>
      <c r="Z62" s="488"/>
      <c r="AA62" s="488"/>
      <c r="AB62" s="488"/>
      <c r="AC62" s="611">
        <f>IF(OR($AC$11=400,$AC$11=500),1,0)</f>
        <v>0</v>
      </c>
      <c r="AD62" s="488"/>
      <c r="AE62" s="488"/>
      <c r="AF62" s="488"/>
      <c r="AG62" s="488"/>
      <c r="AH62" s="488"/>
      <c r="AI62" s="488"/>
      <c r="AJ62" s="488"/>
      <c r="AK62" s="488"/>
      <c r="AL62" s="488"/>
      <c r="AM62" s="488"/>
      <c r="AN62" s="488"/>
      <c r="AO62" s="488"/>
      <c r="AP62" s="488"/>
      <c r="AQ62" s="488"/>
      <c r="AR62" s="488"/>
      <c r="AS62" s="488"/>
      <c r="AT62" s="488"/>
      <c r="AU62" s="488"/>
      <c r="AV62" s="488"/>
      <c r="AW62" s="488"/>
      <c r="AX62" s="488"/>
      <c r="AZ62" s="2600" t="s">
        <v>1034</v>
      </c>
      <c r="BA62" s="488"/>
      <c r="BB62" s="488"/>
      <c r="BC62" s="488"/>
      <c r="BD62" s="488"/>
      <c r="BE62" s="488"/>
      <c r="BF62" s="488"/>
      <c r="BG62" s="2601"/>
      <c r="BH62" s="488"/>
      <c r="BI62" s="488"/>
      <c r="BJ62" s="488"/>
      <c r="BK62" s="488"/>
      <c r="BL62" s="488"/>
      <c r="BM62" s="503"/>
      <c r="BN62" s="503"/>
      <c r="BO62" s="503"/>
      <c r="BP62" s="488"/>
      <c r="BQ62" s="488"/>
      <c r="BR62" s="488"/>
      <c r="BS62" s="488"/>
      <c r="BT62" s="488"/>
      <c r="BU62" s="488"/>
      <c r="BV62" s="488"/>
      <c r="BW62" s="488"/>
      <c r="BX62" s="488"/>
      <c r="BY62" s="488"/>
      <c r="BZ62" s="488"/>
      <c r="CA62" s="488"/>
      <c r="CB62" s="488"/>
      <c r="CC62" s="488"/>
      <c r="CD62" s="488"/>
      <c r="CE62" s="488"/>
      <c r="CF62" s="488"/>
      <c r="CG62" s="488"/>
      <c r="CH62" s="488"/>
      <c r="CI62" s="488"/>
      <c r="CJ62" s="488"/>
      <c r="CK62" s="488"/>
      <c r="CL62" s="488"/>
      <c r="CM62" s="488"/>
      <c r="CN62" s="488"/>
      <c r="CO62" s="488"/>
      <c r="CP62" s="488"/>
      <c r="CQ62" s="488"/>
      <c r="CR62" s="488"/>
      <c r="CS62" s="488"/>
      <c r="CT62" s="488"/>
      <c r="CU62" s="504"/>
      <c r="CV62" s="1535"/>
      <c r="CW62" s="1535"/>
    </row>
    <row r="63" spans="2:101" ht="24.95" customHeight="1" thickBot="1">
      <c r="D63" s="2601"/>
      <c r="E63" s="2618" t="s">
        <v>682</v>
      </c>
      <c r="F63" s="500">
        <f>HLOOKUP($B$7,'Ships Table'!$C$2:$AG$43,16)</f>
        <v>0</v>
      </c>
      <c r="G63" s="491"/>
      <c r="H63" s="491"/>
      <c r="I63" s="491"/>
      <c r="J63" s="943"/>
      <c r="K63" s="943"/>
      <c r="L63" s="943"/>
      <c r="M63" s="496"/>
      <c r="N63" s="943"/>
      <c r="O63" s="494"/>
      <c r="P63" s="2591"/>
      <c r="Q63" s="1093"/>
      <c r="R63" s="943"/>
      <c r="S63" s="2601"/>
      <c r="T63" s="495"/>
      <c r="U63" s="607"/>
      <c r="V63" s="943"/>
      <c r="W63" s="943"/>
      <c r="X63" s="943"/>
      <c r="Y63" s="943"/>
      <c r="Z63" s="943"/>
      <c r="AA63" s="943"/>
      <c r="AB63" s="943"/>
      <c r="AC63" s="943">
        <v>3</v>
      </c>
      <c r="AD63" s="943">
        <v>4</v>
      </c>
      <c r="AE63" s="943">
        <v>5</v>
      </c>
      <c r="AF63" s="943">
        <v>6</v>
      </c>
      <c r="AG63" s="943">
        <v>7</v>
      </c>
      <c r="AH63" s="943">
        <v>8</v>
      </c>
      <c r="AI63" s="943">
        <v>9</v>
      </c>
      <c r="AJ63" s="943">
        <v>10</v>
      </c>
      <c r="AK63" s="943">
        <v>11</v>
      </c>
      <c r="AL63" s="943">
        <v>12</v>
      </c>
      <c r="AM63" s="943">
        <v>13</v>
      </c>
      <c r="AN63" s="943">
        <v>14</v>
      </c>
      <c r="AO63" s="943">
        <v>15</v>
      </c>
      <c r="AP63" s="943"/>
      <c r="AQ63" s="943"/>
      <c r="AR63" s="2595" t="s">
        <v>1054</v>
      </c>
      <c r="AS63" s="2595"/>
      <c r="AT63" s="2595"/>
      <c r="AU63" s="2595"/>
      <c r="AV63" s="2595"/>
      <c r="AW63" s="2595"/>
      <c r="AX63" s="943"/>
      <c r="AZ63" s="2601"/>
      <c r="BA63" s="1694" t="s">
        <v>1055</v>
      </c>
      <c r="BB63" s="1693"/>
      <c r="BC63" s="1693"/>
      <c r="BD63" s="1693"/>
      <c r="BE63" s="1693"/>
      <c r="BF63" s="1684"/>
      <c r="BG63" s="2601"/>
      <c r="BH63" s="501"/>
      <c r="BI63" s="501"/>
      <c r="BJ63" s="501"/>
      <c r="BK63" s="501"/>
      <c r="BL63" s="943"/>
      <c r="BM63" s="943"/>
      <c r="BN63" s="943"/>
      <c r="BO63" s="943"/>
      <c r="BP63" s="943"/>
      <c r="BQ63" s="943"/>
      <c r="BR63" s="943"/>
      <c r="BS63" s="943"/>
      <c r="BT63" s="943"/>
      <c r="BU63" s="943"/>
      <c r="BV63" s="943"/>
      <c r="BW63" s="943"/>
      <c r="BX63" s="943"/>
      <c r="BY63" s="943"/>
      <c r="BZ63" s="943"/>
      <c r="CA63" s="943"/>
      <c r="CB63" s="943"/>
      <c r="CC63" s="943"/>
      <c r="CD63" s="943"/>
      <c r="CE63" s="943"/>
      <c r="CF63" s="943"/>
      <c r="CG63" s="943"/>
      <c r="CH63" s="943"/>
      <c r="CI63" s="943"/>
      <c r="CJ63" s="943"/>
      <c r="CK63" s="943"/>
      <c r="CL63" s="943"/>
      <c r="CM63" s="943"/>
      <c r="CN63" s="943"/>
      <c r="CO63" s="943"/>
      <c r="CP63" s="943"/>
      <c r="CQ63" s="943"/>
      <c r="CR63" s="943"/>
      <c r="CS63" s="943"/>
      <c r="CT63" s="943"/>
      <c r="CU63" s="945"/>
      <c r="CV63" s="1535"/>
      <c r="CW63" s="1535"/>
    </row>
    <row r="64" spans="2:101" ht="24" customHeight="1" thickBot="1">
      <c r="D64" s="2601"/>
      <c r="E64" s="2618"/>
      <c r="F64" s="496" t="s">
        <v>669</v>
      </c>
      <c r="G64" s="496">
        <v>100</v>
      </c>
      <c r="H64" s="496" t="s">
        <v>721</v>
      </c>
      <c r="I64" s="496">
        <v>200</v>
      </c>
      <c r="J64" s="496" t="s">
        <v>722</v>
      </c>
      <c r="K64" s="496">
        <v>300</v>
      </c>
      <c r="L64" s="495" t="s">
        <v>112</v>
      </c>
      <c r="M64" s="496">
        <v>400</v>
      </c>
      <c r="N64" s="495" t="s">
        <v>654</v>
      </c>
      <c r="O64" s="494">
        <v>500</v>
      </c>
      <c r="P64" s="2591"/>
      <c r="Q64" s="1093"/>
      <c r="R64" s="943"/>
      <c r="S64" s="2602"/>
      <c r="T64" s="495"/>
      <c r="U64" s="607"/>
      <c r="V64" s="943"/>
      <c r="W64" s="943"/>
      <c r="X64" s="943"/>
      <c r="Y64" s="495" t="s">
        <v>1045</v>
      </c>
      <c r="Z64" s="943"/>
      <c r="AA64" s="920" t="s">
        <v>1044</v>
      </c>
      <c r="AB64" s="933" t="s">
        <v>1006</v>
      </c>
      <c r="AC64" s="556" t="s">
        <v>79</v>
      </c>
      <c r="AD64" s="557" t="s">
        <v>80</v>
      </c>
      <c r="AE64" s="558" t="s">
        <v>81</v>
      </c>
      <c r="AF64" s="558" t="s">
        <v>82</v>
      </c>
      <c r="AG64" s="558" t="s">
        <v>83</v>
      </c>
      <c r="AH64" s="558" t="s">
        <v>84</v>
      </c>
      <c r="AI64" s="558" t="s">
        <v>85</v>
      </c>
      <c r="AJ64" s="558" t="s">
        <v>86</v>
      </c>
      <c r="AK64" s="558" t="s">
        <v>87</v>
      </c>
      <c r="AL64" s="558" t="s">
        <v>72</v>
      </c>
      <c r="AM64" s="558" t="s">
        <v>88</v>
      </c>
      <c r="AN64" s="558" t="s">
        <v>89</v>
      </c>
      <c r="AO64" s="559" t="s">
        <v>48</v>
      </c>
      <c r="AP64" s="604" t="s">
        <v>783</v>
      </c>
      <c r="AQ64" s="614" t="s">
        <v>810</v>
      </c>
      <c r="AR64" s="605" t="s">
        <v>786</v>
      </c>
      <c r="AS64" s="605" t="s">
        <v>785</v>
      </c>
      <c r="AT64" s="605" t="s">
        <v>784</v>
      </c>
      <c r="AU64" s="605" t="s">
        <v>787</v>
      </c>
      <c r="AV64" s="617" t="s">
        <v>811</v>
      </c>
      <c r="AW64" s="552" t="s">
        <v>863</v>
      </c>
      <c r="AX64" s="493" t="s">
        <v>1222</v>
      </c>
      <c r="AY64" s="493" t="s">
        <v>1124</v>
      </c>
      <c r="AZ64" s="2612"/>
      <c r="BA64" s="605" t="s">
        <v>786</v>
      </c>
      <c r="BB64" s="605" t="s">
        <v>785</v>
      </c>
      <c r="BC64" s="605" t="s">
        <v>784</v>
      </c>
      <c r="BD64" s="605" t="s">
        <v>787</v>
      </c>
      <c r="BE64" s="617" t="s">
        <v>811</v>
      </c>
      <c r="BF64" s="1079" t="s">
        <v>863</v>
      </c>
      <c r="BG64" s="2601"/>
      <c r="BH64" s="943"/>
      <c r="BI64" s="943"/>
      <c r="BJ64" s="943"/>
      <c r="BK64" s="943"/>
      <c r="BL64" s="943"/>
      <c r="BM64" s="943"/>
      <c r="BN64" s="943"/>
      <c r="BO64" s="943"/>
      <c r="BP64" s="943"/>
      <c r="BQ64" s="943"/>
      <c r="BR64" s="943"/>
      <c r="BS64" s="943"/>
      <c r="BT64" s="943"/>
      <c r="BU64" s="943"/>
      <c r="BV64" s="943"/>
      <c r="BW64" s="943"/>
      <c r="BX64" s="943"/>
      <c r="BY64" s="943"/>
      <c r="BZ64" s="943"/>
      <c r="CA64" s="943"/>
      <c r="CB64" s="943"/>
      <c r="CC64" s="943"/>
      <c r="CD64" s="943"/>
      <c r="CE64" s="943"/>
      <c r="CF64" s="943"/>
      <c r="CG64" s="943"/>
      <c r="CH64" s="943"/>
      <c r="CI64" s="943"/>
      <c r="CJ64" s="943"/>
      <c r="CK64" s="943"/>
      <c r="CL64" s="943"/>
      <c r="CM64" s="943"/>
      <c r="CN64" s="943"/>
      <c r="CO64" s="943"/>
      <c r="CP64" s="943"/>
      <c r="CQ64" s="943"/>
      <c r="CR64" s="943"/>
      <c r="CS64" s="943"/>
      <c r="CT64" s="943"/>
      <c r="CU64" s="945"/>
      <c r="CV64" s="1535"/>
      <c r="CW64" s="1535"/>
    </row>
    <row r="65" spans="2:110" ht="27" customHeight="1">
      <c r="B65" s="515">
        <v>1</v>
      </c>
      <c r="D65" s="2601"/>
      <c r="E65" s="943">
        <f>IF($F$62=0,0,1)</f>
        <v>0</v>
      </c>
      <c r="F65" s="2604"/>
      <c r="G65" s="943"/>
      <c r="H65" s="2604"/>
      <c r="I65" s="943"/>
      <c r="J65" s="2604"/>
      <c r="K65" s="943"/>
      <c r="L65" s="943"/>
      <c r="M65" s="469">
        <v>1</v>
      </c>
      <c r="N65" s="943"/>
      <c r="O65" s="468">
        <v>1</v>
      </c>
      <c r="P65" s="2591"/>
      <c r="Q65" s="1093"/>
      <c r="R65" s="943"/>
      <c r="S65" s="943">
        <f>IF(OR(E65=0,E65=" "),0,E65)</f>
        <v>0</v>
      </c>
      <c r="T65" s="495">
        <f>IF(S65=0,0,1)</f>
        <v>0</v>
      </c>
      <c r="U65" s="607">
        <f>HLOOKUP($AC$11,$F$64:$O$66,D148)</f>
        <v>0</v>
      </c>
      <c r="V65" s="943">
        <f>U65*T65*10</f>
        <v>0</v>
      </c>
      <c r="W65" s="943">
        <f>$AC$11*$AC$62+V65</f>
        <v>0</v>
      </c>
      <c r="X65" s="943">
        <f>IF(OR(AND(W65&gt;400,W65&lt;499),AND(W65&gt;501,W65&lt;599)),W65*10,0)</f>
        <v>0</v>
      </c>
      <c r="Y65" s="943">
        <f>IF(AND(V65&gt;1,V65&lt;=10),1,0)</f>
        <v>0</v>
      </c>
      <c r="Z65" s="943"/>
      <c r="AA65" s="1080">
        <f>IF($AC$11=400,"MC",IF($AC$11=500,"MF",0))</f>
        <v>0</v>
      </c>
      <c r="AB65" s="495" t="s">
        <v>805</v>
      </c>
      <c r="AC65" s="943">
        <f>VLOOKUP($X$65,'Weapons Table'!$C$65:$R$85,'Weapons Table'!E1)</f>
        <v>0</v>
      </c>
      <c r="AD65" s="943">
        <f>VLOOKUP($X$65,'Weapons Table'!$C$65:$R$85,'Weapons Table'!F1)</f>
        <v>0</v>
      </c>
      <c r="AE65" s="943">
        <f>VLOOKUP($X$65,'Weapons Table'!$C$65:$R$85,'Weapons Table'!G1)</f>
        <v>0</v>
      </c>
      <c r="AF65" s="943">
        <f>VLOOKUP($X$65,'Weapons Table'!$C$65:$R$85,'Weapons Table'!H1)</f>
        <v>0</v>
      </c>
      <c r="AG65" s="943">
        <f>VLOOKUP($X$65,'Weapons Table'!$C$65:$R$85,'Weapons Table'!I1)</f>
        <v>0</v>
      </c>
      <c r="AH65" s="943">
        <f>VLOOKUP($X$65,'Weapons Table'!$C$65:$R$85,'Weapons Table'!J1)</f>
        <v>0</v>
      </c>
      <c r="AI65" s="943">
        <f>VLOOKUP($X$65,'Weapons Table'!$C$65:$R$85,'Weapons Table'!K1)</f>
        <v>0</v>
      </c>
      <c r="AJ65" s="943">
        <f>VLOOKUP($X$65,'Weapons Table'!$C$65:$R$85,'Weapons Table'!L1)</f>
        <v>0</v>
      </c>
      <c r="AK65" s="943">
        <f>VLOOKUP($X$65,'Weapons Table'!$C$65:$R$85,'Weapons Table'!M1)</f>
        <v>0</v>
      </c>
      <c r="AL65" s="943">
        <f>VLOOKUP($X$65,'Weapons Table'!$C$65:$R$85,'Weapons Table'!N1)</f>
        <v>0</v>
      </c>
      <c r="AM65" s="943">
        <f>VLOOKUP($X$65,'Weapons Table'!$C$65:$R$85,'Weapons Table'!O1)</f>
        <v>0</v>
      </c>
      <c r="AN65" s="943">
        <f>VLOOKUP($X$65,'Weapons Table'!$C$65:$R$85,'Weapons Table'!P1)</f>
        <v>0</v>
      </c>
      <c r="AO65" s="943">
        <f>VLOOKUP($X$65,'Weapons Table'!$C$65:$R$85,'Weapons Table'!Q1)</f>
        <v>0</v>
      </c>
      <c r="AP65" s="943">
        <f>IF(AL65=0,0,AVERAGE(AC65:AD65)/AL65)</f>
        <v>0</v>
      </c>
      <c r="AQ65" s="943">
        <v>0</v>
      </c>
      <c r="AR65" s="943">
        <f>IF($X$65=4003,$AP$65,0)</f>
        <v>0</v>
      </c>
      <c r="AS65" s="943">
        <f>AP65</f>
        <v>0</v>
      </c>
      <c r="AT65" s="951">
        <f>IF($X65=4003,$AP65,0)</f>
        <v>0</v>
      </c>
      <c r="AU65" s="951">
        <f>IF(X65=4003,AP65,0)</f>
        <v>0</v>
      </c>
      <c r="AV65" s="943">
        <v>0</v>
      </c>
      <c r="AW65" s="943">
        <f>IF(SUM(AJ65:AJ66)=0,0,SUM(AJ65:AJ66)/SUM(Y65:Y66))</f>
        <v>0</v>
      </c>
      <c r="AX65" s="943"/>
      <c r="AZ65" s="2601"/>
      <c r="BA65" s="1684">
        <f>SUM(AR65:AR66)</f>
        <v>0</v>
      </c>
      <c r="BB65" s="1689">
        <f>IF(AND(X65=4002,X66=4003),AVERAGE(AS65:AS66),IF(B9=500,SUM(AS65:AS66),IF(AND(X65=4003,X66=4003),SUM(AS65:AS66),AS65)))</f>
        <v>0</v>
      </c>
      <c r="BC65" s="1684">
        <f>SUM(AT65:AT66)</f>
        <v>0</v>
      </c>
      <c r="BD65" s="1689">
        <f>IF(X65=4003,SUM(AU65:AU66),AU66)</f>
        <v>0</v>
      </c>
      <c r="BE65" s="1684">
        <f>SUM(AQ65:AQ66)</f>
        <v>0</v>
      </c>
      <c r="BF65" s="1684">
        <f>AW65</f>
        <v>0</v>
      </c>
      <c r="BG65" s="2601"/>
      <c r="BH65" s="943"/>
      <c r="BI65" s="943"/>
      <c r="BJ65" s="943"/>
      <c r="BK65" s="943"/>
      <c r="BL65" s="943"/>
      <c r="BM65" s="943"/>
      <c r="BN65" s="943"/>
      <c r="BO65" s="943"/>
      <c r="BP65" s="943"/>
      <c r="BQ65" s="943"/>
      <c r="BR65" s="943"/>
      <c r="BS65" s="943"/>
      <c r="BT65" s="943"/>
      <c r="BU65" s="943"/>
      <c r="BV65" s="943"/>
      <c r="BW65" s="943"/>
      <c r="BX65" s="943"/>
      <c r="BY65" s="943"/>
      <c r="BZ65" s="943"/>
      <c r="CA65" s="943"/>
      <c r="CB65" s="943"/>
      <c r="CC65" s="943"/>
      <c r="CD65" s="943"/>
      <c r="CE65" s="943"/>
      <c r="CF65" s="943"/>
      <c r="CG65" s="943"/>
      <c r="CH65" s="943"/>
      <c r="CI65" s="943"/>
      <c r="CJ65" s="943"/>
      <c r="CK65" s="943"/>
      <c r="CL65" s="943"/>
      <c r="CM65" s="943"/>
      <c r="CN65" s="943"/>
      <c r="CO65" s="943"/>
      <c r="CP65" s="943"/>
      <c r="CQ65" s="943"/>
      <c r="CR65" s="943"/>
      <c r="CS65" s="943"/>
      <c r="CT65" s="943"/>
      <c r="CU65" s="945"/>
      <c r="CV65" s="1535"/>
      <c r="CW65" s="1535"/>
    </row>
    <row r="66" spans="2:110" ht="29.25" customHeight="1" thickBot="1">
      <c r="B66" s="515">
        <v>2</v>
      </c>
      <c r="D66" s="2602"/>
      <c r="E66" s="944" t="str">
        <f>IF($F$62&gt;E65,E65+1," ")</f>
        <v xml:space="preserve"> </v>
      </c>
      <c r="F66" s="2605"/>
      <c r="G66" s="944"/>
      <c r="H66" s="2605"/>
      <c r="I66" s="944"/>
      <c r="J66" s="2605"/>
      <c r="K66" s="944"/>
      <c r="L66" s="944"/>
      <c r="M66" s="470">
        <v>1</v>
      </c>
      <c r="N66" s="944"/>
      <c r="O66" s="698">
        <v>1</v>
      </c>
      <c r="P66" s="2592"/>
      <c r="Q66" s="1094"/>
      <c r="R66" s="943"/>
      <c r="S66" s="943">
        <f>IF(OR(E66=0,E66=" "),0,E66)</f>
        <v>0</v>
      </c>
      <c r="T66" s="495">
        <f>IF(S66=0,0,1)</f>
        <v>0</v>
      </c>
      <c r="U66" s="607">
        <f>HLOOKUP($AC$11,$F$64:$O$66,D149)</f>
        <v>0</v>
      </c>
      <c r="V66" s="1684">
        <f>U66*T66*10</f>
        <v>0</v>
      </c>
      <c r="W66" s="943">
        <f>$AC$11*$AC$62+V66</f>
        <v>0</v>
      </c>
      <c r="X66" s="1684">
        <f>IF(OR(AND(W66&gt;400,W66&lt;499),AND(W66&gt;501,W66&lt;599)),W66*10,0)</f>
        <v>0</v>
      </c>
      <c r="Y66" s="943">
        <f t="shared" si="24"/>
        <v>0</v>
      </c>
      <c r="Z66" s="943"/>
      <c r="AA66" s="1080">
        <f>IF($AC$11=400,"MC",IF($AC$11=500,"MF",0))</f>
        <v>0</v>
      </c>
      <c r="AB66" s="495" t="s">
        <v>806</v>
      </c>
      <c r="AC66" s="943">
        <f>VLOOKUP($X$66,'Weapons Table'!$C$65:$R$85,'Weapons Table'!E1)</f>
        <v>0</v>
      </c>
      <c r="AD66" s="943">
        <f>VLOOKUP($X$66,'Weapons Table'!$C$65:$R$85,'Weapons Table'!F1)</f>
        <v>0</v>
      </c>
      <c r="AE66" s="943">
        <f>VLOOKUP($X$66,'Weapons Table'!$C$65:$R$85,'Weapons Table'!G1)</f>
        <v>0</v>
      </c>
      <c r="AF66" s="943">
        <f>VLOOKUP($X$66,'Weapons Table'!$C$65:$R$85,'Weapons Table'!H1)</f>
        <v>0</v>
      </c>
      <c r="AG66" s="943">
        <f>VLOOKUP($X$66,'Weapons Table'!$C$65:$R$85,'Weapons Table'!I1)</f>
        <v>0</v>
      </c>
      <c r="AH66" s="943">
        <f>VLOOKUP($X$66,'Weapons Table'!$C$65:$R$85,'Weapons Table'!J1)</f>
        <v>0</v>
      </c>
      <c r="AI66" s="943">
        <f>VLOOKUP($X$66,'Weapons Table'!$C$65:$R$85,'Weapons Table'!K1)</f>
        <v>0</v>
      </c>
      <c r="AJ66" s="943">
        <f>VLOOKUP($X$66,'Weapons Table'!$C$65:$R$85,'Weapons Table'!L1)</f>
        <v>0</v>
      </c>
      <c r="AK66" s="943">
        <f>VLOOKUP($X$66,'Weapons Table'!$C$65:$R$85,'Weapons Table'!M1)</f>
        <v>0</v>
      </c>
      <c r="AL66" s="943">
        <f>VLOOKUP($X$66,'Weapons Table'!$C$65:$R$85,'Weapons Table'!N1)</f>
        <v>0</v>
      </c>
      <c r="AM66" s="943">
        <f>VLOOKUP($X$66,'Weapons Table'!$C$65:$R$85,'Weapons Table'!O1)</f>
        <v>0</v>
      </c>
      <c r="AN66" s="943">
        <f>VLOOKUP($X$66,'Weapons Table'!$C$65:$R$85,'Weapons Table'!P1)</f>
        <v>0</v>
      </c>
      <c r="AO66" s="943">
        <f>VLOOKUP($X$66,'Weapons Table'!$C$65:$R$85,'Weapons Table'!Q1)</f>
        <v>0</v>
      </c>
      <c r="AP66" s="1084">
        <f>IF(AL66=0,0,AVERAGE(AC66:AD66)/AL66)</f>
        <v>0</v>
      </c>
      <c r="AQ66" s="943">
        <v>0</v>
      </c>
      <c r="AR66" s="951">
        <f>IF(X66=4003,AP66,0)</f>
        <v>0</v>
      </c>
      <c r="AS66" s="943">
        <f>IF(X66=4003,AP66,IF($AC$11=500,AP66,0))</f>
        <v>0</v>
      </c>
      <c r="AT66" s="951">
        <f>IF(X66=4003,AP66,0)</f>
        <v>0</v>
      </c>
      <c r="AU66" s="951">
        <f>IF($AC$11=400,AP66,0)</f>
        <v>0</v>
      </c>
      <c r="AV66" s="943"/>
      <c r="AW66" s="943"/>
      <c r="AX66" s="943"/>
      <c r="AZ66" s="2601"/>
      <c r="BA66" s="1692" t="s">
        <v>1056</v>
      </c>
      <c r="BB66" s="1683"/>
      <c r="BC66" s="1683"/>
      <c r="BD66" s="1683"/>
      <c r="BE66" s="1683"/>
      <c r="BF66" s="1684"/>
      <c r="BG66" s="2601"/>
      <c r="BH66" s="495"/>
      <c r="BI66" s="495"/>
      <c r="BJ66" s="943"/>
      <c r="BK66" s="943"/>
      <c r="BL66" s="495"/>
      <c r="BM66" s="943"/>
      <c r="BN66" s="943"/>
      <c r="BO66" s="943"/>
      <c r="BP66" s="495"/>
      <c r="BQ66" s="943"/>
      <c r="BR66" s="943"/>
      <c r="BS66" s="943"/>
      <c r="BT66" s="495"/>
      <c r="BU66" s="943"/>
      <c r="BV66" s="943"/>
      <c r="BW66" s="943"/>
      <c r="BX66" s="495"/>
      <c r="BY66" s="943"/>
      <c r="BZ66" s="943"/>
      <c r="CA66" s="943"/>
      <c r="CB66" s="495"/>
      <c r="CC66" s="943"/>
      <c r="CD66" s="943"/>
      <c r="CE66" s="943"/>
      <c r="CF66" s="943"/>
      <c r="CG66" s="943"/>
      <c r="CH66" s="943"/>
      <c r="CI66" s="943"/>
      <c r="CJ66" s="943"/>
      <c r="CK66" s="943"/>
      <c r="CL66" s="943"/>
      <c r="CM66" s="495"/>
      <c r="CN66" s="495"/>
      <c r="CO66" s="943"/>
      <c r="CP66" s="943"/>
      <c r="CQ66" s="943"/>
      <c r="CR66" s="943"/>
      <c r="CS66" s="943"/>
      <c r="CT66" s="943"/>
      <c r="CU66" s="945"/>
      <c r="CV66" s="1535"/>
      <c r="CW66" s="1535"/>
    </row>
    <row r="67" spans="2:110" ht="29.25" hidden="1" customHeight="1">
      <c r="D67" s="2588" t="s">
        <v>975</v>
      </c>
      <c r="E67" s="1088"/>
      <c r="F67" s="1088"/>
      <c r="G67" s="1088"/>
      <c r="H67" s="1088"/>
      <c r="I67" s="1088"/>
      <c r="J67" s="1088"/>
      <c r="K67" s="1088"/>
      <c r="L67" s="1088"/>
      <c r="M67" s="1089"/>
      <c r="N67" s="1088"/>
      <c r="O67" s="1089"/>
      <c r="P67" s="2606"/>
      <c r="Q67" s="2607"/>
      <c r="R67" s="488"/>
      <c r="S67" s="488"/>
      <c r="T67" s="1090"/>
      <c r="U67" s="606"/>
      <c r="V67" s="488"/>
      <c r="W67" s="488"/>
      <c r="X67" s="488"/>
      <c r="Y67" s="488"/>
      <c r="Z67" s="488"/>
      <c r="AA67" s="1085"/>
      <c r="AB67" s="1090"/>
      <c r="AC67" s="488"/>
      <c r="AD67" s="488"/>
      <c r="AE67" s="488"/>
      <c r="AF67" s="488"/>
      <c r="AG67" s="488"/>
      <c r="AH67" s="488"/>
      <c r="AI67" s="488"/>
      <c r="AJ67" s="488"/>
      <c r="AK67" s="488"/>
      <c r="AL67" s="488"/>
      <c r="AM67" s="488"/>
      <c r="AN67" s="488"/>
      <c r="AO67" s="488"/>
      <c r="AP67" s="1086"/>
      <c r="AQ67" s="488"/>
      <c r="AR67" s="2596" t="s">
        <v>1053</v>
      </c>
      <c r="AS67" s="2596"/>
      <c r="AT67" s="2596"/>
      <c r="AU67" s="2596"/>
      <c r="AV67" s="2596"/>
      <c r="AW67" s="2596"/>
      <c r="AX67" s="488"/>
      <c r="AZ67" s="2600" t="s">
        <v>1034</v>
      </c>
      <c r="BA67" s="1691" t="s">
        <v>1056</v>
      </c>
      <c r="BB67" s="1690"/>
      <c r="BC67" s="1690"/>
      <c r="BD67" s="1690"/>
      <c r="BE67" s="1690"/>
      <c r="BF67" s="1686"/>
      <c r="BG67" s="2601"/>
      <c r="BH67" s="949"/>
      <c r="BI67" s="949"/>
      <c r="BJ67" s="488"/>
      <c r="BK67" s="488"/>
      <c r="BL67" s="949"/>
      <c r="BM67" s="488"/>
      <c r="BN67" s="488"/>
      <c r="BO67" s="488"/>
      <c r="BP67" s="949"/>
      <c r="BQ67" s="488"/>
      <c r="BR67" s="488"/>
      <c r="BS67" s="488"/>
      <c r="BT67" s="949"/>
      <c r="BU67" s="488"/>
      <c r="BV67" s="488"/>
      <c r="BW67" s="488"/>
      <c r="BX67" s="949"/>
      <c r="BY67" s="488"/>
      <c r="BZ67" s="488"/>
      <c r="CA67" s="488"/>
      <c r="CB67" s="949"/>
      <c r="CC67" s="488"/>
      <c r="CD67" s="488"/>
      <c r="CE67" s="488"/>
      <c r="CF67" s="488"/>
      <c r="CG67" s="488"/>
      <c r="CH67" s="488"/>
      <c r="CI67" s="488"/>
      <c r="CJ67" s="488"/>
      <c r="CK67" s="488"/>
      <c r="CL67" s="488"/>
      <c r="CM67" s="949"/>
      <c r="CN67" s="949"/>
      <c r="CO67" s="488"/>
      <c r="CP67" s="488"/>
      <c r="CQ67" s="488"/>
      <c r="CR67" s="488"/>
      <c r="CS67" s="488"/>
      <c r="CT67" s="488"/>
      <c r="CU67" s="504"/>
      <c r="CV67" s="1535"/>
      <c r="CW67" s="1535"/>
    </row>
    <row r="68" spans="2:110" ht="24.95" customHeight="1" thickBot="1">
      <c r="D68" s="2624"/>
      <c r="E68" s="943"/>
      <c r="F68" s="495" t="s">
        <v>366</v>
      </c>
      <c r="G68" s="943"/>
      <c r="H68" s="943"/>
      <c r="I68" s="943"/>
      <c r="J68" s="943"/>
      <c r="K68" s="943"/>
      <c r="L68" s="943"/>
      <c r="M68" s="469"/>
      <c r="N68" s="943"/>
      <c r="O68" s="469"/>
      <c r="P68" s="2608"/>
      <c r="Q68" s="2609"/>
      <c r="R68" s="1095" t="s">
        <v>1040</v>
      </c>
      <c r="S68" s="1095" t="s">
        <v>1042</v>
      </c>
      <c r="T68" s="1095" t="s">
        <v>1043</v>
      </c>
      <c r="U68" s="1067" t="s">
        <v>79</v>
      </c>
      <c r="V68" s="1068" t="s">
        <v>80</v>
      </c>
      <c r="W68" s="1068" t="s">
        <v>81</v>
      </c>
      <c r="X68" s="1069" t="s">
        <v>967</v>
      </c>
      <c r="Y68" s="1068" t="s">
        <v>88</v>
      </c>
      <c r="Z68" s="1070" t="s">
        <v>979</v>
      </c>
      <c r="AA68" s="1071" t="s">
        <v>1044</v>
      </c>
      <c r="AB68" s="1072" t="s">
        <v>1006</v>
      </c>
      <c r="AC68" s="600" t="s">
        <v>79</v>
      </c>
      <c r="AD68" s="601" t="s">
        <v>80</v>
      </c>
      <c r="AE68" s="602" t="s">
        <v>81</v>
      </c>
      <c r="AF68" s="602" t="s">
        <v>82</v>
      </c>
      <c r="AG68" s="602" t="s">
        <v>83</v>
      </c>
      <c r="AH68" s="602" t="s">
        <v>84</v>
      </c>
      <c r="AI68" s="602" t="s">
        <v>85</v>
      </c>
      <c r="AJ68" s="602" t="s">
        <v>86</v>
      </c>
      <c r="AK68" s="602" t="s">
        <v>87</v>
      </c>
      <c r="AL68" s="602" t="s">
        <v>72</v>
      </c>
      <c r="AM68" s="602" t="s">
        <v>88</v>
      </c>
      <c r="AN68" s="602" t="s">
        <v>89</v>
      </c>
      <c r="AO68" s="603" t="s">
        <v>48</v>
      </c>
      <c r="AP68" s="1073" t="s">
        <v>783</v>
      </c>
      <c r="AQ68" s="1074" t="s">
        <v>810</v>
      </c>
      <c r="AR68" s="1075" t="s">
        <v>786</v>
      </c>
      <c r="AS68" s="1075" t="s">
        <v>785</v>
      </c>
      <c r="AT68" s="1075" t="s">
        <v>784</v>
      </c>
      <c r="AU68" s="1075" t="s">
        <v>787</v>
      </c>
      <c r="AV68" s="1076" t="s">
        <v>811</v>
      </c>
      <c r="AW68" s="1077" t="s">
        <v>863</v>
      </c>
      <c r="AX68" s="493" t="s">
        <v>1222</v>
      </c>
      <c r="AY68" s="493" t="s">
        <v>1124</v>
      </c>
      <c r="AZ68" s="2612"/>
      <c r="BA68" s="1087" t="s">
        <v>786</v>
      </c>
      <c r="BB68" s="1075" t="s">
        <v>785</v>
      </c>
      <c r="BC68" s="1075" t="s">
        <v>784</v>
      </c>
      <c r="BD68" s="1075" t="s">
        <v>787</v>
      </c>
      <c r="BE68" s="1076" t="s">
        <v>811</v>
      </c>
      <c r="BF68" s="1111" t="s">
        <v>863</v>
      </c>
      <c r="BG68" s="2601"/>
      <c r="BH68" s="495"/>
      <c r="BI68" s="495"/>
      <c r="BJ68" s="943"/>
      <c r="BK68" s="943"/>
      <c r="BL68" s="495"/>
      <c r="BM68" s="943"/>
      <c r="BN68" s="943"/>
      <c r="BO68" s="943"/>
      <c r="BP68" s="495"/>
      <c r="BQ68" s="943"/>
      <c r="BR68" s="943"/>
      <c r="BS68" s="943"/>
      <c r="BT68" s="495"/>
      <c r="BU68" s="943"/>
      <c r="BV68" s="943"/>
      <c r="BW68" s="943"/>
      <c r="BX68" s="495"/>
      <c r="BY68" s="943"/>
      <c r="BZ68" s="943"/>
      <c r="CA68" s="943"/>
      <c r="CB68" s="495"/>
      <c r="CC68" s="943"/>
      <c r="CD68" s="943"/>
      <c r="CE68" s="943"/>
      <c r="CF68" s="943"/>
      <c r="CG68" s="943"/>
      <c r="CH68" s="943"/>
      <c r="CI68" s="943"/>
      <c r="CJ68" s="943"/>
      <c r="CK68" s="943"/>
      <c r="CL68" s="943"/>
      <c r="CM68" s="495"/>
      <c r="CN68" s="495"/>
      <c r="CO68" s="943"/>
      <c r="CP68" s="943"/>
      <c r="CQ68" s="943"/>
      <c r="CR68" s="943"/>
      <c r="CS68" s="943"/>
      <c r="CT68" s="943"/>
      <c r="CU68" s="945"/>
      <c r="CV68" s="1535"/>
      <c r="CW68" s="1535"/>
    </row>
    <row r="69" spans="2:110" ht="24.95" customHeight="1">
      <c r="D69" s="2624"/>
      <c r="E69" s="943"/>
      <c r="F69" s="943"/>
      <c r="G69" s="2661">
        <v>1</v>
      </c>
      <c r="H69" s="943"/>
      <c r="I69" s="943"/>
      <c r="J69" s="943"/>
      <c r="K69" s="943"/>
      <c r="L69" s="943"/>
      <c r="M69" s="469"/>
      <c r="N69" s="943"/>
      <c r="O69" s="469"/>
      <c r="P69" s="2608"/>
      <c r="Q69" s="2609"/>
      <c r="R69" s="1095" t="s">
        <v>1049</v>
      </c>
      <c r="S69" s="1095" t="s">
        <v>1048</v>
      </c>
      <c r="T69" s="1095">
        <f>$G$69+30</f>
        <v>31</v>
      </c>
      <c r="U69" s="607">
        <f>VLOOKUP(Calculateur!$T$69,muntions!$AT$33:$BH$38,muntions!AZ1)</f>
        <v>0</v>
      </c>
      <c r="V69" s="607">
        <f>VLOOKUP(Calculateur!$T$69,muntions!$AT$33:$BH$38,muntions!BA1)</f>
        <v>0</v>
      </c>
      <c r="W69" s="607">
        <f>VLOOKUP(Calculateur!$T$69,muntions!$AT$33:$BH$38,muntions!BB1)</f>
        <v>0</v>
      </c>
      <c r="X69" s="607">
        <f>VLOOKUP(Calculateur!$T$69,muntions!$AT$33:$BH$38,muntions!BC1)</f>
        <v>0</v>
      </c>
      <c r="Y69" s="607">
        <f>VLOOKUP(Calculateur!$T$69,muntions!$AT$33:$BH$38,muntions!BD1)</f>
        <v>0</v>
      </c>
      <c r="Z69" s="607">
        <f>VLOOKUP(Calculateur!$T$69,muntions!$AT$33:$BH$38,muntions!BE1)</f>
        <v>0</v>
      </c>
      <c r="AA69" s="1080"/>
      <c r="AB69" s="1095" t="s">
        <v>805</v>
      </c>
      <c r="AC69" s="1099">
        <f>IF($AA$65=$R$69,AC65*U69,IF($AA$66=$R$70,AC65*U70,0))</f>
        <v>0</v>
      </c>
      <c r="AD69" s="1099">
        <f t="shared" ref="AD69:AE69" si="66">IF($AA$65=$R$69,AD65*V69,IF($AA$66=$R$70,AD65*V70,0))</f>
        <v>0</v>
      </c>
      <c r="AE69" s="1099">
        <f t="shared" si="66"/>
        <v>0</v>
      </c>
      <c r="AF69" s="1099">
        <f>AF65</f>
        <v>0</v>
      </c>
      <c r="AG69" s="1099">
        <f t="shared" ref="AG69:AH69" si="67">AG65</f>
        <v>0</v>
      </c>
      <c r="AH69" s="1099">
        <f t="shared" si="67"/>
        <v>0</v>
      </c>
      <c r="AI69" s="1099">
        <f>AI65</f>
        <v>0</v>
      </c>
      <c r="AJ69" s="1099">
        <f>IF(AA65=$R$69,AJ65*$X$69,IF(AA65=$R$70,AJ65*$X$70,0))</f>
        <v>0</v>
      </c>
      <c r="AK69" s="1099">
        <f>AK65</f>
        <v>0</v>
      </c>
      <c r="AL69" s="1099">
        <f>AL65</f>
        <v>0</v>
      </c>
      <c r="AM69" s="1099">
        <f>IF(AA65=$R$69,AM65*$Y$69,IF(AA65=$R$70,AM65*$Y$70,0))</f>
        <v>0</v>
      </c>
      <c r="AN69" s="1099">
        <f>AN65</f>
        <v>0</v>
      </c>
      <c r="AO69" s="1099">
        <f>AO65</f>
        <v>0</v>
      </c>
      <c r="AP69" s="1099">
        <f>IF(AL69=0,0,AVERAGE(AC69:AD69)/AL69)</f>
        <v>0</v>
      </c>
      <c r="AQ69" s="1099">
        <f>AP69*AF69</f>
        <v>0</v>
      </c>
      <c r="AR69" s="1099">
        <f>IF(X65=4003,AP69,0)</f>
        <v>0</v>
      </c>
      <c r="AS69" s="1099">
        <f>AP69</f>
        <v>0</v>
      </c>
      <c r="AT69" s="1099">
        <f>IF(X65=4003,AP69,0)</f>
        <v>0</v>
      </c>
      <c r="AU69" s="1099">
        <f>IF(X65=4003,AP69,0)</f>
        <v>0</v>
      </c>
      <c r="AV69" s="1099">
        <f>SUM(AQ69:AQ70)</f>
        <v>0</v>
      </c>
      <c r="AW69" s="1099">
        <f>IF(SUM(AJ69:AJ70)=0,0,SUM(AJ69:AJ70)/SUM(Y65:Y66))</f>
        <v>0</v>
      </c>
      <c r="AX69" s="1099"/>
      <c r="AZ69" s="2601"/>
      <c r="BA69" s="1689">
        <f>SUM(AR69:AR70)</f>
        <v>0</v>
      </c>
      <c r="BB69" s="1112">
        <f>IF(AND(X65=4002,X66=4003),AVERAGE(AS69:AS70),IF(B9=500,SUM(AS69:AS70),IF(AND(X65=4003,X66=4003),SUM(AS69:AS70),AS69)))</f>
        <v>0</v>
      </c>
      <c r="BC69" s="1684">
        <f>SUM(AT69:AT70)</f>
        <v>0</v>
      </c>
      <c r="BD69" s="1689">
        <f>IF(X65=4003,SUM(AU69:AU70),AU70)</f>
        <v>0</v>
      </c>
      <c r="BE69" s="1689">
        <f>SUM(AQ69:AQ70)</f>
        <v>0</v>
      </c>
      <c r="BF69" s="1687">
        <f>AW69</f>
        <v>0</v>
      </c>
      <c r="BG69" s="2601"/>
      <c r="BH69" s="495"/>
      <c r="BI69" s="495"/>
      <c r="BJ69" s="943"/>
      <c r="BK69" s="943"/>
      <c r="BL69" s="495"/>
      <c r="BM69" s="943"/>
      <c r="BN69" s="943"/>
      <c r="BO69" s="943"/>
      <c r="BP69" s="495"/>
      <c r="BQ69" s="943"/>
      <c r="BR69" s="943"/>
      <c r="BS69" s="943"/>
      <c r="BT69" s="495"/>
      <c r="BU69" s="943"/>
      <c r="BV69" s="943"/>
      <c r="BW69" s="943"/>
      <c r="BX69" s="495"/>
      <c r="BY69" s="943"/>
      <c r="BZ69" s="943"/>
      <c r="CA69" s="943"/>
      <c r="CB69" s="495"/>
      <c r="CC69" s="943"/>
      <c r="CD69" s="943"/>
      <c r="CE69" s="943"/>
      <c r="CF69" s="943"/>
      <c r="CG69" s="943"/>
      <c r="CH69" s="943"/>
      <c r="CI69" s="943"/>
      <c r="CJ69" s="943"/>
      <c r="CK69" s="943"/>
      <c r="CL69" s="943"/>
      <c r="CM69" s="495"/>
      <c r="CN69" s="495"/>
      <c r="CO69" s="943"/>
      <c r="CP69" s="943"/>
      <c r="CQ69" s="943"/>
      <c r="CR69" s="943"/>
      <c r="CS69" s="943"/>
      <c r="CT69" s="943"/>
      <c r="CU69" s="945"/>
      <c r="CV69" s="1535"/>
      <c r="CW69" s="1535"/>
    </row>
    <row r="70" spans="2:110" ht="24.95" customHeight="1">
      <c r="D70" s="2624"/>
      <c r="E70" s="943"/>
      <c r="F70" s="943"/>
      <c r="G70" s="943"/>
      <c r="H70" s="943"/>
      <c r="I70" s="943"/>
      <c r="J70" s="943"/>
      <c r="K70" s="943"/>
      <c r="L70" s="943"/>
      <c r="M70" s="469"/>
      <c r="N70" s="943"/>
      <c r="O70" s="469"/>
      <c r="P70" s="2608"/>
      <c r="Q70" s="2609"/>
      <c r="R70" s="1095" t="s">
        <v>1050</v>
      </c>
      <c r="S70" s="1095" t="s">
        <v>1051</v>
      </c>
      <c r="T70" s="1095">
        <f>IF(T69&lt;35,T69,31)</f>
        <v>31</v>
      </c>
      <c r="U70" s="607">
        <f>IF($T$69&gt;=35,0,U69)</f>
        <v>0</v>
      </c>
      <c r="V70" s="607">
        <f t="shared" ref="V70:Z70" si="68">IF($T$69&gt;=35,0,V69)</f>
        <v>0</v>
      </c>
      <c r="W70" s="607">
        <f t="shared" si="68"/>
        <v>0</v>
      </c>
      <c r="X70" s="607">
        <f t="shared" si="68"/>
        <v>0</v>
      </c>
      <c r="Y70" s="607">
        <f t="shared" si="68"/>
        <v>0</v>
      </c>
      <c r="Z70" s="607">
        <f t="shared" si="68"/>
        <v>0</v>
      </c>
      <c r="AA70" s="1080"/>
      <c r="AB70" s="1095" t="s">
        <v>806</v>
      </c>
      <c r="AC70" s="1099">
        <f>IF($AA$65=$R$69,AC66*U69,IF($AA$66=$R$70,AC66*U70,0))</f>
        <v>0</v>
      </c>
      <c r="AD70" s="1099">
        <f t="shared" ref="AD70:AE70" si="69">IF($AA$65=$R$69,AD66*V69,IF($AA$66=$R$70,AD66*V70,0))</f>
        <v>0</v>
      </c>
      <c r="AE70" s="1099">
        <f t="shared" si="69"/>
        <v>0</v>
      </c>
      <c r="AF70" s="1099">
        <f>AF66</f>
        <v>0</v>
      </c>
      <c r="AG70" s="1099">
        <f t="shared" ref="AG70:AI70" si="70">AG66</f>
        <v>0</v>
      </c>
      <c r="AH70" s="1099">
        <f t="shared" si="70"/>
        <v>0</v>
      </c>
      <c r="AI70" s="1099">
        <f t="shared" si="70"/>
        <v>0</v>
      </c>
      <c r="AJ70" s="1099">
        <f>IF(AA66=$R$69,AJ66*$X$69,IF(AA66=$R$70,AJ66*$X$70,0))</f>
        <v>0</v>
      </c>
      <c r="AK70" s="1099">
        <f>AK66</f>
        <v>0</v>
      </c>
      <c r="AL70" s="1099">
        <f>AL66</f>
        <v>0</v>
      </c>
      <c r="AM70" s="1099">
        <f>IF(AA66=$R$69,AM66*$Y$69,IF(AA66=$R$70,AM66*$Y$70,0))</f>
        <v>0</v>
      </c>
      <c r="AN70" s="1099">
        <f>AN66</f>
        <v>0</v>
      </c>
      <c r="AO70" s="1099">
        <f>AO66</f>
        <v>0</v>
      </c>
      <c r="AP70" s="1099">
        <f>IF(AL70=0,0,AVERAGE(AC70:AD70)/AL70)</f>
        <v>0</v>
      </c>
      <c r="AQ70" s="1099">
        <f>AP70*AF70</f>
        <v>0</v>
      </c>
      <c r="AR70" s="1099">
        <f>IF(X66=4003,AP70,0)</f>
        <v>0</v>
      </c>
      <c r="AS70" s="1099">
        <f>IF(X66=4003,AP70,IF($AC$11=500,AP70,0))</f>
        <v>0</v>
      </c>
      <c r="AT70" s="1099">
        <f>IF(X66=4003,AP70,0)</f>
        <v>0</v>
      </c>
      <c r="AU70" s="1099">
        <f>IF($AC$11=500,0,AP70)</f>
        <v>0</v>
      </c>
      <c r="AV70" s="1099"/>
      <c r="AW70" s="1099"/>
      <c r="AX70" s="1099"/>
      <c r="AZ70" s="2601"/>
      <c r="BA70" s="1689"/>
      <c r="BB70" s="1684"/>
      <c r="BC70" s="1684"/>
      <c r="BD70" s="1684"/>
      <c r="BE70" s="1689"/>
      <c r="BF70" s="1687"/>
      <c r="BG70" s="2601"/>
      <c r="BH70" s="495"/>
      <c r="BI70" s="495"/>
      <c r="BJ70" s="943"/>
      <c r="BK70" s="943"/>
      <c r="BL70" s="495"/>
      <c r="BM70" s="943"/>
      <c r="BN70" s="943"/>
      <c r="BO70" s="943"/>
      <c r="BP70" s="495"/>
      <c r="BQ70" s="943"/>
      <c r="BR70" s="943"/>
      <c r="BS70" s="943"/>
      <c r="BT70" s="495"/>
      <c r="BU70" s="943"/>
      <c r="BV70" s="943"/>
      <c r="BW70" s="943"/>
      <c r="BX70" s="495"/>
      <c r="BY70" s="943"/>
      <c r="BZ70" s="943"/>
      <c r="CA70" s="943"/>
      <c r="CB70" s="495"/>
      <c r="CC70" s="943"/>
      <c r="CD70" s="943"/>
      <c r="CE70" s="943"/>
      <c r="CF70" s="943"/>
      <c r="CG70" s="943"/>
      <c r="CH70" s="943"/>
      <c r="CI70" s="943"/>
      <c r="CJ70" s="943"/>
      <c r="CK70" s="943"/>
      <c r="CL70" s="943"/>
      <c r="CM70" s="495"/>
      <c r="CN70" s="495"/>
      <c r="CO70" s="943"/>
      <c r="CP70" s="943"/>
      <c r="CQ70" s="943"/>
      <c r="CR70" s="943"/>
      <c r="CS70" s="943"/>
      <c r="CT70" s="943"/>
      <c r="CU70" s="945"/>
      <c r="CV70" s="1535"/>
      <c r="CW70" s="1535"/>
    </row>
    <row r="71" spans="2:110" ht="24.95" customHeight="1" thickBot="1">
      <c r="D71" s="2625"/>
      <c r="E71" s="944"/>
      <c r="F71" s="944"/>
      <c r="G71" s="944"/>
      <c r="H71" s="944"/>
      <c r="I71" s="944"/>
      <c r="J71" s="944"/>
      <c r="K71" s="944"/>
      <c r="L71" s="944"/>
      <c r="M71" s="470"/>
      <c r="N71" s="944"/>
      <c r="O71" s="470"/>
      <c r="P71" s="2610"/>
      <c r="Q71" s="2611"/>
      <c r="R71" s="1100"/>
      <c r="S71" s="1100"/>
      <c r="T71" s="1098"/>
      <c r="U71" s="610"/>
      <c r="V71" s="1100"/>
      <c r="W71" s="1100"/>
      <c r="X71" s="1100"/>
      <c r="Y71" s="1100"/>
      <c r="Z71" s="1098"/>
      <c r="AA71" s="1098"/>
      <c r="AB71" s="1098"/>
      <c r="AC71" s="1100"/>
      <c r="AD71" s="1100"/>
      <c r="AE71" s="1100"/>
      <c r="AF71" s="1100"/>
      <c r="AG71" s="1100"/>
      <c r="AH71" s="1100"/>
      <c r="AI71" s="1100"/>
      <c r="AJ71" s="1100"/>
      <c r="AK71" s="1100"/>
      <c r="AL71" s="1100"/>
      <c r="AM71" s="1100"/>
      <c r="AN71" s="1100"/>
      <c r="AO71" s="1100"/>
      <c r="AP71" s="1100"/>
      <c r="AQ71" s="1100"/>
      <c r="AR71" s="1098"/>
      <c r="AS71" s="1100"/>
      <c r="AT71" s="1100"/>
      <c r="AU71" s="1100"/>
      <c r="AV71" s="1100"/>
      <c r="AW71" s="1100"/>
      <c r="AX71" s="1100"/>
      <c r="AZ71" s="2602"/>
      <c r="BA71" s="1683"/>
      <c r="BB71" s="1685"/>
      <c r="BC71" s="1685"/>
      <c r="BD71" s="1685"/>
      <c r="BE71" s="1683"/>
      <c r="BF71" s="1688"/>
      <c r="BG71" s="2602"/>
      <c r="BH71" s="947"/>
      <c r="BI71" s="947"/>
      <c r="BJ71" s="944"/>
      <c r="BK71" s="944"/>
      <c r="BL71" s="947"/>
      <c r="BM71" s="944"/>
      <c r="BN71" s="944"/>
      <c r="BO71" s="944"/>
      <c r="BP71" s="947"/>
      <c r="BQ71" s="944"/>
      <c r="BR71" s="944"/>
      <c r="BS71" s="944"/>
      <c r="BT71" s="947"/>
      <c r="BU71" s="944"/>
      <c r="BV71" s="944"/>
      <c r="BW71" s="944"/>
      <c r="BX71" s="947"/>
      <c r="BY71" s="944"/>
      <c r="BZ71" s="944"/>
      <c r="CA71" s="944"/>
      <c r="CB71" s="947"/>
      <c r="CC71" s="944"/>
      <c r="CD71" s="944"/>
      <c r="CE71" s="944"/>
      <c r="CF71" s="944"/>
      <c r="CG71" s="944"/>
      <c r="CH71" s="944"/>
      <c r="CI71" s="944"/>
      <c r="CJ71" s="944"/>
      <c r="CK71" s="944"/>
      <c r="CL71" s="944"/>
      <c r="CM71" s="947"/>
      <c r="CN71" s="947"/>
      <c r="CO71" s="944"/>
      <c r="CP71" s="944"/>
      <c r="CQ71" s="944"/>
      <c r="CR71" s="944"/>
      <c r="CS71" s="944"/>
      <c r="CT71" s="944"/>
      <c r="CU71" s="946"/>
      <c r="CV71" s="1535"/>
      <c r="CW71" s="1535"/>
    </row>
    <row r="72" spans="2:110" ht="24.95" customHeight="1" thickBot="1">
      <c r="D72" s="2600" t="s">
        <v>698</v>
      </c>
      <c r="E72" s="2623" t="s">
        <v>681</v>
      </c>
      <c r="F72" s="487">
        <f>HLOOKUP($B$7,'Ships Table'!C2:AG43,18)</f>
        <v>2</v>
      </c>
      <c r="G72" s="503"/>
      <c r="H72" s="503"/>
      <c r="I72" s="488"/>
      <c r="J72" s="488"/>
      <c r="K72" s="488"/>
      <c r="L72" s="488"/>
      <c r="M72" s="507"/>
      <c r="N72" s="488"/>
      <c r="O72" s="489"/>
      <c r="P72" s="2591">
        <f>'Hull Table'!J2</f>
        <v>1</v>
      </c>
      <c r="Q72" s="853"/>
      <c r="R72" s="857"/>
      <c r="S72" s="490"/>
      <c r="AC72" s="523"/>
      <c r="AH72" s="523"/>
      <c r="AI72" s="523"/>
      <c r="CF72" s="523"/>
      <c r="CG72" s="523"/>
      <c r="CL72" s="523"/>
      <c r="CU72" s="523"/>
      <c r="CV72" s="2613" t="s">
        <v>1140</v>
      </c>
      <c r="CW72" s="2613"/>
      <c r="CX72" s="2613"/>
      <c r="CY72" s="2613"/>
      <c r="CZ72" s="2613"/>
      <c r="DA72" s="2613"/>
      <c r="DB72" s="2613"/>
      <c r="DC72" s="2613"/>
      <c r="DD72" s="2613"/>
      <c r="DE72" s="2613"/>
    </row>
    <row r="73" spans="2:110" ht="24.95" customHeight="1" thickBot="1">
      <c r="D73" s="2601"/>
      <c r="E73" s="2618"/>
      <c r="F73" s="495" t="s">
        <v>669</v>
      </c>
      <c r="G73" s="496">
        <v>100</v>
      </c>
      <c r="H73" s="495" t="s">
        <v>721</v>
      </c>
      <c r="I73" s="496">
        <v>200</v>
      </c>
      <c r="J73" s="495" t="s">
        <v>722</v>
      </c>
      <c r="K73" s="496">
        <v>300</v>
      </c>
      <c r="L73" s="495" t="s">
        <v>112</v>
      </c>
      <c r="M73" s="496">
        <v>400</v>
      </c>
      <c r="N73" s="495" t="s">
        <v>654</v>
      </c>
      <c r="O73" s="494">
        <v>500</v>
      </c>
      <c r="P73" s="2591"/>
      <c r="Q73" s="753"/>
      <c r="R73" s="857"/>
      <c r="S73" s="490"/>
      <c r="T73" s="2597" t="s">
        <v>749</v>
      </c>
      <c r="U73" s="2598"/>
      <c r="V73" s="2598"/>
      <c r="W73" s="2598"/>
      <c r="X73" s="2598"/>
      <c r="Y73" s="2599"/>
      <c r="Z73" s="495"/>
      <c r="AA73" s="495"/>
      <c r="AB73" s="495"/>
      <c r="AC73" s="523"/>
      <c r="AD73" s="2597" t="s">
        <v>748</v>
      </c>
      <c r="AE73" s="2598"/>
      <c r="AF73" s="2598"/>
      <c r="AG73" s="2599"/>
      <c r="AH73" s="523"/>
      <c r="AI73" s="523"/>
      <c r="AJ73" s="2597" t="s">
        <v>723</v>
      </c>
      <c r="AK73" s="2598"/>
      <c r="AL73" s="2598"/>
      <c r="AM73" s="2599"/>
      <c r="AN73" s="2597" t="s">
        <v>725</v>
      </c>
      <c r="AO73" s="2598"/>
      <c r="AP73" s="2598"/>
      <c r="AQ73" s="2599"/>
      <c r="AR73" s="2597" t="s">
        <v>742</v>
      </c>
      <c r="AS73" s="2598"/>
      <c r="AT73" s="2598"/>
      <c r="AU73" s="2599"/>
      <c r="AV73" s="2597" t="s">
        <v>743</v>
      </c>
      <c r="AW73" s="2598"/>
      <c r="AX73" s="2598"/>
      <c r="AY73" s="2599"/>
      <c r="AZ73" s="2597" t="s">
        <v>744</v>
      </c>
      <c r="BA73" s="2598"/>
      <c r="BB73" s="2598"/>
      <c r="BC73" s="2599"/>
      <c r="BD73" s="2597" t="s">
        <v>745</v>
      </c>
      <c r="BE73" s="2598"/>
      <c r="BF73" s="2598"/>
      <c r="BG73" s="2599"/>
      <c r="BH73" s="2646" t="s">
        <v>753</v>
      </c>
      <c r="BI73" s="2647"/>
      <c r="BJ73" s="2647"/>
      <c r="BK73" s="2648"/>
      <c r="BL73" s="2597" t="s">
        <v>746</v>
      </c>
      <c r="BM73" s="2598"/>
      <c r="BN73" s="2598"/>
      <c r="BO73" s="2599"/>
      <c r="BP73" s="2597" t="s">
        <v>747</v>
      </c>
      <c r="BQ73" s="2598"/>
      <c r="BR73" s="2598"/>
      <c r="BS73" s="2599"/>
      <c r="BT73" s="2597" t="s">
        <v>750</v>
      </c>
      <c r="BU73" s="2598"/>
      <c r="BV73" s="2598"/>
      <c r="BW73" s="2599"/>
      <c r="BX73" s="2597" t="s">
        <v>751</v>
      </c>
      <c r="BY73" s="2598"/>
      <c r="BZ73" s="2598"/>
      <c r="CA73" s="2599"/>
      <c r="CB73" s="2597" t="s">
        <v>752</v>
      </c>
      <c r="CC73" s="2598"/>
      <c r="CD73" s="2598"/>
      <c r="CE73" s="2599"/>
      <c r="CF73" s="523"/>
      <c r="CG73" s="523"/>
      <c r="CH73" s="2597" t="s">
        <v>755</v>
      </c>
      <c r="CI73" s="2598"/>
      <c r="CJ73" s="2598"/>
      <c r="CK73" s="2599"/>
      <c r="CL73" s="523"/>
      <c r="CM73" s="2597" t="s">
        <v>754</v>
      </c>
      <c r="CN73" s="2598"/>
      <c r="CO73" s="2598"/>
      <c r="CP73" s="2598"/>
      <c r="CQ73" s="2598"/>
      <c r="CR73" s="2598"/>
      <c r="CS73" s="2598"/>
      <c r="CT73" s="2599"/>
      <c r="CU73" s="523"/>
      <c r="CV73" s="1551" t="s">
        <v>1126</v>
      </c>
      <c r="CW73" s="1552" t="s">
        <v>1125</v>
      </c>
      <c r="CX73" s="1553" t="s">
        <v>1127</v>
      </c>
      <c r="CY73" s="1553" t="s">
        <v>1142</v>
      </c>
      <c r="CZ73" s="1553" t="s">
        <v>724</v>
      </c>
      <c r="DA73" s="1553" t="s">
        <v>257</v>
      </c>
      <c r="DB73" s="1553" t="s">
        <v>258</v>
      </c>
      <c r="DC73" s="1553" t="s">
        <v>259</v>
      </c>
      <c r="DD73" s="1553" t="s">
        <v>260</v>
      </c>
      <c r="DE73" s="1564" t="s">
        <v>72</v>
      </c>
      <c r="DF73" s="1566" t="s">
        <v>1141</v>
      </c>
    </row>
    <row r="74" spans="2:110" ht="24.95" customHeight="1">
      <c r="B74" s="515">
        <v>1</v>
      </c>
      <c r="D74" s="2601"/>
      <c r="E74" s="751">
        <f>IF($F$72=0,0,1)</f>
        <v>1</v>
      </c>
      <c r="F74" s="751"/>
      <c r="G74" s="469">
        <v>1</v>
      </c>
      <c r="H74" s="751"/>
      <c r="I74" s="469">
        <v>1</v>
      </c>
      <c r="J74" s="751"/>
      <c r="K74" s="469">
        <v>1</v>
      </c>
      <c r="L74" s="751"/>
      <c r="M74" s="469">
        <v>1</v>
      </c>
      <c r="N74" s="751"/>
      <c r="O74" s="468">
        <v>1</v>
      </c>
      <c r="P74" s="2591"/>
      <c r="Q74" s="753"/>
      <c r="R74" s="857"/>
      <c r="S74" s="490"/>
      <c r="T74" s="1096" t="s">
        <v>701</v>
      </c>
      <c r="U74" s="1099">
        <f>HLOOKUP($B$7,'Ships Table'!C2:AG43,21)</f>
        <v>450</v>
      </c>
      <c r="V74" s="1099"/>
      <c r="W74" s="1099"/>
      <c r="X74" s="1099"/>
      <c r="Y74" s="509"/>
      <c r="Z74" s="501"/>
      <c r="AA74" s="501"/>
      <c r="AB74" s="501"/>
      <c r="AC74" s="501"/>
      <c r="AD74" s="1096" t="s">
        <v>701</v>
      </c>
      <c r="AE74" s="508">
        <f t="shared" ref="AE74:AE78" si="71">U74*(1+$H$6/100)</f>
        <v>450</v>
      </c>
      <c r="AF74" s="1099"/>
      <c r="AG74" s="1093"/>
      <c r="AH74" s="523"/>
      <c r="AJ74" s="505"/>
      <c r="AK74" s="751"/>
      <c r="AL74" s="495" t="s">
        <v>740</v>
      </c>
      <c r="AM74" s="759"/>
      <c r="AN74" s="506" t="s">
        <v>701</v>
      </c>
      <c r="AO74" s="547">
        <f>VLOOKUP($AL$75,'Hull Table'!$C$5:$M$55,5)</f>
        <v>0</v>
      </c>
      <c r="AP74" s="547"/>
      <c r="AQ74" s="549"/>
      <c r="AR74" s="506" t="s">
        <v>701</v>
      </c>
      <c r="AS74" s="547">
        <f>VLOOKUP($AL$76,'Hull Table'!$C$5:$M$55,5)</f>
        <v>0</v>
      </c>
      <c r="AT74" s="547"/>
      <c r="AU74" s="549"/>
      <c r="AV74" s="506" t="s">
        <v>701</v>
      </c>
      <c r="AW74" s="547">
        <f>VLOOKUP($AL$77,'Hull Table'!$C$5:$M$55,5)</f>
        <v>0</v>
      </c>
      <c r="AX74" s="547"/>
      <c r="AY74" s="549"/>
      <c r="AZ74" s="506" t="s">
        <v>701</v>
      </c>
      <c r="BA74" s="547">
        <f>VLOOKUP($AL$78,'Hull Table'!$C$5:$M$55,5)</f>
        <v>0</v>
      </c>
      <c r="BB74" s="547"/>
      <c r="BC74" s="549"/>
      <c r="BD74" s="506" t="s">
        <v>701</v>
      </c>
      <c r="BE74" s="547">
        <f>VLOOKUP($AL$79,'Hull Table'!$C$5:$M$55,5)</f>
        <v>0</v>
      </c>
      <c r="BF74" s="547"/>
      <c r="BG74" s="549"/>
      <c r="BH74" s="506" t="s">
        <v>701</v>
      </c>
      <c r="BI74" s="508">
        <f>$AE$74+$AO$74+$AS$74+$AW$74+$BA$74+$BE$74</f>
        <v>450</v>
      </c>
      <c r="BJ74" s="547"/>
      <c r="BK74" s="549"/>
      <c r="BL74" s="506" t="s">
        <v>701</v>
      </c>
      <c r="BM74" s="547">
        <f t="shared" ref="BM74:BM91" si="72">IF($B$9=100,BI74,0)</f>
        <v>450</v>
      </c>
      <c r="BN74" s="547"/>
      <c r="BO74" s="549"/>
      <c r="BP74" s="506" t="s">
        <v>701</v>
      </c>
      <c r="BQ74" s="547">
        <f t="shared" ref="BQ74:BQ91" si="73">IF($B$9=200,BI74,0)</f>
        <v>0</v>
      </c>
      <c r="BR74" s="547"/>
      <c r="BS74" s="549"/>
      <c r="BT74" s="506" t="s">
        <v>701</v>
      </c>
      <c r="BU74" s="547">
        <f t="shared" ref="BU74:BU91" si="74">IF($B$9=300,BI74,0)</f>
        <v>0</v>
      </c>
      <c r="BV74" s="547"/>
      <c r="BW74" s="549"/>
      <c r="BX74" s="506" t="s">
        <v>701</v>
      </c>
      <c r="BY74" s="547">
        <f t="shared" ref="BY74:BY91" si="75">IF($B$9=400,BI74,0)</f>
        <v>0</v>
      </c>
      <c r="BZ74" s="547"/>
      <c r="CA74" s="549"/>
      <c r="CB74" s="506" t="s">
        <v>701</v>
      </c>
      <c r="CC74" s="547">
        <f>IF($B$9=500,BI74,0)</f>
        <v>0</v>
      </c>
      <c r="CD74" s="547"/>
      <c r="CE74" s="549"/>
      <c r="CF74" s="523"/>
      <c r="CG74" s="523"/>
      <c r="CH74" s="506" t="s">
        <v>701</v>
      </c>
      <c r="CI74" s="508">
        <f>BI74-AE74</f>
        <v>0</v>
      </c>
      <c r="CJ74" s="523"/>
      <c r="CK74" s="525"/>
      <c r="CL74" s="523"/>
      <c r="CM74" s="506" t="s">
        <v>701</v>
      </c>
      <c r="CN74" s="508">
        <f>BI74</f>
        <v>450</v>
      </c>
      <c r="CO74" s="495" t="str">
        <f>IF(CI74=0," ","+")</f>
        <v xml:space="preserve"> </v>
      </c>
      <c r="CP74" s="508" t="str">
        <f>IF(CI74=0," ",CI74)</f>
        <v xml:space="preserve"> </v>
      </c>
      <c r="CQ74" s="523"/>
      <c r="CR74" s="523"/>
      <c r="CS74" s="523"/>
      <c r="CT74" s="525"/>
      <c r="CU74" s="523"/>
      <c r="CV74" s="2616" t="s">
        <v>1087</v>
      </c>
      <c r="CW74" s="2617"/>
      <c r="CX74" s="2617"/>
      <c r="CY74" s="2617"/>
      <c r="CZ74" s="2617"/>
      <c r="DA74" s="2617"/>
      <c r="DB74" s="2617"/>
      <c r="DC74" s="2617"/>
      <c r="DD74" s="2617"/>
      <c r="DE74" s="2617"/>
      <c r="DF74" s="2618"/>
    </row>
    <row r="75" spans="2:110" ht="24.95" customHeight="1">
      <c r="B75" s="515">
        <v>2</v>
      </c>
      <c r="D75" s="2601"/>
      <c r="E75" s="751">
        <f>IF($F$72&gt;E74,E74+1," ")</f>
        <v>2</v>
      </c>
      <c r="F75" s="751"/>
      <c r="G75" s="469">
        <v>1</v>
      </c>
      <c r="H75" s="751"/>
      <c r="I75" s="469">
        <v>1</v>
      </c>
      <c r="J75" s="751"/>
      <c r="K75" s="469">
        <v>1</v>
      </c>
      <c r="L75" s="751"/>
      <c r="M75" s="469">
        <v>1</v>
      </c>
      <c r="N75" s="751"/>
      <c r="O75" s="468">
        <v>1</v>
      </c>
      <c r="P75" s="2591"/>
      <c r="Q75" s="753"/>
      <c r="R75" s="857"/>
      <c r="S75" s="490"/>
      <c r="T75" s="1096" t="s">
        <v>702</v>
      </c>
      <c r="U75" s="1099">
        <f>HLOOKUP($B$7,'Ships Table'!C2:AG43,22)</f>
        <v>2.5</v>
      </c>
      <c r="V75" s="1099"/>
      <c r="W75" s="1099"/>
      <c r="X75" s="1099"/>
      <c r="Y75" s="1093"/>
      <c r="Z75" s="690"/>
      <c r="AA75" s="934"/>
      <c r="AB75" s="857"/>
      <c r="AC75" s="523"/>
      <c r="AD75" s="1096" t="s">
        <v>702</v>
      </c>
      <c r="AE75" s="1099">
        <f t="shared" si="71"/>
        <v>2.5</v>
      </c>
      <c r="AF75" s="1099"/>
      <c r="AG75" s="1093"/>
      <c r="AH75" s="523"/>
      <c r="AI75" s="1095" t="s">
        <v>1079</v>
      </c>
      <c r="AJ75" s="505">
        <f>HLOOKUP($B$9,$F$73:$O$78,2)</f>
        <v>1</v>
      </c>
      <c r="AK75" s="751">
        <f>$B$9+AJ75</f>
        <v>101</v>
      </c>
      <c r="AL75" s="495">
        <f>IF(E74&gt;B74,$B$9+1,AK75)</f>
        <v>101</v>
      </c>
      <c r="AM75" s="759"/>
      <c r="AN75" s="506" t="s">
        <v>702</v>
      </c>
      <c r="AO75" s="547">
        <f>VLOOKUP($AL$75,'Hull Table'!$C$5:$M$55,10)</f>
        <v>0</v>
      </c>
      <c r="AP75" s="547"/>
      <c r="AQ75" s="549"/>
      <c r="AR75" s="506" t="s">
        <v>702</v>
      </c>
      <c r="AS75" s="547">
        <f>VLOOKUP($AL$76,'Hull Table'!$C$5:$M$55,10)</f>
        <v>0</v>
      </c>
      <c r="AT75" s="547"/>
      <c r="AU75" s="549"/>
      <c r="AV75" s="506" t="s">
        <v>702</v>
      </c>
      <c r="AW75" s="547">
        <f>VLOOKUP($AL$77,'Hull Table'!$C$5:$M$55,10)</f>
        <v>0</v>
      </c>
      <c r="AX75" s="547"/>
      <c r="AY75" s="549"/>
      <c r="AZ75" s="506" t="s">
        <v>702</v>
      </c>
      <c r="BA75" s="547">
        <f>VLOOKUP($AL$78,'Hull Table'!$C$5:$M$55,10)</f>
        <v>0</v>
      </c>
      <c r="BB75" s="547"/>
      <c r="BC75" s="549"/>
      <c r="BD75" s="506" t="s">
        <v>702</v>
      </c>
      <c r="BE75" s="547">
        <f>VLOOKUP($AL$79,'Hull Table'!$C$5:$M$55,10)</f>
        <v>0</v>
      </c>
      <c r="BF75" s="547"/>
      <c r="BG75" s="549"/>
      <c r="BH75" s="506" t="s">
        <v>702</v>
      </c>
      <c r="BI75" s="547">
        <f>$AE$75+$AO$75+$AS$75+$AW$75+$BA$75+$BE$75</f>
        <v>2.5</v>
      </c>
      <c r="BJ75" s="547"/>
      <c r="BK75" s="549"/>
      <c r="BL75" s="506" t="s">
        <v>702</v>
      </c>
      <c r="BM75" s="547">
        <f t="shared" si="72"/>
        <v>2.5</v>
      </c>
      <c r="BN75" s="547"/>
      <c r="BO75" s="549"/>
      <c r="BP75" s="506" t="s">
        <v>702</v>
      </c>
      <c r="BQ75" s="547">
        <f t="shared" si="73"/>
        <v>0</v>
      </c>
      <c r="BR75" s="547"/>
      <c r="BS75" s="549"/>
      <c r="BT75" s="506" t="s">
        <v>702</v>
      </c>
      <c r="BU75" s="547">
        <f t="shared" si="74"/>
        <v>0</v>
      </c>
      <c r="BV75" s="547"/>
      <c r="BW75" s="549"/>
      <c r="BX75" s="506" t="s">
        <v>702</v>
      </c>
      <c r="BY75" s="547">
        <f t="shared" si="75"/>
        <v>0</v>
      </c>
      <c r="BZ75" s="547"/>
      <c r="CA75" s="549"/>
      <c r="CB75" s="506" t="s">
        <v>702</v>
      </c>
      <c r="CC75" s="951">
        <f t="shared" ref="CC75:CC99" si="76">IF($B$9=500,BI75,0)</f>
        <v>0</v>
      </c>
      <c r="CD75" s="547"/>
      <c r="CE75" s="549"/>
      <c r="CF75" s="523"/>
      <c r="CG75" s="523"/>
      <c r="CH75" s="506" t="s">
        <v>702</v>
      </c>
      <c r="CI75" s="508">
        <f t="shared" ref="CI75:CI76" si="77">BI75-AE75</f>
        <v>0</v>
      </c>
      <c r="CJ75" s="523"/>
      <c r="CK75" s="525"/>
      <c r="CL75" s="523"/>
      <c r="CM75" s="506" t="s">
        <v>702</v>
      </c>
      <c r="CN75" s="508">
        <f>BI75</f>
        <v>2.5</v>
      </c>
      <c r="CO75" s="495" t="str">
        <f>IF(CI75=0," ","+")</f>
        <v xml:space="preserve"> </v>
      </c>
      <c r="CP75" s="508" t="str">
        <f>IF(CI75=0," ",CI75)</f>
        <v xml:space="preserve"> </v>
      </c>
      <c r="CQ75" s="523"/>
      <c r="CR75" s="523"/>
      <c r="CS75" s="523"/>
      <c r="CT75" s="525"/>
      <c r="CU75" s="523"/>
      <c r="CV75" s="2616" t="s">
        <v>1128</v>
      </c>
      <c r="CW75" s="2617"/>
      <c r="CX75" s="2617"/>
      <c r="CY75" s="2617"/>
      <c r="CZ75" s="2617"/>
      <c r="DA75" s="2617"/>
      <c r="DB75" s="2617"/>
      <c r="DC75" s="2617"/>
      <c r="DD75" s="2617"/>
      <c r="DE75" s="2617"/>
      <c r="DF75" s="2618"/>
    </row>
    <row r="76" spans="2:110" ht="24.95" customHeight="1">
      <c r="B76" s="515">
        <v>3</v>
      </c>
      <c r="D76" s="2601"/>
      <c r="E76" s="751" t="str">
        <f t="shared" ref="E76:E78" si="78">IF($F$72&gt;E75,E75+1," ")</f>
        <v xml:space="preserve"> </v>
      </c>
      <c r="F76" s="751"/>
      <c r="G76" s="469">
        <v>1</v>
      </c>
      <c r="H76" s="751"/>
      <c r="I76" s="469">
        <v>1</v>
      </c>
      <c r="J76" s="751"/>
      <c r="K76" s="469">
        <v>1</v>
      </c>
      <c r="L76" s="751"/>
      <c r="M76" s="469">
        <v>1</v>
      </c>
      <c r="N76" s="2604"/>
      <c r="O76" s="494"/>
      <c r="P76" s="2591"/>
      <c r="Q76" s="753"/>
      <c r="R76" s="857"/>
      <c r="S76" s="490"/>
      <c r="T76" s="1096" t="s">
        <v>658</v>
      </c>
      <c r="U76" s="1099">
        <f>HLOOKUP($B$7,'Ships Table'!C2:AG43,24)</f>
        <v>5</v>
      </c>
      <c r="V76" s="1099"/>
      <c r="W76" s="1099"/>
      <c r="X76" s="1099"/>
      <c r="Y76" s="509"/>
      <c r="Z76" s="501"/>
      <c r="AA76" s="501"/>
      <c r="AB76" s="501"/>
      <c r="AC76" s="501"/>
      <c r="AD76" s="1096" t="s">
        <v>658</v>
      </c>
      <c r="AE76" s="1099">
        <f t="shared" si="71"/>
        <v>5</v>
      </c>
      <c r="AF76" s="1099"/>
      <c r="AG76" s="1093"/>
      <c r="AH76" s="523"/>
      <c r="AI76" s="1095" t="s">
        <v>1080</v>
      </c>
      <c r="AJ76" s="505">
        <f>HLOOKUP($B$9,$F$73:$O$78,3)</f>
        <v>1</v>
      </c>
      <c r="AK76" s="751">
        <f>$B$9+AJ76</f>
        <v>101</v>
      </c>
      <c r="AL76" s="495">
        <f>IF(E75&gt;B75,$B$9+1,AK76)</f>
        <v>101</v>
      </c>
      <c r="AM76" s="759"/>
      <c r="AN76" s="506" t="s">
        <v>658</v>
      </c>
      <c r="AO76" s="547">
        <f>VLOOKUP($AK$75,'Hull Table'!$C$5:$M$55,6)</f>
        <v>0</v>
      </c>
      <c r="AP76" s="547"/>
      <c r="AQ76" s="549"/>
      <c r="AR76" s="506" t="s">
        <v>658</v>
      </c>
      <c r="AS76" s="547">
        <f>VLOOKUP($AK$76,'Hull Table'!$C$5:$M$55,6)</f>
        <v>0</v>
      </c>
      <c r="AT76" s="547"/>
      <c r="AU76" s="549"/>
      <c r="AV76" s="506" t="s">
        <v>658</v>
      </c>
      <c r="AW76" s="547">
        <f>VLOOKUP($AK$77,'Hull Table'!$C$5:$M$55,6)</f>
        <v>0</v>
      </c>
      <c r="AX76" s="547"/>
      <c r="AY76" s="549"/>
      <c r="AZ76" s="506" t="s">
        <v>658</v>
      </c>
      <c r="BA76" s="547">
        <f>VLOOKUP($AK$78,'Hull Table'!$C$5:$M$55,6)</f>
        <v>0</v>
      </c>
      <c r="BB76" s="547"/>
      <c r="BC76" s="549"/>
      <c r="BD76" s="506" t="s">
        <v>658</v>
      </c>
      <c r="BE76" s="547">
        <f>VLOOKUP($AK$79,'Hull Table'!$C$5:$M$55,6)</f>
        <v>0</v>
      </c>
      <c r="BF76" s="547"/>
      <c r="BG76" s="549"/>
      <c r="BH76" s="506" t="s">
        <v>658</v>
      </c>
      <c r="BI76" s="547">
        <f>$AE$76+$AO$76+$AS$76+$AW$76+$BA$76+BE76</f>
        <v>5</v>
      </c>
      <c r="BJ76" s="547"/>
      <c r="BK76" s="549"/>
      <c r="BL76" s="506" t="s">
        <v>658</v>
      </c>
      <c r="BM76" s="547">
        <f t="shared" si="72"/>
        <v>5</v>
      </c>
      <c r="BN76" s="547"/>
      <c r="BO76" s="549"/>
      <c r="BP76" s="506" t="s">
        <v>658</v>
      </c>
      <c r="BQ76" s="547">
        <f t="shared" si="73"/>
        <v>0</v>
      </c>
      <c r="BR76" s="547"/>
      <c r="BS76" s="549"/>
      <c r="BT76" s="506" t="s">
        <v>658</v>
      </c>
      <c r="BU76" s="547">
        <f t="shared" si="74"/>
        <v>0</v>
      </c>
      <c r="BV76" s="547"/>
      <c r="BW76" s="549"/>
      <c r="BX76" s="506" t="s">
        <v>658</v>
      </c>
      <c r="BY76" s="547">
        <f t="shared" si="75"/>
        <v>0</v>
      </c>
      <c r="BZ76" s="547"/>
      <c r="CA76" s="549"/>
      <c r="CB76" s="506" t="s">
        <v>658</v>
      </c>
      <c r="CC76" s="951">
        <f t="shared" si="76"/>
        <v>0</v>
      </c>
      <c r="CD76" s="547"/>
      <c r="CE76" s="549"/>
      <c r="CF76" s="523"/>
      <c r="CG76" s="523"/>
      <c r="CH76" s="506" t="s">
        <v>658</v>
      </c>
      <c r="CI76" s="508">
        <f t="shared" si="77"/>
        <v>0</v>
      </c>
      <c r="CJ76" s="523"/>
      <c r="CK76" s="525"/>
      <c r="CL76" s="523"/>
      <c r="CM76" s="506" t="s">
        <v>658</v>
      </c>
      <c r="CN76" s="508">
        <f>BI76</f>
        <v>5</v>
      </c>
      <c r="CO76" s="495" t="str">
        <f>IF(CI76=0," ","+")</f>
        <v xml:space="preserve"> </v>
      </c>
      <c r="CP76" s="508" t="str">
        <f>IF(CI76=0," ",CI76)</f>
        <v xml:space="preserve"> </v>
      </c>
      <c r="CQ76" s="523"/>
      <c r="CR76" s="523"/>
      <c r="CS76" s="523"/>
      <c r="CT76" s="525"/>
      <c r="CU76" s="523"/>
      <c r="CV76" s="2616" t="s">
        <v>1088</v>
      </c>
      <c r="CW76" s="2617"/>
      <c r="CX76" s="2617"/>
      <c r="CY76" s="2617"/>
      <c r="CZ76" s="2617"/>
      <c r="DA76" s="2617"/>
      <c r="DB76" s="2617"/>
      <c r="DC76" s="2617"/>
      <c r="DD76" s="2617"/>
      <c r="DE76" s="2617"/>
      <c r="DF76" s="2618"/>
    </row>
    <row r="77" spans="2:110" ht="24.95" customHeight="1">
      <c r="B77" s="515">
        <v>4</v>
      </c>
      <c r="D77" s="2601"/>
      <c r="E77" s="751" t="str">
        <f t="shared" si="78"/>
        <v xml:space="preserve"> </v>
      </c>
      <c r="F77" s="751"/>
      <c r="G77" s="469">
        <v>1</v>
      </c>
      <c r="H77" s="751"/>
      <c r="I77" s="469">
        <v>1</v>
      </c>
      <c r="J77" s="751"/>
      <c r="K77" s="469">
        <v>1</v>
      </c>
      <c r="L77" s="751"/>
      <c r="M77" s="469">
        <v>1</v>
      </c>
      <c r="N77" s="2604"/>
      <c r="O77" s="494"/>
      <c r="P77" s="2591"/>
      <c r="Q77" s="753"/>
      <c r="R77" s="857"/>
      <c r="S77" s="490"/>
      <c r="T77" s="1096" t="s">
        <v>659</v>
      </c>
      <c r="U77" s="1099">
        <f>HLOOKUP($B$7,'Ships Table'!C2:AG43,25)</f>
        <v>80</v>
      </c>
      <c r="V77" s="1099"/>
      <c r="W77" s="1099"/>
      <c r="X77" s="1099"/>
      <c r="Y77" s="509"/>
      <c r="Z77" s="501"/>
      <c r="AA77" s="501"/>
      <c r="AB77" s="501"/>
      <c r="AC77" s="501"/>
      <c r="AD77" s="1096" t="s">
        <v>659</v>
      </c>
      <c r="AE77" s="1099">
        <f t="shared" si="71"/>
        <v>80</v>
      </c>
      <c r="AF77" s="1099"/>
      <c r="AG77" s="1093"/>
      <c r="AH77" s="523"/>
      <c r="AI77" s="1095" t="s">
        <v>1081</v>
      </c>
      <c r="AJ77" s="505">
        <f>HLOOKUP($B$9,$F$73:$O$78,4)</f>
        <v>1</v>
      </c>
      <c r="AK77" s="751">
        <f>$B$9+AJ77</f>
        <v>101</v>
      </c>
      <c r="AL77" s="495">
        <f>IF(E76&gt;B76,$B$9+1,AK77)</f>
        <v>101</v>
      </c>
      <c r="AM77" s="759"/>
      <c r="AN77" s="506" t="s">
        <v>659</v>
      </c>
      <c r="AO77" s="547">
        <f>VLOOKUP($AK$75,'Hull Table'!$C$5:$M$55,7)</f>
        <v>0</v>
      </c>
      <c r="AP77" s="547"/>
      <c r="AQ77" s="549"/>
      <c r="AR77" s="506" t="s">
        <v>659</v>
      </c>
      <c r="AS77" s="547">
        <f>VLOOKUP($AK$76,'Hull Table'!$C$5:$M$55,7)</f>
        <v>0</v>
      </c>
      <c r="AT77" s="547"/>
      <c r="AU77" s="549"/>
      <c r="AV77" s="506" t="s">
        <v>659</v>
      </c>
      <c r="AW77" s="547">
        <f>VLOOKUP($AK$77,'Hull Table'!$C$5:$M$55,7)</f>
        <v>0</v>
      </c>
      <c r="AX77" s="547"/>
      <c r="AY77" s="549"/>
      <c r="AZ77" s="506" t="s">
        <v>659</v>
      </c>
      <c r="BA77" s="547">
        <f>VLOOKUP($AK$78,'Hull Table'!$C$5:$M$55,7)</f>
        <v>0</v>
      </c>
      <c r="BB77" s="547"/>
      <c r="BC77" s="549"/>
      <c r="BD77" s="506" t="s">
        <v>659</v>
      </c>
      <c r="BE77" s="547">
        <f>VLOOKUP($AK$79,'Hull Table'!$C$5:$M$55,7)</f>
        <v>0</v>
      </c>
      <c r="BF77" s="547"/>
      <c r="BG77" s="549"/>
      <c r="BH77" s="506" t="s">
        <v>659</v>
      </c>
      <c r="BI77" s="547">
        <f>AE77+AO77+AS77+AW77+BA77+BE77</f>
        <v>80</v>
      </c>
      <c r="BJ77" s="547"/>
      <c r="BK77" s="549"/>
      <c r="BL77" s="506" t="s">
        <v>659</v>
      </c>
      <c r="BM77" s="547">
        <f t="shared" si="72"/>
        <v>80</v>
      </c>
      <c r="BN77" s="547"/>
      <c r="BO77" s="549"/>
      <c r="BP77" s="506" t="s">
        <v>659</v>
      </c>
      <c r="BQ77" s="547">
        <f t="shared" si="73"/>
        <v>0</v>
      </c>
      <c r="BR77" s="547"/>
      <c r="BS77" s="549"/>
      <c r="BT77" s="506" t="s">
        <v>659</v>
      </c>
      <c r="BU77" s="547">
        <f t="shared" si="74"/>
        <v>0</v>
      </c>
      <c r="BV77" s="547"/>
      <c r="BW77" s="549"/>
      <c r="BX77" s="506" t="s">
        <v>659</v>
      </c>
      <c r="BY77" s="547">
        <f>IF($B$9=400,BI77,0)</f>
        <v>0</v>
      </c>
      <c r="BZ77" s="547"/>
      <c r="CA77" s="549"/>
      <c r="CB77" s="506" t="s">
        <v>659</v>
      </c>
      <c r="CC77" s="951">
        <f t="shared" si="76"/>
        <v>0</v>
      </c>
      <c r="CD77" s="547"/>
      <c r="CE77" s="549"/>
      <c r="CF77" s="523"/>
      <c r="CG77" s="523"/>
      <c r="CH77" s="506" t="s">
        <v>659</v>
      </c>
      <c r="CI77" s="508">
        <f>BI77-AE77</f>
        <v>0</v>
      </c>
      <c r="CJ77" s="523"/>
      <c r="CK77" s="525"/>
      <c r="CL77" s="523"/>
      <c r="CM77" s="506" t="s">
        <v>659</v>
      </c>
      <c r="CN77" s="508">
        <f>BI77</f>
        <v>80</v>
      </c>
      <c r="CO77" s="495" t="str">
        <f>IF(CI77=0," ","+")</f>
        <v xml:space="preserve"> </v>
      </c>
      <c r="CP77" s="508" t="str">
        <f>IF(CI77=0," ",CI77)</f>
        <v xml:space="preserve"> </v>
      </c>
      <c r="CQ77" s="523"/>
      <c r="CR77" s="523"/>
      <c r="CS77" s="523"/>
      <c r="CT77" s="525"/>
      <c r="CU77" s="523"/>
      <c r="CV77" s="2616" t="s">
        <v>1129</v>
      </c>
      <c r="CW77" s="2617"/>
      <c r="CX77" s="2617"/>
      <c r="CY77" s="2617"/>
      <c r="CZ77" s="2617"/>
      <c r="DA77" s="2617"/>
      <c r="DB77" s="2617"/>
      <c r="DC77" s="2617"/>
      <c r="DD77" s="2617"/>
      <c r="DE77" s="2617"/>
      <c r="DF77" s="2618"/>
    </row>
    <row r="78" spans="2:110" ht="24.95" customHeight="1" thickBot="1">
      <c r="B78" s="515">
        <v>5</v>
      </c>
      <c r="D78" s="2602"/>
      <c r="E78" s="752" t="str">
        <f t="shared" si="78"/>
        <v xml:space="preserve"> </v>
      </c>
      <c r="F78" s="752"/>
      <c r="G78" s="470">
        <v>1</v>
      </c>
      <c r="H78" s="752"/>
      <c r="I78" s="470">
        <v>1</v>
      </c>
      <c r="J78" s="752"/>
      <c r="K78" s="470">
        <v>1</v>
      </c>
      <c r="L78" s="752"/>
      <c r="M78" s="498"/>
      <c r="N78" s="2605"/>
      <c r="O78" s="499"/>
      <c r="P78" s="2592"/>
      <c r="Q78" s="755"/>
      <c r="R78" s="857"/>
      <c r="S78" s="490"/>
      <c r="T78" s="1096" t="s">
        <v>657</v>
      </c>
      <c r="U78" s="1099">
        <f>HLOOKUP($B$7,'Ships Table'!C2:AG43,23)</f>
        <v>4500</v>
      </c>
      <c r="V78" s="1099"/>
      <c r="W78" s="1099"/>
      <c r="X78" s="1099"/>
      <c r="Y78" s="1093"/>
      <c r="Z78" s="690"/>
      <c r="AA78" s="934"/>
      <c r="AB78" s="857"/>
      <c r="AC78" s="523"/>
      <c r="AD78" s="1096" t="s">
        <v>657</v>
      </c>
      <c r="AE78" s="1099">
        <f t="shared" si="71"/>
        <v>4500</v>
      </c>
      <c r="AF78" s="1099"/>
      <c r="AG78" s="1093"/>
      <c r="AH78" s="523"/>
      <c r="AI78" s="1095" t="s">
        <v>1082</v>
      </c>
      <c r="AJ78" s="505">
        <f>HLOOKUP($B$9,$F$73:$O$78,5)</f>
        <v>1</v>
      </c>
      <c r="AK78" s="751">
        <f>$B$9+AJ78</f>
        <v>101</v>
      </c>
      <c r="AL78" s="495">
        <f>IF(E77&gt;B77,$B$9+1,AK78)</f>
        <v>101</v>
      </c>
      <c r="AM78" s="759"/>
      <c r="AN78" s="506" t="s">
        <v>657</v>
      </c>
      <c r="AO78" s="547"/>
      <c r="AP78" s="547"/>
      <c r="AQ78" s="549"/>
      <c r="AR78" s="506" t="s">
        <v>657</v>
      </c>
      <c r="AS78" s="547"/>
      <c r="AT78" s="547"/>
      <c r="AU78" s="549"/>
      <c r="AV78" s="506" t="s">
        <v>657</v>
      </c>
      <c r="AW78" s="547"/>
      <c r="AX78" s="547"/>
      <c r="AY78" s="549"/>
      <c r="AZ78" s="506" t="s">
        <v>657</v>
      </c>
      <c r="BA78" s="547"/>
      <c r="BB78" s="547"/>
      <c r="BC78" s="549"/>
      <c r="BD78" s="506" t="s">
        <v>657</v>
      </c>
      <c r="BE78" s="547"/>
      <c r="BF78" s="547"/>
      <c r="BG78" s="549"/>
      <c r="BH78" s="506" t="s">
        <v>657</v>
      </c>
      <c r="BI78" s="547">
        <f>AE78+AO78+AS78+AW78+BA78+BE78</f>
        <v>4500</v>
      </c>
      <c r="BJ78" s="547"/>
      <c r="BK78" s="549"/>
      <c r="BL78" s="506" t="s">
        <v>657</v>
      </c>
      <c r="BM78" s="547">
        <f t="shared" si="72"/>
        <v>4500</v>
      </c>
      <c r="BN78" s="547"/>
      <c r="BO78" s="549"/>
      <c r="BP78" s="506" t="s">
        <v>657</v>
      </c>
      <c r="BQ78" s="547">
        <f t="shared" si="73"/>
        <v>0</v>
      </c>
      <c r="BR78" s="547"/>
      <c r="BS78" s="549"/>
      <c r="BT78" s="506" t="s">
        <v>657</v>
      </c>
      <c r="BU78" s="547">
        <f t="shared" si="74"/>
        <v>0</v>
      </c>
      <c r="BV78" s="547"/>
      <c r="BW78" s="549"/>
      <c r="BX78" s="506" t="s">
        <v>657</v>
      </c>
      <c r="BY78" s="547">
        <f t="shared" si="75"/>
        <v>0</v>
      </c>
      <c r="BZ78" s="547"/>
      <c r="CA78" s="549"/>
      <c r="CB78" s="506" t="s">
        <v>657</v>
      </c>
      <c r="CC78" s="951">
        <f t="shared" si="76"/>
        <v>0</v>
      </c>
      <c r="CD78" s="547"/>
      <c r="CE78" s="549"/>
      <c r="CF78" s="523"/>
      <c r="CG78" s="523"/>
      <c r="CH78" s="506" t="s">
        <v>657</v>
      </c>
      <c r="CI78" s="508">
        <f>BI78-AE78</f>
        <v>0</v>
      </c>
      <c r="CJ78" s="523"/>
      <c r="CK78" s="525"/>
      <c r="CL78" s="523"/>
      <c r="CM78" s="506" t="s">
        <v>657</v>
      </c>
      <c r="CN78" s="508">
        <f>BI78</f>
        <v>4500</v>
      </c>
      <c r="CO78" s="495" t="str">
        <f>IF(CI78=0," ","+")</f>
        <v xml:space="preserve"> </v>
      </c>
      <c r="CP78" s="508" t="str">
        <f>IF(CI78=0," ",CI78)</f>
        <v xml:space="preserve"> </v>
      </c>
      <c r="CQ78" s="523"/>
      <c r="CR78" s="523"/>
      <c r="CS78" s="523"/>
      <c r="CT78" s="525"/>
      <c r="CU78" s="523"/>
      <c r="CV78" s="2616" t="s">
        <v>657</v>
      </c>
      <c r="CW78" s="2617"/>
      <c r="CX78" s="2617"/>
      <c r="CY78" s="2617"/>
      <c r="CZ78" s="2617"/>
      <c r="DA78" s="2617"/>
      <c r="DB78" s="2617"/>
      <c r="DC78" s="2617"/>
      <c r="DD78" s="2617"/>
      <c r="DE78" s="2617"/>
      <c r="DF78" s="2618"/>
    </row>
    <row r="79" spans="2:110" ht="24.95" customHeight="1">
      <c r="D79" s="2600" t="s">
        <v>976</v>
      </c>
      <c r="E79" s="751"/>
      <c r="F79" s="751"/>
      <c r="G79" s="469"/>
      <c r="H79" s="751"/>
      <c r="I79" s="469"/>
      <c r="J79" s="751"/>
      <c r="K79" s="469"/>
      <c r="L79" s="751"/>
      <c r="M79" s="496"/>
      <c r="N79" s="751"/>
      <c r="O79" s="494"/>
      <c r="P79" s="2606"/>
      <c r="Q79" s="2607"/>
      <c r="R79" s="857"/>
      <c r="S79" s="751"/>
      <c r="T79" s="1096"/>
      <c r="U79" s="1095" t="s">
        <v>1084</v>
      </c>
      <c r="V79" s="1095" t="s">
        <v>1085</v>
      </c>
      <c r="W79" s="1099"/>
      <c r="X79" s="1099"/>
      <c r="Y79" s="1093"/>
      <c r="Z79" s="751"/>
      <c r="AA79" s="934"/>
      <c r="AB79" s="857"/>
      <c r="AC79" s="751"/>
      <c r="AD79" s="1096"/>
      <c r="AE79" s="1095" t="s">
        <v>1084</v>
      </c>
      <c r="AF79" s="1095" t="s">
        <v>1085</v>
      </c>
      <c r="AG79" s="1093"/>
      <c r="AH79" s="751"/>
      <c r="AI79" s="1095" t="s">
        <v>1083</v>
      </c>
      <c r="AJ79" s="758">
        <f>HLOOKUP($B$9,$F$73:$O$78,6)</f>
        <v>1</v>
      </c>
      <c r="AK79" s="751">
        <f>$B$9+AJ79</f>
        <v>101</v>
      </c>
      <c r="AL79" s="495">
        <f>IF(E78&gt;B78,$B$9+1,AK79)</f>
        <v>101</v>
      </c>
      <c r="AM79" s="759"/>
      <c r="AN79" s="758"/>
      <c r="AO79" s="1095" t="s">
        <v>1084</v>
      </c>
      <c r="AP79" s="1095" t="s">
        <v>1085</v>
      </c>
      <c r="AQ79" s="759"/>
      <c r="AR79" s="758"/>
      <c r="AS79" s="1095" t="s">
        <v>1084</v>
      </c>
      <c r="AT79" s="1095" t="s">
        <v>1085</v>
      </c>
      <c r="AU79" s="759"/>
      <c r="AV79" s="758"/>
      <c r="AW79" s="1095" t="s">
        <v>1084</v>
      </c>
      <c r="AX79" s="1095" t="s">
        <v>1085</v>
      </c>
      <c r="AY79" s="759"/>
      <c r="AZ79" s="758"/>
      <c r="BA79" s="1095" t="s">
        <v>1084</v>
      </c>
      <c r="BB79" s="1095" t="s">
        <v>1085</v>
      </c>
      <c r="BC79" s="759"/>
      <c r="BD79" s="758"/>
      <c r="BE79" s="1095" t="s">
        <v>1084</v>
      </c>
      <c r="BF79" s="1095" t="s">
        <v>1085</v>
      </c>
      <c r="BG79" s="759"/>
      <c r="BH79" s="758"/>
      <c r="BI79" s="1095" t="s">
        <v>1084</v>
      </c>
      <c r="BJ79" s="1095" t="s">
        <v>1085</v>
      </c>
      <c r="BK79" s="759"/>
      <c r="BL79" s="758"/>
      <c r="BM79" s="1095" t="s">
        <v>1084</v>
      </c>
      <c r="BN79" s="1095" t="s">
        <v>1085</v>
      </c>
      <c r="BO79" s="759"/>
      <c r="BP79" s="758"/>
      <c r="BQ79" s="1095" t="s">
        <v>1084</v>
      </c>
      <c r="BR79" s="1095" t="s">
        <v>1085</v>
      </c>
      <c r="BS79" s="759"/>
      <c r="BT79" s="758"/>
      <c r="BU79" s="1095" t="s">
        <v>1084</v>
      </c>
      <c r="BV79" s="1095" t="s">
        <v>1085</v>
      </c>
      <c r="BW79" s="759"/>
      <c r="BX79" s="758"/>
      <c r="BY79" s="1095" t="s">
        <v>1084</v>
      </c>
      <c r="BZ79" s="1095" t="s">
        <v>1085</v>
      </c>
      <c r="CA79" s="759"/>
      <c r="CB79" s="758"/>
      <c r="CC79" s="1095" t="s">
        <v>1084</v>
      </c>
      <c r="CD79" s="1095" t="s">
        <v>1085</v>
      </c>
      <c r="CE79" s="759"/>
      <c r="CF79" s="751"/>
      <c r="CG79" s="751"/>
      <c r="CH79" s="758"/>
      <c r="CI79" s="508" t="s">
        <v>1084</v>
      </c>
      <c r="CJ79" s="1095" t="s">
        <v>1085</v>
      </c>
      <c r="CK79" s="759"/>
      <c r="CL79" s="751"/>
      <c r="CM79" s="758"/>
      <c r="CN79" s="2614" t="str">
        <f t="shared" ref="CN79" si="79">BI79</f>
        <v>min</v>
      </c>
      <c r="CO79" s="2614"/>
      <c r="CP79" s="2614"/>
      <c r="CR79" s="2615" t="s">
        <v>1085</v>
      </c>
      <c r="CS79" s="2615"/>
      <c r="CT79" s="2612"/>
      <c r="CU79" s="751"/>
      <c r="CV79" s="2636"/>
      <c r="CW79" s="2637"/>
      <c r="CX79" s="2637"/>
      <c r="CY79" s="2637"/>
      <c r="CZ79" s="2637"/>
      <c r="DA79" s="2637"/>
      <c r="DB79" s="2637"/>
      <c r="DC79" s="2637"/>
      <c r="DD79" s="2637"/>
      <c r="DE79" s="2637"/>
      <c r="DF79" s="2638"/>
    </row>
    <row r="80" spans="2:110" ht="24.95" customHeight="1">
      <c r="D80" s="2601"/>
      <c r="E80" s="751"/>
      <c r="F80" s="495" t="s">
        <v>375</v>
      </c>
      <c r="G80" s="469"/>
      <c r="H80" s="495" t="s">
        <v>998</v>
      </c>
      <c r="I80" s="469"/>
      <c r="J80" s="495" t="s">
        <v>999</v>
      </c>
      <c r="K80" s="469"/>
      <c r="L80" s="751"/>
      <c r="M80" s="496"/>
      <c r="N80" s="751"/>
      <c r="O80" s="494"/>
      <c r="P80" s="2608"/>
      <c r="Q80" s="2609"/>
      <c r="R80" s="857"/>
      <c r="S80" s="751"/>
      <c r="T80" s="1096" t="s">
        <v>1078</v>
      </c>
      <c r="U80" s="1099">
        <v>0</v>
      </c>
      <c r="V80" s="1099">
        <v>0</v>
      </c>
      <c r="W80" s="1099"/>
      <c r="X80" s="1099"/>
      <c r="Y80" s="1093"/>
      <c r="Z80" s="751"/>
      <c r="AA80" s="934"/>
      <c r="AB80" s="857"/>
      <c r="AC80" s="751"/>
      <c r="AD80" s="1096" t="s">
        <v>1078</v>
      </c>
      <c r="AE80" s="1099">
        <f>U80*(1+H6/100)</f>
        <v>0</v>
      </c>
      <c r="AF80" s="1099">
        <f>V80*(1+$H$6/100)</f>
        <v>0</v>
      </c>
      <c r="AG80" s="1093"/>
      <c r="AH80" s="751"/>
      <c r="AI80" s="751"/>
      <c r="AJ80" s="505"/>
      <c r="AK80" s="751"/>
      <c r="AL80" s="495"/>
      <c r="AM80" s="759"/>
      <c r="AN80" s="1096" t="s">
        <v>1078</v>
      </c>
      <c r="AO80" s="561">
        <f>VLOOKUP($AL$75,'Hull Table'!$A$66:$N$83,'Hull Table'!H62)</f>
        <v>0</v>
      </c>
      <c r="AP80" s="561">
        <f>VLOOKUP($AL$75,'Hull Table'!$A$66:$N$83,'Hull Table'!I62)</f>
        <v>0</v>
      </c>
      <c r="AQ80" s="759"/>
      <c r="AR80" s="1096" t="s">
        <v>1078</v>
      </c>
      <c r="AS80" s="1099">
        <f>VLOOKUP($AL$76,'Hull Table'!$A$66:$N$83,'Hull Table'!H62)</f>
        <v>0</v>
      </c>
      <c r="AT80" s="1099">
        <f>VLOOKUP($AL$76,'Hull Table'!$A$66:$N$83,'Hull Table'!I62)</f>
        <v>0</v>
      </c>
      <c r="AU80" s="759"/>
      <c r="AV80" s="1096" t="s">
        <v>1078</v>
      </c>
      <c r="AW80" s="1099">
        <f>VLOOKUP($AL$77,'Hull Table'!$A$66:$N$83,'Hull Table'!H62)</f>
        <v>0</v>
      </c>
      <c r="AX80" s="1099">
        <f>VLOOKUP($AL$77,'Hull Table'!$A$66:$N$83,'Hull Table'!I62)</f>
        <v>0</v>
      </c>
      <c r="AY80" s="759"/>
      <c r="AZ80" s="1096" t="s">
        <v>1078</v>
      </c>
      <c r="BA80" s="1099">
        <f>VLOOKUP($AL$78,'Hull Table'!$A$66:$N$83,'Hull Table'!H62)</f>
        <v>0</v>
      </c>
      <c r="BB80" s="1099">
        <f>VLOOKUP($AL$78,'Hull Table'!$A$66:$N$83,'Hull Table'!I62)</f>
        <v>0</v>
      </c>
      <c r="BC80" s="759"/>
      <c r="BD80" s="1096" t="s">
        <v>1078</v>
      </c>
      <c r="BE80" s="1099">
        <f>VLOOKUP($AL$79,'Hull Table'!$A$66:$N$83,'Hull Table'!H62)</f>
        <v>0</v>
      </c>
      <c r="BF80" s="1099">
        <f>VLOOKUP($AL$79,'Hull Table'!$A$66:$N$83,'Hull Table'!I62)</f>
        <v>0</v>
      </c>
      <c r="BG80" s="759"/>
      <c r="BH80" s="1096" t="s">
        <v>1078</v>
      </c>
      <c r="BI80" s="751">
        <f>(AE80+AO80+AS80+AW80+BA80+BE80)</f>
        <v>0</v>
      </c>
      <c r="BJ80" s="751">
        <f>(AF80+AP80+AT80+AX80+BB80+BF80)</f>
        <v>0</v>
      </c>
      <c r="BK80" s="759"/>
      <c r="BL80" s="1096" t="s">
        <v>1078</v>
      </c>
      <c r="BM80" s="751"/>
      <c r="BN80" s="751"/>
      <c r="BO80" s="759"/>
      <c r="BP80" s="1096" t="s">
        <v>1078</v>
      </c>
      <c r="BQ80" s="751"/>
      <c r="BR80" s="751"/>
      <c r="BS80" s="759"/>
      <c r="BT80" s="1096" t="s">
        <v>1078</v>
      </c>
      <c r="BU80" s="751"/>
      <c r="BV80" s="751"/>
      <c r="BW80" s="759"/>
      <c r="BX80" s="1096" t="s">
        <v>1078</v>
      </c>
      <c r="BY80" s="751"/>
      <c r="BZ80" s="751"/>
      <c r="CA80" s="759"/>
      <c r="CB80" s="1096" t="s">
        <v>1078</v>
      </c>
      <c r="CC80" s="951"/>
      <c r="CD80" s="751"/>
      <c r="CE80" s="759"/>
      <c r="CF80" s="751"/>
      <c r="CG80" s="751"/>
      <c r="CH80" s="1096" t="s">
        <v>1078</v>
      </c>
      <c r="CI80" s="508">
        <f>BI80-AE80</f>
        <v>0</v>
      </c>
      <c r="CJ80" s="508">
        <f>BJ80-AF80</f>
        <v>0</v>
      </c>
      <c r="CK80" s="759"/>
      <c r="CL80" s="751"/>
      <c r="CM80" s="1096" t="s">
        <v>1078</v>
      </c>
      <c r="CN80" s="508">
        <f>BI80*DA80</f>
        <v>0</v>
      </c>
      <c r="CO80" s="1536" t="str">
        <f>IF(CI80=0," ","+")</f>
        <v xml:space="preserve"> </v>
      </c>
      <c r="CP80" s="508" t="str">
        <f>IF(CI80=0," ",CI80*DA80)</f>
        <v xml:space="preserve"> </v>
      </c>
      <c r="CQ80" s="751"/>
      <c r="CR80" s="751">
        <f>BJ80*DB80</f>
        <v>0</v>
      </c>
      <c r="CS80" s="1535" t="str">
        <f>IF(CJ80=0," ","+")</f>
        <v xml:space="preserve"> </v>
      </c>
      <c r="CT80" s="759" t="str">
        <f>IF(CJ80=0," ",CJ80*DB80)</f>
        <v xml:space="preserve"> </v>
      </c>
      <c r="CU80" s="751"/>
      <c r="CV80" s="1554" t="s">
        <v>1136</v>
      </c>
      <c r="CW80" s="493" t="str">
        <f>VLOOKUP(CX80+$AC$11,muntions!$AO$43:$BH$54,5)</f>
        <v>-</v>
      </c>
      <c r="CX80" s="493">
        <f>70+$G$81</f>
        <v>71</v>
      </c>
      <c r="CY80" s="493">
        <v>1</v>
      </c>
      <c r="CZ80" s="1550">
        <v>1</v>
      </c>
      <c r="DA80" s="1562">
        <f>VLOOKUP($CX$80,muntions!$AT$43:$BH$46,muntions!AZ1)</f>
        <v>0</v>
      </c>
      <c r="DB80" s="1562">
        <f>VLOOKUP($CX$80,muntions!$AT$43:$BH$46,muntions!BA1)</f>
        <v>0</v>
      </c>
      <c r="DC80" s="1550">
        <v>1</v>
      </c>
      <c r="DD80" s="1550">
        <v>1</v>
      </c>
      <c r="DE80" s="1565">
        <v>1</v>
      </c>
      <c r="DF80" s="1550">
        <v>1</v>
      </c>
    </row>
    <row r="81" spans="1:110" ht="24.95" customHeight="1">
      <c r="D81" s="2601"/>
      <c r="E81" s="751"/>
      <c r="F81" s="751"/>
      <c r="G81" s="469">
        <v>1</v>
      </c>
      <c r="H81" s="751"/>
      <c r="I81" s="469">
        <v>1</v>
      </c>
      <c r="J81" s="751"/>
      <c r="K81" s="469">
        <v>1</v>
      </c>
      <c r="L81" s="751"/>
      <c r="M81" s="863"/>
      <c r="N81" s="751"/>
      <c r="O81" s="494"/>
      <c r="P81" s="2608"/>
      <c r="Q81" s="2609"/>
      <c r="R81" s="857"/>
      <c r="S81" s="751"/>
      <c r="T81" s="1096" t="s">
        <v>968</v>
      </c>
      <c r="U81" s="1099">
        <v>0</v>
      </c>
      <c r="V81" s="1099"/>
      <c r="W81" s="1099"/>
      <c r="X81" s="1099"/>
      <c r="Y81" s="1093"/>
      <c r="Z81" s="751"/>
      <c r="AA81" s="934"/>
      <c r="AB81" s="857"/>
      <c r="AC81" s="751"/>
      <c r="AD81" s="1096" t="s">
        <v>968</v>
      </c>
      <c r="AE81" s="1099">
        <v>0</v>
      </c>
      <c r="AF81" s="1099"/>
      <c r="AG81" s="1093"/>
      <c r="AH81" s="751"/>
      <c r="AI81" s="751"/>
      <c r="AJ81" s="505"/>
      <c r="AK81" s="751"/>
      <c r="AL81" s="495"/>
      <c r="AM81" s="759"/>
      <c r="AN81" s="1096" t="s">
        <v>968</v>
      </c>
      <c r="AO81" s="561">
        <f>VLOOKUP($AL$75,'Hull Table'!$A$66:$N$83,6)</f>
        <v>0</v>
      </c>
      <c r="AP81" s="751"/>
      <c r="AQ81" s="759"/>
      <c r="AR81" s="1096" t="s">
        <v>968</v>
      </c>
      <c r="AS81" s="1099">
        <f>VLOOKUP($AL$76,'Hull Table'!$A$66:$N$83,6)</f>
        <v>0</v>
      </c>
      <c r="AT81" s="751"/>
      <c r="AU81" s="759"/>
      <c r="AV81" s="1096" t="s">
        <v>968</v>
      </c>
      <c r="AW81" s="1099">
        <f>VLOOKUP($AL$77,'Hull Table'!$A$66:$N$83,6)</f>
        <v>0</v>
      </c>
      <c r="AX81" s="751"/>
      <c r="AY81" s="759"/>
      <c r="AZ81" s="1096" t="s">
        <v>968</v>
      </c>
      <c r="BA81" s="1099">
        <f>VLOOKUP($AL$78,'Hull Table'!$A$66:$N$83,6)</f>
        <v>0</v>
      </c>
      <c r="BB81" s="751"/>
      <c r="BC81" s="759"/>
      <c r="BD81" s="1096" t="s">
        <v>968</v>
      </c>
      <c r="BE81" s="1099">
        <f>VLOOKUP($AL$79,'Hull Table'!$A$66:$N$83,6)</f>
        <v>0</v>
      </c>
      <c r="BF81" s="751"/>
      <c r="BG81" s="759"/>
      <c r="BH81" s="1096" t="s">
        <v>968</v>
      </c>
      <c r="BI81" s="1099">
        <f>(AE81+AO81+AS81+AW81+BA81+BE81)</f>
        <v>0</v>
      </c>
      <c r="BJ81" s="751"/>
      <c r="BK81" s="759"/>
      <c r="BL81" s="1096" t="s">
        <v>968</v>
      </c>
      <c r="BM81" s="751"/>
      <c r="BN81" s="751"/>
      <c r="BO81" s="759"/>
      <c r="BP81" s="1096" t="s">
        <v>968</v>
      </c>
      <c r="BQ81" s="751"/>
      <c r="BR81" s="751"/>
      <c r="BS81" s="759"/>
      <c r="BT81" s="1096" t="s">
        <v>968</v>
      </c>
      <c r="BU81" s="751"/>
      <c r="BV81" s="751"/>
      <c r="BW81" s="759"/>
      <c r="BX81" s="1096" t="s">
        <v>968</v>
      </c>
      <c r="BY81" s="751"/>
      <c r="BZ81" s="751"/>
      <c r="CA81" s="759"/>
      <c r="CB81" s="1096" t="s">
        <v>968</v>
      </c>
      <c r="CC81" s="951"/>
      <c r="CD81" s="751"/>
      <c r="CE81" s="759"/>
      <c r="CF81" s="751"/>
      <c r="CG81" s="751"/>
      <c r="CH81" s="1096" t="s">
        <v>968</v>
      </c>
      <c r="CI81" s="508">
        <f t="shared" ref="CI81:CI82" si="80">BI81-AE81</f>
        <v>0</v>
      </c>
      <c r="CJ81" s="751"/>
      <c r="CK81" s="759"/>
      <c r="CL81" s="751"/>
      <c r="CM81" s="1096" t="s">
        <v>968</v>
      </c>
      <c r="CN81" s="1549">
        <f>BI81*CY81</f>
        <v>0</v>
      </c>
      <c r="CO81" s="1536" t="str">
        <f t="shared" ref="CO81" si="81">IF(CI81=0," ","+")</f>
        <v xml:space="preserve"> </v>
      </c>
      <c r="CP81" s="508" t="str">
        <f>IF(CI81=0," ",CI81*CY81)</f>
        <v xml:space="preserve"> </v>
      </c>
      <c r="CQ81" s="751"/>
      <c r="CR81" s="751"/>
      <c r="CS81" s="751"/>
      <c r="CT81" s="759"/>
      <c r="CU81" s="751"/>
      <c r="CV81" s="493" t="s">
        <v>998</v>
      </c>
      <c r="CW81" s="493" t="str">
        <f>VLOOKUP(CX81+$AC$11,muntions!$AO$43:$BH$54,5)</f>
        <v>-</v>
      </c>
      <c r="CX81" s="493">
        <f>80+$I$81</f>
        <v>81</v>
      </c>
      <c r="CY81" s="1561">
        <f>VLOOKUP(CX81,muntions!$AT$47:$BH$50,muntions!$BF$1)</f>
        <v>0</v>
      </c>
      <c r="CZ81" s="1550">
        <v>1</v>
      </c>
      <c r="DA81" s="1562">
        <f>VLOOKUP($CX$81,muntions!$AT$47:$BH$50,muntions!AZ1)</f>
        <v>0</v>
      </c>
      <c r="DB81" s="1562">
        <f>VLOOKUP($CX$81,muntions!$AT$47:$BH$50,muntions!BA1)</f>
        <v>0</v>
      </c>
      <c r="DC81" s="1550">
        <v>1</v>
      </c>
      <c r="DD81" s="1550">
        <v>1</v>
      </c>
      <c r="DE81" s="1565">
        <v>1</v>
      </c>
      <c r="DF81" s="1550">
        <v>1</v>
      </c>
    </row>
    <row r="82" spans="1:110" ht="24.95" customHeight="1">
      <c r="D82" s="2601"/>
      <c r="E82" s="751"/>
      <c r="F82" s="751"/>
      <c r="G82" s="469"/>
      <c r="H82" s="751"/>
      <c r="I82" s="469"/>
      <c r="J82" s="751"/>
      <c r="K82" s="469"/>
      <c r="L82" s="751"/>
      <c r="M82" s="496"/>
      <c r="N82" s="751"/>
      <c r="O82" s="494"/>
      <c r="P82" s="2608"/>
      <c r="Q82" s="2609"/>
      <c r="R82" s="857"/>
      <c r="S82" s="751"/>
      <c r="T82" s="1539" t="s">
        <v>1137</v>
      </c>
      <c r="U82" s="1099">
        <v>0</v>
      </c>
      <c r="V82" s="1099"/>
      <c r="W82" s="1099"/>
      <c r="X82" s="1099"/>
      <c r="Y82" s="1093"/>
      <c r="Z82" s="751"/>
      <c r="AA82" s="934"/>
      <c r="AB82" s="857"/>
      <c r="AC82" s="751"/>
      <c r="AD82" s="1539" t="s">
        <v>1137</v>
      </c>
      <c r="AE82" s="1099">
        <f>U82*(1+H6/100)</f>
        <v>0</v>
      </c>
      <c r="AF82" s="1099"/>
      <c r="AG82" s="1093"/>
      <c r="AH82" s="751"/>
      <c r="AI82" s="751"/>
      <c r="AJ82" s="505"/>
      <c r="AK82" s="751"/>
      <c r="AL82" s="495"/>
      <c r="AM82" s="759"/>
      <c r="AN82" s="1539" t="s">
        <v>1137</v>
      </c>
      <c r="AO82" s="510">
        <f>VLOOKUP(AL75,'Hull Table'!$A$66:$N$83,'Hull Table'!$G$62)</f>
        <v>0</v>
      </c>
      <c r="AP82" s="751"/>
      <c r="AQ82" s="759"/>
      <c r="AR82" s="1539" t="s">
        <v>1137</v>
      </c>
      <c r="AS82" s="510">
        <f>VLOOKUP($AL$76,'Hull Table'!$A$66:$N$83,'Hull Table'!G62)</f>
        <v>0</v>
      </c>
      <c r="AT82" s="751"/>
      <c r="AU82" s="759"/>
      <c r="AV82" s="1539" t="s">
        <v>1137</v>
      </c>
      <c r="AW82" s="1560">
        <f>VLOOKUP($AL$77,'Hull Table'!$A$66:$N$83,'Hull Table'!G62)</f>
        <v>0</v>
      </c>
      <c r="AX82" s="751"/>
      <c r="AY82" s="759"/>
      <c r="AZ82" s="1539" t="s">
        <v>1137</v>
      </c>
      <c r="BA82" s="1560">
        <f>VLOOKUP($AL$78,'Hull Table'!$A$66:$N$83,'Hull Table'!$G$62)</f>
        <v>0</v>
      </c>
      <c r="BB82" s="751"/>
      <c r="BC82" s="759"/>
      <c r="BD82" s="1539" t="s">
        <v>1137</v>
      </c>
      <c r="BE82" s="1560">
        <f>VLOOKUP($AL$79,'Hull Table'!$A$66:$N$83,'Hull Table'!$G$62)</f>
        <v>0</v>
      </c>
      <c r="BF82" s="751"/>
      <c r="BG82" s="759"/>
      <c r="BH82" s="1539" t="s">
        <v>1137</v>
      </c>
      <c r="BI82" s="1560">
        <f>IF(OR(AL75=111,AL76=111,AL77=111,AL78=111,AL79=111,AL75=211,AL76=211,AL77=211,AL78=211,AL79=211),VLOOKUP(111,'Hull Table'!$A$66:$N$83,'Hull Table'!G62),0)</f>
        <v>0</v>
      </c>
      <c r="BJ82" s="751"/>
      <c r="BK82" s="759"/>
      <c r="BL82" s="1539" t="s">
        <v>1137</v>
      </c>
      <c r="BM82" s="751"/>
      <c r="BN82" s="751"/>
      <c r="BO82" s="759"/>
      <c r="BP82" s="1539" t="s">
        <v>1137</v>
      </c>
      <c r="BQ82" s="751"/>
      <c r="BR82" s="751"/>
      <c r="BS82" s="759"/>
      <c r="BT82" s="1539" t="s">
        <v>1137</v>
      </c>
      <c r="BU82" s="751"/>
      <c r="BV82" s="751"/>
      <c r="BW82" s="759"/>
      <c r="BX82" s="1539" t="s">
        <v>1137</v>
      </c>
      <c r="BY82" s="751"/>
      <c r="BZ82" s="751"/>
      <c r="CA82" s="759"/>
      <c r="CB82" s="1539" t="s">
        <v>1137</v>
      </c>
      <c r="CC82" s="951"/>
      <c r="CD82" s="751"/>
      <c r="CE82" s="759"/>
      <c r="CF82" s="751"/>
      <c r="CG82" s="751"/>
      <c r="CH82" s="1539" t="s">
        <v>1137</v>
      </c>
      <c r="CI82" s="1560">
        <f t="shared" si="80"/>
        <v>0</v>
      </c>
      <c r="CJ82" s="751"/>
      <c r="CK82" s="759"/>
      <c r="CL82" s="751"/>
      <c r="CM82" s="1539" t="s">
        <v>1137</v>
      </c>
      <c r="CN82" s="1560">
        <f>BI82*CZ82</f>
        <v>0</v>
      </c>
      <c r="CO82" s="1538" t="str">
        <f>IF(CI82=0," ","+")</f>
        <v xml:space="preserve"> </v>
      </c>
      <c r="CP82" s="1560" t="str">
        <f>IF(CI82=0," ",CI82*CZ82)</f>
        <v xml:space="preserve"> </v>
      </c>
      <c r="CQ82" s="751"/>
      <c r="CR82" s="751"/>
      <c r="CS82" s="751"/>
      <c r="CT82" s="759"/>
      <c r="CU82" s="751"/>
      <c r="CV82" s="1563" t="s">
        <v>1138</v>
      </c>
      <c r="CW82" s="493">
        <f>VLOOKUP(CX82+$AC$11,muntions!$AO$43:$BH$54,5)</f>
        <v>0</v>
      </c>
      <c r="CX82" s="1550">
        <f>90+$K$81</f>
        <v>91</v>
      </c>
      <c r="CY82" s="1550">
        <v>1</v>
      </c>
      <c r="CZ82" s="1562">
        <f>VLOOKUP($CX$82,muntions!$AT$51:$BH$54,muntions!BG1)</f>
        <v>0</v>
      </c>
      <c r="DA82" s="1550">
        <v>1</v>
      </c>
      <c r="DB82" s="1550">
        <v>1</v>
      </c>
      <c r="DC82" s="1550">
        <v>1</v>
      </c>
      <c r="DD82" s="1550">
        <v>1</v>
      </c>
      <c r="DE82" s="1565">
        <v>1</v>
      </c>
      <c r="DF82" s="1550">
        <v>1</v>
      </c>
    </row>
    <row r="83" spans="1:110" ht="24.95" customHeight="1">
      <c r="D83" s="2601"/>
      <c r="E83" s="751"/>
      <c r="F83" s="751"/>
      <c r="G83" s="469"/>
      <c r="H83" s="751"/>
      <c r="I83" s="469"/>
      <c r="J83" s="751"/>
      <c r="K83" s="469"/>
      <c r="L83" s="751"/>
      <c r="M83" s="496"/>
      <c r="N83" s="751"/>
      <c r="O83" s="494"/>
      <c r="P83" s="2608"/>
      <c r="Q83" s="2609"/>
      <c r="R83" s="857"/>
      <c r="S83" s="751"/>
      <c r="T83" s="1096"/>
      <c r="U83" s="1099"/>
      <c r="V83" s="1099"/>
      <c r="W83" s="1099"/>
      <c r="X83" s="1099"/>
      <c r="Y83" s="1093"/>
      <c r="Z83" s="751"/>
      <c r="AA83" s="934"/>
      <c r="AB83" s="857"/>
      <c r="AC83" s="751"/>
      <c r="AD83" s="1096"/>
      <c r="AE83" s="1099"/>
      <c r="AF83" s="1099"/>
      <c r="AG83" s="1093"/>
      <c r="AH83" s="751"/>
      <c r="AI83" s="751"/>
      <c r="AJ83" s="505"/>
      <c r="AK83" s="751"/>
      <c r="AL83" s="495"/>
      <c r="AM83" s="759"/>
      <c r="AN83" s="758"/>
      <c r="AO83" s="751"/>
      <c r="AP83" s="751"/>
      <c r="AQ83" s="759"/>
      <c r="AR83" s="758"/>
      <c r="AS83" s="751"/>
      <c r="AT83" s="751"/>
      <c r="AU83" s="759"/>
      <c r="AV83" s="758"/>
      <c r="AW83" s="751"/>
      <c r="AX83" s="751"/>
      <c r="AY83" s="759"/>
      <c r="AZ83" s="758"/>
      <c r="BA83" s="751"/>
      <c r="BB83" s="751"/>
      <c r="BC83" s="759"/>
      <c r="BD83" s="758"/>
      <c r="BE83" s="751"/>
      <c r="BF83" s="751"/>
      <c r="BG83" s="759"/>
      <c r="BH83" s="758"/>
      <c r="BI83" s="751"/>
      <c r="BJ83" s="751"/>
      <c r="BK83" s="759"/>
      <c r="BL83" s="758"/>
      <c r="BM83" s="751"/>
      <c r="BN83" s="751"/>
      <c r="BO83" s="759"/>
      <c r="BP83" s="758"/>
      <c r="BQ83" s="751"/>
      <c r="BR83" s="751"/>
      <c r="BS83" s="759"/>
      <c r="BT83" s="758"/>
      <c r="BU83" s="751"/>
      <c r="BV83" s="751"/>
      <c r="BW83" s="759"/>
      <c r="BX83" s="758"/>
      <c r="BY83" s="751"/>
      <c r="BZ83" s="751"/>
      <c r="CA83" s="759"/>
      <c r="CB83" s="758"/>
      <c r="CC83" s="951"/>
      <c r="CD83" s="751"/>
      <c r="CE83" s="759"/>
      <c r="CF83" s="751"/>
      <c r="CG83" s="751"/>
      <c r="CH83" s="758"/>
      <c r="CI83" s="508"/>
      <c r="CJ83" s="751"/>
      <c r="CK83" s="759"/>
      <c r="CL83" s="751"/>
      <c r="CM83" s="758"/>
      <c r="CN83" s="508"/>
      <c r="CO83" s="495"/>
      <c r="CP83" s="508"/>
      <c r="CQ83" s="751"/>
      <c r="CR83" s="751"/>
      <c r="CS83" s="751"/>
      <c r="CT83" s="759"/>
      <c r="CU83" s="751"/>
      <c r="CV83" s="2639"/>
      <c r="CW83" s="2640"/>
      <c r="CX83" s="2640"/>
      <c r="CY83" s="2640"/>
      <c r="CZ83" s="2640"/>
      <c r="DA83" s="2640"/>
      <c r="DB83" s="2640"/>
      <c r="DC83" s="2640"/>
      <c r="DD83" s="2640"/>
      <c r="DE83" s="2640"/>
      <c r="DF83" s="2641"/>
    </row>
    <row r="84" spans="1:110" ht="24.95" customHeight="1" thickBot="1">
      <c r="D84" s="2602"/>
      <c r="E84" s="751"/>
      <c r="F84" s="751"/>
      <c r="G84" s="469"/>
      <c r="H84" s="751"/>
      <c r="I84" s="469"/>
      <c r="J84" s="751"/>
      <c r="K84" s="469"/>
      <c r="L84" s="751"/>
      <c r="M84" s="496"/>
      <c r="N84" s="751"/>
      <c r="O84" s="494"/>
      <c r="P84" s="2610"/>
      <c r="Q84" s="2611"/>
      <c r="R84" s="857"/>
      <c r="S84" s="751"/>
      <c r="T84" s="1096"/>
      <c r="U84" s="1099"/>
      <c r="V84" s="1099"/>
      <c r="W84" s="1099"/>
      <c r="X84" s="1099"/>
      <c r="Y84" s="1093"/>
      <c r="Z84" s="751"/>
      <c r="AA84" s="934"/>
      <c r="AB84" s="857"/>
      <c r="AC84" s="751"/>
      <c r="AD84" s="1096"/>
      <c r="AE84" s="1099"/>
      <c r="AF84" s="1099"/>
      <c r="AG84" s="1093"/>
      <c r="AH84" s="751"/>
      <c r="AI84" s="751"/>
      <c r="AJ84" s="505"/>
      <c r="AK84" s="751"/>
      <c r="AL84" s="495"/>
      <c r="AM84" s="759"/>
      <c r="AN84" s="758"/>
      <c r="AO84" s="751"/>
      <c r="AP84" s="751"/>
      <c r="AQ84" s="759"/>
      <c r="AR84" s="758"/>
      <c r="AS84" s="751"/>
      <c r="AT84" s="751"/>
      <c r="AU84" s="759"/>
      <c r="AV84" s="758"/>
      <c r="AW84" s="751"/>
      <c r="AX84" s="751"/>
      <c r="AY84" s="759"/>
      <c r="AZ84" s="758"/>
      <c r="BA84" s="751"/>
      <c r="BB84" s="751"/>
      <c r="BC84" s="759"/>
      <c r="BD84" s="758"/>
      <c r="BE84" s="751"/>
      <c r="BF84" s="751"/>
      <c r="BG84" s="759"/>
      <c r="BH84" s="758"/>
      <c r="BI84" s="751"/>
      <c r="BJ84" s="751"/>
      <c r="BK84" s="759"/>
      <c r="BL84" s="758"/>
      <c r="BM84" s="751"/>
      <c r="BN84" s="751"/>
      <c r="BO84" s="759"/>
      <c r="BP84" s="758"/>
      <c r="BQ84" s="751"/>
      <c r="BR84" s="751"/>
      <c r="BS84" s="759"/>
      <c r="BT84" s="758"/>
      <c r="BU84" s="751"/>
      <c r="BV84" s="751"/>
      <c r="BW84" s="759"/>
      <c r="BX84" s="758"/>
      <c r="BY84" s="751"/>
      <c r="BZ84" s="751"/>
      <c r="CA84" s="759"/>
      <c r="CB84" s="758"/>
      <c r="CC84" s="951"/>
      <c r="CD84" s="751"/>
      <c r="CE84" s="759"/>
      <c r="CF84" s="751"/>
      <c r="CG84" s="751"/>
      <c r="CH84" s="758"/>
      <c r="CI84" s="508"/>
      <c r="CJ84" s="751"/>
      <c r="CK84" s="759"/>
      <c r="CL84" s="751"/>
      <c r="CM84" s="758"/>
      <c r="CN84" s="508"/>
      <c r="CO84" s="495"/>
      <c r="CP84" s="508"/>
      <c r="CQ84" s="751"/>
      <c r="CR84" s="751"/>
      <c r="CS84" s="751"/>
      <c r="CT84" s="759"/>
      <c r="CU84" s="751"/>
      <c r="CV84" s="2608"/>
      <c r="CW84" s="2604"/>
      <c r="CX84" s="2604"/>
      <c r="CY84" s="2604"/>
      <c r="CZ84" s="2604"/>
      <c r="DA84" s="2604"/>
      <c r="DB84" s="2604"/>
      <c r="DC84" s="2604"/>
      <c r="DD84" s="2604"/>
      <c r="DE84" s="2604"/>
      <c r="DF84" s="2642"/>
    </row>
    <row r="85" spans="1:110" ht="24.95" customHeight="1">
      <c r="D85" s="2600" t="s">
        <v>700</v>
      </c>
      <c r="E85" s="2623" t="s">
        <v>681</v>
      </c>
      <c r="F85" s="483">
        <f>HLOOKUP($B$7,'Ships Table'!C2:AG43,19)</f>
        <v>4</v>
      </c>
      <c r="G85" s="488"/>
      <c r="H85" s="488"/>
      <c r="I85" s="488"/>
      <c r="J85" s="488"/>
      <c r="K85" s="488"/>
      <c r="L85" s="488"/>
      <c r="M85" s="507"/>
      <c r="N85" s="488"/>
      <c r="O85" s="489"/>
      <c r="P85" s="2600">
        <f>'Engine Table'!$K$1</f>
        <v>1</v>
      </c>
      <c r="Q85" s="754"/>
      <c r="R85" s="495"/>
      <c r="S85" s="495"/>
      <c r="T85" s="1092"/>
      <c r="U85" s="1099"/>
      <c r="V85" s="1099"/>
      <c r="W85" s="1099"/>
      <c r="X85" s="1099"/>
      <c r="Y85" s="1093"/>
      <c r="Z85" s="690"/>
      <c r="AA85" s="934"/>
      <c r="AB85" s="857"/>
      <c r="AC85" s="523"/>
      <c r="AD85" s="1092"/>
      <c r="AE85" s="1099"/>
      <c r="AF85" s="1099"/>
      <c r="AG85" s="1093"/>
      <c r="AH85" s="523"/>
      <c r="AI85" s="523"/>
      <c r="AJ85" s="505"/>
      <c r="AK85" s="751"/>
      <c r="AL85" s="751"/>
      <c r="AM85" s="492"/>
      <c r="AN85" s="852"/>
      <c r="AO85" s="547"/>
      <c r="AP85" s="547"/>
      <c r="AQ85" s="549"/>
      <c r="AR85" s="743"/>
      <c r="AS85" s="547"/>
      <c r="AT85" s="547"/>
      <c r="AU85" s="549"/>
      <c r="AV85" s="743"/>
      <c r="AW85" s="547"/>
      <c r="AX85" s="547"/>
      <c r="AY85" s="549"/>
      <c r="AZ85" s="743"/>
      <c r="BA85" s="547"/>
      <c r="BB85" s="547"/>
      <c r="BC85" s="549"/>
      <c r="BD85" s="743"/>
      <c r="BE85" s="547"/>
      <c r="BF85" s="547"/>
      <c r="BG85" s="549"/>
      <c r="BH85" s="743"/>
      <c r="BI85" s="547"/>
      <c r="BJ85" s="547"/>
      <c r="BK85" s="549"/>
      <c r="BL85" s="743"/>
      <c r="BM85" s="547"/>
      <c r="BN85" s="547"/>
      <c r="BO85" s="549"/>
      <c r="BP85" s="743"/>
      <c r="BQ85" s="547"/>
      <c r="BR85" s="547"/>
      <c r="BS85" s="549"/>
      <c r="BT85" s="743"/>
      <c r="BU85" s="547"/>
      <c r="BV85" s="547"/>
      <c r="BW85" s="549"/>
      <c r="BX85" s="743"/>
      <c r="BY85" s="547"/>
      <c r="BZ85" s="547"/>
      <c r="CA85" s="549"/>
      <c r="CB85" s="743"/>
      <c r="CC85" s="951"/>
      <c r="CD85" s="547"/>
      <c r="CE85" s="549"/>
      <c r="CF85" s="523"/>
      <c r="CG85" s="523"/>
      <c r="CH85" s="743"/>
      <c r="CI85" s="508"/>
      <c r="CJ85" s="523"/>
      <c r="CK85" s="525"/>
      <c r="CL85" s="523"/>
      <c r="CM85" s="743"/>
      <c r="CN85" s="508"/>
      <c r="CO85" s="495"/>
      <c r="CP85" s="508"/>
      <c r="CQ85" s="523"/>
      <c r="CR85" s="523"/>
      <c r="CS85" s="523"/>
      <c r="CT85" s="525"/>
      <c r="CU85" s="523"/>
      <c r="CV85" s="2643"/>
      <c r="CW85" s="2644"/>
      <c r="CX85" s="2644"/>
      <c r="CY85" s="2644"/>
      <c r="CZ85" s="2644"/>
      <c r="DA85" s="2644"/>
      <c r="DB85" s="2644"/>
      <c r="DC85" s="2644"/>
      <c r="DD85" s="2644"/>
      <c r="DE85" s="2644"/>
      <c r="DF85" s="2645"/>
    </row>
    <row r="86" spans="1:110" ht="24.95" customHeight="1">
      <c r="D86" s="2601"/>
      <c r="E86" s="2618"/>
      <c r="F86" s="495" t="s">
        <v>669</v>
      </c>
      <c r="G86" s="496">
        <v>100</v>
      </c>
      <c r="H86" s="495" t="s">
        <v>721</v>
      </c>
      <c r="I86" s="496">
        <v>200</v>
      </c>
      <c r="J86" s="495" t="s">
        <v>722</v>
      </c>
      <c r="K86" s="496">
        <v>300</v>
      </c>
      <c r="L86" s="495" t="s">
        <v>112</v>
      </c>
      <c r="M86" s="496">
        <v>400</v>
      </c>
      <c r="N86" s="495" t="s">
        <v>654</v>
      </c>
      <c r="O86" s="494">
        <v>500</v>
      </c>
      <c r="P86" s="2591"/>
      <c r="Q86" s="753"/>
      <c r="R86" s="857"/>
      <c r="S86" s="490"/>
      <c r="T86" s="1096" t="s">
        <v>703</v>
      </c>
      <c r="U86" s="1099">
        <f>HLOOKUP($B$7,'Ships Table'!C2:AG43,26)</f>
        <v>510</v>
      </c>
      <c r="V86" s="1099"/>
      <c r="W86" s="1095" t="s">
        <v>706</v>
      </c>
      <c r="X86" s="1099">
        <f>HLOOKUP($B$7,'Ships Table'!C2:AG43,32)</f>
        <v>0.5</v>
      </c>
      <c r="Y86" s="1093"/>
      <c r="Z86" s="690"/>
      <c r="AA86" s="934"/>
      <c r="AB86" s="857"/>
      <c r="AC86" s="523"/>
      <c r="AD86" s="1096" t="s">
        <v>703</v>
      </c>
      <c r="AE86" s="1099">
        <f t="shared" ref="AE86:AE91" si="82">U86*(1+$H$6/100)</f>
        <v>510</v>
      </c>
      <c r="AF86" s="1095" t="s">
        <v>706</v>
      </c>
      <c r="AG86" s="1093">
        <f>X86*(1-$H$6/100)</f>
        <v>0.5</v>
      </c>
      <c r="AH86" s="523"/>
      <c r="AI86" s="523"/>
      <c r="AJ86" s="505"/>
      <c r="AK86" s="751"/>
      <c r="AL86" s="495"/>
      <c r="AM86" s="759"/>
      <c r="AN86" s="506" t="s">
        <v>703</v>
      </c>
      <c r="AO86" s="547">
        <f>VLOOKUP($AL$87,'Engine Table'!$A$5:$DX$36,9)</f>
        <v>0</v>
      </c>
      <c r="AP86" s="495" t="s">
        <v>706</v>
      </c>
      <c r="AQ86" s="549">
        <f>VLOOKUP($AL$87,'Engine Table'!$A$4:$Q$36,16)</f>
        <v>0</v>
      </c>
      <c r="AR86" s="506" t="s">
        <v>703</v>
      </c>
      <c r="AS86" s="547">
        <f>VLOOKUP($AL$88,'Engine Table'!$A$5:$DX$36,9)</f>
        <v>0</v>
      </c>
      <c r="AT86" s="495" t="s">
        <v>706</v>
      </c>
      <c r="AU86" s="549">
        <f>VLOOKUP($AL$88,'Engine Table'!$A$4:$Q$36,16)</f>
        <v>0</v>
      </c>
      <c r="AV86" s="506" t="s">
        <v>703</v>
      </c>
      <c r="AW86" s="547">
        <f>VLOOKUP($AL$89,'Engine Table'!$A$5:$DX$36,9)</f>
        <v>0</v>
      </c>
      <c r="AX86" s="495" t="s">
        <v>706</v>
      </c>
      <c r="AY86" s="549">
        <f>VLOOKUP($AL$89,'Engine Table'!$A$4:$Q$36,16)</f>
        <v>0</v>
      </c>
      <c r="AZ86" s="506" t="s">
        <v>703</v>
      </c>
      <c r="BA86" s="547">
        <f>VLOOKUP($AL$90,'Engine Table'!$A$5:$DX$36,9)</f>
        <v>0</v>
      </c>
      <c r="BB86" s="495" t="s">
        <v>706</v>
      </c>
      <c r="BC86" s="549">
        <f>VLOOKUP($AL$90,'Engine Table'!$A$4:$Q$36,16)</f>
        <v>0</v>
      </c>
      <c r="BD86" s="506" t="s">
        <v>703</v>
      </c>
      <c r="BE86" s="547">
        <f>VLOOKUP($AL$91,'Engine Table'!$A$5:$DX$36,9)</f>
        <v>0</v>
      </c>
      <c r="BF86" s="495" t="s">
        <v>706</v>
      </c>
      <c r="BG86" s="549">
        <f>VLOOKUP($AL$91,'Engine Table'!$A$4:$Q$36,16)</f>
        <v>0</v>
      </c>
      <c r="BH86" s="506" t="s">
        <v>703</v>
      </c>
      <c r="BI86" s="547">
        <f t="shared" ref="BI86:BI91" si="83">AE86+AO86+AS86+AW86+BA86+BE86</f>
        <v>510</v>
      </c>
      <c r="BJ86" s="495" t="s">
        <v>706</v>
      </c>
      <c r="BK86" s="549">
        <f>AG86+AQ86+AU86+AY86+BC86+BG86</f>
        <v>0.5</v>
      </c>
      <c r="BL86" s="506" t="s">
        <v>703</v>
      </c>
      <c r="BM86" s="547">
        <f t="shared" si="72"/>
        <v>510</v>
      </c>
      <c r="BN86" s="495" t="s">
        <v>706</v>
      </c>
      <c r="BO86" s="549">
        <f>IF($B$9=100,BK86,0)</f>
        <v>0.5</v>
      </c>
      <c r="BP86" s="506" t="s">
        <v>703</v>
      </c>
      <c r="BQ86" s="547">
        <f t="shared" si="73"/>
        <v>0</v>
      </c>
      <c r="BR86" s="495" t="s">
        <v>706</v>
      </c>
      <c r="BS86" s="549">
        <f>IF($B$9=200,BK86,0)</f>
        <v>0</v>
      </c>
      <c r="BT86" s="506" t="s">
        <v>703</v>
      </c>
      <c r="BU86" s="547">
        <f t="shared" si="74"/>
        <v>0</v>
      </c>
      <c r="BV86" s="495" t="s">
        <v>706</v>
      </c>
      <c r="BW86" s="549">
        <f>IF($B$9=300,BK86,0)</f>
        <v>0</v>
      </c>
      <c r="BX86" s="506" t="s">
        <v>703</v>
      </c>
      <c r="BY86" s="547">
        <f>IF($B$9=400,BI86,0)</f>
        <v>0</v>
      </c>
      <c r="BZ86" s="495" t="s">
        <v>706</v>
      </c>
      <c r="CA86" s="549">
        <f>IF($B$9=400,BK86,0)</f>
        <v>0</v>
      </c>
      <c r="CB86" s="506" t="s">
        <v>703</v>
      </c>
      <c r="CC86" s="951">
        <f t="shared" si="76"/>
        <v>0</v>
      </c>
      <c r="CD86" s="495" t="s">
        <v>706</v>
      </c>
      <c r="CE86" s="549">
        <f>IF($B$9=400,BK86,0)</f>
        <v>0</v>
      </c>
      <c r="CF86" s="523"/>
      <c r="CG86" s="523"/>
      <c r="CH86" s="506" t="s">
        <v>703</v>
      </c>
      <c r="CI86" s="508">
        <f t="shared" ref="CI86:CI91" si="84">BI86-AE86</f>
        <v>0</v>
      </c>
      <c r="CJ86" s="495" t="s">
        <v>706</v>
      </c>
      <c r="CK86" s="525">
        <f>BK86-AG86</f>
        <v>0</v>
      </c>
      <c r="CL86" s="523"/>
      <c r="CM86" s="506" t="s">
        <v>703</v>
      </c>
      <c r="CN86" s="508">
        <f t="shared" ref="CN86:CN91" si="85">BI86</f>
        <v>510</v>
      </c>
      <c r="CO86" s="495" t="str">
        <f t="shared" ref="CO86:CO91" si="86">IF(CI86=0," ","+")</f>
        <v xml:space="preserve"> </v>
      </c>
      <c r="CP86" s="508" t="str">
        <f t="shared" ref="CP86:CP91" si="87">IF(CI86=0," ",CI86)</f>
        <v xml:space="preserve"> </v>
      </c>
      <c r="CQ86" s="495" t="s">
        <v>706</v>
      </c>
      <c r="CR86" s="523">
        <f>BK86</f>
        <v>0.5</v>
      </c>
      <c r="CS86" s="495" t="str">
        <f>IF(CK86=0," ","+")</f>
        <v xml:space="preserve"> </v>
      </c>
      <c r="CT86" s="525" t="str">
        <f>IF(CK86=0," ",CK86)</f>
        <v xml:space="preserve"> </v>
      </c>
      <c r="CU86" s="523"/>
      <c r="CV86" s="2616" t="s">
        <v>1130</v>
      </c>
      <c r="CW86" s="2617"/>
      <c r="CX86" s="2617"/>
      <c r="CY86" s="2617"/>
      <c r="CZ86" s="2617"/>
      <c r="DA86" s="2617"/>
      <c r="DB86" s="2617"/>
      <c r="DC86" s="2617"/>
      <c r="DD86" s="2617"/>
      <c r="DE86" s="2617"/>
      <c r="DF86" s="2618"/>
    </row>
    <row r="87" spans="1:110" ht="24.95" customHeight="1">
      <c r="B87" s="515">
        <v>1</v>
      </c>
      <c r="D87" s="2601"/>
      <c r="E87" s="751">
        <f>IF($F$85=0,0,1)</f>
        <v>1</v>
      </c>
      <c r="F87" s="751"/>
      <c r="G87" s="469">
        <v>1</v>
      </c>
      <c r="H87" s="751"/>
      <c r="I87" s="469">
        <v>1</v>
      </c>
      <c r="J87" s="751"/>
      <c r="K87" s="469">
        <v>1</v>
      </c>
      <c r="L87" s="751"/>
      <c r="M87" s="469">
        <v>1</v>
      </c>
      <c r="N87" s="751"/>
      <c r="O87" s="468">
        <v>0</v>
      </c>
      <c r="P87" s="2591"/>
      <c r="Q87" s="753"/>
      <c r="R87" s="857"/>
      <c r="S87" s="490"/>
      <c r="T87" s="1096" t="s">
        <v>660</v>
      </c>
      <c r="U87" s="1099">
        <f>HLOOKUP($B$7,'Ships Table'!C2:AG43,27)</f>
        <v>52</v>
      </c>
      <c r="V87" s="1099"/>
      <c r="W87" s="1095" t="s">
        <v>663</v>
      </c>
      <c r="X87" s="1099">
        <f>HLOOKUP($B$7,'Ships Table'!C2:AG43,33)</f>
        <v>4.5</v>
      </c>
      <c r="Y87" s="1093"/>
      <c r="Z87" s="690"/>
      <c r="AA87" s="934"/>
      <c r="AB87" s="857"/>
      <c r="AC87" s="523"/>
      <c r="AD87" s="1096" t="s">
        <v>660</v>
      </c>
      <c r="AE87" s="1099">
        <f t="shared" si="82"/>
        <v>52</v>
      </c>
      <c r="AF87" s="1095" t="s">
        <v>663</v>
      </c>
      <c r="AG87" s="1093">
        <f>X87*(1+$H$6/100)</f>
        <v>4.5</v>
      </c>
      <c r="AH87" s="523"/>
      <c r="AI87" s="1095" t="s">
        <v>1079</v>
      </c>
      <c r="AJ87" s="505">
        <f>HLOOKUP($B$9,$F$86:$O$91,2)</f>
        <v>1</v>
      </c>
      <c r="AK87" s="751">
        <f>$B$9+AJ87</f>
        <v>101</v>
      </c>
      <c r="AL87" s="495">
        <f>IF(E87&gt;B87,$B$9+1,AK87)</f>
        <v>101</v>
      </c>
      <c r="AM87" s="759"/>
      <c r="AN87" s="506" t="s">
        <v>660</v>
      </c>
      <c r="AO87" s="510">
        <f>VLOOKUP($AL$87,'Engine Table'!$A$4:$Q$36,7)</f>
        <v>0</v>
      </c>
      <c r="AP87" s="495" t="s">
        <v>663</v>
      </c>
      <c r="AQ87" s="549">
        <f>VLOOKUP($AL$87,'Engine Table'!$A$4:$Q$36,10)</f>
        <v>0</v>
      </c>
      <c r="AR87" s="506" t="s">
        <v>660</v>
      </c>
      <c r="AS87" s="510">
        <f>VLOOKUP($AL$88,'Engine Table'!$A$4:$Q$36,7)</f>
        <v>0</v>
      </c>
      <c r="AT87" s="495" t="s">
        <v>663</v>
      </c>
      <c r="AU87" s="549">
        <f>VLOOKUP($AL$88,'Engine Table'!$A$4:$Q$36,10)</f>
        <v>0</v>
      </c>
      <c r="AV87" s="506" t="s">
        <v>660</v>
      </c>
      <c r="AW87" s="510">
        <f>VLOOKUP($AL$89,'Engine Table'!$A$4:$Q$36,7)</f>
        <v>0</v>
      </c>
      <c r="AX87" s="495" t="s">
        <v>663</v>
      </c>
      <c r="AY87" s="549">
        <f>VLOOKUP($AL$89,'Engine Table'!$A$4:$Q$36,10)</f>
        <v>0</v>
      </c>
      <c r="AZ87" s="506" t="s">
        <v>660</v>
      </c>
      <c r="BA87" s="510">
        <f>VLOOKUP($AL$90,'Engine Table'!$A$4:$Q$36,7)</f>
        <v>0</v>
      </c>
      <c r="BB87" s="495" t="s">
        <v>663</v>
      </c>
      <c r="BC87" s="549">
        <f>VLOOKUP($AL$90,'Engine Table'!$A$4:$Q$36,10)</f>
        <v>0</v>
      </c>
      <c r="BD87" s="506" t="s">
        <v>660</v>
      </c>
      <c r="BE87" s="510">
        <f>VLOOKUP($AL$91,'Engine Table'!$A$4:$Q$36,7)</f>
        <v>0</v>
      </c>
      <c r="BF87" s="495" t="s">
        <v>663</v>
      </c>
      <c r="BG87" s="549">
        <f>VLOOKUP($AL$91,'Engine Table'!$A$4:$Q$36,10)</f>
        <v>0</v>
      </c>
      <c r="BH87" s="506" t="s">
        <v>660</v>
      </c>
      <c r="BI87" s="547">
        <f t="shared" si="83"/>
        <v>52</v>
      </c>
      <c r="BJ87" s="495" t="s">
        <v>663</v>
      </c>
      <c r="BK87" s="549">
        <f>AG87+AQ87+AU87+AY87+BC87+BG87</f>
        <v>4.5</v>
      </c>
      <c r="BL87" s="506" t="s">
        <v>660</v>
      </c>
      <c r="BM87" s="547">
        <f t="shared" si="72"/>
        <v>52</v>
      </c>
      <c r="BN87" s="495" t="s">
        <v>663</v>
      </c>
      <c r="BO87" s="549">
        <f>IF($B$9=100,BK87,0)</f>
        <v>4.5</v>
      </c>
      <c r="BP87" s="506" t="s">
        <v>660</v>
      </c>
      <c r="BQ87" s="547">
        <f t="shared" si="73"/>
        <v>0</v>
      </c>
      <c r="BR87" s="495" t="s">
        <v>663</v>
      </c>
      <c r="BS87" s="549">
        <f>IF($B$9=200,BK87,0)</f>
        <v>0</v>
      </c>
      <c r="BT87" s="506" t="s">
        <v>660</v>
      </c>
      <c r="BU87" s="547">
        <f t="shared" si="74"/>
        <v>0</v>
      </c>
      <c r="BV87" s="495" t="s">
        <v>663</v>
      </c>
      <c r="BW87" s="549">
        <f>IF($B$9=300,BK87,0)</f>
        <v>0</v>
      </c>
      <c r="BX87" s="506" t="s">
        <v>660</v>
      </c>
      <c r="BY87" s="547">
        <f t="shared" si="75"/>
        <v>0</v>
      </c>
      <c r="BZ87" s="495" t="s">
        <v>663</v>
      </c>
      <c r="CA87" s="549">
        <f>IF($B$9=400,BK87,0)</f>
        <v>0</v>
      </c>
      <c r="CB87" s="506" t="s">
        <v>660</v>
      </c>
      <c r="CC87" s="951">
        <f t="shared" si="76"/>
        <v>0</v>
      </c>
      <c r="CD87" s="495" t="s">
        <v>663</v>
      </c>
      <c r="CE87" s="549">
        <f>IF($B$9=400,BK87,0)</f>
        <v>0</v>
      </c>
      <c r="CF87" s="523"/>
      <c r="CG87" s="523"/>
      <c r="CH87" s="506" t="s">
        <v>660</v>
      </c>
      <c r="CI87" s="508">
        <f t="shared" si="84"/>
        <v>0</v>
      </c>
      <c r="CJ87" s="495" t="s">
        <v>663</v>
      </c>
      <c r="CK87" s="525">
        <f>BK87-AG87</f>
        <v>0</v>
      </c>
      <c r="CL87" s="523"/>
      <c r="CM87" s="506" t="s">
        <v>660</v>
      </c>
      <c r="CN87" s="508">
        <f t="shared" si="85"/>
        <v>52</v>
      </c>
      <c r="CO87" s="495" t="str">
        <f t="shared" si="86"/>
        <v xml:space="preserve"> </v>
      </c>
      <c r="CP87" s="508" t="str">
        <f t="shared" si="87"/>
        <v xml:space="preserve"> </v>
      </c>
      <c r="CQ87" s="495" t="s">
        <v>663</v>
      </c>
      <c r="CR87" s="523">
        <f t="shared" ref="CR87:CR89" si="88">BK87</f>
        <v>4.5</v>
      </c>
      <c r="CS87" s="495" t="str">
        <f t="shared" ref="CS87:CS89" si="89">IF(CK87=0," ","+")</f>
        <v xml:space="preserve"> </v>
      </c>
      <c r="CT87" s="525" t="str">
        <f t="shared" ref="CT87:CT89" si="90">IF(CK87=0," ",CK87)</f>
        <v xml:space="preserve"> </v>
      </c>
      <c r="CU87" s="523"/>
      <c r="CV87" s="2616" t="s">
        <v>1131</v>
      </c>
      <c r="CW87" s="2617"/>
      <c r="CX87" s="2617"/>
      <c r="CY87" s="2617"/>
      <c r="CZ87" s="2617"/>
      <c r="DA87" s="2617"/>
      <c r="DB87" s="2617"/>
      <c r="DC87" s="2617"/>
      <c r="DD87" s="2617"/>
      <c r="DE87" s="2617"/>
      <c r="DF87" s="2618"/>
    </row>
    <row r="88" spans="1:110" ht="24.95" customHeight="1">
      <c r="B88" s="515">
        <v>2</v>
      </c>
      <c r="D88" s="2601"/>
      <c r="E88" s="751">
        <f>IF($F$85&gt;E87,E87+1," ")</f>
        <v>2</v>
      </c>
      <c r="F88" s="751"/>
      <c r="G88" s="469">
        <v>1</v>
      </c>
      <c r="H88" s="751"/>
      <c r="I88" s="469">
        <v>1</v>
      </c>
      <c r="J88" s="751"/>
      <c r="K88" s="469">
        <v>1</v>
      </c>
      <c r="L88" s="751"/>
      <c r="M88" s="469">
        <v>1</v>
      </c>
      <c r="N88" s="751"/>
      <c r="O88" s="468">
        <v>0</v>
      </c>
      <c r="P88" s="2591"/>
      <c r="Q88" s="753"/>
      <c r="R88" s="857"/>
      <c r="S88" s="490"/>
      <c r="T88" s="1096" t="s">
        <v>661</v>
      </c>
      <c r="U88" s="1099">
        <f>HLOOKUP($B$7,'Ships Table'!C2:AG43,28)</f>
        <v>55</v>
      </c>
      <c r="V88" s="1099"/>
      <c r="W88" s="1095" t="s">
        <v>664</v>
      </c>
      <c r="X88" s="1099">
        <f>HLOOKUP($B$7,'Ships Table'!C2:AG43,34)</f>
        <v>15</v>
      </c>
      <c r="Y88" s="1093"/>
      <c r="Z88" s="690"/>
      <c r="AA88" s="934"/>
      <c r="AB88" s="857"/>
      <c r="AC88" s="523"/>
      <c r="AD88" s="1096" t="s">
        <v>661</v>
      </c>
      <c r="AE88" s="1099">
        <f t="shared" si="82"/>
        <v>55</v>
      </c>
      <c r="AF88" s="1095" t="s">
        <v>664</v>
      </c>
      <c r="AG88" s="1093">
        <f>X88*(1-$H$6/100)</f>
        <v>15</v>
      </c>
      <c r="AH88" s="523"/>
      <c r="AI88" s="1095" t="s">
        <v>1080</v>
      </c>
      <c r="AJ88" s="505">
        <f>HLOOKUP($B$9,$F$86:$O$91,3)</f>
        <v>1</v>
      </c>
      <c r="AK88" s="751">
        <f>$B$9+AJ88</f>
        <v>101</v>
      </c>
      <c r="AL88" s="495">
        <f>IF(E88&gt;B88,$B$9+1,AK88)</f>
        <v>101</v>
      </c>
      <c r="AM88" s="759"/>
      <c r="AN88" s="506" t="s">
        <v>661</v>
      </c>
      <c r="AO88" s="547">
        <f>VLOOKUP($AL$87,'Engine Table'!A$4:O$36,8)</f>
        <v>0</v>
      </c>
      <c r="AP88" s="495" t="s">
        <v>664</v>
      </c>
      <c r="AQ88" s="549">
        <f>VLOOKUP($AL$87,'Engine Table'!$A$4:$Q$36,17)</f>
        <v>0</v>
      </c>
      <c r="AR88" s="506" t="s">
        <v>661</v>
      </c>
      <c r="AS88" s="547">
        <f>VLOOKUP($AL$88,'Engine Table'!E$4:S$36,8)</f>
        <v>0</v>
      </c>
      <c r="AT88" s="495" t="s">
        <v>664</v>
      </c>
      <c r="AU88" s="549">
        <f>VLOOKUP($AL$88,'Engine Table'!$A$4:$Q$36,17)</f>
        <v>0</v>
      </c>
      <c r="AV88" s="506" t="s">
        <v>661</v>
      </c>
      <c r="AW88" s="547">
        <f>VLOOKUP($AL$89,'Engine Table'!I$4:W$36,8)</f>
        <v>0</v>
      </c>
      <c r="AX88" s="495" t="s">
        <v>664</v>
      </c>
      <c r="AY88" s="549">
        <f>VLOOKUP($AL$89,'Engine Table'!$A$4:$Q$36,17)</f>
        <v>0</v>
      </c>
      <c r="AZ88" s="506" t="s">
        <v>661</v>
      </c>
      <c r="BA88" s="547">
        <f>VLOOKUP($AL$90,'Engine Table'!M$4:AA$36,8)</f>
        <v>0</v>
      </c>
      <c r="BB88" s="495" t="s">
        <v>664</v>
      </c>
      <c r="BC88" s="549">
        <f>VLOOKUP($AL$90,'Engine Table'!$A$4:$Q$36,17)</f>
        <v>0</v>
      </c>
      <c r="BD88" s="506" t="s">
        <v>661</v>
      </c>
      <c r="BE88" s="547">
        <f>VLOOKUP($AL$91,'Engine Table'!Q$4:AE$36,8)</f>
        <v>0</v>
      </c>
      <c r="BF88" s="495" t="s">
        <v>664</v>
      </c>
      <c r="BG88" s="549">
        <f>VLOOKUP($AL$91,'Engine Table'!$A$4:$Q$36,17)</f>
        <v>0</v>
      </c>
      <c r="BH88" s="506" t="s">
        <v>661</v>
      </c>
      <c r="BI88" s="547">
        <f t="shared" si="83"/>
        <v>55</v>
      </c>
      <c r="BJ88" s="495" t="s">
        <v>664</v>
      </c>
      <c r="BK88" s="549">
        <f>AG88+AQ88+AU88+AY88+BC88+BG88</f>
        <v>15</v>
      </c>
      <c r="BL88" s="506" t="s">
        <v>661</v>
      </c>
      <c r="BM88" s="547">
        <f t="shared" si="72"/>
        <v>55</v>
      </c>
      <c r="BN88" s="495" t="s">
        <v>664</v>
      </c>
      <c r="BO88" s="549">
        <f>IF($B$9=100,BK88,0)</f>
        <v>15</v>
      </c>
      <c r="BP88" s="506" t="s">
        <v>661</v>
      </c>
      <c r="BQ88" s="547">
        <f t="shared" si="73"/>
        <v>0</v>
      </c>
      <c r="BR88" s="495" t="s">
        <v>664</v>
      </c>
      <c r="BS88" s="549">
        <f>IF($B$9=200,BK88,0)</f>
        <v>0</v>
      </c>
      <c r="BT88" s="506" t="s">
        <v>661</v>
      </c>
      <c r="BU88" s="547">
        <f t="shared" si="74"/>
        <v>0</v>
      </c>
      <c r="BV88" s="495" t="s">
        <v>664</v>
      </c>
      <c r="BW88" s="549">
        <f>IF($B$9=300,BK88,0)</f>
        <v>0</v>
      </c>
      <c r="BX88" s="506" t="s">
        <v>661</v>
      </c>
      <c r="BY88" s="547">
        <f t="shared" si="75"/>
        <v>0</v>
      </c>
      <c r="BZ88" s="495" t="s">
        <v>664</v>
      </c>
      <c r="CA88" s="549">
        <f>IF($B$9=400,BK88,0)</f>
        <v>0</v>
      </c>
      <c r="CB88" s="506" t="s">
        <v>661</v>
      </c>
      <c r="CC88" s="951">
        <f t="shared" si="76"/>
        <v>0</v>
      </c>
      <c r="CD88" s="495" t="s">
        <v>664</v>
      </c>
      <c r="CE88" s="549">
        <f>IF($B$9=400,BK88,0)</f>
        <v>0</v>
      </c>
      <c r="CF88" s="523"/>
      <c r="CG88" s="523"/>
      <c r="CH88" s="506" t="s">
        <v>661</v>
      </c>
      <c r="CI88" s="508">
        <f t="shared" si="84"/>
        <v>0</v>
      </c>
      <c r="CJ88" s="495" t="s">
        <v>664</v>
      </c>
      <c r="CK88" s="525">
        <f>BK88-AG88</f>
        <v>0</v>
      </c>
      <c r="CL88" s="523"/>
      <c r="CM88" s="506" t="s">
        <v>661</v>
      </c>
      <c r="CN88" s="508">
        <f t="shared" si="85"/>
        <v>55</v>
      </c>
      <c r="CO88" s="495" t="str">
        <f t="shared" si="86"/>
        <v xml:space="preserve"> </v>
      </c>
      <c r="CP88" s="508" t="str">
        <f t="shared" si="87"/>
        <v xml:space="preserve"> </v>
      </c>
      <c r="CQ88" s="495" t="s">
        <v>664</v>
      </c>
      <c r="CR88" s="523">
        <f t="shared" si="88"/>
        <v>15</v>
      </c>
      <c r="CS88" s="495" t="str">
        <f t="shared" si="89"/>
        <v xml:space="preserve"> </v>
      </c>
      <c r="CT88" s="525" t="str">
        <f t="shared" si="90"/>
        <v xml:space="preserve"> </v>
      </c>
      <c r="CU88" s="523"/>
      <c r="CV88" s="2616" t="s">
        <v>1132</v>
      </c>
      <c r="CW88" s="2617"/>
      <c r="CX88" s="2617"/>
      <c r="CY88" s="2617"/>
      <c r="CZ88" s="2617"/>
      <c r="DA88" s="2617"/>
      <c r="DB88" s="2617"/>
      <c r="DC88" s="2617"/>
      <c r="DD88" s="2617"/>
      <c r="DE88" s="2617"/>
      <c r="DF88" s="2618"/>
    </row>
    <row r="89" spans="1:110" ht="24.95" customHeight="1">
      <c r="B89" s="515">
        <v>3</v>
      </c>
      <c r="D89" s="2601"/>
      <c r="E89" s="751">
        <f t="shared" ref="E89:E91" si="91">IF($F$85&gt;E88,E88+1," ")</f>
        <v>3</v>
      </c>
      <c r="F89" s="751"/>
      <c r="G89" s="469">
        <v>1</v>
      </c>
      <c r="H89" s="751"/>
      <c r="I89" s="469">
        <v>1</v>
      </c>
      <c r="J89" s="751"/>
      <c r="K89" s="469">
        <v>1</v>
      </c>
      <c r="L89" s="751"/>
      <c r="M89" s="469">
        <v>1</v>
      </c>
      <c r="N89" s="496" t="s">
        <v>738</v>
      </c>
      <c r="O89" s="494"/>
      <c r="P89" s="2591"/>
      <c r="Q89" s="753"/>
      <c r="R89" s="857"/>
      <c r="S89" s="490"/>
      <c r="T89" s="1096" t="s">
        <v>704</v>
      </c>
      <c r="U89" s="1095">
        <f>HLOOKUP($B$7,'Ships Table'!C2:AG43,29)</f>
        <v>12</v>
      </c>
      <c r="V89" s="1095"/>
      <c r="W89" s="1095" t="s">
        <v>707</v>
      </c>
      <c r="X89" s="1099">
        <f>HLOOKUP($B$7,'Ships Table'!C2:AG43,35)</f>
        <v>20</v>
      </c>
      <c r="Y89" s="1093"/>
      <c r="Z89" s="690"/>
      <c r="AA89" s="934"/>
      <c r="AB89" s="857"/>
      <c r="AC89" s="523"/>
      <c r="AD89" s="1096" t="s">
        <v>704</v>
      </c>
      <c r="AE89" s="1099">
        <f t="shared" si="82"/>
        <v>12</v>
      </c>
      <c r="AF89" s="1095" t="s">
        <v>707</v>
      </c>
      <c r="AG89" s="1093">
        <f>X89*(1-$H$6/100)</f>
        <v>20</v>
      </c>
      <c r="AH89" s="523"/>
      <c r="AI89" s="1095" t="s">
        <v>1081</v>
      </c>
      <c r="AJ89" s="505">
        <f>HLOOKUP($B$9,$F$86:$O$91,4)</f>
        <v>1</v>
      </c>
      <c r="AK89" s="751">
        <f>$B$9+AJ89</f>
        <v>101</v>
      </c>
      <c r="AL89" s="495">
        <f>IF(E89&gt;B89,$B$9+1,AK89)</f>
        <v>101</v>
      </c>
      <c r="AM89" s="759"/>
      <c r="AN89" s="506" t="s">
        <v>704</v>
      </c>
      <c r="AO89" s="547">
        <f>VLOOKUP($AL$87,'Engine Table'!$A$4:$Q$36,6)</f>
        <v>0</v>
      </c>
      <c r="AP89" s="495" t="s">
        <v>707</v>
      </c>
      <c r="AQ89" s="549">
        <f>VLOOKUP($AL$87,'Engine Table'!$A$4:$Q$36,11)</f>
        <v>0</v>
      </c>
      <c r="AR89" s="506" t="s">
        <v>704</v>
      </c>
      <c r="AS89" s="547">
        <f>VLOOKUP($AL$88,'Engine Table'!$A$4:$Q$36,6)</f>
        <v>0</v>
      </c>
      <c r="AT89" s="495" t="s">
        <v>707</v>
      </c>
      <c r="AU89" s="549">
        <f>VLOOKUP($AL$88,'Engine Table'!$A$4:$Q$36,11)</f>
        <v>0</v>
      </c>
      <c r="AV89" s="506" t="s">
        <v>704</v>
      </c>
      <c r="AW89" s="547">
        <f>VLOOKUP($AL$89,'Engine Table'!$A$4:$Q$36,6)</f>
        <v>0</v>
      </c>
      <c r="AX89" s="495" t="s">
        <v>707</v>
      </c>
      <c r="AY89" s="549">
        <f>VLOOKUP($AL$89,'Engine Table'!$A$4:$Q$36,11)</f>
        <v>0</v>
      </c>
      <c r="AZ89" s="506" t="s">
        <v>704</v>
      </c>
      <c r="BA89" s="547">
        <f>VLOOKUP($AL$90,'Engine Table'!$A$4:$Q$36,6)</f>
        <v>0</v>
      </c>
      <c r="BB89" s="495" t="s">
        <v>707</v>
      </c>
      <c r="BC89" s="549">
        <f>VLOOKUP($AL$90,'Engine Table'!$A$4:$Q$36,11)</f>
        <v>0</v>
      </c>
      <c r="BD89" s="506" t="s">
        <v>704</v>
      </c>
      <c r="BE89" s="547">
        <f>VLOOKUP($AL$91,'Engine Table'!$A$4:$Q$36,6)</f>
        <v>0</v>
      </c>
      <c r="BF89" s="495" t="s">
        <v>707</v>
      </c>
      <c r="BG89" s="549">
        <f>VLOOKUP($AL$91,'Engine Table'!$A$4:$Q$36,11)</f>
        <v>0</v>
      </c>
      <c r="BH89" s="506" t="s">
        <v>704</v>
      </c>
      <c r="BI89" s="547">
        <f t="shared" si="83"/>
        <v>12</v>
      </c>
      <c r="BJ89" s="495" t="s">
        <v>707</v>
      </c>
      <c r="BK89" s="549">
        <f>AG89+AQ89+AU89+AY89+BC89+BG89</f>
        <v>20</v>
      </c>
      <c r="BL89" s="506" t="s">
        <v>704</v>
      </c>
      <c r="BM89" s="547">
        <f t="shared" si="72"/>
        <v>12</v>
      </c>
      <c r="BN89" s="495" t="s">
        <v>707</v>
      </c>
      <c r="BO89" s="549">
        <f>IF($B$9=100,BK89,0)</f>
        <v>20</v>
      </c>
      <c r="BP89" s="506" t="s">
        <v>704</v>
      </c>
      <c r="BQ89" s="547">
        <f t="shared" si="73"/>
        <v>0</v>
      </c>
      <c r="BR89" s="495" t="s">
        <v>707</v>
      </c>
      <c r="BS89" s="549">
        <f>IF($B$9=200,BK89,0)</f>
        <v>0</v>
      </c>
      <c r="BT89" s="506" t="s">
        <v>704</v>
      </c>
      <c r="BU89" s="547">
        <f t="shared" si="74"/>
        <v>0</v>
      </c>
      <c r="BV89" s="495" t="s">
        <v>707</v>
      </c>
      <c r="BW89" s="549">
        <f>IF($B$9=300,BK89,0)</f>
        <v>0</v>
      </c>
      <c r="BX89" s="506" t="s">
        <v>704</v>
      </c>
      <c r="BY89" s="547">
        <f t="shared" si="75"/>
        <v>0</v>
      </c>
      <c r="BZ89" s="495" t="s">
        <v>707</v>
      </c>
      <c r="CA89" s="549">
        <f>IF($B$9=400,BK89,0)</f>
        <v>0</v>
      </c>
      <c r="CB89" s="506" t="s">
        <v>704</v>
      </c>
      <c r="CC89" s="951">
        <f t="shared" si="76"/>
        <v>0</v>
      </c>
      <c r="CD89" s="495" t="s">
        <v>707</v>
      </c>
      <c r="CE89" s="549">
        <f>IF($B$9=400,BK89,0)</f>
        <v>0</v>
      </c>
      <c r="CF89" s="523"/>
      <c r="CG89" s="523"/>
      <c r="CH89" s="506" t="s">
        <v>704</v>
      </c>
      <c r="CI89" s="508">
        <f t="shared" si="84"/>
        <v>0</v>
      </c>
      <c r="CJ89" s="495" t="s">
        <v>707</v>
      </c>
      <c r="CK89" s="525">
        <f>BK89-AG89</f>
        <v>0</v>
      </c>
      <c r="CL89" s="523"/>
      <c r="CM89" s="506" t="s">
        <v>704</v>
      </c>
      <c r="CN89" s="508">
        <f t="shared" si="85"/>
        <v>12</v>
      </c>
      <c r="CO89" s="495" t="str">
        <f t="shared" si="86"/>
        <v xml:space="preserve"> </v>
      </c>
      <c r="CP89" s="508" t="str">
        <f t="shared" si="87"/>
        <v xml:space="preserve"> </v>
      </c>
      <c r="CQ89" s="495" t="s">
        <v>707</v>
      </c>
      <c r="CR89" s="523">
        <f t="shared" si="88"/>
        <v>20</v>
      </c>
      <c r="CS89" s="495" t="str">
        <f t="shared" si="89"/>
        <v xml:space="preserve"> </v>
      </c>
      <c r="CT89" s="525" t="str">
        <f t="shared" si="90"/>
        <v xml:space="preserve"> </v>
      </c>
      <c r="CU89" s="523"/>
      <c r="CV89" s="2616" t="s">
        <v>1133</v>
      </c>
      <c r="CW89" s="2617"/>
      <c r="CX89" s="2617"/>
      <c r="CY89" s="2617"/>
      <c r="CZ89" s="2617"/>
      <c r="DA89" s="2617"/>
      <c r="DB89" s="2617"/>
      <c r="DC89" s="2617"/>
      <c r="DD89" s="2617"/>
      <c r="DE89" s="2617"/>
      <c r="DF89" s="2618"/>
    </row>
    <row r="90" spans="1:110" ht="24.95" customHeight="1">
      <c r="B90" s="515">
        <v>4</v>
      </c>
      <c r="D90" s="2601"/>
      <c r="E90" s="751">
        <f t="shared" si="91"/>
        <v>4</v>
      </c>
      <c r="F90" s="751"/>
      <c r="G90" s="469">
        <v>1</v>
      </c>
      <c r="H90" s="751"/>
      <c r="I90" s="469">
        <v>1</v>
      </c>
      <c r="J90" s="751"/>
      <c r="K90" s="469">
        <v>1</v>
      </c>
      <c r="L90" s="751"/>
      <c r="M90" s="469">
        <v>1</v>
      </c>
      <c r="N90" s="2604"/>
      <c r="O90" s="494"/>
      <c r="P90" s="2591"/>
      <c r="Q90" s="753"/>
      <c r="R90" s="857"/>
      <c r="S90" s="490"/>
      <c r="T90" s="1096" t="s">
        <v>662</v>
      </c>
      <c r="U90" s="1099">
        <f>HLOOKUP($B$7,'Ships Table'!C2:AG43,30)</f>
        <v>55</v>
      </c>
      <c r="V90" s="1099"/>
      <c r="W90" s="1099"/>
      <c r="X90" s="1099"/>
      <c r="Y90" s="1093"/>
      <c r="Z90" s="690"/>
      <c r="AA90" s="934"/>
      <c r="AB90" s="857"/>
      <c r="AC90" s="523"/>
      <c r="AD90" s="1096" t="s">
        <v>662</v>
      </c>
      <c r="AE90" s="1099">
        <f t="shared" si="82"/>
        <v>55</v>
      </c>
      <c r="AF90" s="1099"/>
      <c r="AG90" s="1093"/>
      <c r="AH90" s="523"/>
      <c r="AI90" s="1095" t="s">
        <v>1082</v>
      </c>
      <c r="AJ90" s="505">
        <f>HLOOKUP($B$9,$F$86:$O$91,5)</f>
        <v>1</v>
      </c>
      <c r="AK90" s="751">
        <f>$B$9+AJ90</f>
        <v>101</v>
      </c>
      <c r="AL90" s="495">
        <f>IF(E90&gt;B90,$B$9+1,AK90)</f>
        <v>101</v>
      </c>
      <c r="AM90" s="759"/>
      <c r="AN90" s="506" t="s">
        <v>662</v>
      </c>
      <c r="AO90" s="547">
        <f>VLOOKUP($AL$87,'Engine Table'!$A$4:$Q$36,5)</f>
        <v>0</v>
      </c>
      <c r="AP90" s="547"/>
      <c r="AQ90" s="549"/>
      <c r="AR90" s="506" t="s">
        <v>662</v>
      </c>
      <c r="AS90" s="547">
        <f>VLOOKUP($AL$88,'Engine Table'!$A$4:$Q$36,5)</f>
        <v>0</v>
      </c>
      <c r="AT90" s="547"/>
      <c r="AU90" s="549"/>
      <c r="AV90" s="506" t="s">
        <v>662</v>
      </c>
      <c r="AW90" s="547">
        <f>VLOOKUP($AL$89,'Engine Table'!$A$4:$Q$36,5)</f>
        <v>0</v>
      </c>
      <c r="AX90" s="547"/>
      <c r="AY90" s="549"/>
      <c r="AZ90" s="506" t="s">
        <v>662</v>
      </c>
      <c r="BA90" s="547">
        <f>VLOOKUP($AL$90,'Engine Table'!$A$4:$Q$36,5)</f>
        <v>0</v>
      </c>
      <c r="BB90" s="547"/>
      <c r="BC90" s="549"/>
      <c r="BD90" s="506" t="s">
        <v>662</v>
      </c>
      <c r="BE90" s="547">
        <f>VLOOKUP($AL$91,'Engine Table'!$A$4:$Q$36,5)</f>
        <v>0</v>
      </c>
      <c r="BF90" s="547"/>
      <c r="BG90" s="549"/>
      <c r="BH90" s="506" t="s">
        <v>662</v>
      </c>
      <c r="BI90" s="547">
        <f t="shared" si="83"/>
        <v>55</v>
      </c>
      <c r="BJ90" s="547"/>
      <c r="BK90" s="549"/>
      <c r="BL90" s="506" t="s">
        <v>662</v>
      </c>
      <c r="BM90" s="547">
        <f t="shared" si="72"/>
        <v>55</v>
      </c>
      <c r="BN90" s="547"/>
      <c r="BO90" s="549"/>
      <c r="BP90" s="506" t="s">
        <v>662</v>
      </c>
      <c r="BQ90" s="547">
        <f t="shared" si="73"/>
        <v>0</v>
      </c>
      <c r="BR90" s="547"/>
      <c r="BS90" s="549"/>
      <c r="BT90" s="506" t="s">
        <v>662</v>
      </c>
      <c r="BU90" s="547">
        <f t="shared" si="74"/>
        <v>0</v>
      </c>
      <c r="BV90" s="547"/>
      <c r="BW90" s="549"/>
      <c r="BX90" s="506" t="s">
        <v>662</v>
      </c>
      <c r="BY90" s="547">
        <f t="shared" si="75"/>
        <v>0</v>
      </c>
      <c r="BZ90" s="547"/>
      <c r="CA90" s="549"/>
      <c r="CB90" s="506" t="s">
        <v>662</v>
      </c>
      <c r="CC90" s="951">
        <f t="shared" si="76"/>
        <v>0</v>
      </c>
      <c r="CD90" s="547"/>
      <c r="CE90" s="549"/>
      <c r="CF90" s="523"/>
      <c r="CG90" s="523"/>
      <c r="CH90" s="506" t="s">
        <v>662</v>
      </c>
      <c r="CI90" s="508">
        <f t="shared" si="84"/>
        <v>0</v>
      </c>
      <c r="CJ90" s="523"/>
      <c r="CK90" s="525"/>
      <c r="CL90" s="523"/>
      <c r="CM90" s="506" t="s">
        <v>662</v>
      </c>
      <c r="CN90" s="508">
        <f t="shared" si="85"/>
        <v>55</v>
      </c>
      <c r="CO90" s="495" t="str">
        <f t="shared" si="86"/>
        <v xml:space="preserve"> </v>
      </c>
      <c r="CP90" s="508" t="str">
        <f t="shared" si="87"/>
        <v xml:space="preserve"> </v>
      </c>
      <c r="CQ90" s="523"/>
      <c r="CR90" s="523"/>
      <c r="CS90" s="523"/>
      <c r="CT90" s="525"/>
      <c r="CU90" s="523"/>
      <c r="CV90" s="2616" t="s">
        <v>662</v>
      </c>
      <c r="CW90" s="2617"/>
      <c r="CX90" s="2617"/>
      <c r="CY90" s="2617"/>
      <c r="CZ90" s="2617"/>
      <c r="DA90" s="2617"/>
      <c r="DB90" s="2617"/>
      <c r="DC90" s="2617"/>
      <c r="DD90" s="2617"/>
      <c r="DE90" s="2617"/>
      <c r="DF90" s="2618"/>
    </row>
    <row r="91" spans="1:110" ht="24.95" customHeight="1" thickBot="1">
      <c r="B91" s="515">
        <v>5</v>
      </c>
      <c r="D91" s="2602"/>
      <c r="E91" s="752" t="str">
        <f t="shared" si="91"/>
        <v xml:space="preserve"> </v>
      </c>
      <c r="F91" s="752"/>
      <c r="G91" s="470">
        <v>1</v>
      </c>
      <c r="H91" s="752"/>
      <c r="I91" s="470">
        <v>1</v>
      </c>
      <c r="J91" s="752"/>
      <c r="K91" s="470">
        <v>1</v>
      </c>
      <c r="L91" s="752"/>
      <c r="M91" s="470">
        <v>1</v>
      </c>
      <c r="N91" s="2605"/>
      <c r="O91" s="499"/>
      <c r="P91" s="2592"/>
      <c r="Q91" s="755"/>
      <c r="R91" s="857"/>
      <c r="S91" s="490"/>
      <c r="T91" s="1096" t="s">
        <v>705</v>
      </c>
      <c r="U91" s="1099">
        <f>HLOOKUP($B$7,'Ships Table'!C2:AG43,31)</f>
        <v>90</v>
      </c>
      <c r="V91" s="1099"/>
      <c r="W91" s="1099"/>
      <c r="X91" s="1099"/>
      <c r="Y91" s="1093"/>
      <c r="Z91" s="690"/>
      <c r="AA91" s="934"/>
      <c r="AB91" s="857"/>
      <c r="AC91" s="523"/>
      <c r="AD91" s="1096" t="s">
        <v>705</v>
      </c>
      <c r="AE91" s="1099">
        <f t="shared" si="82"/>
        <v>90</v>
      </c>
      <c r="AF91" s="1099"/>
      <c r="AG91" s="1093"/>
      <c r="AH91" s="523"/>
      <c r="AI91" s="1095" t="s">
        <v>1083</v>
      </c>
      <c r="AJ91" s="505">
        <f>HLOOKUP($B$9,$F$86:$O$91,6)</f>
        <v>1</v>
      </c>
      <c r="AK91" s="751">
        <f>$B$9+AJ91</f>
        <v>101</v>
      </c>
      <c r="AL91" s="495">
        <f>IF(E91&gt;B91,$B$9+1,AK91)</f>
        <v>101</v>
      </c>
      <c r="AM91" s="759"/>
      <c r="AN91" s="506" t="s">
        <v>705</v>
      </c>
      <c r="AO91" s="547">
        <f>VLOOKUP($AL$87,'Engine Table'!$A$4:$Q$36,4)</f>
        <v>0</v>
      </c>
      <c r="AP91" s="547"/>
      <c r="AQ91" s="549"/>
      <c r="AR91" s="506" t="s">
        <v>705</v>
      </c>
      <c r="AS91" s="547">
        <f>VLOOKUP($AL$88,'Engine Table'!$A$4:$Q$36,4)</f>
        <v>0</v>
      </c>
      <c r="AT91" s="547"/>
      <c r="AU91" s="549"/>
      <c r="AV91" s="506" t="s">
        <v>705</v>
      </c>
      <c r="AW91" s="547">
        <f>VLOOKUP($AL$89,'Engine Table'!$A$4:$Q$36,4)</f>
        <v>0</v>
      </c>
      <c r="AX91" s="547"/>
      <c r="AY91" s="549"/>
      <c r="AZ91" s="506" t="s">
        <v>705</v>
      </c>
      <c r="BA91" s="547">
        <f>VLOOKUP($AL$90,'Engine Table'!$A$4:$Q$36,4)</f>
        <v>0</v>
      </c>
      <c r="BB91" s="547"/>
      <c r="BC91" s="549"/>
      <c r="BD91" s="506" t="s">
        <v>705</v>
      </c>
      <c r="BE91" s="547">
        <f>VLOOKUP($AL$91,'Engine Table'!$A$4:$Q$36,4)</f>
        <v>0</v>
      </c>
      <c r="BF91" s="547"/>
      <c r="BG91" s="549"/>
      <c r="BH91" s="506" t="s">
        <v>705</v>
      </c>
      <c r="BI91" s="547">
        <f t="shared" si="83"/>
        <v>90</v>
      </c>
      <c r="BJ91" s="547"/>
      <c r="BK91" s="549"/>
      <c r="BL91" s="506" t="s">
        <v>705</v>
      </c>
      <c r="BM91" s="547">
        <f t="shared" si="72"/>
        <v>90</v>
      </c>
      <c r="BN91" s="547"/>
      <c r="BO91" s="549"/>
      <c r="BP91" s="506" t="s">
        <v>705</v>
      </c>
      <c r="BQ91" s="547">
        <f t="shared" si="73"/>
        <v>0</v>
      </c>
      <c r="BR91" s="547"/>
      <c r="BS91" s="549"/>
      <c r="BT91" s="506" t="s">
        <v>705</v>
      </c>
      <c r="BU91" s="547">
        <f t="shared" si="74"/>
        <v>0</v>
      </c>
      <c r="BV91" s="547"/>
      <c r="BW91" s="549"/>
      <c r="BX91" s="506" t="s">
        <v>705</v>
      </c>
      <c r="BY91" s="547">
        <f t="shared" si="75"/>
        <v>0</v>
      </c>
      <c r="BZ91" s="547"/>
      <c r="CA91" s="549"/>
      <c r="CB91" s="506" t="s">
        <v>705</v>
      </c>
      <c r="CC91" s="951">
        <f t="shared" si="76"/>
        <v>0</v>
      </c>
      <c r="CD91" s="547"/>
      <c r="CE91" s="549"/>
      <c r="CF91" s="523"/>
      <c r="CG91" s="523"/>
      <c r="CH91" s="506" t="s">
        <v>705</v>
      </c>
      <c r="CI91" s="508">
        <f t="shared" si="84"/>
        <v>0</v>
      </c>
      <c r="CJ91" s="523"/>
      <c r="CK91" s="525"/>
      <c r="CL91" s="523"/>
      <c r="CM91" s="506" t="s">
        <v>705</v>
      </c>
      <c r="CN91" s="508">
        <f t="shared" si="85"/>
        <v>90</v>
      </c>
      <c r="CO91" s="495" t="str">
        <f t="shared" si="86"/>
        <v xml:space="preserve"> </v>
      </c>
      <c r="CP91" s="508" t="str">
        <f t="shared" si="87"/>
        <v xml:space="preserve"> </v>
      </c>
      <c r="CQ91" s="523"/>
      <c r="CR91" s="523"/>
      <c r="CS91" s="523"/>
      <c r="CT91" s="525"/>
      <c r="CU91" s="523"/>
      <c r="CV91" s="2616" t="s">
        <v>705</v>
      </c>
      <c r="CW91" s="2617"/>
      <c r="CX91" s="2617"/>
      <c r="CY91" s="2617"/>
      <c r="CZ91" s="2617"/>
      <c r="DA91" s="2617"/>
      <c r="DB91" s="2617"/>
      <c r="DC91" s="2617"/>
      <c r="DD91" s="2617"/>
      <c r="DE91" s="2617"/>
      <c r="DF91" s="2618"/>
    </row>
    <row r="92" spans="1:110" ht="24.95" customHeight="1">
      <c r="D92" s="2600" t="s">
        <v>699</v>
      </c>
      <c r="E92" s="2623" t="s">
        <v>681</v>
      </c>
      <c r="F92" s="483">
        <f>HLOOKUP($B$7,'Ships Table'!C2:AG43,20)</f>
        <v>2</v>
      </c>
      <c r="G92" s="488"/>
      <c r="H92" s="488"/>
      <c r="I92" s="488"/>
      <c r="J92" s="488"/>
      <c r="K92" s="488"/>
      <c r="L92" s="488"/>
      <c r="M92" s="507"/>
      <c r="N92" s="488"/>
      <c r="O92" s="489"/>
      <c r="P92" s="2590">
        <f>'Computer Table'!$O$2</f>
        <v>1</v>
      </c>
      <c r="Q92" s="756"/>
      <c r="R92" s="857"/>
      <c r="S92" s="490"/>
      <c r="T92" s="1092"/>
      <c r="U92" s="1099"/>
      <c r="V92" s="1099"/>
      <c r="W92" s="1099"/>
      <c r="X92" s="1099"/>
      <c r="Y92" s="1093"/>
      <c r="Z92" s="690"/>
      <c r="AA92" s="934"/>
      <c r="AB92" s="857"/>
      <c r="AC92" s="523"/>
      <c r="AD92" s="1092"/>
      <c r="AE92" s="1099"/>
      <c r="AF92" s="1099"/>
      <c r="AG92" s="1093"/>
      <c r="AH92" s="523"/>
      <c r="AI92" s="523"/>
      <c r="AJ92" s="505"/>
      <c r="AK92" s="751"/>
      <c r="AL92" s="495"/>
      <c r="AM92" s="759"/>
      <c r="AN92" s="505"/>
      <c r="AO92" s="547"/>
      <c r="AP92" s="547"/>
      <c r="AQ92" s="549"/>
      <c r="AR92" s="505"/>
      <c r="AS92" s="495"/>
      <c r="AT92" s="547"/>
      <c r="AU92" s="549"/>
      <c r="AV92" s="505"/>
      <c r="AW92" s="495"/>
      <c r="AX92" s="547"/>
      <c r="AY92" s="549"/>
      <c r="AZ92" s="505"/>
      <c r="BA92" s="495"/>
      <c r="BB92" s="547"/>
      <c r="BC92" s="549"/>
      <c r="BD92" s="505"/>
      <c r="BE92" s="495"/>
      <c r="BF92" s="547"/>
      <c r="BG92" s="549"/>
      <c r="BH92" s="505"/>
      <c r="BI92" s="547"/>
      <c r="BJ92" s="547"/>
      <c r="BK92" s="549"/>
      <c r="BL92" s="505"/>
      <c r="BM92" s="547"/>
      <c r="BN92" s="547"/>
      <c r="BO92" s="549"/>
      <c r="BP92" s="505"/>
      <c r="BQ92" s="547"/>
      <c r="BR92" s="547"/>
      <c r="BS92" s="549"/>
      <c r="BT92" s="505"/>
      <c r="BU92" s="547"/>
      <c r="BV92" s="547"/>
      <c r="BW92" s="549"/>
      <c r="BX92" s="505"/>
      <c r="BY92" s="547"/>
      <c r="BZ92" s="547"/>
      <c r="CA92" s="549"/>
      <c r="CB92" s="505"/>
      <c r="CC92" s="951"/>
      <c r="CD92" s="547"/>
      <c r="CE92" s="549"/>
      <c r="CF92" s="523"/>
      <c r="CG92" s="523"/>
      <c r="CH92" s="505"/>
      <c r="CI92" s="508"/>
      <c r="CJ92" s="523"/>
      <c r="CK92" s="525"/>
      <c r="CL92" s="523"/>
      <c r="CM92" s="505"/>
      <c r="CN92" s="523"/>
      <c r="CO92" s="523"/>
      <c r="CP92" s="523"/>
      <c r="CQ92" s="523"/>
      <c r="CR92" s="523"/>
      <c r="CS92" s="523"/>
      <c r="CT92" s="525"/>
      <c r="CU92" s="523"/>
      <c r="CV92" s="2636"/>
      <c r="CW92" s="2637"/>
      <c r="CX92" s="2637"/>
      <c r="CY92" s="2637"/>
      <c r="CZ92" s="2637"/>
      <c r="DA92" s="2637"/>
      <c r="DB92" s="2637"/>
      <c r="DC92" s="2637"/>
      <c r="DD92" s="2637"/>
      <c r="DE92" s="2637"/>
      <c r="DF92" s="2638"/>
    </row>
    <row r="93" spans="1:110" ht="24.95" customHeight="1">
      <c r="D93" s="2601"/>
      <c r="E93" s="2618"/>
      <c r="F93" s="495" t="s">
        <v>669</v>
      </c>
      <c r="G93" s="496">
        <v>100</v>
      </c>
      <c r="H93" s="495" t="s">
        <v>721</v>
      </c>
      <c r="I93" s="496">
        <v>200</v>
      </c>
      <c r="J93" s="495" t="s">
        <v>722</v>
      </c>
      <c r="K93" s="496">
        <v>300</v>
      </c>
      <c r="L93" s="495" t="s">
        <v>112</v>
      </c>
      <c r="M93" s="496">
        <v>400</v>
      </c>
      <c r="N93" s="495" t="s">
        <v>654</v>
      </c>
      <c r="O93" s="494">
        <v>500</v>
      </c>
      <c r="P93" s="2591"/>
      <c r="Q93" s="753"/>
      <c r="R93" s="857"/>
      <c r="S93" s="490"/>
      <c r="T93" s="1096" t="s">
        <v>665</v>
      </c>
      <c r="U93" s="1099">
        <f>HLOOKUP($B$7,'Ships Table'!C2:AG43,37)</f>
        <v>100</v>
      </c>
      <c r="V93" s="1099"/>
      <c r="W93" s="1099"/>
      <c r="X93" s="1099"/>
      <c r="Y93" s="1093"/>
      <c r="Z93" s="690"/>
      <c r="AA93" s="934"/>
      <c r="AB93" s="857"/>
      <c r="AC93" s="523"/>
      <c r="AD93" s="1096" t="s">
        <v>665</v>
      </c>
      <c r="AE93" s="1099">
        <f>U93</f>
        <v>100</v>
      </c>
      <c r="AF93" s="1099"/>
      <c r="AG93" s="1093"/>
      <c r="AH93" s="523"/>
      <c r="AI93" s="523"/>
      <c r="AJ93" s="505"/>
      <c r="AK93" s="751"/>
      <c r="AL93" s="495"/>
      <c r="AM93" s="759"/>
      <c r="AN93" s="506" t="s">
        <v>665</v>
      </c>
      <c r="AO93" s="495">
        <f>VLOOKUP($AL$94,'Computer Table'!$A$5:$Z$76,6)</f>
        <v>0</v>
      </c>
      <c r="AP93" s="547"/>
      <c r="AQ93" s="549"/>
      <c r="AR93" s="506" t="s">
        <v>665</v>
      </c>
      <c r="AS93" s="495">
        <f>VLOOKUP($AL$95,'Computer Table'!$A$5:$Z$76,6)</f>
        <v>0</v>
      </c>
      <c r="AT93" s="547"/>
      <c r="AU93" s="549"/>
      <c r="AV93" s="506" t="s">
        <v>665</v>
      </c>
      <c r="AW93" s="495">
        <f>VLOOKUP($AL$96,'Computer Table'!$A$5:$Z$76,6)</f>
        <v>0</v>
      </c>
      <c r="AX93" s="547"/>
      <c r="AY93" s="549"/>
      <c r="AZ93" s="506" t="s">
        <v>665</v>
      </c>
      <c r="BA93" s="495">
        <f>VLOOKUP($AL$97,'Computer Table'!$A$5:$Z$76,6)</f>
        <v>0</v>
      </c>
      <c r="BB93" s="547"/>
      <c r="BC93" s="549"/>
      <c r="BD93" s="506" t="s">
        <v>665</v>
      </c>
      <c r="BE93" s="495">
        <f>VLOOKUP($AL$98,'Computer Table'!$A$5:$Z$76,6)</f>
        <v>0</v>
      </c>
      <c r="BF93" s="547"/>
      <c r="BG93" s="549"/>
      <c r="BH93" s="506" t="s">
        <v>665</v>
      </c>
      <c r="BI93" s="547">
        <f t="shared" ref="BI93:BI98" si="92">AE93+AO93+AS93+AW93+BA93+BE93</f>
        <v>100</v>
      </c>
      <c r="BJ93" s="547"/>
      <c r="BK93" s="549"/>
      <c r="BL93" s="506" t="s">
        <v>665</v>
      </c>
      <c r="BM93" s="547">
        <f t="shared" ref="BM93:BM97" si="93">IF($B$9=100,BI93,0)</f>
        <v>100</v>
      </c>
      <c r="BN93" s="547"/>
      <c r="BO93" s="549"/>
      <c r="BP93" s="506" t="s">
        <v>665</v>
      </c>
      <c r="BQ93" s="547">
        <f t="shared" ref="BQ93:BQ99" si="94">IF($B$9=200,BI93,0)</f>
        <v>0</v>
      </c>
      <c r="BR93" s="547"/>
      <c r="BS93" s="549"/>
      <c r="BT93" s="506" t="s">
        <v>665</v>
      </c>
      <c r="BU93" s="547">
        <f t="shared" ref="BU93:BU99" si="95">IF($B$9=300,BI93,0)</f>
        <v>0</v>
      </c>
      <c r="BV93" s="547"/>
      <c r="BW93" s="549"/>
      <c r="BX93" s="506" t="s">
        <v>665</v>
      </c>
      <c r="BY93" s="547">
        <f t="shared" ref="BY93:BY99" si="96">IF($B$9=400,BI93,0)</f>
        <v>0</v>
      </c>
      <c r="BZ93" s="547"/>
      <c r="CA93" s="549"/>
      <c r="CB93" s="506" t="s">
        <v>665</v>
      </c>
      <c r="CC93" s="951">
        <f t="shared" si="76"/>
        <v>0</v>
      </c>
      <c r="CD93" s="547"/>
      <c r="CE93" s="549"/>
      <c r="CF93" s="495"/>
      <c r="CG93" s="523"/>
      <c r="CH93" s="506" t="s">
        <v>665</v>
      </c>
      <c r="CI93" s="508">
        <f>BI93-AE93</f>
        <v>0</v>
      </c>
      <c r="CJ93" s="523"/>
      <c r="CK93" s="525"/>
      <c r="CL93" s="523"/>
      <c r="CM93" s="506" t="s">
        <v>665</v>
      </c>
      <c r="CN93" s="508">
        <f t="shared" ref="CN93:CN98" si="97">BI93</f>
        <v>100</v>
      </c>
      <c r="CO93" s="495" t="str">
        <f>IF(CI93&lt;=0," ","+")</f>
        <v xml:space="preserve"> </v>
      </c>
      <c r="CP93" s="508" t="str">
        <f t="shared" ref="CP93:CP98" si="98">IF(CI93=0," ",CI93)</f>
        <v xml:space="preserve"> </v>
      </c>
      <c r="CQ93" s="523"/>
      <c r="CR93" s="523"/>
      <c r="CS93" s="523"/>
      <c r="CT93" s="525"/>
      <c r="CU93" s="523"/>
      <c r="CV93" s="2616" t="s">
        <v>1134</v>
      </c>
      <c r="CW93" s="2617"/>
      <c r="CX93" s="2617"/>
      <c r="CY93" s="2617"/>
      <c r="CZ93" s="2617"/>
      <c r="DA93" s="2617"/>
      <c r="DB93" s="2617"/>
      <c r="DC93" s="2617"/>
      <c r="DD93" s="2617"/>
      <c r="DE93" s="2617"/>
      <c r="DF93" s="2618"/>
    </row>
    <row r="94" spans="1:110" ht="24.75" customHeight="1">
      <c r="B94" s="515">
        <v>1</v>
      </c>
      <c r="D94" s="2601"/>
      <c r="E94" s="490">
        <f>IF($F$92=0,0,1)</f>
        <v>1</v>
      </c>
      <c r="F94" s="490"/>
      <c r="G94" s="469">
        <v>1</v>
      </c>
      <c r="H94" s="490"/>
      <c r="I94" s="469">
        <v>1</v>
      </c>
      <c r="J94" s="490"/>
      <c r="K94" s="469">
        <v>1</v>
      </c>
      <c r="L94" s="490"/>
      <c r="M94" s="496">
        <v>1</v>
      </c>
      <c r="N94" s="490"/>
      <c r="O94" s="468">
        <v>1</v>
      </c>
      <c r="P94" s="2591"/>
      <c r="Q94" s="753"/>
      <c r="R94" s="857"/>
      <c r="S94" s="490"/>
      <c r="T94" s="1096" t="s">
        <v>666</v>
      </c>
      <c r="U94" s="1099">
        <f>HLOOKUP($B$7,'Ships Table'!C2:AG43,38)</f>
        <v>5</v>
      </c>
      <c r="V94" s="1099"/>
      <c r="W94" s="1099"/>
      <c r="X94" s="1099"/>
      <c r="Y94" s="1093"/>
      <c r="Z94" s="690"/>
      <c r="AA94" s="934"/>
      <c r="AB94" s="857"/>
      <c r="AC94" s="523"/>
      <c r="AD94" s="1096" t="s">
        <v>666</v>
      </c>
      <c r="AE94" s="1099">
        <f>U94*(1+$H$6/100)</f>
        <v>5</v>
      </c>
      <c r="AF94" s="1099"/>
      <c r="AG94" s="1093"/>
      <c r="AH94" s="523"/>
      <c r="AI94" s="1095" t="s">
        <v>1079</v>
      </c>
      <c r="AJ94" s="505">
        <f>HLOOKUP($B$9,$F$93:O$98,2)</f>
        <v>1</v>
      </c>
      <c r="AK94" s="751">
        <f>$B$9+AJ94</f>
        <v>101</v>
      </c>
      <c r="AL94" s="495">
        <f>IF(E94&gt;B94,$B$9+1,AK94)</f>
        <v>101</v>
      </c>
      <c r="AM94" s="759"/>
      <c r="AN94" s="506" t="s">
        <v>666</v>
      </c>
      <c r="AO94" s="495">
        <f>VLOOKUP($AL$94,'Computer Table'!$A$6:$Z$92,25)</f>
        <v>0</v>
      </c>
      <c r="AP94" s="547"/>
      <c r="AQ94" s="549"/>
      <c r="AR94" s="506" t="s">
        <v>666</v>
      </c>
      <c r="AS94" s="495">
        <f>VLOOKUP($AL$95,'Computer Table'!$A$5:$Z$76,25)</f>
        <v>0</v>
      </c>
      <c r="AT94" s="547"/>
      <c r="AU94" s="549"/>
      <c r="AV94" s="506" t="s">
        <v>666</v>
      </c>
      <c r="AW94" s="495">
        <f>VLOOKUP($AL$96,'Computer Table'!$A$5:$Z$76,25)</f>
        <v>0</v>
      </c>
      <c r="AX94" s="547"/>
      <c r="AY94" s="549"/>
      <c r="AZ94" s="506" t="s">
        <v>666</v>
      </c>
      <c r="BA94" s="495">
        <f>VLOOKUP($AL$97,'Computer Table'!$A$5:$Z$76,25)</f>
        <v>0</v>
      </c>
      <c r="BB94" s="547"/>
      <c r="BC94" s="549"/>
      <c r="BD94" s="506" t="s">
        <v>666</v>
      </c>
      <c r="BE94" s="495">
        <f>VLOOKUP($AL$98,'Computer Table'!$A$5:$Z$76,25)</f>
        <v>0</v>
      </c>
      <c r="BF94" s="547"/>
      <c r="BG94" s="549"/>
      <c r="BH94" s="506" t="s">
        <v>666</v>
      </c>
      <c r="BI94" s="547">
        <f t="shared" si="92"/>
        <v>5</v>
      </c>
      <c r="BJ94" s="547"/>
      <c r="BK94" s="549"/>
      <c r="BL94" s="506" t="s">
        <v>666</v>
      </c>
      <c r="BM94" s="547">
        <f t="shared" si="93"/>
        <v>5</v>
      </c>
      <c r="BN94" s="547"/>
      <c r="BO94" s="549"/>
      <c r="BP94" s="506" t="s">
        <v>666</v>
      </c>
      <c r="BQ94" s="547">
        <f t="shared" si="94"/>
        <v>0</v>
      </c>
      <c r="BR94" s="547"/>
      <c r="BS94" s="549"/>
      <c r="BT94" s="506" t="s">
        <v>666</v>
      </c>
      <c r="BU94" s="547">
        <f t="shared" si="95"/>
        <v>0</v>
      </c>
      <c r="BV94" s="547"/>
      <c r="BW94" s="549"/>
      <c r="BX94" s="506" t="s">
        <v>666</v>
      </c>
      <c r="BY94" s="547">
        <f t="shared" si="96"/>
        <v>0</v>
      </c>
      <c r="BZ94" s="547"/>
      <c r="CA94" s="549"/>
      <c r="CB94" s="506" t="s">
        <v>666</v>
      </c>
      <c r="CC94" s="951">
        <f t="shared" si="76"/>
        <v>0</v>
      </c>
      <c r="CD94" s="547"/>
      <c r="CE94" s="549"/>
      <c r="CF94" s="523"/>
      <c r="CG94" s="523"/>
      <c r="CH94" s="506" t="s">
        <v>666</v>
      </c>
      <c r="CI94" s="508">
        <f t="shared" ref="CI94:CI99" si="99">BI94-AE94</f>
        <v>0</v>
      </c>
      <c r="CJ94" s="523"/>
      <c r="CK94" s="525"/>
      <c r="CL94" s="523"/>
      <c r="CM94" s="506" t="s">
        <v>666</v>
      </c>
      <c r="CN94" s="508">
        <f t="shared" si="97"/>
        <v>5</v>
      </c>
      <c r="CO94" s="495" t="str">
        <f t="shared" ref="CO94:CO99" si="100">IF(CI94&lt;=0," ","+")</f>
        <v xml:space="preserve"> </v>
      </c>
      <c r="CP94" s="508" t="str">
        <f t="shared" si="98"/>
        <v xml:space="preserve"> </v>
      </c>
      <c r="CQ94" s="523"/>
      <c r="CR94" s="523"/>
      <c r="CS94" s="523"/>
      <c r="CT94" s="525"/>
      <c r="CU94" s="523"/>
      <c r="CV94" s="2616" t="s">
        <v>1059</v>
      </c>
      <c r="CW94" s="2617"/>
      <c r="CX94" s="2617"/>
      <c r="CY94" s="2617"/>
      <c r="CZ94" s="2617"/>
      <c r="DA94" s="2617"/>
      <c r="DB94" s="2617"/>
      <c r="DC94" s="2617"/>
      <c r="DD94" s="2617"/>
      <c r="DE94" s="2617"/>
      <c r="DF94" s="2618"/>
    </row>
    <row r="95" spans="1:110" ht="24.95" customHeight="1">
      <c r="A95" s="472"/>
      <c r="B95" s="515">
        <v>2</v>
      </c>
      <c r="D95" s="2601"/>
      <c r="E95" s="490">
        <f>IF($F$92&gt;E94,E94+1," ")</f>
        <v>2</v>
      </c>
      <c r="F95" s="490"/>
      <c r="G95" s="469">
        <v>1</v>
      </c>
      <c r="H95" s="490"/>
      <c r="I95" s="469">
        <v>1</v>
      </c>
      <c r="J95" s="490"/>
      <c r="K95" s="469">
        <v>1</v>
      </c>
      <c r="L95" s="490"/>
      <c r="M95" s="496">
        <v>1</v>
      </c>
      <c r="N95" s="490"/>
      <c r="O95" s="468">
        <v>0</v>
      </c>
      <c r="P95" s="2591"/>
      <c r="Q95" s="753"/>
      <c r="R95" s="857"/>
      <c r="S95" s="490"/>
      <c r="T95" s="1096" t="s">
        <v>667</v>
      </c>
      <c r="U95" s="1099">
        <f>HLOOKUP($B$7,'Ships Table'!C2:AG43,39)</f>
        <v>100</v>
      </c>
      <c r="V95" s="1099"/>
      <c r="W95" s="1099"/>
      <c r="X95" s="1099"/>
      <c r="Y95" s="1093"/>
      <c r="Z95" s="690"/>
      <c r="AA95" s="934"/>
      <c r="AB95" s="857"/>
      <c r="AC95" s="523"/>
      <c r="AD95" s="1096" t="s">
        <v>667</v>
      </c>
      <c r="AE95" s="1099">
        <f>U95*(1+$H$6/100)</f>
        <v>100</v>
      </c>
      <c r="AF95" s="1099"/>
      <c r="AG95" s="1093"/>
      <c r="AH95" s="523"/>
      <c r="AI95" s="1095" t="s">
        <v>1080</v>
      </c>
      <c r="AJ95" s="505">
        <f>HLOOKUP($B$9,$F$93:$O$98,3)</f>
        <v>1</v>
      </c>
      <c r="AK95" s="751">
        <f>$B$9+AJ95</f>
        <v>101</v>
      </c>
      <c r="AL95" s="495">
        <f>IF(E95&gt;B95,$B$9+1,AK95)</f>
        <v>101</v>
      </c>
      <c r="AM95" s="759"/>
      <c r="AN95" s="506" t="s">
        <v>667</v>
      </c>
      <c r="AO95" s="689">
        <f>VLOOKUP($AL$94,'Computer Table'!$A$5:$Z$76,15)</f>
        <v>0</v>
      </c>
      <c r="AP95" s="547"/>
      <c r="AQ95" s="549"/>
      <c r="AR95" s="506" t="s">
        <v>667</v>
      </c>
      <c r="AS95" s="689">
        <f>VLOOKUP($AL$95,'Computer Table'!$A$5:$Z$76,15)</f>
        <v>0</v>
      </c>
      <c r="AT95" s="547"/>
      <c r="AU95" s="549"/>
      <c r="AV95" s="506" t="s">
        <v>667</v>
      </c>
      <c r="AW95" s="689">
        <f>VLOOKUP($AL$96,'Computer Table'!$A$5:$Z$76,15)</f>
        <v>0</v>
      </c>
      <c r="AX95" s="547"/>
      <c r="AY95" s="549"/>
      <c r="AZ95" s="506" t="s">
        <v>667</v>
      </c>
      <c r="BA95" s="689">
        <f>VLOOKUP($AL$97,'Computer Table'!$A$5:$Z$76,15)</f>
        <v>0</v>
      </c>
      <c r="BB95" s="547"/>
      <c r="BC95" s="549"/>
      <c r="BD95" s="506" t="s">
        <v>667</v>
      </c>
      <c r="BE95" s="689">
        <f>VLOOKUP($AL$98,'Computer Table'!$A$5:$Z$76,15)</f>
        <v>0</v>
      </c>
      <c r="BF95" s="547"/>
      <c r="BG95" s="549"/>
      <c r="BH95" s="506" t="s">
        <v>667</v>
      </c>
      <c r="BI95" s="547">
        <f>AE95+AO95+AS95+AW95+BA95+BE95</f>
        <v>100</v>
      </c>
      <c r="BJ95" s="547"/>
      <c r="BK95" s="549"/>
      <c r="BL95" s="506" t="s">
        <v>667</v>
      </c>
      <c r="BM95" s="547">
        <f t="shared" si="93"/>
        <v>100</v>
      </c>
      <c r="BN95" s="547"/>
      <c r="BO95" s="549"/>
      <c r="BP95" s="506" t="s">
        <v>667</v>
      </c>
      <c r="BQ95" s="547">
        <f t="shared" si="94"/>
        <v>0</v>
      </c>
      <c r="BR95" s="547"/>
      <c r="BS95" s="549"/>
      <c r="BT95" s="506" t="s">
        <v>667</v>
      </c>
      <c r="BU95" s="547">
        <f t="shared" si="95"/>
        <v>0</v>
      </c>
      <c r="BV95" s="547"/>
      <c r="BW95" s="549"/>
      <c r="BX95" s="506" t="s">
        <v>667</v>
      </c>
      <c r="BY95" s="547">
        <f t="shared" si="96"/>
        <v>0</v>
      </c>
      <c r="BZ95" s="547"/>
      <c r="CA95" s="549"/>
      <c r="CB95" s="506" t="s">
        <v>667</v>
      </c>
      <c r="CC95" s="951">
        <f t="shared" si="76"/>
        <v>0</v>
      </c>
      <c r="CD95" s="547"/>
      <c r="CE95" s="549"/>
      <c r="CF95" s="523"/>
      <c r="CG95" s="523"/>
      <c r="CH95" s="506" t="s">
        <v>667</v>
      </c>
      <c r="CI95" s="508">
        <f t="shared" si="99"/>
        <v>0</v>
      </c>
      <c r="CJ95" s="523"/>
      <c r="CK95" s="525"/>
      <c r="CL95" s="523"/>
      <c r="CM95" s="506" t="s">
        <v>667</v>
      </c>
      <c r="CN95" s="508">
        <f>BI95</f>
        <v>100</v>
      </c>
      <c r="CO95" s="1063" t="str">
        <f t="shared" si="100"/>
        <v xml:space="preserve"> </v>
      </c>
      <c r="CP95" s="508" t="str">
        <f t="shared" si="98"/>
        <v xml:space="preserve"> </v>
      </c>
      <c r="CQ95" s="523"/>
      <c r="CR95" s="523"/>
      <c r="CS95" s="523"/>
      <c r="CT95" s="525"/>
      <c r="CU95" s="523"/>
      <c r="CV95" s="2616" t="s">
        <v>667</v>
      </c>
      <c r="CW95" s="2617"/>
      <c r="CX95" s="2617"/>
      <c r="CY95" s="2617"/>
      <c r="CZ95" s="2617"/>
      <c r="DA95" s="2617"/>
      <c r="DB95" s="2617"/>
      <c r="DC95" s="2617"/>
      <c r="DD95" s="2617"/>
      <c r="DE95" s="2617"/>
      <c r="DF95" s="2618"/>
    </row>
    <row r="96" spans="1:110" ht="24.95" customHeight="1">
      <c r="B96" s="515">
        <v>3</v>
      </c>
      <c r="D96" s="2601"/>
      <c r="E96" s="490" t="str">
        <f>IF($F$92&gt;E95,E95+1," ")</f>
        <v xml:space="preserve"> </v>
      </c>
      <c r="F96" s="490"/>
      <c r="G96" s="469">
        <v>1</v>
      </c>
      <c r="H96" s="490"/>
      <c r="I96" s="469">
        <v>1</v>
      </c>
      <c r="J96" s="490"/>
      <c r="K96" s="469">
        <v>1</v>
      </c>
      <c r="L96" s="490"/>
      <c r="M96" s="496">
        <v>1</v>
      </c>
      <c r="N96" s="496" t="s">
        <v>738</v>
      </c>
      <c r="O96" s="494"/>
      <c r="P96" s="2591"/>
      <c r="Q96" s="753"/>
      <c r="R96" s="857"/>
      <c r="S96" s="490"/>
      <c r="T96" s="1096" t="s">
        <v>708</v>
      </c>
      <c r="U96" s="1099">
        <f>HLOOKUP($B$7,'Ships Table'!C2:AG43,40)</f>
        <v>100</v>
      </c>
      <c r="V96" s="1099"/>
      <c r="W96" s="1099"/>
      <c r="X96" s="1099"/>
      <c r="Y96" s="1093"/>
      <c r="Z96" s="690"/>
      <c r="AA96" s="934"/>
      <c r="AB96" s="857"/>
      <c r="AC96" s="523"/>
      <c r="AD96" s="1096" t="s">
        <v>708</v>
      </c>
      <c r="AE96" s="1099">
        <f>U96*(1+$H$6/100)</f>
        <v>100</v>
      </c>
      <c r="AF96" s="1099"/>
      <c r="AG96" s="1093"/>
      <c r="AH96" s="523"/>
      <c r="AI96" s="1095" t="s">
        <v>1081</v>
      </c>
      <c r="AJ96" s="505">
        <f>HLOOKUP($B$9,$F$93:$O$98,4)</f>
        <v>1</v>
      </c>
      <c r="AK96" s="751">
        <f>$B$9+AJ96</f>
        <v>101</v>
      </c>
      <c r="AL96" s="495">
        <f>IF(E96&gt;B96,$B$9+1,AK96)</f>
        <v>101</v>
      </c>
      <c r="AM96" s="759"/>
      <c r="AN96" s="506" t="s">
        <v>708</v>
      </c>
      <c r="AO96" s="689">
        <f>VLOOKUP($AL$94,'Computer Table'!$A$5:$Z$76,16)</f>
        <v>0</v>
      </c>
      <c r="AP96" s="547"/>
      <c r="AQ96" s="549"/>
      <c r="AR96" s="506" t="s">
        <v>708</v>
      </c>
      <c r="AS96" s="689">
        <f>VLOOKUP($AL$95,'Computer Table'!$A$5:$Z$76,16)</f>
        <v>0</v>
      </c>
      <c r="AT96" s="547"/>
      <c r="AU96" s="549"/>
      <c r="AV96" s="506" t="s">
        <v>708</v>
      </c>
      <c r="AW96" s="689">
        <f>VLOOKUP($AL$96,'Computer Table'!$A$5:$Z$76,16)</f>
        <v>0</v>
      </c>
      <c r="AX96" s="547"/>
      <c r="AY96" s="549"/>
      <c r="AZ96" s="506" t="s">
        <v>708</v>
      </c>
      <c r="BA96" s="689">
        <f>VLOOKUP($AL$97,'Computer Table'!$A$5:$Z$76,16)</f>
        <v>0</v>
      </c>
      <c r="BB96" s="547"/>
      <c r="BC96" s="549"/>
      <c r="BD96" s="506" t="s">
        <v>708</v>
      </c>
      <c r="BE96" s="689">
        <f>VLOOKUP($AL$98,'Computer Table'!$A$5:$Z$76,16)</f>
        <v>0</v>
      </c>
      <c r="BF96" s="547"/>
      <c r="BG96" s="549"/>
      <c r="BH96" s="506" t="s">
        <v>708</v>
      </c>
      <c r="BI96" s="547">
        <f t="shared" si="92"/>
        <v>100</v>
      </c>
      <c r="BJ96" s="547"/>
      <c r="BK96" s="549"/>
      <c r="BL96" s="506" t="s">
        <v>708</v>
      </c>
      <c r="BM96" s="547">
        <f t="shared" si="93"/>
        <v>100</v>
      </c>
      <c r="BN96" s="547"/>
      <c r="BO96" s="549"/>
      <c r="BP96" s="506" t="s">
        <v>708</v>
      </c>
      <c r="BQ96" s="547">
        <f t="shared" si="94"/>
        <v>0</v>
      </c>
      <c r="BR96" s="547"/>
      <c r="BS96" s="549"/>
      <c r="BT96" s="506" t="s">
        <v>708</v>
      </c>
      <c r="BU96" s="547">
        <f t="shared" si="95"/>
        <v>0</v>
      </c>
      <c r="BV96" s="547"/>
      <c r="BW96" s="549"/>
      <c r="BX96" s="506" t="s">
        <v>708</v>
      </c>
      <c r="BY96" s="547">
        <f t="shared" si="96"/>
        <v>0</v>
      </c>
      <c r="BZ96" s="547"/>
      <c r="CA96" s="549"/>
      <c r="CB96" s="506" t="s">
        <v>708</v>
      </c>
      <c r="CC96" s="951">
        <f t="shared" si="76"/>
        <v>0</v>
      </c>
      <c r="CD96" s="547"/>
      <c r="CE96" s="549"/>
      <c r="CF96" s="523"/>
      <c r="CG96" s="523"/>
      <c r="CH96" s="506" t="s">
        <v>708</v>
      </c>
      <c r="CI96" s="508">
        <f t="shared" si="99"/>
        <v>0</v>
      </c>
      <c r="CJ96" s="523"/>
      <c r="CK96" s="525"/>
      <c r="CL96" s="523"/>
      <c r="CM96" s="506" t="s">
        <v>708</v>
      </c>
      <c r="CN96" s="508">
        <f t="shared" si="97"/>
        <v>100</v>
      </c>
      <c r="CO96" s="1063" t="str">
        <f t="shared" si="100"/>
        <v xml:space="preserve"> </v>
      </c>
      <c r="CP96" s="508" t="str">
        <f t="shared" si="98"/>
        <v xml:space="preserve"> </v>
      </c>
      <c r="CQ96" s="523"/>
      <c r="CR96" s="523"/>
      <c r="CS96" s="523"/>
      <c r="CT96" s="525"/>
      <c r="CU96" s="523"/>
      <c r="CV96" s="2616" t="s">
        <v>1135</v>
      </c>
      <c r="CW96" s="2617"/>
      <c r="CX96" s="2617"/>
      <c r="CY96" s="2617"/>
      <c r="CZ96" s="2617"/>
      <c r="DA96" s="2617"/>
      <c r="DB96" s="2617"/>
      <c r="DC96" s="2617"/>
      <c r="DD96" s="2617"/>
      <c r="DE96" s="2617"/>
      <c r="DF96" s="2618"/>
    </row>
    <row r="97" spans="2:110" ht="24.95" customHeight="1">
      <c r="B97" s="515">
        <v>4</v>
      </c>
      <c r="D97" s="2601"/>
      <c r="E97" s="490" t="str">
        <f>IF($F$92&gt;E96,E96+1," ")</f>
        <v xml:space="preserve"> </v>
      </c>
      <c r="F97" s="490"/>
      <c r="G97" s="469">
        <v>1</v>
      </c>
      <c r="H97" s="490"/>
      <c r="I97" s="469">
        <v>1</v>
      </c>
      <c r="J97" s="490"/>
      <c r="K97" s="469">
        <v>1</v>
      </c>
      <c r="L97" s="490"/>
      <c r="M97" s="496">
        <v>1</v>
      </c>
      <c r="N97" s="2604"/>
      <c r="O97" s="494"/>
      <c r="P97" s="2591"/>
      <c r="Q97" s="753"/>
      <c r="R97" s="857"/>
      <c r="S97" s="490"/>
      <c r="T97" s="1096" t="s">
        <v>709</v>
      </c>
      <c r="U97" s="1099">
        <f>HLOOKUP($B$7,'Ships Table'!C2:AG43,41)</f>
        <v>2000</v>
      </c>
      <c r="V97" s="1099"/>
      <c r="W97" s="1099"/>
      <c r="X97" s="1099"/>
      <c r="Y97" s="1093"/>
      <c r="Z97" s="690"/>
      <c r="AA97" s="934"/>
      <c r="AB97" s="857"/>
      <c r="AC97" s="523"/>
      <c r="AD97" s="1096" t="s">
        <v>709</v>
      </c>
      <c r="AE97" s="1099">
        <f>U97*(1+$H$6/100)</f>
        <v>2000</v>
      </c>
      <c r="AF97" s="1099"/>
      <c r="AG97" s="1093"/>
      <c r="AH97" s="523"/>
      <c r="AI97" s="1095" t="s">
        <v>1082</v>
      </c>
      <c r="AJ97" s="505">
        <f>HLOOKUP($B$9,$F$93:$O$98,5)</f>
        <v>1</v>
      </c>
      <c r="AK97" s="751">
        <f>$B$9+AJ97</f>
        <v>101</v>
      </c>
      <c r="AL97" s="495">
        <f>IF(E97&gt;B97,$B$9+1,AK97)</f>
        <v>101</v>
      </c>
      <c r="AM97" s="759"/>
      <c r="AN97" s="506" t="s">
        <v>709</v>
      </c>
      <c r="AO97" s="689">
        <f>VLOOKUP($AL$94,'Computer Table'!$A$5:$Z$76,14)</f>
        <v>0</v>
      </c>
      <c r="AP97" s="547"/>
      <c r="AQ97" s="549"/>
      <c r="AR97" s="506" t="s">
        <v>709</v>
      </c>
      <c r="AS97" s="689">
        <f>VLOOKUP($AL$95,'Computer Table'!$A$5:$Z$76,14)</f>
        <v>0</v>
      </c>
      <c r="AT97" s="547"/>
      <c r="AU97" s="549"/>
      <c r="AV97" s="506" t="s">
        <v>709</v>
      </c>
      <c r="AW97" s="689">
        <f>VLOOKUP($AL$96,'Computer Table'!$A$5:$Z$76,14)</f>
        <v>0</v>
      </c>
      <c r="AX97" s="547"/>
      <c r="AY97" s="549"/>
      <c r="AZ97" s="506" t="s">
        <v>709</v>
      </c>
      <c r="BA97" s="689">
        <f>VLOOKUP($AL$97,'Computer Table'!$A$5:$Z$76,14)</f>
        <v>0</v>
      </c>
      <c r="BB97" s="547"/>
      <c r="BC97" s="549"/>
      <c r="BD97" s="506" t="s">
        <v>709</v>
      </c>
      <c r="BE97" s="689">
        <f>VLOOKUP($AL$98,'Computer Table'!$A$5:$Z$76,14)</f>
        <v>0</v>
      </c>
      <c r="BF97" s="547"/>
      <c r="BG97" s="549"/>
      <c r="BH97" s="506" t="s">
        <v>709</v>
      </c>
      <c r="BI97" s="547">
        <f t="shared" si="92"/>
        <v>2000</v>
      </c>
      <c r="BJ97" s="547"/>
      <c r="BK97" s="549"/>
      <c r="BL97" s="506" t="s">
        <v>709</v>
      </c>
      <c r="BM97" s="547">
        <f t="shared" si="93"/>
        <v>2000</v>
      </c>
      <c r="BN97" s="547"/>
      <c r="BO97" s="549"/>
      <c r="BP97" s="506" t="s">
        <v>709</v>
      </c>
      <c r="BQ97" s="547">
        <f t="shared" si="94"/>
        <v>0</v>
      </c>
      <c r="BR97" s="547"/>
      <c r="BS97" s="549"/>
      <c r="BT97" s="506" t="s">
        <v>709</v>
      </c>
      <c r="BU97" s="547">
        <f t="shared" si="95"/>
        <v>0</v>
      </c>
      <c r="BV97" s="547"/>
      <c r="BW97" s="549"/>
      <c r="BX97" s="506" t="s">
        <v>709</v>
      </c>
      <c r="BY97" s="547">
        <f t="shared" si="96"/>
        <v>0</v>
      </c>
      <c r="BZ97" s="547"/>
      <c r="CA97" s="549"/>
      <c r="CB97" s="506" t="s">
        <v>709</v>
      </c>
      <c r="CC97" s="951">
        <f t="shared" si="76"/>
        <v>0</v>
      </c>
      <c r="CD97" s="547"/>
      <c r="CE97" s="549"/>
      <c r="CF97" s="523"/>
      <c r="CG97" s="523"/>
      <c r="CH97" s="506" t="s">
        <v>709</v>
      </c>
      <c r="CI97" s="508">
        <f t="shared" si="99"/>
        <v>0</v>
      </c>
      <c r="CJ97" s="523"/>
      <c r="CK97" s="525"/>
      <c r="CL97" s="523"/>
      <c r="CM97" s="506" t="s">
        <v>709</v>
      </c>
      <c r="CN97" s="508">
        <f t="shared" si="97"/>
        <v>2000</v>
      </c>
      <c r="CO97" s="1063" t="str">
        <f t="shared" si="100"/>
        <v xml:space="preserve"> </v>
      </c>
      <c r="CP97" s="508" t="str">
        <f t="shared" si="98"/>
        <v xml:space="preserve"> </v>
      </c>
      <c r="CQ97" s="523"/>
      <c r="CR97" s="523"/>
      <c r="CS97" s="523"/>
      <c r="CT97" s="525"/>
      <c r="CU97" s="523"/>
      <c r="CV97" s="2616" t="s">
        <v>709</v>
      </c>
      <c r="CW97" s="2617"/>
      <c r="CX97" s="2617"/>
      <c r="CY97" s="2617"/>
      <c r="CZ97" s="2617"/>
      <c r="DA97" s="2617"/>
      <c r="DB97" s="2617"/>
      <c r="DC97" s="2617"/>
      <c r="DD97" s="2617"/>
      <c r="DE97" s="2617"/>
      <c r="DF97" s="2618"/>
    </row>
    <row r="98" spans="2:110" ht="24.95" customHeight="1" thickBot="1">
      <c r="B98" s="515">
        <v>5</v>
      </c>
      <c r="D98" s="2602"/>
      <c r="E98" s="497" t="str">
        <f>IF($F$92&gt;E97,E97+1," ")</f>
        <v xml:space="preserve"> </v>
      </c>
      <c r="F98" s="497"/>
      <c r="G98" s="470">
        <v>1</v>
      </c>
      <c r="H98" s="497"/>
      <c r="I98" s="470">
        <v>1</v>
      </c>
      <c r="J98" s="497"/>
      <c r="K98" s="470">
        <v>1</v>
      </c>
      <c r="L98" s="497"/>
      <c r="M98" s="498">
        <v>1</v>
      </c>
      <c r="N98" s="2605"/>
      <c r="O98" s="499"/>
      <c r="P98" s="2592"/>
      <c r="Q98" s="755"/>
      <c r="R98" s="857"/>
      <c r="S98" s="751"/>
      <c r="T98" s="1096" t="s">
        <v>668</v>
      </c>
      <c r="U98" s="1099">
        <f>HLOOKUP($B$7,'Ships Table'!C2:AG43,42)</f>
        <v>200</v>
      </c>
      <c r="V98" s="1099"/>
      <c r="W98" s="1099"/>
      <c r="X98" s="1099"/>
      <c r="Y98" s="1093"/>
      <c r="Z98" s="690"/>
      <c r="AA98" s="934"/>
      <c r="AB98" s="857"/>
      <c r="AC98" s="523"/>
      <c r="AD98" s="1096" t="s">
        <v>668</v>
      </c>
      <c r="AE98" s="1099">
        <f>U98</f>
        <v>200</v>
      </c>
      <c r="AF98" s="1099"/>
      <c r="AG98" s="1093"/>
      <c r="AH98" s="523"/>
      <c r="AI98" s="1095" t="s">
        <v>1083</v>
      </c>
      <c r="AJ98" s="505">
        <f>HLOOKUP($B$9,$F$93:$O$98,6)</f>
        <v>1</v>
      </c>
      <c r="AK98" s="751">
        <f>$B$9+AJ98</f>
        <v>101</v>
      </c>
      <c r="AL98" s="495">
        <f>IF(E98&gt;B98,$B$9+1,AK98)</f>
        <v>101</v>
      </c>
      <c r="AM98" s="759"/>
      <c r="AN98" s="506" t="s">
        <v>668</v>
      </c>
      <c r="AO98" s="495">
        <f>VLOOKUP($AL$94,'Computer Table'!$A$5:$Z$76,24)</f>
        <v>0</v>
      </c>
      <c r="AP98" s="547"/>
      <c r="AQ98" s="549"/>
      <c r="AR98" s="506" t="s">
        <v>668</v>
      </c>
      <c r="AS98" s="495">
        <f>VLOOKUP($AL$95,'Computer Table'!$A$5:$Z$76,24)</f>
        <v>0</v>
      </c>
      <c r="AT98" s="547"/>
      <c r="AU98" s="549"/>
      <c r="AV98" s="506" t="s">
        <v>668</v>
      </c>
      <c r="AW98" s="495">
        <f>VLOOKUP($AL$96,'Computer Table'!$A$5:$Z$76,24)</f>
        <v>0</v>
      </c>
      <c r="AX98" s="547"/>
      <c r="AY98" s="549"/>
      <c r="AZ98" s="506" t="s">
        <v>668</v>
      </c>
      <c r="BA98" s="495">
        <f>VLOOKUP($AL$97,'Computer Table'!$A$5:$Z$76,24)</f>
        <v>0</v>
      </c>
      <c r="BB98" s="547"/>
      <c r="BC98" s="549"/>
      <c r="BD98" s="506" t="s">
        <v>668</v>
      </c>
      <c r="BE98" s="495">
        <f>VLOOKUP($AL$98,'Computer Table'!$A$5:$Z$76,24)</f>
        <v>0</v>
      </c>
      <c r="BF98" s="547"/>
      <c r="BG98" s="549"/>
      <c r="BH98" s="506" t="s">
        <v>668</v>
      </c>
      <c r="BI98" s="547">
        <f t="shared" si="92"/>
        <v>200</v>
      </c>
      <c r="BJ98" s="547"/>
      <c r="BK98" s="549"/>
      <c r="BL98" s="506" t="s">
        <v>668</v>
      </c>
      <c r="BM98" s="547">
        <f>IF($B$9=100,BI98,0)</f>
        <v>200</v>
      </c>
      <c r="BN98" s="547"/>
      <c r="BO98" s="549"/>
      <c r="BP98" s="506" t="s">
        <v>668</v>
      </c>
      <c r="BQ98" s="547">
        <f t="shared" si="94"/>
        <v>0</v>
      </c>
      <c r="BR98" s="547"/>
      <c r="BS98" s="549"/>
      <c r="BT98" s="506" t="s">
        <v>668</v>
      </c>
      <c r="BU98" s="547">
        <f t="shared" si="95"/>
        <v>0</v>
      </c>
      <c r="BV98" s="547"/>
      <c r="BW98" s="549"/>
      <c r="BX98" s="506" t="s">
        <v>668</v>
      </c>
      <c r="BY98" s="547">
        <f t="shared" si="96"/>
        <v>0</v>
      </c>
      <c r="BZ98" s="547"/>
      <c r="CA98" s="549"/>
      <c r="CB98" s="506" t="s">
        <v>668</v>
      </c>
      <c r="CC98" s="951">
        <f t="shared" si="76"/>
        <v>0</v>
      </c>
      <c r="CD98" s="547"/>
      <c r="CE98" s="549"/>
      <c r="CF98" s="523"/>
      <c r="CG98" s="523"/>
      <c r="CH98" s="506" t="s">
        <v>668</v>
      </c>
      <c r="CI98" s="508">
        <f t="shared" si="99"/>
        <v>0</v>
      </c>
      <c r="CJ98" s="523"/>
      <c r="CK98" s="525"/>
      <c r="CL98" s="523"/>
      <c r="CM98" s="506" t="s">
        <v>668</v>
      </c>
      <c r="CN98" s="508">
        <f t="shared" si="97"/>
        <v>200</v>
      </c>
      <c r="CO98" s="1063" t="str">
        <f t="shared" si="100"/>
        <v xml:space="preserve"> </v>
      </c>
      <c r="CP98" s="508" t="str">
        <f t="shared" si="98"/>
        <v xml:space="preserve"> </v>
      </c>
      <c r="CQ98" s="523"/>
      <c r="CR98" s="523"/>
      <c r="CS98" s="523"/>
      <c r="CT98" s="525"/>
      <c r="CU98" s="523"/>
      <c r="CV98" s="2616" t="s">
        <v>668</v>
      </c>
      <c r="CW98" s="2617"/>
      <c r="CX98" s="2617"/>
      <c r="CY98" s="2617"/>
      <c r="CZ98" s="2617"/>
      <c r="DA98" s="2617"/>
      <c r="DB98" s="2617"/>
      <c r="DC98" s="2617"/>
      <c r="DD98" s="2617"/>
      <c r="DE98" s="2617"/>
      <c r="DF98" s="2618"/>
    </row>
    <row r="99" spans="2:110" ht="24.95" customHeight="1">
      <c r="D99" s="2601" t="s">
        <v>1060</v>
      </c>
      <c r="E99" s="943"/>
      <c r="F99" s="495" t="s">
        <v>1000</v>
      </c>
      <c r="G99" s="469"/>
      <c r="H99" s="943"/>
      <c r="I99" s="469"/>
      <c r="J99" s="943"/>
      <c r="K99" s="469"/>
      <c r="L99" s="943"/>
      <c r="M99" s="496"/>
      <c r="N99" s="943"/>
      <c r="O99" s="496"/>
      <c r="P99" s="2608"/>
      <c r="Q99" s="2609"/>
      <c r="R99" s="857"/>
      <c r="S99" s="751"/>
      <c r="T99" s="1096" t="s">
        <v>1058</v>
      </c>
      <c r="U99" s="1099">
        <v>0</v>
      </c>
      <c r="V99" s="1099"/>
      <c r="W99" s="1099"/>
      <c r="X99" s="1099"/>
      <c r="Y99" s="1093"/>
      <c r="Z99" s="751"/>
      <c r="AA99" s="934"/>
      <c r="AB99" s="857"/>
      <c r="AC99" s="751"/>
      <c r="AD99" s="1096" t="s">
        <v>1058</v>
      </c>
      <c r="AE99" s="1099">
        <f>$U$99*(1+$H$6/100)</f>
        <v>0</v>
      </c>
      <c r="AF99" s="1099"/>
      <c r="AG99" s="1093"/>
      <c r="AH99" s="751"/>
      <c r="AI99" s="751"/>
      <c r="AJ99" s="505"/>
      <c r="AK99" s="751"/>
      <c r="AL99" s="495"/>
      <c r="AM99" s="759"/>
      <c r="AN99" s="952" t="s">
        <v>1058</v>
      </c>
      <c r="AO99" s="495">
        <f>VLOOKUP($AL$94,'Computer Table'!$A$6:$Z$65,'Computer Table'!$G$1)</f>
        <v>0</v>
      </c>
      <c r="AP99" s="751"/>
      <c r="AQ99" s="759"/>
      <c r="AR99" s="952" t="s">
        <v>1058</v>
      </c>
      <c r="AS99" s="1063">
        <f>VLOOKUP($AL$95,'Computer Table'!$A$6:$Z$65,'Computer Table'!$G$1)</f>
        <v>0</v>
      </c>
      <c r="AT99" s="751"/>
      <c r="AU99" s="759"/>
      <c r="AV99" s="952" t="s">
        <v>1058</v>
      </c>
      <c r="AW99" s="1063">
        <f>VLOOKUP($AL$96,'Computer Table'!$A$6:$Z$65,'Computer Table'!$G$1)</f>
        <v>0</v>
      </c>
      <c r="AX99" s="751"/>
      <c r="AY99" s="759"/>
      <c r="AZ99" s="952" t="s">
        <v>1058</v>
      </c>
      <c r="BA99" s="1063">
        <f>VLOOKUP($AL$97,'Computer Table'!$A$6:$Z$65,'Computer Table'!$G$1)</f>
        <v>0</v>
      </c>
      <c r="BB99" s="751"/>
      <c r="BC99" s="759"/>
      <c r="BD99" s="952" t="s">
        <v>1058</v>
      </c>
      <c r="BE99" s="1063">
        <f>VLOOKUP($AL$98,'Computer Table'!$A$6:$Z$65,'Computer Table'!$G$1)</f>
        <v>0</v>
      </c>
      <c r="BF99" s="751"/>
      <c r="BG99" s="759"/>
      <c r="BH99" s="952" t="s">
        <v>1058</v>
      </c>
      <c r="BI99" s="951">
        <f>(AE99+AO99+AS99+AW99+BA99+BE99)</f>
        <v>0</v>
      </c>
      <c r="BJ99" s="751"/>
      <c r="BK99" s="759"/>
      <c r="BL99" s="952" t="s">
        <v>1058</v>
      </c>
      <c r="BM99" s="951">
        <f t="shared" ref="BM99" si="101">IF($B$9=100,BI99,0)</f>
        <v>0</v>
      </c>
      <c r="BN99" s="751"/>
      <c r="BO99" s="759"/>
      <c r="BP99" s="952" t="s">
        <v>1058</v>
      </c>
      <c r="BQ99" s="951">
        <f t="shared" si="94"/>
        <v>0</v>
      </c>
      <c r="BR99" s="751"/>
      <c r="BS99" s="759"/>
      <c r="BT99" s="952" t="s">
        <v>1058</v>
      </c>
      <c r="BU99" s="951">
        <f t="shared" si="95"/>
        <v>0</v>
      </c>
      <c r="BV99" s="751"/>
      <c r="BW99" s="759"/>
      <c r="BX99" s="952" t="s">
        <v>1058</v>
      </c>
      <c r="BY99" s="951">
        <f t="shared" si="96"/>
        <v>0</v>
      </c>
      <c r="BZ99" s="751"/>
      <c r="CA99" s="759"/>
      <c r="CB99" s="952" t="s">
        <v>1058</v>
      </c>
      <c r="CC99" s="951">
        <f t="shared" si="76"/>
        <v>0</v>
      </c>
      <c r="CD99" s="751"/>
      <c r="CE99" s="759"/>
      <c r="CF99" s="751"/>
      <c r="CG99" s="751"/>
      <c r="CH99" s="952" t="s">
        <v>1058</v>
      </c>
      <c r="CI99" s="508">
        <f t="shared" si="99"/>
        <v>0</v>
      </c>
      <c r="CJ99" s="751"/>
      <c r="CK99" s="759"/>
      <c r="CL99" s="751"/>
      <c r="CM99" s="952" t="s">
        <v>1058</v>
      </c>
      <c r="CN99" s="508">
        <f>BI99*DF99</f>
        <v>0</v>
      </c>
      <c r="CO99" s="1063" t="str">
        <f t="shared" si="100"/>
        <v xml:space="preserve"> </v>
      </c>
      <c r="CP99" s="508" t="str">
        <f>IF(CI99=0," ",CI99*DF99)</f>
        <v xml:space="preserve"> </v>
      </c>
      <c r="CQ99" s="751"/>
      <c r="CR99" s="751"/>
      <c r="CS99" s="751"/>
      <c r="CT99" s="759"/>
      <c r="CU99" s="751"/>
      <c r="CV99" s="1554" t="s">
        <v>1139</v>
      </c>
      <c r="CW99" s="493" t="str">
        <f>VLOOKUP($CX$99+$AC$11,muntions!$AO$55:$BH$58,5)</f>
        <v>-</v>
      </c>
      <c r="CX99" s="500">
        <f>100+$G$100</f>
        <v>101</v>
      </c>
      <c r="CY99" s="500">
        <v>1</v>
      </c>
      <c r="CZ99" s="500">
        <v>1</v>
      </c>
      <c r="DA99" s="500">
        <v>1</v>
      </c>
      <c r="DB99" s="500">
        <v>1</v>
      </c>
      <c r="DC99" s="500">
        <v>1</v>
      </c>
      <c r="DD99" s="500">
        <v>1</v>
      </c>
      <c r="DE99" s="1565">
        <v>1</v>
      </c>
      <c r="DF99" s="1562">
        <f>VLOOKUP(CX99,muntions!$AT$55:$BH$58,muntions!BH1)</f>
        <v>0</v>
      </c>
    </row>
    <row r="100" spans="2:110" ht="24.95" customHeight="1">
      <c r="D100" s="2601"/>
      <c r="E100" s="943"/>
      <c r="F100" s="943"/>
      <c r="G100" s="469">
        <v>1</v>
      </c>
      <c r="H100" s="943"/>
      <c r="I100" s="469"/>
      <c r="J100" s="943"/>
      <c r="K100" s="469"/>
      <c r="L100" s="943"/>
      <c r="M100" s="496"/>
      <c r="N100" s="943"/>
      <c r="O100" s="496"/>
      <c r="P100" s="2608"/>
      <c r="Q100" s="2609"/>
      <c r="R100" s="857"/>
      <c r="S100" s="751"/>
      <c r="T100" s="1096"/>
      <c r="U100" s="1099"/>
      <c r="V100" s="1099"/>
      <c r="W100" s="1099"/>
      <c r="X100" s="1099"/>
      <c r="Y100" s="1093"/>
      <c r="Z100" s="751"/>
      <c r="AA100" s="934"/>
      <c r="AB100" s="857"/>
      <c r="AC100" s="751"/>
      <c r="AD100" s="1096"/>
      <c r="AE100" s="1099"/>
      <c r="AF100" s="1099"/>
      <c r="AG100" s="1093"/>
      <c r="AH100" s="751"/>
      <c r="AI100" s="751"/>
      <c r="AJ100" s="505"/>
      <c r="AK100" s="751"/>
      <c r="AL100" s="495"/>
      <c r="AM100" s="759"/>
      <c r="AN100" s="758"/>
      <c r="AO100" s="495"/>
      <c r="AP100" s="751"/>
      <c r="AQ100" s="759"/>
      <c r="AR100" s="758"/>
      <c r="AS100" s="495"/>
      <c r="AT100" s="751"/>
      <c r="AU100" s="759"/>
      <c r="AV100" s="758"/>
      <c r="AW100" s="495"/>
      <c r="AX100" s="751"/>
      <c r="AY100" s="759"/>
      <c r="AZ100" s="758"/>
      <c r="BA100" s="495"/>
      <c r="BB100" s="751"/>
      <c r="BC100" s="759"/>
      <c r="BD100" s="758"/>
      <c r="BE100" s="495"/>
      <c r="BF100" s="751"/>
      <c r="BG100" s="759"/>
      <c r="BH100" s="758"/>
      <c r="BI100" s="751"/>
      <c r="BJ100" s="751"/>
      <c r="BK100" s="759"/>
      <c r="BL100" s="758"/>
      <c r="BM100" s="751"/>
      <c r="BN100" s="751"/>
      <c r="BO100" s="759"/>
      <c r="BP100" s="758"/>
      <c r="BQ100" s="751"/>
      <c r="BR100" s="751"/>
      <c r="BS100" s="759"/>
      <c r="BT100" s="758"/>
      <c r="BU100" s="751"/>
      <c r="BV100" s="751"/>
      <c r="BW100" s="759"/>
      <c r="BX100" s="758"/>
      <c r="BY100" s="751"/>
      <c r="BZ100" s="751"/>
      <c r="CA100" s="759"/>
      <c r="CB100" s="758"/>
      <c r="CC100" s="751"/>
      <c r="CD100" s="751"/>
      <c r="CE100" s="759"/>
      <c r="CF100" s="751"/>
      <c r="CG100" s="751"/>
      <c r="CH100" s="758"/>
      <c r="CI100" s="508"/>
      <c r="CJ100" s="751"/>
      <c r="CK100" s="759"/>
      <c r="CL100" s="751"/>
      <c r="CM100" s="758"/>
      <c r="CN100" s="508"/>
      <c r="CO100" s="495"/>
      <c r="CP100" s="508"/>
      <c r="CQ100" s="751"/>
      <c r="CR100" s="751"/>
      <c r="CS100" s="751"/>
      <c r="CT100" s="759"/>
      <c r="CU100" s="751"/>
      <c r="CV100" s="2639"/>
      <c r="CW100" s="2640"/>
      <c r="CX100" s="2640"/>
      <c r="CY100" s="2640"/>
      <c r="CZ100" s="2640"/>
      <c r="DA100" s="2640"/>
      <c r="DB100" s="2640"/>
      <c r="DC100" s="2640"/>
      <c r="DD100" s="2640"/>
      <c r="DE100" s="2640"/>
      <c r="DF100" s="2641"/>
    </row>
    <row r="101" spans="2:110" ht="24.95" customHeight="1">
      <c r="D101" s="2601"/>
      <c r="E101" s="943"/>
      <c r="F101" s="943"/>
      <c r="G101" s="469"/>
      <c r="H101" s="943"/>
      <c r="I101" s="469"/>
      <c r="J101" s="943"/>
      <c r="K101" s="469"/>
      <c r="L101" s="943"/>
      <c r="M101" s="496"/>
      <c r="N101" s="943"/>
      <c r="O101" s="496"/>
      <c r="P101" s="2608"/>
      <c r="Q101" s="2609"/>
      <c r="R101" s="857"/>
      <c r="S101" s="751"/>
      <c r="T101" s="1096"/>
      <c r="U101" s="1099"/>
      <c r="V101" s="1099"/>
      <c r="W101" s="1099"/>
      <c r="X101" s="1099"/>
      <c r="Y101" s="1093"/>
      <c r="Z101" s="751"/>
      <c r="AA101" s="934"/>
      <c r="AB101" s="857"/>
      <c r="AC101" s="751"/>
      <c r="AD101" s="1096"/>
      <c r="AE101" s="1099"/>
      <c r="AF101" s="1099"/>
      <c r="AG101" s="1093"/>
      <c r="AH101" s="751"/>
      <c r="AI101" s="751"/>
      <c r="AJ101" s="505"/>
      <c r="AK101" s="751"/>
      <c r="AL101" s="495"/>
      <c r="AM101" s="759"/>
      <c r="AN101" s="758"/>
      <c r="AO101" s="495"/>
      <c r="AP101" s="751"/>
      <c r="AQ101" s="759"/>
      <c r="AR101" s="758"/>
      <c r="AS101" s="495"/>
      <c r="AT101" s="751"/>
      <c r="AU101" s="759"/>
      <c r="AV101" s="758"/>
      <c r="AW101" s="495"/>
      <c r="AX101" s="751"/>
      <c r="AY101" s="759"/>
      <c r="AZ101" s="758"/>
      <c r="BA101" s="495"/>
      <c r="BB101" s="751"/>
      <c r="BC101" s="759"/>
      <c r="BD101" s="758"/>
      <c r="BE101" s="495"/>
      <c r="BF101" s="751"/>
      <c r="BG101" s="759"/>
      <c r="BH101" s="758"/>
      <c r="BI101" s="751"/>
      <c r="BJ101" s="751"/>
      <c r="BK101" s="759"/>
      <c r="BL101" s="758"/>
      <c r="BM101" s="751"/>
      <c r="BN101" s="751"/>
      <c r="BO101" s="759"/>
      <c r="BP101" s="758"/>
      <c r="BQ101" s="751"/>
      <c r="BR101" s="751"/>
      <c r="BS101" s="759"/>
      <c r="BT101" s="758"/>
      <c r="BU101" s="751"/>
      <c r="BV101" s="751"/>
      <c r="BW101" s="759"/>
      <c r="BX101" s="758"/>
      <c r="BY101" s="751"/>
      <c r="BZ101" s="751"/>
      <c r="CA101" s="759"/>
      <c r="CB101" s="758"/>
      <c r="CC101" s="751"/>
      <c r="CD101" s="751"/>
      <c r="CE101" s="759"/>
      <c r="CF101" s="751"/>
      <c r="CG101" s="751"/>
      <c r="CH101" s="758"/>
      <c r="CI101" s="508"/>
      <c r="CJ101" s="751"/>
      <c r="CK101" s="759"/>
      <c r="CL101" s="751"/>
      <c r="CM101" s="758"/>
      <c r="CN101" s="508"/>
      <c r="CO101" s="495"/>
      <c r="CP101" s="508"/>
      <c r="CQ101" s="751"/>
      <c r="CR101" s="751"/>
      <c r="CS101" s="751"/>
      <c r="CT101" s="759"/>
      <c r="CU101" s="751"/>
      <c r="CV101" s="2608"/>
      <c r="CW101" s="2604"/>
      <c r="CX101" s="2604"/>
      <c r="CY101" s="2604"/>
      <c r="CZ101" s="2604"/>
      <c r="DA101" s="2604"/>
      <c r="DB101" s="2604"/>
      <c r="DC101" s="2604"/>
      <c r="DD101" s="2604"/>
      <c r="DE101" s="2604"/>
      <c r="DF101" s="2642"/>
    </row>
    <row r="102" spans="2:110" ht="24.95" customHeight="1" thickBot="1">
      <c r="D102" s="2601"/>
      <c r="E102" s="943"/>
      <c r="F102" s="943"/>
      <c r="G102" s="469"/>
      <c r="H102" s="943"/>
      <c r="I102" s="469"/>
      <c r="J102" s="943"/>
      <c r="K102" s="469"/>
      <c r="L102" s="943"/>
      <c r="M102" s="496"/>
      <c r="N102" s="943"/>
      <c r="O102" s="496"/>
      <c r="P102" s="2608"/>
      <c r="Q102" s="2609"/>
      <c r="R102" s="857"/>
      <c r="S102" s="523"/>
      <c r="T102" s="1097"/>
      <c r="U102" s="1100"/>
      <c r="V102" s="1100"/>
      <c r="W102" s="1100"/>
      <c r="X102" s="1100"/>
      <c r="Y102" s="1094"/>
      <c r="Z102" s="690"/>
      <c r="AA102" s="934"/>
      <c r="AB102" s="857"/>
      <c r="AC102" s="523"/>
      <c r="AD102" s="1097"/>
      <c r="AE102" s="1100"/>
      <c r="AF102" s="1100"/>
      <c r="AG102" s="1094"/>
      <c r="AH102" s="523"/>
      <c r="AI102" s="523"/>
      <c r="AJ102" s="512"/>
      <c r="AK102" s="752"/>
      <c r="AL102" s="750"/>
      <c r="AM102" s="760"/>
      <c r="AN102" s="511"/>
      <c r="AO102" s="513"/>
      <c r="AP102" s="548"/>
      <c r="AQ102" s="550"/>
      <c r="AR102" s="511"/>
      <c r="AS102" s="513"/>
      <c r="AT102" s="548"/>
      <c r="AU102" s="550"/>
      <c r="AV102" s="511"/>
      <c r="AW102" s="513"/>
      <c r="AX102" s="548"/>
      <c r="AY102" s="550"/>
      <c r="AZ102" s="511"/>
      <c r="BA102" s="513"/>
      <c r="BB102" s="548"/>
      <c r="BC102" s="550"/>
      <c r="BD102" s="511"/>
      <c r="BE102" s="513"/>
      <c r="BF102" s="548"/>
      <c r="BG102" s="550"/>
      <c r="BH102" s="511"/>
      <c r="BI102" s="548"/>
      <c r="BJ102" s="548"/>
      <c r="BK102" s="550"/>
      <c r="BL102" s="511"/>
      <c r="BM102" s="548"/>
      <c r="BN102" s="548"/>
      <c r="BO102" s="550"/>
      <c r="BP102" s="511"/>
      <c r="BQ102" s="548"/>
      <c r="BR102" s="548"/>
      <c r="BS102" s="550"/>
      <c r="BT102" s="511"/>
      <c r="BU102" s="548"/>
      <c r="BV102" s="548"/>
      <c r="BW102" s="550"/>
      <c r="BX102" s="511"/>
      <c r="BY102" s="548"/>
      <c r="BZ102" s="548"/>
      <c r="CA102" s="550"/>
      <c r="CB102" s="511"/>
      <c r="CC102" s="548"/>
      <c r="CD102" s="548"/>
      <c r="CE102" s="550"/>
      <c r="CF102" s="523"/>
      <c r="CG102" s="523"/>
      <c r="CH102" s="511"/>
      <c r="CI102" s="514"/>
      <c r="CJ102" s="524"/>
      <c r="CK102" s="526"/>
      <c r="CL102" s="523"/>
      <c r="CM102" s="511"/>
      <c r="CN102" s="514"/>
      <c r="CO102" s="513"/>
      <c r="CP102" s="514"/>
      <c r="CQ102" s="524"/>
      <c r="CR102" s="524"/>
      <c r="CS102" s="524"/>
      <c r="CT102" s="526"/>
      <c r="CU102" s="523"/>
      <c r="CV102" s="2608"/>
      <c r="CW102" s="2604"/>
      <c r="CX102" s="2604"/>
      <c r="CY102" s="2604"/>
      <c r="CZ102" s="2604"/>
      <c r="DA102" s="2604"/>
      <c r="DB102" s="2604"/>
      <c r="DC102" s="2604"/>
      <c r="DD102" s="2604"/>
      <c r="DE102" s="2604"/>
      <c r="DF102" s="2642"/>
    </row>
    <row r="103" spans="2:110" ht="24.95" customHeight="1" thickBot="1">
      <c r="D103" s="2602"/>
      <c r="E103" s="944"/>
      <c r="F103" s="944"/>
      <c r="G103" s="470"/>
      <c r="H103" s="944"/>
      <c r="I103" s="470"/>
      <c r="J103" s="944"/>
      <c r="K103" s="470"/>
      <c r="L103" s="944"/>
      <c r="M103" s="498"/>
      <c r="N103" s="944"/>
      <c r="O103" s="498"/>
      <c r="P103" s="2610"/>
      <c r="Q103" s="2611"/>
      <c r="R103" s="857"/>
      <c r="S103" s="751"/>
      <c r="T103" s="495"/>
      <c r="U103" s="751"/>
      <c r="V103" s="751"/>
      <c r="W103" s="751"/>
      <c r="X103" s="751"/>
      <c r="Y103" s="751"/>
      <c r="Z103" s="751"/>
      <c r="AA103" s="934"/>
      <c r="AB103" s="857"/>
      <c r="AC103" s="751"/>
      <c r="AD103" s="495"/>
      <c r="AE103" s="751"/>
      <c r="AF103" s="751"/>
      <c r="AG103" s="751"/>
      <c r="AH103" s="751"/>
      <c r="AI103" s="751"/>
      <c r="AJ103" s="751"/>
      <c r="AK103" s="751"/>
      <c r="AL103" s="495"/>
      <c r="AM103" s="751"/>
      <c r="AN103" s="495"/>
      <c r="AO103" s="495"/>
      <c r="AP103" s="751"/>
      <c r="AQ103" s="751"/>
      <c r="AR103" s="495"/>
      <c r="AS103" s="495"/>
      <c r="AT103" s="751"/>
      <c r="AU103" s="751"/>
      <c r="AV103" s="495"/>
      <c r="AW103" s="495"/>
      <c r="AX103" s="751"/>
      <c r="AY103" s="751"/>
      <c r="AZ103" s="495"/>
      <c r="BA103" s="495"/>
      <c r="BB103" s="751"/>
      <c r="BC103" s="751"/>
      <c r="BD103" s="495"/>
      <c r="BE103" s="495"/>
      <c r="BF103" s="751"/>
      <c r="BG103" s="751"/>
      <c r="BH103" s="495"/>
      <c r="BI103" s="751"/>
      <c r="BJ103" s="751"/>
      <c r="BK103" s="751"/>
      <c r="BL103" s="495"/>
      <c r="BM103" s="751"/>
      <c r="BN103" s="751"/>
      <c r="BO103" s="751"/>
      <c r="BP103" s="495"/>
      <c r="BQ103" s="751"/>
      <c r="BR103" s="751"/>
      <c r="BS103" s="751"/>
      <c r="BT103" s="495"/>
      <c r="BU103" s="751"/>
      <c r="BV103" s="751"/>
      <c r="BW103" s="751"/>
      <c r="BX103" s="495"/>
      <c r="BY103" s="751"/>
      <c r="BZ103" s="751"/>
      <c r="CA103" s="751"/>
      <c r="CB103" s="495"/>
      <c r="CC103" s="751"/>
      <c r="CD103" s="751"/>
      <c r="CE103" s="751"/>
      <c r="CF103" s="751"/>
      <c r="CG103" s="751"/>
      <c r="CH103" s="495"/>
      <c r="CI103" s="508"/>
      <c r="CJ103" s="751"/>
      <c r="CK103" s="751"/>
      <c r="CL103" s="751"/>
      <c r="CM103" s="495"/>
      <c r="CN103" s="508"/>
      <c r="CO103" s="495"/>
      <c r="CP103" s="508"/>
      <c r="CQ103" s="751"/>
      <c r="CR103" s="751"/>
      <c r="CS103" s="751"/>
      <c r="CT103" s="751"/>
      <c r="CU103" s="751"/>
      <c r="CV103" s="1535"/>
      <c r="CW103" s="1535"/>
    </row>
    <row r="104" spans="2:110" ht="24.95" customHeight="1" thickBot="1">
      <c r="AN104" s="490"/>
      <c r="AO104" s="490"/>
    </row>
    <row r="105" spans="2:110" ht="24.95" customHeight="1" thickBot="1">
      <c r="D105" s="2597" t="s">
        <v>1039</v>
      </c>
      <c r="E105" s="2598"/>
      <c r="F105" s="2598"/>
      <c r="G105" s="2598"/>
      <c r="H105" s="2598"/>
      <c r="I105" s="2598"/>
      <c r="J105" s="2598"/>
      <c r="K105" s="2599"/>
      <c r="AN105" s="490"/>
      <c r="AO105" s="490"/>
    </row>
    <row r="106" spans="2:110" ht="24.95" customHeight="1">
      <c r="D106" s="1727"/>
      <c r="E106" s="2596" t="s">
        <v>1038</v>
      </c>
      <c r="F106" s="2596"/>
      <c r="G106" s="2596"/>
      <c r="H106" s="2596"/>
      <c r="I106" s="2596"/>
      <c r="J106" s="2596"/>
      <c r="K106" s="1729"/>
      <c r="AN106" s="547"/>
      <c r="AO106" s="547"/>
    </row>
    <row r="107" spans="2:110" ht="24.95" customHeight="1">
      <c r="D107" s="1727"/>
      <c r="E107" s="619" t="s">
        <v>1200</v>
      </c>
      <c r="F107" s="619" t="s">
        <v>1201</v>
      </c>
      <c r="G107" s="619" t="s">
        <v>1202</v>
      </c>
      <c r="H107" s="619" t="s">
        <v>1203</v>
      </c>
      <c r="I107" s="618" t="s">
        <v>1204</v>
      </c>
      <c r="J107" s="697" t="s">
        <v>863</v>
      </c>
      <c r="K107" s="1729"/>
      <c r="AN107" s="547"/>
      <c r="AO107" s="547"/>
    </row>
    <row r="108" spans="2:110" ht="24.95" customHeight="1">
      <c r="D108" s="1727" t="s">
        <v>800</v>
      </c>
      <c r="E108" s="1653">
        <f>AR25</f>
        <v>0</v>
      </c>
      <c r="F108" s="1653">
        <f t="shared" ref="F108:H108" si="102">AS25</f>
        <v>0</v>
      </c>
      <c r="G108" s="1653">
        <f t="shared" si="102"/>
        <v>0</v>
      </c>
      <c r="H108" s="1653">
        <f t="shared" si="102"/>
        <v>0</v>
      </c>
      <c r="I108" s="1653">
        <f>AV25</f>
        <v>0</v>
      </c>
      <c r="J108" s="1653">
        <f>AW25</f>
        <v>0</v>
      </c>
      <c r="K108" s="1729"/>
      <c r="AH108" s="547"/>
      <c r="AI108" s="547"/>
      <c r="AN108" s="547"/>
      <c r="AO108" s="547"/>
    </row>
    <row r="109" spans="2:110" ht="24.95" customHeight="1">
      <c r="D109" s="1727" t="s">
        <v>696</v>
      </c>
      <c r="E109" s="1653">
        <f>AR42</f>
        <v>0</v>
      </c>
      <c r="F109" s="1653">
        <f t="shared" ref="F109:H109" si="103">AS42</f>
        <v>0</v>
      </c>
      <c r="G109" s="1653">
        <f t="shared" si="103"/>
        <v>0</v>
      </c>
      <c r="H109" s="1653">
        <f t="shared" si="103"/>
        <v>0</v>
      </c>
      <c r="I109" s="1653">
        <f>AV42</f>
        <v>0</v>
      </c>
      <c r="J109" s="1653">
        <f>AW42</f>
        <v>0</v>
      </c>
      <c r="K109" s="1729"/>
      <c r="AH109" s="547"/>
      <c r="AI109" s="547"/>
      <c r="AN109" s="547"/>
      <c r="AO109" s="547"/>
    </row>
    <row r="110" spans="2:110" ht="24.95" customHeight="1">
      <c r="D110" s="1727" t="s">
        <v>697</v>
      </c>
      <c r="E110" s="1653">
        <f>AR56</f>
        <v>0</v>
      </c>
      <c r="F110" s="1653">
        <f t="shared" ref="F110:J110" si="104">AS56</f>
        <v>0</v>
      </c>
      <c r="G110" s="1653">
        <f t="shared" si="104"/>
        <v>0</v>
      </c>
      <c r="H110" s="1653">
        <f t="shared" si="104"/>
        <v>0</v>
      </c>
      <c r="I110" s="1653">
        <f t="shared" si="104"/>
        <v>0</v>
      </c>
      <c r="J110" s="1653">
        <f t="shared" si="104"/>
        <v>0</v>
      </c>
      <c r="K110" s="1729"/>
      <c r="AH110" s="495"/>
      <c r="AI110" s="495"/>
      <c r="AN110" s="547"/>
      <c r="AO110" s="547"/>
    </row>
    <row r="111" spans="2:110" ht="24.95" customHeight="1">
      <c r="D111" s="1727" t="s">
        <v>788</v>
      </c>
      <c r="E111" s="1653">
        <f t="shared" ref="E111:J111" si="105">BA69</f>
        <v>0</v>
      </c>
      <c r="F111" s="1653">
        <f t="shared" si="105"/>
        <v>0</v>
      </c>
      <c r="G111" s="1653">
        <f t="shared" si="105"/>
        <v>0</v>
      </c>
      <c r="H111" s="1653">
        <f t="shared" si="105"/>
        <v>0</v>
      </c>
      <c r="I111" s="1653">
        <f t="shared" si="105"/>
        <v>0</v>
      </c>
      <c r="J111" s="1653">
        <f t="shared" si="105"/>
        <v>0</v>
      </c>
      <c r="K111" s="1729"/>
      <c r="AH111" s="547"/>
      <c r="AI111" s="547"/>
      <c r="AN111" s="547"/>
      <c r="AO111" s="547"/>
    </row>
    <row r="112" spans="2:110" ht="24.95" customHeight="1">
      <c r="D112" s="1727"/>
      <c r="E112" s="1726"/>
      <c r="F112" s="1726"/>
      <c r="G112" s="1726"/>
      <c r="H112" s="1726"/>
      <c r="I112" s="1726"/>
      <c r="J112" s="1726"/>
      <c r="K112" s="1729"/>
      <c r="AH112" s="547"/>
      <c r="AI112" s="495"/>
      <c r="AN112" s="547"/>
      <c r="AO112" s="547"/>
    </row>
    <row r="113" spans="4:63" ht="24.95" customHeight="1">
      <c r="D113" s="1727"/>
      <c r="E113" s="1726"/>
      <c r="F113" s="1726"/>
      <c r="G113" s="1726"/>
      <c r="H113" s="1726"/>
      <c r="I113" s="1726"/>
      <c r="J113" s="1726"/>
      <c r="K113" s="1729"/>
      <c r="AH113" s="547"/>
      <c r="AI113" s="547"/>
      <c r="AN113" s="547"/>
      <c r="AO113" s="547"/>
    </row>
    <row r="114" spans="4:63" ht="24.95" customHeight="1">
      <c r="D114" s="1727"/>
      <c r="E114" s="1726"/>
      <c r="F114" s="1726"/>
      <c r="G114" s="1726"/>
      <c r="H114" s="1726"/>
      <c r="I114" s="1726"/>
      <c r="J114" s="1726"/>
      <c r="K114" s="1729"/>
      <c r="AH114" s="547"/>
      <c r="AI114" s="547"/>
      <c r="AN114" s="547"/>
      <c r="AO114" s="547"/>
    </row>
    <row r="115" spans="4:63" ht="24.95" customHeight="1">
      <c r="D115" s="1718"/>
      <c r="E115" s="1719"/>
      <c r="F115" s="1719"/>
      <c r="G115" s="1719"/>
      <c r="H115" s="1719"/>
      <c r="I115" s="1719"/>
      <c r="J115" s="1719"/>
      <c r="K115" s="1723"/>
    </row>
    <row r="116" spans="4:63" ht="24.95" customHeight="1">
      <c r="D116" s="1727"/>
      <c r="E116" s="1726"/>
      <c r="F116" s="1719"/>
      <c r="G116" s="1719"/>
      <c r="H116" s="1719"/>
      <c r="I116" s="1719"/>
      <c r="J116" s="1719"/>
      <c r="K116" s="1723"/>
    </row>
    <row r="117" spans="4:63" ht="24.95" customHeight="1">
      <c r="D117" s="1718"/>
      <c r="E117" s="2615" t="s">
        <v>1037</v>
      </c>
      <c r="F117" s="2615"/>
      <c r="G117" s="2615"/>
      <c r="H117" s="2615"/>
      <c r="I117" s="2615"/>
      <c r="J117" s="2615"/>
      <c r="K117" s="1723"/>
      <c r="BK117" s="490"/>
    </row>
    <row r="118" spans="4:63" ht="24.95" customHeight="1">
      <c r="D118" s="1106" t="s">
        <v>701</v>
      </c>
      <c r="E118" s="1105">
        <f>CN74</f>
        <v>450</v>
      </c>
      <c r="F118" s="700" t="str">
        <f>IF(G118&lt;0," ",CO74)</f>
        <v xml:space="preserve"> </v>
      </c>
      <c r="G118" s="553" t="str">
        <f>CP74</f>
        <v xml:space="preserve"> </v>
      </c>
      <c r="H118" s="688"/>
      <c r="I118" s="688"/>
      <c r="J118" s="688"/>
      <c r="K118" s="701"/>
      <c r="BK118" s="490"/>
    </row>
    <row r="119" spans="4:63" ht="24.95" customHeight="1">
      <c r="D119" s="1107" t="s">
        <v>702</v>
      </c>
      <c r="E119" s="1728">
        <f>CN75</f>
        <v>2.5</v>
      </c>
      <c r="F119" s="700" t="str">
        <f>IF(G119&lt;0," ",CO75)</f>
        <v xml:space="preserve"> </v>
      </c>
      <c r="G119" s="553" t="str">
        <f>CP75</f>
        <v xml:space="preserve"> </v>
      </c>
      <c r="H119" s="688"/>
      <c r="I119" s="688"/>
      <c r="J119" s="688"/>
      <c r="K119" s="701"/>
      <c r="BK119" s="490"/>
    </row>
    <row r="120" spans="4:63" ht="24.95" customHeight="1">
      <c r="D120" s="1107" t="s">
        <v>658</v>
      </c>
      <c r="E120" s="1728">
        <f>CN76</f>
        <v>5</v>
      </c>
      <c r="F120" s="700" t="str">
        <f>IF(G120&lt;0," ",CO76)</f>
        <v xml:space="preserve"> </v>
      </c>
      <c r="G120" s="553" t="str">
        <f>CP76</f>
        <v xml:space="preserve"> </v>
      </c>
      <c r="H120" s="688"/>
      <c r="I120" s="688"/>
      <c r="J120" s="688"/>
      <c r="K120" s="701"/>
      <c r="BK120" s="490"/>
    </row>
    <row r="121" spans="4:63" ht="24.95" customHeight="1">
      <c r="D121" s="1107" t="s">
        <v>659</v>
      </c>
      <c r="E121" s="1728">
        <f>CN77</f>
        <v>80</v>
      </c>
      <c r="F121" s="700" t="str">
        <f>IF(G121&lt;0," ",CO77)</f>
        <v xml:space="preserve"> </v>
      </c>
      <c r="G121" s="553" t="str">
        <f>CP77</f>
        <v xml:space="preserve"> </v>
      </c>
      <c r="H121" s="688"/>
      <c r="I121" s="688"/>
      <c r="J121" s="688"/>
      <c r="K121" s="701"/>
      <c r="BK121" s="490"/>
    </row>
    <row r="122" spans="4:63" ht="24.95" customHeight="1">
      <c r="D122" s="1107" t="s">
        <v>657</v>
      </c>
      <c r="E122" s="1728">
        <f>CN78</f>
        <v>4500</v>
      </c>
      <c r="F122" s="700" t="str">
        <f>IF(G122&lt;0," ",CO78)</f>
        <v xml:space="preserve"> </v>
      </c>
      <c r="G122" s="553" t="str">
        <f>CP78</f>
        <v xml:space="preserve"> </v>
      </c>
      <c r="H122" s="688"/>
      <c r="I122" s="688"/>
      <c r="J122" s="688"/>
      <c r="K122" s="701"/>
      <c r="BK122" s="490"/>
    </row>
    <row r="123" spans="4:63" ht="24.95" customHeight="1">
      <c r="D123" s="1727"/>
      <c r="E123" s="2626" t="str">
        <f t="shared" ref="E123:E126" si="106">CN79</f>
        <v>min</v>
      </c>
      <c r="F123" s="2626"/>
      <c r="G123" s="2626"/>
      <c r="H123" s="2619" t="s">
        <v>1085</v>
      </c>
      <c r="I123" s="2627"/>
      <c r="J123" s="2627"/>
      <c r="K123" s="492"/>
      <c r="BK123" s="1555"/>
    </row>
    <row r="124" spans="4:63" ht="24.95" customHeight="1">
      <c r="D124" s="1727" t="s">
        <v>1078</v>
      </c>
      <c r="E124" s="1728">
        <f t="shared" si="106"/>
        <v>0</v>
      </c>
      <c r="F124" s="700" t="str">
        <f t="shared" ref="F124:F126" si="107">IF(G124&lt;0," ",CO80)</f>
        <v xml:space="preserve"> </v>
      </c>
      <c r="G124" s="553" t="str">
        <f t="shared" ref="G124:G126" si="108">CP80</f>
        <v xml:space="preserve"> </v>
      </c>
      <c r="H124" s="1608">
        <f>CR80</f>
        <v>0</v>
      </c>
      <c r="I124" s="688" t="str">
        <f t="shared" ref="I124:J124" si="109">CS80</f>
        <v xml:space="preserve"> </v>
      </c>
      <c r="J124" s="688" t="str">
        <f t="shared" si="109"/>
        <v xml:space="preserve"> </v>
      </c>
      <c r="K124" s="701"/>
      <c r="BK124" s="1555"/>
    </row>
    <row r="125" spans="4:63" ht="24.95" customHeight="1">
      <c r="D125" s="1727" t="s">
        <v>968</v>
      </c>
      <c r="E125" s="1728">
        <f t="shared" si="106"/>
        <v>0</v>
      </c>
      <c r="F125" s="700" t="str">
        <f t="shared" si="107"/>
        <v xml:space="preserve"> </v>
      </c>
      <c r="G125" s="553" t="str">
        <f t="shared" si="108"/>
        <v xml:space="preserve"> </v>
      </c>
      <c r="H125" s="688"/>
      <c r="I125" s="688"/>
      <c r="J125" s="688"/>
      <c r="K125" s="701"/>
      <c r="BK125" s="1555"/>
    </row>
    <row r="126" spans="4:63" ht="24.95" customHeight="1">
      <c r="D126" s="1727" t="s">
        <v>1137</v>
      </c>
      <c r="E126" s="1728">
        <f t="shared" si="106"/>
        <v>0</v>
      </c>
      <c r="F126" s="700" t="str">
        <f t="shared" si="107"/>
        <v xml:space="preserve"> </v>
      </c>
      <c r="G126" s="553" t="str">
        <f t="shared" si="108"/>
        <v xml:space="preserve"> </v>
      </c>
      <c r="H126" s="688"/>
      <c r="I126" s="688"/>
      <c r="J126" s="688"/>
      <c r="K126" s="701"/>
      <c r="BK126" s="1555"/>
    </row>
    <row r="127" spans="4:63" ht="24.95" customHeight="1">
      <c r="D127" s="1107"/>
      <c r="E127" s="1728"/>
      <c r="F127" s="700"/>
      <c r="G127" s="553"/>
      <c r="H127" s="688"/>
      <c r="I127" s="688"/>
      <c r="J127" s="688"/>
      <c r="K127" s="701"/>
      <c r="BK127" s="1555"/>
    </row>
    <row r="128" spans="4:63" ht="24.95" customHeight="1">
      <c r="D128" s="1107"/>
      <c r="E128" s="1728"/>
      <c r="F128" s="700"/>
      <c r="G128" s="553"/>
      <c r="H128" s="688"/>
      <c r="I128" s="688"/>
      <c r="J128" s="688"/>
      <c r="K128" s="701"/>
      <c r="BK128" s="490"/>
    </row>
    <row r="129" spans="4:63" ht="24.95" customHeight="1">
      <c r="D129" s="1108"/>
      <c r="E129" s="1728"/>
      <c r="F129" s="700"/>
      <c r="G129" s="553"/>
      <c r="H129" s="688"/>
      <c r="I129" s="688"/>
      <c r="J129" s="688"/>
      <c r="K129" s="701"/>
      <c r="BK129" s="490"/>
    </row>
    <row r="130" spans="4:63" ht="24.95" customHeight="1">
      <c r="D130" s="1107" t="s">
        <v>703</v>
      </c>
      <c r="E130" s="1728">
        <f t="shared" ref="E130:E135" si="110">CN86</f>
        <v>510</v>
      </c>
      <c r="F130" s="700" t="str">
        <f t="shared" ref="F130:F135" si="111">IF(G130&lt;0," ",CO86)</f>
        <v xml:space="preserve"> </v>
      </c>
      <c r="G130" s="553" t="str">
        <f t="shared" ref="G130:G135" si="112">CP86</f>
        <v xml:space="preserve"> </v>
      </c>
      <c r="H130" s="700" t="s">
        <v>706</v>
      </c>
      <c r="I130" s="688">
        <f>CR86</f>
        <v>0.5</v>
      </c>
      <c r="J130" s="700" t="str">
        <f>IF(K130&lt;0," ",CS86)</f>
        <v xml:space="preserve"> </v>
      </c>
      <c r="K130" s="701" t="str">
        <f>CT86</f>
        <v xml:space="preserve"> </v>
      </c>
      <c r="BK130" s="490"/>
    </row>
    <row r="131" spans="4:63" ht="24.95" customHeight="1">
      <c r="D131" s="1107" t="s">
        <v>660</v>
      </c>
      <c r="E131" s="1728">
        <f>CN87</f>
        <v>52</v>
      </c>
      <c r="F131" s="700" t="str">
        <f t="shared" si="111"/>
        <v xml:space="preserve"> </v>
      </c>
      <c r="G131" s="553" t="str">
        <f>CP87</f>
        <v xml:space="preserve"> </v>
      </c>
      <c r="H131" s="700" t="s">
        <v>663</v>
      </c>
      <c r="I131" s="688">
        <f>CR87</f>
        <v>4.5</v>
      </c>
      <c r="J131" s="700" t="str">
        <f>IF(K131&lt;0," ",CS87)</f>
        <v xml:space="preserve"> </v>
      </c>
      <c r="K131" s="701" t="str">
        <f t="shared" ref="K131:K133" si="113">CT87</f>
        <v xml:space="preserve"> </v>
      </c>
      <c r="BK131" s="490"/>
    </row>
    <row r="132" spans="4:63" ht="24.95" customHeight="1">
      <c r="D132" s="1107" t="s">
        <v>661</v>
      </c>
      <c r="E132" s="1728">
        <f t="shared" si="110"/>
        <v>55</v>
      </c>
      <c r="F132" s="700" t="str">
        <f t="shared" si="111"/>
        <v xml:space="preserve"> </v>
      </c>
      <c r="G132" s="553" t="str">
        <f t="shared" si="112"/>
        <v xml:space="preserve"> </v>
      </c>
      <c r="H132" s="700" t="s">
        <v>664</v>
      </c>
      <c r="I132" s="688">
        <f>CR88</f>
        <v>15</v>
      </c>
      <c r="J132" s="700" t="str">
        <f>IF(K132&lt;0," ",CS88)</f>
        <v xml:space="preserve"> </v>
      </c>
      <c r="K132" s="701" t="str">
        <f t="shared" si="113"/>
        <v xml:space="preserve"> </v>
      </c>
      <c r="BK132" s="490"/>
    </row>
    <row r="133" spans="4:63" ht="24.95" customHeight="1">
      <c r="D133" s="1107" t="s">
        <v>704</v>
      </c>
      <c r="E133" s="1728">
        <f t="shared" si="110"/>
        <v>12</v>
      </c>
      <c r="F133" s="700" t="str">
        <f t="shared" si="111"/>
        <v xml:space="preserve"> </v>
      </c>
      <c r="G133" s="553" t="str">
        <f t="shared" si="112"/>
        <v xml:space="preserve"> </v>
      </c>
      <c r="H133" s="700" t="s">
        <v>707</v>
      </c>
      <c r="I133" s="688">
        <f>CR89</f>
        <v>20</v>
      </c>
      <c r="J133" s="700" t="str">
        <f>IF(K133&lt;0," ",CS89)</f>
        <v xml:space="preserve"> </v>
      </c>
      <c r="K133" s="701" t="str">
        <f t="shared" si="113"/>
        <v xml:space="preserve"> </v>
      </c>
      <c r="AF133" s="547"/>
      <c r="AG133" s="547"/>
      <c r="BK133" s="490"/>
    </row>
    <row r="134" spans="4:63" ht="24.95" customHeight="1">
      <c r="D134" s="1107" t="s">
        <v>662</v>
      </c>
      <c r="E134" s="1728">
        <f t="shared" si="110"/>
        <v>55</v>
      </c>
      <c r="F134" s="700" t="str">
        <f t="shared" si="111"/>
        <v xml:space="preserve"> </v>
      </c>
      <c r="G134" s="553" t="str">
        <f t="shared" si="112"/>
        <v xml:space="preserve"> </v>
      </c>
      <c r="H134" s="688"/>
      <c r="I134" s="688"/>
      <c r="J134" s="688"/>
      <c r="K134" s="701"/>
      <c r="AF134" s="547"/>
      <c r="AG134" s="547"/>
      <c r="BK134" s="490"/>
    </row>
    <row r="135" spans="4:63" ht="24.95" customHeight="1">
      <c r="D135" s="1107" t="s">
        <v>705</v>
      </c>
      <c r="E135" s="1728">
        <f t="shared" si="110"/>
        <v>90</v>
      </c>
      <c r="F135" s="700" t="str">
        <f t="shared" si="111"/>
        <v xml:space="preserve"> </v>
      </c>
      <c r="G135" s="553" t="str">
        <f t="shared" si="112"/>
        <v xml:space="preserve"> </v>
      </c>
      <c r="H135" s="688"/>
      <c r="I135" s="688"/>
      <c r="J135" s="688"/>
      <c r="K135" s="701"/>
      <c r="AF135" s="547"/>
      <c r="AG135" s="547"/>
      <c r="AJ135" s="490"/>
      <c r="AK135" s="495"/>
      <c r="AL135" s="490"/>
      <c r="AM135" s="490"/>
      <c r="AN135" s="495"/>
      <c r="AO135" s="495"/>
      <c r="AP135" s="495"/>
      <c r="AQ135" s="495"/>
      <c r="AR135" s="495"/>
      <c r="AS135" s="495"/>
      <c r="AT135" s="495"/>
      <c r="AU135" s="495"/>
      <c r="AV135" s="495"/>
      <c r="BK135" s="490"/>
    </row>
    <row r="136" spans="4:63" ht="24.95" customHeight="1">
      <c r="D136" s="1108"/>
      <c r="E136" s="1728"/>
      <c r="F136" s="700"/>
      <c r="G136" s="553"/>
      <c r="H136" s="688"/>
      <c r="I136" s="688"/>
      <c r="J136" s="688"/>
      <c r="K136" s="701"/>
      <c r="AF136" s="547"/>
      <c r="AG136" s="547"/>
      <c r="AJ136" s="490"/>
      <c r="AK136" s="490"/>
      <c r="AL136" s="490"/>
      <c r="AM136" s="490"/>
      <c r="AN136" s="490"/>
      <c r="AO136" s="490"/>
      <c r="AP136" s="490"/>
      <c r="AQ136" s="490"/>
      <c r="AR136" s="490"/>
      <c r="AS136" s="490"/>
      <c r="AT136" s="490"/>
      <c r="AU136" s="490"/>
      <c r="AV136" s="490"/>
      <c r="BK136" s="490"/>
    </row>
    <row r="137" spans="4:63" ht="24.95" customHeight="1">
      <c r="D137" s="1107" t="s">
        <v>665</v>
      </c>
      <c r="E137" s="1728">
        <f t="shared" ref="E137:E143" si="114">CN93</f>
        <v>100</v>
      </c>
      <c r="F137" s="700" t="str">
        <f t="shared" ref="F137:F165" si="115">IF(G137&lt;0," ",CO93)</f>
        <v xml:space="preserve"> </v>
      </c>
      <c r="G137" s="553" t="str">
        <f t="shared" ref="G137:G143" si="116">CP93</f>
        <v xml:space="preserve"> </v>
      </c>
      <c r="H137" s="688"/>
      <c r="I137" s="688"/>
      <c r="J137" s="688"/>
      <c r="K137" s="701"/>
      <c r="AF137" s="547"/>
      <c r="AG137" s="547"/>
      <c r="AJ137" s="490"/>
      <c r="AK137" s="495"/>
      <c r="AL137" s="490"/>
      <c r="AM137" s="490"/>
      <c r="AN137" s="495"/>
      <c r="AO137" s="495"/>
      <c r="AP137" s="490"/>
      <c r="AQ137" s="490"/>
      <c r="AR137" s="490"/>
      <c r="AS137" s="490"/>
      <c r="AT137" s="490"/>
      <c r="AU137" s="490"/>
      <c r="AV137" s="490"/>
      <c r="BK137" s="490"/>
    </row>
    <row r="138" spans="4:63" ht="24.95" customHeight="1">
      <c r="D138" s="1107" t="s">
        <v>666</v>
      </c>
      <c r="E138" s="1728">
        <f t="shared" si="114"/>
        <v>5</v>
      </c>
      <c r="F138" s="700" t="str">
        <f t="shared" si="115"/>
        <v xml:space="preserve"> </v>
      </c>
      <c r="G138" s="553" t="str">
        <f t="shared" si="116"/>
        <v xml:space="preserve"> </v>
      </c>
      <c r="H138" s="688"/>
      <c r="I138" s="688"/>
      <c r="J138" s="688"/>
      <c r="K138" s="701"/>
      <c r="AF138" s="547"/>
      <c r="AG138" s="547"/>
      <c r="AJ138" s="490"/>
      <c r="AK138" s="490"/>
      <c r="AL138" s="490"/>
      <c r="AM138" s="490"/>
      <c r="AN138" s="490"/>
      <c r="AO138" s="490"/>
      <c r="AP138" s="490"/>
      <c r="AQ138" s="490"/>
      <c r="AR138" s="490"/>
      <c r="AS138" s="490"/>
      <c r="AT138" s="490"/>
      <c r="AU138" s="490"/>
      <c r="AV138" s="490"/>
      <c r="BK138" s="490"/>
    </row>
    <row r="139" spans="4:63" ht="24.95" customHeight="1">
      <c r="D139" s="1107" t="s">
        <v>667</v>
      </c>
      <c r="E139" s="1728">
        <f t="shared" si="114"/>
        <v>100</v>
      </c>
      <c r="F139" s="700" t="str">
        <f t="shared" si="115"/>
        <v xml:space="preserve"> </v>
      </c>
      <c r="G139" s="699" t="str">
        <f t="shared" si="116"/>
        <v xml:space="preserve"> </v>
      </c>
      <c r="H139" s="688"/>
      <c r="I139" s="688"/>
      <c r="J139" s="688"/>
      <c r="K139" s="701"/>
      <c r="AF139" s="547"/>
      <c r="AG139" s="547"/>
      <c r="AJ139" s="490"/>
      <c r="AK139" s="490"/>
      <c r="AL139" s="490"/>
      <c r="AM139" s="490"/>
      <c r="AN139" s="490"/>
      <c r="AO139" s="490"/>
      <c r="AP139" s="490"/>
      <c r="AQ139" s="490"/>
      <c r="AR139" s="490"/>
      <c r="AS139" s="490"/>
      <c r="AT139" s="490"/>
      <c r="AU139" s="490"/>
      <c r="AV139" s="490"/>
      <c r="BK139" s="490"/>
    </row>
    <row r="140" spans="4:63" ht="24.95" customHeight="1">
      <c r="D140" s="1107" t="s">
        <v>708</v>
      </c>
      <c r="E140" s="1728">
        <f t="shared" si="114"/>
        <v>100</v>
      </c>
      <c r="F140" s="700" t="str">
        <f t="shared" si="115"/>
        <v xml:space="preserve"> </v>
      </c>
      <c r="G140" s="553" t="str">
        <f t="shared" si="116"/>
        <v xml:space="preserve"> </v>
      </c>
      <c r="H140" s="688"/>
      <c r="I140" s="688"/>
      <c r="J140" s="688"/>
      <c r="K140" s="701"/>
      <c r="AF140" s="547"/>
      <c r="AG140" s="547"/>
      <c r="AI140" s="547"/>
      <c r="AJ140" s="490"/>
      <c r="AK140" s="490"/>
      <c r="AL140" s="495"/>
      <c r="AM140" s="490"/>
      <c r="AN140" s="490"/>
      <c r="AO140" s="490"/>
      <c r="AP140" s="490"/>
      <c r="AQ140" s="490"/>
      <c r="AR140" s="490"/>
      <c r="AS140" s="490"/>
      <c r="AT140" s="490"/>
      <c r="AU140" s="490"/>
      <c r="AV140" s="490"/>
      <c r="BK140" s="490"/>
    </row>
    <row r="141" spans="4:63" ht="24.95" customHeight="1">
      <c r="D141" s="1107" t="s">
        <v>709</v>
      </c>
      <c r="E141" s="1728">
        <f t="shared" si="114"/>
        <v>2000</v>
      </c>
      <c r="F141" s="700" t="str">
        <f t="shared" si="115"/>
        <v xml:space="preserve"> </v>
      </c>
      <c r="G141" s="553" t="str">
        <f t="shared" si="116"/>
        <v xml:space="preserve"> </v>
      </c>
      <c r="H141" s="688"/>
      <c r="I141" s="688"/>
      <c r="J141" s="688"/>
      <c r="K141" s="701"/>
      <c r="AF141" s="547"/>
      <c r="AG141" s="547"/>
      <c r="AH141" s="547"/>
      <c r="AI141" s="547"/>
    </row>
    <row r="142" spans="4:63" ht="24.95" customHeight="1">
      <c r="D142" s="1107" t="s">
        <v>668</v>
      </c>
      <c r="E142" s="1728">
        <f t="shared" si="114"/>
        <v>200</v>
      </c>
      <c r="F142" s="700" t="str">
        <f t="shared" si="115"/>
        <v xml:space="preserve"> </v>
      </c>
      <c r="G142" s="553" t="str">
        <f t="shared" si="116"/>
        <v xml:space="preserve"> </v>
      </c>
      <c r="H142" s="688"/>
      <c r="I142" s="688"/>
      <c r="J142" s="688"/>
      <c r="K142" s="701"/>
      <c r="AF142" s="547"/>
      <c r="AG142" s="547"/>
      <c r="AH142" s="547"/>
      <c r="AI142" s="547"/>
    </row>
    <row r="143" spans="4:63" ht="24.95" customHeight="1">
      <c r="D143" s="1727" t="s">
        <v>1058</v>
      </c>
      <c r="E143" s="1728">
        <f t="shared" si="114"/>
        <v>0</v>
      </c>
      <c r="F143" s="700" t="str">
        <f t="shared" si="115"/>
        <v xml:space="preserve"> </v>
      </c>
      <c r="G143" s="553" t="str">
        <f t="shared" si="116"/>
        <v xml:space="preserve"> </v>
      </c>
      <c r="H143" s="1719"/>
      <c r="I143" s="1719"/>
      <c r="J143" s="1719"/>
      <c r="K143" s="1723"/>
    </row>
    <row r="144" spans="4:63" ht="24.95" hidden="1" customHeight="1">
      <c r="D144" s="1718"/>
      <c r="E144" s="1719"/>
      <c r="F144" s="700">
        <f t="shared" si="115"/>
        <v>0</v>
      </c>
      <c r="G144" s="1719"/>
      <c r="H144" s="1719"/>
      <c r="I144" s="1719"/>
      <c r="J144" s="1719"/>
      <c r="K144" s="1723"/>
    </row>
    <row r="145" spans="4:11" ht="24.95" hidden="1" customHeight="1">
      <c r="D145" s="1718"/>
      <c r="E145" s="1719"/>
      <c r="F145" s="700">
        <f t="shared" si="115"/>
        <v>0</v>
      </c>
      <c r="G145" s="491"/>
      <c r="H145" s="491"/>
      <c r="I145" s="1719"/>
      <c r="J145" s="1719"/>
      <c r="K145" s="1723"/>
    </row>
    <row r="146" spans="4:11" ht="24.95" hidden="1" customHeight="1">
      <c r="D146" s="1718"/>
      <c r="E146" s="1719"/>
      <c r="F146" s="700">
        <f t="shared" si="115"/>
        <v>0</v>
      </c>
      <c r="G146" s="1726"/>
      <c r="H146" s="491"/>
      <c r="I146" s="1719"/>
      <c r="J146" s="1719"/>
      <c r="K146" s="1723"/>
    </row>
    <row r="147" spans="4:11" ht="24.95" hidden="1" customHeight="1">
      <c r="D147" s="1109">
        <v>1</v>
      </c>
      <c r="E147" s="1719"/>
      <c r="F147" s="700">
        <f t="shared" si="115"/>
        <v>0</v>
      </c>
      <c r="G147" s="1719"/>
      <c r="H147" s="1719"/>
      <c r="I147" s="1719"/>
      <c r="J147" s="1719"/>
      <c r="K147" s="1723"/>
    </row>
    <row r="148" spans="4:11" ht="24.95" hidden="1" customHeight="1">
      <c r="D148" s="1109">
        <v>2</v>
      </c>
      <c r="E148" s="1719"/>
      <c r="F148" s="700">
        <f t="shared" si="115"/>
        <v>0</v>
      </c>
      <c r="G148" s="1719"/>
      <c r="H148" s="1719"/>
      <c r="I148" s="1719"/>
      <c r="J148" s="1719"/>
      <c r="K148" s="1723"/>
    </row>
    <row r="149" spans="4:11" ht="20.100000000000001" hidden="1" customHeight="1">
      <c r="D149" s="1109">
        <v>3</v>
      </c>
      <c r="E149" s="1719"/>
      <c r="F149" s="700">
        <f t="shared" si="115"/>
        <v>0</v>
      </c>
      <c r="G149" s="1719"/>
      <c r="H149" s="1719"/>
      <c r="I149" s="1719"/>
      <c r="J149" s="1719"/>
      <c r="K149" s="1723"/>
    </row>
    <row r="150" spans="4:11" ht="20.100000000000001" hidden="1" customHeight="1">
      <c r="D150" s="1109">
        <v>4</v>
      </c>
      <c r="E150" s="1719"/>
      <c r="F150" s="700">
        <f t="shared" si="115"/>
        <v>0</v>
      </c>
      <c r="G150" s="1719"/>
      <c r="H150" s="1719"/>
      <c r="I150" s="1719"/>
      <c r="J150" s="1719"/>
      <c r="K150" s="1723"/>
    </row>
    <row r="151" spans="4:11" ht="20.100000000000001" hidden="1" customHeight="1">
      <c r="D151" s="1109">
        <v>5</v>
      </c>
      <c r="E151" s="1719"/>
      <c r="F151" s="700">
        <f t="shared" si="115"/>
        <v>0</v>
      </c>
      <c r="G151" s="1719"/>
      <c r="H151" s="1719"/>
      <c r="I151" s="1719"/>
      <c r="J151" s="1719"/>
      <c r="K151" s="1723"/>
    </row>
    <row r="152" spans="4:11" ht="20.100000000000001" hidden="1" customHeight="1">
      <c r="D152" s="1109">
        <v>6</v>
      </c>
      <c r="E152" s="1719"/>
      <c r="F152" s="700">
        <f t="shared" si="115"/>
        <v>0</v>
      </c>
      <c r="G152" s="1719"/>
      <c r="H152" s="1719"/>
      <c r="I152" s="1719"/>
      <c r="J152" s="1719"/>
      <c r="K152" s="1723"/>
    </row>
    <row r="153" spans="4:11" ht="20.100000000000001" hidden="1" customHeight="1">
      <c r="D153" s="1109">
        <v>7</v>
      </c>
      <c r="E153" s="1719"/>
      <c r="F153" s="700">
        <f t="shared" si="115"/>
        <v>0</v>
      </c>
      <c r="G153" s="1719"/>
      <c r="H153" s="1719"/>
      <c r="I153" s="1719"/>
      <c r="J153" s="1719"/>
      <c r="K153" s="1723"/>
    </row>
    <row r="154" spans="4:11" ht="20.100000000000001" hidden="1" customHeight="1">
      <c r="D154" s="1109">
        <v>8</v>
      </c>
      <c r="E154" s="1719"/>
      <c r="F154" s="700">
        <f t="shared" si="115"/>
        <v>0</v>
      </c>
      <c r="G154" s="1719"/>
      <c r="H154" s="1719"/>
      <c r="I154" s="1719"/>
      <c r="J154" s="1719"/>
      <c r="K154" s="1723"/>
    </row>
    <row r="155" spans="4:11" ht="20.100000000000001" hidden="1" customHeight="1">
      <c r="D155" s="1109">
        <v>9</v>
      </c>
      <c r="E155" s="1719"/>
      <c r="F155" s="700">
        <f t="shared" si="115"/>
        <v>0</v>
      </c>
      <c r="G155" s="1719"/>
      <c r="H155" s="1719"/>
      <c r="I155" s="1719"/>
      <c r="J155" s="1719"/>
      <c r="K155" s="1723"/>
    </row>
    <row r="156" spans="4:11" ht="20.100000000000001" hidden="1" customHeight="1">
      <c r="D156" s="1109">
        <v>10</v>
      </c>
      <c r="E156" s="1719"/>
      <c r="F156" s="700">
        <f t="shared" si="115"/>
        <v>0</v>
      </c>
      <c r="G156" s="1719"/>
      <c r="H156" s="1719"/>
      <c r="I156" s="1719"/>
      <c r="J156" s="1719"/>
      <c r="K156" s="1723"/>
    </row>
    <row r="157" spans="4:11" ht="20.100000000000001" hidden="1" customHeight="1">
      <c r="D157" s="1109">
        <v>11</v>
      </c>
      <c r="E157" s="1719"/>
      <c r="F157" s="700">
        <f t="shared" si="115"/>
        <v>0</v>
      </c>
      <c r="G157" s="1719"/>
      <c r="H157" s="1719"/>
      <c r="I157" s="1719"/>
      <c r="J157" s="1719"/>
      <c r="K157" s="1723"/>
    </row>
    <row r="158" spans="4:11" ht="20.100000000000001" hidden="1" customHeight="1">
      <c r="D158" s="1109">
        <v>12</v>
      </c>
      <c r="E158" s="1719"/>
      <c r="F158" s="700">
        <f t="shared" si="115"/>
        <v>0</v>
      </c>
      <c r="G158" s="1719"/>
      <c r="H158" s="1719"/>
      <c r="I158" s="1719"/>
      <c r="J158" s="1719"/>
      <c r="K158" s="1723"/>
    </row>
    <row r="159" spans="4:11" ht="20.100000000000001" hidden="1" customHeight="1">
      <c r="D159" s="1109">
        <v>13</v>
      </c>
      <c r="E159" s="1719"/>
      <c r="F159" s="700">
        <f t="shared" si="115"/>
        <v>0</v>
      </c>
      <c r="G159" s="1719"/>
      <c r="H159" s="1719"/>
      <c r="I159" s="1719"/>
      <c r="J159" s="1719"/>
      <c r="K159" s="1723"/>
    </row>
    <row r="160" spans="4:11" ht="20.100000000000001" hidden="1" customHeight="1">
      <c r="D160" s="1109">
        <v>14</v>
      </c>
      <c r="E160" s="1719"/>
      <c r="F160" s="700">
        <f t="shared" si="115"/>
        <v>0</v>
      </c>
      <c r="G160" s="1719"/>
      <c r="H160" s="1719"/>
      <c r="I160" s="1719"/>
      <c r="J160" s="1719"/>
      <c r="K160" s="1723"/>
    </row>
    <row r="161" spans="4:59" ht="20.100000000000001" hidden="1" customHeight="1">
      <c r="D161" s="1109">
        <v>15</v>
      </c>
      <c r="E161" s="1719"/>
      <c r="F161" s="700">
        <f t="shared" si="115"/>
        <v>0</v>
      </c>
      <c r="G161" s="1719"/>
      <c r="H161" s="1719"/>
      <c r="I161" s="1719"/>
      <c r="J161" s="1719"/>
      <c r="K161" s="1723"/>
    </row>
    <row r="162" spans="4:59" ht="20.100000000000001" hidden="1" customHeight="1">
      <c r="D162" s="1718"/>
      <c r="E162" s="1719"/>
      <c r="F162" s="700">
        <f t="shared" si="115"/>
        <v>0</v>
      </c>
      <c r="G162" s="1719"/>
      <c r="H162" s="1719"/>
      <c r="I162" s="1719"/>
      <c r="J162" s="1719"/>
      <c r="K162" s="1723"/>
    </row>
    <row r="163" spans="4:59" ht="20.100000000000001" hidden="1" customHeight="1">
      <c r="D163" s="1718"/>
      <c r="E163" s="1719"/>
      <c r="F163" s="700">
        <f t="shared" si="115"/>
        <v>0</v>
      </c>
      <c r="G163" s="1719"/>
      <c r="H163" s="1719"/>
      <c r="I163" s="1719"/>
      <c r="J163" s="1719"/>
      <c r="K163" s="1723"/>
    </row>
    <row r="164" spans="4:59" ht="20.100000000000001" hidden="1" customHeight="1">
      <c r="D164" s="1718"/>
      <c r="E164" s="1719"/>
      <c r="F164" s="700">
        <f t="shared" si="115"/>
        <v>0</v>
      </c>
      <c r="G164" s="1719"/>
      <c r="H164" s="1719"/>
      <c r="I164" s="1719"/>
      <c r="J164" s="1719"/>
      <c r="K164" s="1723"/>
    </row>
    <row r="165" spans="4:59" ht="20.100000000000001" hidden="1" customHeight="1">
      <c r="D165" s="1718"/>
      <c r="E165" s="1719"/>
      <c r="F165" s="700">
        <f t="shared" si="115"/>
        <v>0</v>
      </c>
      <c r="G165" s="1719"/>
      <c r="H165" s="1719"/>
      <c r="I165" s="1719"/>
      <c r="J165" s="1719"/>
      <c r="K165" s="1723"/>
    </row>
    <row r="166" spans="4:59" ht="20.100000000000001" customHeight="1">
      <c r="D166" s="1718"/>
      <c r="E166" s="1719"/>
      <c r="F166" s="1719"/>
      <c r="G166" s="1719"/>
      <c r="H166" s="1719"/>
      <c r="I166" s="1719"/>
      <c r="J166" s="1719"/>
      <c r="K166" s="1723"/>
    </row>
    <row r="167" spans="4:59" ht="20.100000000000001" customHeight="1" thickBot="1">
      <c r="D167" s="1724"/>
      <c r="E167" s="1720"/>
      <c r="F167" s="1720"/>
      <c r="G167" s="1720"/>
      <c r="H167" s="1720"/>
      <c r="I167" s="1720"/>
      <c r="J167" s="1720"/>
      <c r="K167" s="1725"/>
    </row>
    <row r="168" spans="4:59" ht="20.100000000000001" customHeight="1" thickBot="1">
      <c r="D168" s="1719"/>
      <c r="E168" s="1719"/>
      <c r="F168" s="1719"/>
      <c r="G168" s="1719"/>
      <c r="H168" s="1719"/>
      <c r="I168" s="1719"/>
      <c r="J168" s="1719"/>
      <c r="K168" s="1719"/>
    </row>
    <row r="169" spans="4:59" ht="24.95" customHeight="1" thickBot="1">
      <c r="D169" s="1721"/>
      <c r="E169" s="488"/>
      <c r="F169" s="2596" t="s">
        <v>814</v>
      </c>
      <c r="G169" s="2596"/>
      <c r="H169" s="2596"/>
      <c r="I169" s="488"/>
      <c r="J169" s="488"/>
      <c r="K169" s="1722"/>
      <c r="AE169" s="2613" t="s">
        <v>864</v>
      </c>
      <c r="AF169" s="2613"/>
    </row>
    <row r="170" spans="4:59" ht="24.95" customHeight="1" thickBot="1">
      <c r="D170" s="1718"/>
      <c r="E170" s="1719"/>
      <c r="F170" s="1075" t="s">
        <v>679</v>
      </c>
      <c r="G170" s="1558" t="s">
        <v>323</v>
      </c>
      <c r="H170" s="1559" t="s">
        <v>824</v>
      </c>
      <c r="I170" s="1811" t="s">
        <v>867</v>
      </c>
      <c r="J170" s="1719"/>
      <c r="K170" s="1723"/>
      <c r="AC170" s="473" t="s">
        <v>825</v>
      </c>
      <c r="AD170" s="653" t="s">
        <v>723</v>
      </c>
      <c r="AE170" s="654"/>
      <c r="AF170" s="654"/>
      <c r="AG170" s="655"/>
      <c r="AK170" s="476"/>
      <c r="AL170" s="474"/>
      <c r="AM170" s="477"/>
      <c r="AN170" s="2597" t="s">
        <v>830</v>
      </c>
      <c r="AO170" s="2598"/>
      <c r="AP170" s="2598"/>
      <c r="AQ170" s="2599"/>
      <c r="AS170" s="2620" t="s">
        <v>831</v>
      </c>
      <c r="AT170" s="2621"/>
      <c r="AU170" s="2622"/>
      <c r="AV170" s="2620" t="s">
        <v>832</v>
      </c>
      <c r="AW170" s="2621"/>
      <c r="AX170" s="2622"/>
      <c r="AY170" s="2620" t="s">
        <v>833</v>
      </c>
      <c r="AZ170" s="2621"/>
      <c r="BA170" s="2622"/>
      <c r="BB170" s="2597" t="s">
        <v>1207</v>
      </c>
      <c r="BC170" s="2598"/>
      <c r="BD170" s="2599"/>
      <c r="BE170" s="686"/>
      <c r="BF170" s="686"/>
      <c r="BG170" s="686"/>
    </row>
    <row r="171" spans="4:59" ht="24.95" customHeight="1" thickBot="1">
      <c r="D171" s="1727" t="s">
        <v>815</v>
      </c>
      <c r="E171" s="1719"/>
      <c r="F171" s="1719">
        <f>BB172</f>
        <v>0</v>
      </c>
      <c r="G171" s="1719">
        <f t="shared" ref="G171:H171" si="117">BC172</f>
        <v>0</v>
      </c>
      <c r="H171" s="1719">
        <f t="shared" si="117"/>
        <v>0</v>
      </c>
      <c r="I171" s="1719"/>
      <c r="J171" s="1719"/>
      <c r="K171" s="1723"/>
      <c r="AC171" s="663"/>
      <c r="AD171" s="505"/>
      <c r="AE171" s="656"/>
      <c r="AF171" s="495" t="s">
        <v>740</v>
      </c>
      <c r="AG171" s="555" t="s">
        <v>759</v>
      </c>
      <c r="AH171" s="472" t="s">
        <v>740</v>
      </c>
      <c r="AI171" s="472"/>
      <c r="AK171" s="680" t="s">
        <v>826</v>
      </c>
      <c r="AL171" s="681" t="s">
        <v>827</v>
      </c>
      <c r="AM171" s="682" t="s">
        <v>828</v>
      </c>
      <c r="AO171" s="680" t="s">
        <v>822</v>
      </c>
      <c r="AP171" s="681" t="s">
        <v>823</v>
      </c>
      <c r="AQ171" s="682" t="s">
        <v>824</v>
      </c>
      <c r="AR171" s="684"/>
      <c r="AS171" s="680" t="s">
        <v>822</v>
      </c>
      <c r="AT171" s="681" t="s">
        <v>823</v>
      </c>
      <c r="AU171" s="682" t="s">
        <v>824</v>
      </c>
      <c r="AV171" s="680" t="s">
        <v>822</v>
      </c>
      <c r="AW171" s="681" t="s">
        <v>823</v>
      </c>
      <c r="AX171" s="682" t="s">
        <v>824</v>
      </c>
      <c r="AY171" s="680" t="s">
        <v>822</v>
      </c>
      <c r="AZ171" s="681" t="s">
        <v>823</v>
      </c>
      <c r="BA171" s="682" t="s">
        <v>824</v>
      </c>
      <c r="BB171" s="680" t="s">
        <v>822</v>
      </c>
      <c r="BC171" s="681" t="s">
        <v>823</v>
      </c>
      <c r="BD171" s="682" t="s">
        <v>824</v>
      </c>
      <c r="BE171" s="685"/>
      <c r="BF171" s="685"/>
      <c r="BG171" s="685"/>
    </row>
    <row r="172" spans="4:59" ht="24.95" customHeight="1">
      <c r="D172" s="1727" t="s">
        <v>816</v>
      </c>
      <c r="E172" s="1719"/>
      <c r="F172" s="1719"/>
      <c r="G172" s="1719"/>
      <c r="H172" s="1719"/>
      <c r="I172" s="1719"/>
      <c r="J172" s="1719"/>
      <c r="K172" s="1723"/>
      <c r="AC172" s="658" t="s">
        <v>698</v>
      </c>
      <c r="AD172" s="505">
        <f>HLOOKUP($B$9,$F$73:$O$78,2)</f>
        <v>1</v>
      </c>
      <c r="AE172" s="1612">
        <f t="shared" ref="AE172:AE175" si="118">IF(AD172=0,$AC$11+AD172+1,$AC$11+AD172)</f>
        <v>101</v>
      </c>
      <c r="AF172" s="495">
        <f>IF(E171&gt;B171,$B$9+1,AE172)</f>
        <v>101</v>
      </c>
      <c r="AG172" s="661">
        <f>$P$72</f>
        <v>1</v>
      </c>
      <c r="AH172" s="471">
        <f>AF172+$AC$173</f>
        <v>126</v>
      </c>
      <c r="AI172" s="471" t="str">
        <f>VLOOKUP(AH172,'cout equipement'!$C$5:$E$199,3)</f>
        <v>-</v>
      </c>
      <c r="AK172" s="471">
        <f>HLOOKUP(AG172,'cout equipement'!$C$1:$AF$348,2)</f>
        <v>6</v>
      </c>
      <c r="AL172" s="471">
        <f>AK172+10</f>
        <v>16</v>
      </c>
      <c r="AM172" s="471">
        <f>IF(AG172&gt;10,AG172+15,'cout equipement'!$AG$2)</f>
        <v>31</v>
      </c>
      <c r="AN172" s="472"/>
      <c r="AO172" s="471">
        <f>IF(AG172&lt;=10,VLOOKUP(AH172,'cout equipement'!C1:$AF$380,Calculateur!AK172),0)</f>
        <v>0</v>
      </c>
      <c r="AP172" s="471">
        <f>IF(AG172&lt;=10,VLOOKUP(AH172,'cout equipement'!C1:$AF$380,AL172),0)</f>
        <v>0</v>
      </c>
      <c r="AQ172" s="692">
        <f>IF(AG172&gt;10,VLOOKUP(AH172,'cout equipement'!C1:$AF$380,AM172),0)</f>
        <v>0</v>
      </c>
      <c r="AR172" s="684"/>
      <c r="AS172" s="684">
        <f>SUM(AO172:AO176)</f>
        <v>0</v>
      </c>
      <c r="AT172" s="684">
        <f>SUM(AP172:AP176)</f>
        <v>0</v>
      </c>
      <c r="AU172" s="684">
        <f>SUM(AQ172:AQ176)</f>
        <v>0</v>
      </c>
      <c r="AV172" s="684">
        <f>SUM(AO178:AO182)</f>
        <v>0</v>
      </c>
      <c r="AW172" s="684">
        <f>SUM(AP178:AP182)</f>
        <v>0</v>
      </c>
      <c r="AX172" s="684">
        <f>SUM(AQ178:AQ182)</f>
        <v>0</v>
      </c>
      <c r="AY172" s="684">
        <f>SUM(AO184:AO188)</f>
        <v>0</v>
      </c>
      <c r="AZ172" s="684">
        <f>SUM(AP184:AP188)</f>
        <v>0</v>
      </c>
      <c r="BA172" s="684">
        <f>SUM(AQ184:AQ188)</f>
        <v>0</v>
      </c>
      <c r="BB172" s="471">
        <f>SUM(AO190:AO198)</f>
        <v>0</v>
      </c>
      <c r="BC172" s="1626">
        <f t="shared" ref="BC172:BD172" si="119">SUM(AP190:AP198)</f>
        <v>0</v>
      </c>
      <c r="BD172" s="1626">
        <f t="shared" si="119"/>
        <v>0</v>
      </c>
      <c r="BE172" s="684"/>
      <c r="BF172" s="684"/>
      <c r="BG172" s="684"/>
    </row>
    <row r="173" spans="4:59" ht="24.95" customHeight="1">
      <c r="D173" s="1727" t="s">
        <v>817</v>
      </c>
      <c r="E173" s="1719"/>
      <c r="F173" s="1719"/>
      <c r="G173" s="1719"/>
      <c r="H173" s="1719"/>
      <c r="I173" s="1719"/>
      <c r="J173" s="1719"/>
      <c r="K173" s="1723"/>
      <c r="AC173" s="659">
        <v>25</v>
      </c>
      <c r="AD173" s="505">
        <f>HLOOKUP($B$9,$F$73:$O$78,3)</f>
        <v>1</v>
      </c>
      <c r="AE173" s="1612">
        <f t="shared" si="118"/>
        <v>101</v>
      </c>
      <c r="AF173" s="495">
        <f>IF(E172&gt;B172,$B$9+1,AE173)</f>
        <v>101</v>
      </c>
      <c r="AG173" s="661">
        <f>$P$72</f>
        <v>1</v>
      </c>
      <c r="AH173" s="471">
        <f t="shared" ref="AH173:AH175" si="120">AF173+$AC$173</f>
        <v>126</v>
      </c>
      <c r="AI173" s="471" t="str">
        <f>VLOOKUP(AH173,'cout equipement'!$C$5:$E$199,3)</f>
        <v>-</v>
      </c>
      <c r="AK173" s="471">
        <f>HLOOKUP(AG173,'cout equipement'!$C$1:$AF$348,2)</f>
        <v>6</v>
      </c>
      <c r="AL173" s="471">
        <f t="shared" ref="AL173:AL198" si="121">AK173+10</f>
        <v>16</v>
      </c>
      <c r="AM173" s="471">
        <f>IF(AG173&gt;10,AG173+15,'cout equipement'!$AG$2)</f>
        <v>31</v>
      </c>
      <c r="AN173" s="472"/>
      <c r="AO173" s="471">
        <f>IF(AG173&lt;=10,VLOOKUP(AH173,'cout equipement'!C2:$AF$380,Calculateur!AK173),0)</f>
        <v>0</v>
      </c>
      <c r="AP173" s="471">
        <f>IF(AG173&lt;=10,VLOOKUP(AH173,'cout equipement'!C2:$AF$380,AL173),0)</f>
        <v>0</v>
      </c>
      <c r="AQ173" s="692">
        <f>IF(AG173&gt;10,VLOOKUP(AH173,'cout equipement'!C2:$AF$380,AM173),0)</f>
        <v>0</v>
      </c>
      <c r="AR173" s="684"/>
      <c r="AS173" s="684"/>
      <c r="AT173" s="684"/>
      <c r="AU173" s="684"/>
      <c r="AV173" s="684"/>
      <c r="AW173" s="684"/>
      <c r="AX173" s="684"/>
      <c r="AY173" s="684"/>
      <c r="AZ173" s="684"/>
      <c r="BA173" s="684"/>
      <c r="BB173" s="684"/>
      <c r="BC173" s="684"/>
      <c r="BD173" s="684"/>
      <c r="BE173" s="684"/>
      <c r="BF173" s="684"/>
      <c r="BG173" s="684"/>
    </row>
    <row r="174" spans="4:59" ht="24.95" customHeight="1">
      <c r="D174" s="1727" t="s">
        <v>818</v>
      </c>
      <c r="E174" s="1719"/>
      <c r="F174" s="1726"/>
      <c r="G174" s="1719"/>
      <c r="H174" s="1719"/>
      <c r="I174" s="1719"/>
      <c r="J174" s="1719"/>
      <c r="K174" s="1723"/>
      <c r="AC174" s="659"/>
      <c r="AD174" s="505">
        <f>HLOOKUP($B$9,$F$73:$O$78,4)</f>
        <v>1</v>
      </c>
      <c r="AE174" s="1612">
        <f t="shared" si="118"/>
        <v>101</v>
      </c>
      <c r="AF174" s="495">
        <f>IF(E173&gt;B173,$B$9+1,AE174)</f>
        <v>101</v>
      </c>
      <c r="AG174" s="661">
        <f>$P$72</f>
        <v>1</v>
      </c>
      <c r="AH174" s="471">
        <f t="shared" si="120"/>
        <v>126</v>
      </c>
      <c r="AI174" s="471" t="str">
        <f>VLOOKUP(AH174,'cout equipement'!$C$5:$E$199,3)</f>
        <v>-</v>
      </c>
      <c r="AK174" s="471">
        <f>HLOOKUP(AG174,'cout equipement'!$C$1:$AF$348,2)</f>
        <v>6</v>
      </c>
      <c r="AL174" s="471">
        <f t="shared" si="121"/>
        <v>16</v>
      </c>
      <c r="AM174" s="471">
        <f>IF(AG174&gt;10,AG174+15,'cout equipement'!$AG$2)</f>
        <v>31</v>
      </c>
      <c r="AN174" s="472"/>
      <c r="AO174" s="471">
        <f>IF(AG174&lt;=10,VLOOKUP(AH174,'cout equipement'!C3:$AF$380,Calculateur!AK174),0)</f>
        <v>0</v>
      </c>
      <c r="AP174" s="471">
        <f>IF(AG174&lt;=10,VLOOKUP(AH174,'cout equipement'!C3:$AF$380,AL174),0)</f>
        <v>0</v>
      </c>
      <c r="AQ174" s="692">
        <f>IF(AG174&gt;10,VLOOKUP(AH174,'cout equipement'!C3:$AF$380,AM174),0)</f>
        <v>0</v>
      </c>
      <c r="AR174" s="684"/>
      <c r="AS174" s="684"/>
      <c r="AT174" s="684"/>
      <c r="AU174" s="684"/>
      <c r="AV174" s="684"/>
      <c r="AW174" s="684"/>
      <c r="AX174" s="684"/>
      <c r="AY174" s="684"/>
      <c r="AZ174" s="684"/>
      <c r="BA174" s="684"/>
      <c r="BB174" s="684"/>
      <c r="BC174" s="684"/>
      <c r="BD174" s="684"/>
      <c r="BE174" s="684"/>
      <c r="BF174" s="684"/>
      <c r="BG174" s="684"/>
    </row>
    <row r="175" spans="4:59" ht="24.95" customHeight="1">
      <c r="D175" s="1727" t="s">
        <v>819</v>
      </c>
      <c r="E175" s="1719"/>
      <c r="F175" s="1719">
        <f>AS172</f>
        <v>0</v>
      </c>
      <c r="G175" s="1719">
        <f>AT172</f>
        <v>0</v>
      </c>
      <c r="H175" s="1719">
        <f>AU172</f>
        <v>0</v>
      </c>
      <c r="I175" s="1719"/>
      <c r="J175" s="1719"/>
      <c r="K175" s="1723"/>
      <c r="AC175" s="659"/>
      <c r="AD175" s="505">
        <f>HLOOKUP($B$9,$F$73:$O$78,5)</f>
        <v>1</v>
      </c>
      <c r="AE175" s="1612">
        <f t="shared" si="118"/>
        <v>101</v>
      </c>
      <c r="AF175" s="495">
        <f>IF(E174&gt;B174,$B$9+1,AE175)</f>
        <v>101</v>
      </c>
      <c r="AG175" s="661">
        <f>$P$72</f>
        <v>1</v>
      </c>
      <c r="AH175" s="471">
        <f t="shared" si="120"/>
        <v>126</v>
      </c>
      <c r="AI175" s="471" t="str">
        <f>VLOOKUP(AH175,'cout equipement'!$C$5:$E$199,3)</f>
        <v>-</v>
      </c>
      <c r="AK175" s="471">
        <f>HLOOKUP(AG175,'cout equipement'!$C$1:$AF$348,2)</f>
        <v>6</v>
      </c>
      <c r="AL175" s="471">
        <f t="shared" si="121"/>
        <v>16</v>
      </c>
      <c r="AM175" s="471">
        <f>IF(AG175&gt;10,AG175+15,'cout equipement'!$AG$2)</f>
        <v>31</v>
      </c>
      <c r="AN175" s="472"/>
      <c r="AO175" s="471">
        <f>IF(AG175&lt;=10,VLOOKUP(AH175,'cout equipement'!C4:$AF$380,Calculateur!AK175),0)</f>
        <v>0</v>
      </c>
      <c r="AP175" s="471">
        <f>IF(AG175&lt;=10,VLOOKUP(AH175,'cout equipement'!C4:$AF$380,AL175),0)</f>
        <v>0</v>
      </c>
      <c r="AQ175" s="692">
        <f>IF(AG175&gt;10,VLOOKUP(AH175,'cout equipement'!C4:$AF$380,AM175),0)</f>
        <v>0</v>
      </c>
      <c r="AR175" s="684"/>
      <c r="AS175" s="684"/>
      <c r="AT175" s="684"/>
      <c r="AU175" s="684"/>
      <c r="AV175" s="684"/>
      <c r="AW175" s="684"/>
      <c r="AX175" s="684"/>
      <c r="AY175" s="684"/>
      <c r="AZ175" s="684"/>
      <c r="BA175" s="684"/>
      <c r="BB175" s="684"/>
      <c r="BC175" s="684"/>
      <c r="BD175" s="684"/>
      <c r="BE175" s="684"/>
      <c r="BF175" s="684"/>
      <c r="BG175" s="684"/>
    </row>
    <row r="176" spans="4:59" ht="24.95" customHeight="1" thickBot="1">
      <c r="D176" s="1727" t="s">
        <v>820</v>
      </c>
      <c r="E176" s="1719"/>
      <c r="F176" s="1719">
        <f>AV172</f>
        <v>0</v>
      </c>
      <c r="G176" s="1719">
        <f>AW172</f>
        <v>0</v>
      </c>
      <c r="H176" s="1719">
        <f>AX172</f>
        <v>0</v>
      </c>
      <c r="I176" s="1719"/>
      <c r="J176" s="1719"/>
      <c r="K176" s="1723"/>
      <c r="AC176" s="660"/>
      <c r="AD176" s="665">
        <f>HLOOKUP($B$9,$F$73:$O$78,6)</f>
        <v>1</v>
      </c>
      <c r="AE176" s="656">
        <f>IF(AD176=0,$AC$11+AD176+1,$AC$11+AD176)</f>
        <v>101</v>
      </c>
      <c r="AF176" s="1538">
        <f>IF(E175&gt;B175,$B$9+1,AE176)</f>
        <v>101</v>
      </c>
      <c r="AG176" s="661">
        <f>$P$72</f>
        <v>1</v>
      </c>
      <c r="AH176" s="471">
        <f>AF176+$AC$173</f>
        <v>126</v>
      </c>
      <c r="AI176" s="471" t="str">
        <f>VLOOKUP(AH176,'cout equipement'!$C$5:$E$199,3)</f>
        <v>-</v>
      </c>
      <c r="AK176" s="471">
        <f>HLOOKUP(AG176,'cout equipement'!$C$1:$AF$348,2)</f>
        <v>6</v>
      </c>
      <c r="AL176" s="471">
        <f t="shared" si="121"/>
        <v>16</v>
      </c>
      <c r="AM176" s="471">
        <f>IF(AG176&gt;10,AG176+15,'cout equipement'!$AG$2)</f>
        <v>31</v>
      </c>
      <c r="AN176" s="472"/>
      <c r="AO176" s="471">
        <f>IF(AG176&lt;=10,VLOOKUP(AH176,'cout equipement'!C5:$AF$380,Calculateur!AK176),0)</f>
        <v>0</v>
      </c>
      <c r="AP176" s="471">
        <f>IF(AG176&lt;=10,VLOOKUP(AH176,'cout equipement'!C5:$AF$380,AL176),0)</f>
        <v>0</v>
      </c>
      <c r="AQ176" s="692">
        <f>IF(AG176&gt;10,VLOOKUP(AH176,'cout equipement'!C5:$AF$380,AM176),0)</f>
        <v>0</v>
      </c>
      <c r="AR176" s="684"/>
      <c r="AS176" s="684"/>
      <c r="AT176" s="684"/>
      <c r="AU176" s="684"/>
      <c r="AV176" s="684"/>
      <c r="AW176" s="684"/>
      <c r="AX176" s="684"/>
      <c r="AY176" s="684"/>
      <c r="AZ176" s="684"/>
      <c r="BA176" s="684"/>
      <c r="BB176" s="684"/>
      <c r="BC176" s="684"/>
      <c r="BD176" s="684"/>
      <c r="BE176" s="684"/>
      <c r="BF176" s="684"/>
      <c r="BG176" s="684"/>
    </row>
    <row r="177" spans="4:59" ht="24.95" customHeight="1" thickBot="1">
      <c r="D177" s="1727" t="s">
        <v>821</v>
      </c>
      <c r="E177" s="1719"/>
      <c r="F177" s="1719">
        <f>AY172</f>
        <v>0</v>
      </c>
      <c r="G177" s="1719">
        <f>AZ172</f>
        <v>0</v>
      </c>
      <c r="H177" s="1719">
        <f>BA172</f>
        <v>0</v>
      </c>
      <c r="I177" s="1719"/>
      <c r="J177" s="1719"/>
      <c r="K177" s="1723"/>
      <c r="AC177" s="663"/>
      <c r="AD177" s="505"/>
      <c r="AE177" s="656"/>
      <c r="AF177" s="495"/>
      <c r="AG177" s="661"/>
      <c r="AN177" s="472"/>
      <c r="AO177" s="680" t="s">
        <v>822</v>
      </c>
      <c r="AP177" s="681" t="s">
        <v>823</v>
      </c>
      <c r="AQ177" s="682" t="s">
        <v>824</v>
      </c>
      <c r="AR177" s="684"/>
      <c r="AS177" s="685"/>
      <c r="AT177" s="685"/>
      <c r="AU177" s="685"/>
      <c r="AV177" s="684"/>
      <c r="AW177" s="685"/>
      <c r="AX177" s="685"/>
      <c r="AY177" s="685"/>
      <c r="AZ177" s="684"/>
      <c r="BA177" s="685"/>
      <c r="BB177" s="685"/>
      <c r="BC177" s="685"/>
      <c r="BD177" s="684"/>
      <c r="BE177" s="685"/>
      <c r="BF177" s="685"/>
      <c r="BG177" s="685"/>
    </row>
    <row r="178" spans="4:59" ht="24.95" customHeight="1">
      <c r="D178" s="1718"/>
      <c r="E178" s="1719"/>
      <c r="F178" s="1719"/>
      <c r="G178" s="1719"/>
      <c r="H178" s="1719"/>
      <c r="I178" s="1719"/>
      <c r="J178" s="1719"/>
      <c r="K178" s="1723"/>
      <c r="L178" s="1555"/>
      <c r="M178" s="1555"/>
      <c r="N178" s="1555"/>
      <c r="O178" s="1555"/>
      <c r="P178" s="1555"/>
      <c r="Q178" s="1555"/>
      <c r="R178" s="1555"/>
      <c r="S178" s="1555"/>
      <c r="T178" s="1555"/>
      <c r="U178" s="1555"/>
      <c r="V178" s="1555"/>
      <c r="AC178" s="658" t="s">
        <v>700</v>
      </c>
      <c r="AD178" s="505">
        <f>HLOOKUP($B$9,$F$86:$O$91,2)</f>
        <v>1</v>
      </c>
      <c r="AE178" s="656">
        <f>$B$9+AD178</f>
        <v>101</v>
      </c>
      <c r="AF178" s="495">
        <f>IF(E178&gt;B178,$B$9+1,AE178)</f>
        <v>101</v>
      </c>
      <c r="AG178" s="661">
        <f>$P$85</f>
        <v>1</v>
      </c>
      <c r="AH178" s="471">
        <f>AF178+$AC$179</f>
        <v>146</v>
      </c>
      <c r="AK178" s="471">
        <f>HLOOKUP(AG178,'cout equipement'!$C$1:$AF$348,2)</f>
        <v>6</v>
      </c>
      <c r="AL178" s="471">
        <f t="shared" si="121"/>
        <v>16</v>
      </c>
      <c r="AM178" s="471">
        <f>IF(AG178&gt;10,AG178+15,'cout equipement'!$AG$2)</f>
        <v>31</v>
      </c>
      <c r="AN178" s="472"/>
      <c r="AO178" s="471">
        <f>IF(AG178&lt;=10,VLOOKUP(AH178,'cout equipement'!C8:$AF$380,Calculateur!AK178),0)</f>
        <v>0</v>
      </c>
      <c r="AP178" s="471">
        <f>IF(AG178&lt;=10,VLOOKUP(AH178,'cout equipement'!C8:$AF$380,AL178),0)</f>
        <v>0</v>
      </c>
      <c r="AQ178" s="692">
        <f>IF(AG178&gt;10,VLOOKUP(AH178,'cout equipement'!C8:$AF$380,AM178),0)</f>
        <v>0</v>
      </c>
      <c r="AR178" s="684"/>
      <c r="AS178" s="684"/>
      <c r="AT178" s="684"/>
      <c r="AU178" s="684"/>
      <c r="AV178" s="684"/>
      <c r="AW178" s="684"/>
      <c r="AX178" s="684"/>
      <c r="AY178" s="684"/>
      <c r="AZ178" s="684"/>
      <c r="BA178" s="684"/>
      <c r="BB178" s="684"/>
      <c r="BC178" s="684"/>
      <c r="BD178" s="684"/>
      <c r="BE178" s="684"/>
      <c r="BF178" s="684"/>
      <c r="BG178" s="684"/>
    </row>
    <row r="179" spans="4:59" ht="24.95" customHeight="1">
      <c r="D179" s="1812" t="s">
        <v>834</v>
      </c>
      <c r="E179" s="1719"/>
      <c r="F179" s="1813">
        <f>SUM(F171:F177)</f>
        <v>0</v>
      </c>
      <c r="G179" s="1814">
        <f>SUM(G171:G177)</f>
        <v>0</v>
      </c>
      <c r="H179" s="1815">
        <f>SUM(H171:H177)</f>
        <v>0</v>
      </c>
      <c r="I179" s="1811"/>
      <c r="J179" s="1719"/>
      <c r="K179" s="1723"/>
      <c r="L179" s="1555"/>
      <c r="M179" s="1555"/>
      <c r="N179" s="1555"/>
      <c r="O179" s="1555"/>
      <c r="P179" s="1555"/>
      <c r="Q179" s="1555"/>
      <c r="R179" s="1555"/>
      <c r="S179" s="1555"/>
      <c r="T179" s="1555"/>
      <c r="U179" s="1555"/>
      <c r="V179" s="1555"/>
      <c r="AC179" s="659">
        <v>45</v>
      </c>
      <c r="AD179" s="505">
        <f>HLOOKUP($B$9,$F$86:$O$91,3)</f>
        <v>1</v>
      </c>
      <c r="AE179" s="656">
        <f>$B$9+AD179</f>
        <v>101</v>
      </c>
      <c r="AF179" s="495">
        <f>IF(E179&gt;B179,$B$9+1,AE179)</f>
        <v>101</v>
      </c>
      <c r="AG179" s="661">
        <f>$P$85</f>
        <v>1</v>
      </c>
      <c r="AH179" s="471">
        <f t="shared" ref="AH179:AH182" si="122">AF179+$AC$179</f>
        <v>146</v>
      </c>
      <c r="AK179" s="471">
        <f>HLOOKUP(AG179,'cout equipement'!$C$1:$AF$348,2)</f>
        <v>6</v>
      </c>
      <c r="AL179" s="471">
        <f t="shared" si="121"/>
        <v>16</v>
      </c>
      <c r="AM179" s="471">
        <f>IF(AG179&gt;10,AG179+15,'cout equipement'!$AG$2)</f>
        <v>31</v>
      </c>
      <c r="AO179" s="471">
        <f>IF(AG179&lt;=10,VLOOKUP(AH179,'cout equipement'!C9:$AF$380,Calculateur!AK179),0)</f>
        <v>0</v>
      </c>
      <c r="AP179" s="471">
        <f>IF(AG179&lt;=10,VLOOKUP(AH179,'cout equipement'!C9:$AF$380,AL179),0)</f>
        <v>0</v>
      </c>
      <c r="AQ179" s="692">
        <f>IF(AG179&gt;10,VLOOKUP(AH179,'cout equipement'!C9:$AF$380,AM179),0)</f>
        <v>0</v>
      </c>
      <c r="AR179" s="684"/>
      <c r="AS179" s="684"/>
      <c r="AT179" s="684"/>
      <c r="AU179" s="684"/>
      <c r="AV179" s="684"/>
      <c r="AW179" s="684"/>
      <c r="AX179" s="684"/>
      <c r="AY179" s="684"/>
      <c r="AZ179" s="684"/>
      <c r="BA179" s="684"/>
      <c r="BB179" s="684"/>
      <c r="BC179" s="684"/>
      <c r="BD179" s="684"/>
      <c r="BE179" s="684"/>
      <c r="BF179" s="684"/>
      <c r="BG179" s="684"/>
    </row>
    <row r="180" spans="4:59" ht="24.95" customHeight="1" thickBot="1">
      <c r="D180" s="1724"/>
      <c r="E180" s="1720"/>
      <c r="F180" s="1720"/>
      <c r="G180" s="1720"/>
      <c r="H180" s="1720"/>
      <c r="I180" s="1720"/>
      <c r="J180" s="1720"/>
      <c r="K180" s="1725"/>
      <c r="L180" s="1556"/>
      <c r="M180" s="1607"/>
      <c r="N180" s="1607"/>
      <c r="O180" s="1607"/>
      <c r="P180" s="1555"/>
      <c r="Q180" s="491"/>
      <c r="R180" s="491"/>
      <c r="S180" s="491"/>
      <c r="T180" s="1555"/>
      <c r="U180" s="1555"/>
      <c r="V180" s="1555"/>
      <c r="AC180" s="659"/>
      <c r="AD180" s="505">
        <f>HLOOKUP($B$9,$F$86:$O$91,4)</f>
        <v>1</v>
      </c>
      <c r="AE180" s="656">
        <f>$B$9+AD180</f>
        <v>101</v>
      </c>
      <c r="AF180" s="495">
        <f>IF(E180&gt;B180,$B$9+1,AE180)</f>
        <v>101</v>
      </c>
      <c r="AG180" s="661">
        <f>$P$85</f>
        <v>1</v>
      </c>
      <c r="AH180" s="471">
        <f t="shared" si="122"/>
        <v>146</v>
      </c>
      <c r="AK180" s="471">
        <f>HLOOKUP(AG180,'cout equipement'!$C$1:$AF$348,2)</f>
        <v>6</v>
      </c>
      <c r="AL180" s="471">
        <f t="shared" si="121"/>
        <v>16</v>
      </c>
      <c r="AM180" s="471">
        <f>IF(AG180&gt;10,AG180+15,'cout equipement'!$AG$2)</f>
        <v>31</v>
      </c>
      <c r="AO180" s="471">
        <f>IF(AG180&lt;=10,VLOOKUP(AH180,'cout equipement'!C10:$AF$380,Calculateur!AK180),0)</f>
        <v>0</v>
      </c>
      <c r="AP180" s="471">
        <f>IF(AG180&lt;=10,VLOOKUP(AH180,'cout equipement'!C10:$AF$380,AL180),0)</f>
        <v>0</v>
      </c>
      <c r="AQ180" s="692">
        <f>IF(AG180&gt;10,VLOOKUP(AH180,'cout equipement'!C10:$AF$380,AM180),0)</f>
        <v>0</v>
      </c>
      <c r="AR180" s="684"/>
      <c r="AS180" s="684"/>
      <c r="AT180" s="684"/>
      <c r="AU180" s="684"/>
      <c r="AV180" s="684"/>
      <c r="AW180" s="684"/>
      <c r="AX180" s="684"/>
      <c r="AY180" s="684"/>
      <c r="AZ180" s="684"/>
      <c r="BA180" s="684"/>
      <c r="BB180" s="684"/>
      <c r="BC180" s="684"/>
      <c r="BD180" s="684"/>
      <c r="BE180" s="684"/>
      <c r="BF180" s="684"/>
      <c r="BG180" s="684"/>
    </row>
    <row r="181" spans="4:59" ht="24.95" customHeight="1">
      <c r="K181" s="1555"/>
      <c r="L181" s="1555"/>
      <c r="M181" s="1557"/>
      <c r="N181" s="1556"/>
      <c r="O181" s="1557"/>
      <c r="P181" s="1555"/>
      <c r="Q181" s="1555"/>
      <c r="R181" s="1555"/>
      <c r="S181" s="1555"/>
      <c r="T181" s="1555"/>
      <c r="U181" s="1555"/>
      <c r="V181" s="1555"/>
      <c r="AC181" s="659"/>
      <c r="AD181" s="505">
        <f>HLOOKUP($B$9,$F$86:$O$91,5)</f>
        <v>1</v>
      </c>
      <c r="AE181" s="656">
        <f>$B$9+AD181</f>
        <v>101</v>
      </c>
      <c r="AF181" s="495">
        <f>IF(E181&gt;B181,$B$9+1,AE181)</f>
        <v>101</v>
      </c>
      <c r="AG181" s="661">
        <f>$P$85</f>
        <v>1</v>
      </c>
      <c r="AH181" s="471">
        <f t="shared" si="122"/>
        <v>146</v>
      </c>
      <c r="AK181" s="471">
        <f>HLOOKUP(AG181,'cout equipement'!$C$1:$AF$348,2)</f>
        <v>6</v>
      </c>
      <c r="AL181" s="471">
        <f t="shared" si="121"/>
        <v>16</v>
      </c>
      <c r="AM181" s="471">
        <f>IF(AG181&gt;10,AG181+15,'cout equipement'!$AG$2)</f>
        <v>31</v>
      </c>
      <c r="AO181" s="471">
        <f>IF(AG181&lt;=10,VLOOKUP(AH181,'cout equipement'!C11:$AF$380,Calculateur!AK181),0)</f>
        <v>0</v>
      </c>
      <c r="AP181" s="471">
        <f>IF(AG181&lt;=10,VLOOKUP(AH181,'cout equipement'!C11:$AF$380,AL181),0)</f>
        <v>0</v>
      </c>
      <c r="AQ181" s="692">
        <f>IF(AG181&gt;10,VLOOKUP(AH181,'cout equipement'!C11:$AF$380,AM181),0)</f>
        <v>0</v>
      </c>
      <c r="AR181" s="684"/>
      <c r="AS181" s="684"/>
      <c r="AT181" s="684"/>
      <c r="AU181" s="684"/>
      <c r="AV181" s="684"/>
      <c r="AW181" s="684"/>
      <c r="AX181" s="684"/>
      <c r="AY181" s="684"/>
      <c r="AZ181" s="684"/>
      <c r="BA181" s="684"/>
      <c r="BB181" s="684"/>
      <c r="BC181" s="684"/>
      <c r="BD181" s="684"/>
      <c r="BE181" s="684"/>
      <c r="BF181" s="684"/>
      <c r="BG181" s="684"/>
    </row>
    <row r="182" spans="4:59" ht="24.95" customHeight="1" thickBot="1">
      <c r="K182" s="1555"/>
      <c r="L182" s="1555"/>
      <c r="M182" s="1557"/>
      <c r="N182" s="1556"/>
      <c r="O182" s="1557"/>
      <c r="P182" s="1555"/>
      <c r="Q182" s="1555"/>
      <c r="R182" s="1555"/>
      <c r="S182" s="1555"/>
      <c r="T182" s="1555"/>
      <c r="U182" s="1555"/>
      <c r="V182" s="1555"/>
      <c r="AC182" s="660"/>
      <c r="AD182" s="505">
        <f>HLOOKUP($B$9,$F$86:$O$91,6)</f>
        <v>1</v>
      </c>
      <c r="AE182" s="656">
        <f>$B$9+AD182</f>
        <v>101</v>
      </c>
      <c r="AF182" s="495">
        <f>IF(E182&gt;B182,$B$9+1,AE182)</f>
        <v>101</v>
      </c>
      <c r="AG182" s="661">
        <f>$P$85</f>
        <v>1</v>
      </c>
      <c r="AH182" s="471">
        <f t="shared" si="122"/>
        <v>146</v>
      </c>
      <c r="AK182" s="471">
        <f>HLOOKUP(AG182,'cout equipement'!$C$1:$AF$348,2)</f>
        <v>6</v>
      </c>
      <c r="AL182" s="471">
        <f t="shared" si="121"/>
        <v>16</v>
      </c>
      <c r="AM182" s="471">
        <f>IF(AG182&gt;10,AG182+15,'cout equipement'!$AG$2)</f>
        <v>31</v>
      </c>
      <c r="AO182" s="471">
        <f>IF(AG182&lt;=10,VLOOKUP(AH182,'cout equipement'!C12:$AF$380,Calculateur!AK182),0)</f>
        <v>0</v>
      </c>
      <c r="AP182" s="471">
        <f>IF(AG182&lt;=10,VLOOKUP(AH182,'cout equipement'!C12:$AF$380,AL182),0)</f>
        <v>0</v>
      </c>
      <c r="AQ182" s="692">
        <f>IF(AG182&gt;10,VLOOKUP(AH182,'cout equipement'!C12:$AF$380,AM182),0)</f>
        <v>0</v>
      </c>
      <c r="AR182" s="684"/>
      <c r="AS182" s="684"/>
      <c r="AT182" s="684"/>
      <c r="AU182" s="684"/>
      <c r="AV182" s="684"/>
      <c r="AW182" s="684"/>
      <c r="AX182" s="684"/>
      <c r="AY182" s="684"/>
      <c r="AZ182" s="684"/>
      <c r="BA182" s="684"/>
      <c r="BB182" s="684"/>
      <c r="BC182" s="684"/>
      <c r="BD182" s="684"/>
      <c r="BE182" s="684"/>
      <c r="BF182" s="684"/>
      <c r="BG182" s="684"/>
    </row>
    <row r="183" spans="4:59" ht="24.95" customHeight="1" thickBot="1">
      <c r="K183" s="1555"/>
      <c r="L183" s="1555"/>
      <c r="M183" s="1560"/>
      <c r="N183" s="1556"/>
      <c r="O183" s="1560"/>
      <c r="P183" s="1555"/>
      <c r="Q183" s="1555"/>
      <c r="R183" s="1555"/>
      <c r="S183" s="1555"/>
      <c r="T183" s="1555"/>
      <c r="U183" s="1555"/>
      <c r="V183" s="1555"/>
      <c r="AC183" s="663"/>
      <c r="AD183" s="505"/>
      <c r="AE183" s="656"/>
      <c r="AF183" s="495"/>
      <c r="AG183" s="661"/>
      <c r="AO183" s="680" t="s">
        <v>822</v>
      </c>
      <c r="AP183" s="681" t="s">
        <v>823</v>
      </c>
      <c r="AQ183" s="682" t="s">
        <v>824</v>
      </c>
      <c r="AR183" s="684"/>
      <c r="AS183" s="685"/>
      <c r="AT183" s="685"/>
      <c r="AU183" s="685"/>
      <c r="AV183" s="684"/>
      <c r="AW183" s="685"/>
      <c r="AX183" s="685"/>
      <c r="AY183" s="685"/>
      <c r="AZ183" s="684"/>
      <c r="BA183" s="685"/>
      <c r="BB183" s="685"/>
      <c r="BC183" s="685"/>
      <c r="BD183" s="684"/>
      <c r="BE183" s="685"/>
      <c r="BF183" s="685"/>
      <c r="BG183" s="685"/>
    </row>
    <row r="184" spans="4:59" ht="24.95" customHeight="1">
      <c r="K184" s="1555"/>
      <c r="L184" s="1555"/>
      <c r="M184" s="1555"/>
      <c r="N184" s="1555"/>
      <c r="O184" s="1555"/>
      <c r="P184" s="1555"/>
      <c r="Q184" s="1555"/>
      <c r="R184" s="1555"/>
      <c r="S184" s="1555"/>
      <c r="T184" s="1555"/>
      <c r="U184" s="1555"/>
      <c r="V184" s="1555"/>
      <c r="AC184" s="658" t="s">
        <v>699</v>
      </c>
      <c r="AD184" s="505">
        <f>HLOOKUP($B$9,$F$93:O$98,2)</f>
        <v>1</v>
      </c>
      <c r="AE184" s="656">
        <f>$B$9+AD184</f>
        <v>101</v>
      </c>
      <c r="AF184" s="495">
        <f>IF(E184&gt;B184,$B$9+1,AE184)</f>
        <v>101</v>
      </c>
      <c r="AG184" s="661">
        <f>$P$92</f>
        <v>1</v>
      </c>
      <c r="AH184" s="471">
        <f>AF184+$AC$185</f>
        <v>156</v>
      </c>
      <c r="AK184" s="471">
        <f>HLOOKUP(AG184,'cout equipement'!$C$1:$AF$348,2)</f>
        <v>6</v>
      </c>
      <c r="AL184" s="471">
        <f t="shared" si="121"/>
        <v>16</v>
      </c>
      <c r="AM184" s="471">
        <f>IF(AG184&gt;10,AG184+15,'cout equipement'!$AG$2)</f>
        <v>31</v>
      </c>
      <c r="AO184" s="471">
        <f>IF(AG184&lt;=10,VLOOKUP(AH184,'cout equipement'!C15:$AF$380,Calculateur!AK184),0)</f>
        <v>0</v>
      </c>
      <c r="AP184" s="471">
        <f>IF(AG184&lt;=10,VLOOKUP(AH184,'cout equipement'!C15:$AF$380,AL184),0)</f>
        <v>0</v>
      </c>
      <c r="AQ184" s="692">
        <f>IF(AG184&gt;10,VLOOKUP(AH184,'cout equipement'!C15:$AF$380,AM184),0)</f>
        <v>0</v>
      </c>
      <c r="AR184" s="684"/>
      <c r="AS184" s="684"/>
      <c r="AT184" s="684"/>
      <c r="AU184" s="684"/>
      <c r="AV184" s="684"/>
      <c r="AW184" s="684"/>
      <c r="AX184" s="684"/>
      <c r="AY184" s="684"/>
      <c r="AZ184" s="684"/>
      <c r="BA184" s="684"/>
      <c r="BB184" s="684"/>
      <c r="BC184" s="684"/>
      <c r="BD184" s="684"/>
      <c r="BE184" s="684"/>
      <c r="BF184" s="684"/>
      <c r="BG184" s="684"/>
    </row>
    <row r="185" spans="4:59" ht="24.95" customHeight="1">
      <c r="AC185" s="659">
        <v>55</v>
      </c>
      <c r="AD185" s="505">
        <f>HLOOKUP($B$9,$F$93:$O$98,3)</f>
        <v>1</v>
      </c>
      <c r="AE185" s="656">
        <f>$B$9+AD185</f>
        <v>101</v>
      </c>
      <c r="AF185" s="495">
        <f>IF(E185&gt;B185,$B$9+1,AE185)</f>
        <v>101</v>
      </c>
      <c r="AG185" s="661">
        <f>$P$92</f>
        <v>1</v>
      </c>
      <c r="AH185" s="471">
        <f>AF185+$AC$185</f>
        <v>156</v>
      </c>
      <c r="AK185" s="471">
        <f>HLOOKUP(AG185,'cout equipement'!$C$1:$AF$348,2)</f>
        <v>6</v>
      </c>
      <c r="AL185" s="471">
        <f t="shared" si="121"/>
        <v>16</v>
      </c>
      <c r="AM185" s="471">
        <f>IF(AG185&gt;10,AG185+15,'cout equipement'!$AG$2)</f>
        <v>31</v>
      </c>
      <c r="AO185" s="471">
        <f>IF(AG185&lt;=10,VLOOKUP(AH185,'cout equipement'!C16:$AF$380,Calculateur!AK185),0)</f>
        <v>0</v>
      </c>
      <c r="AP185" s="471">
        <f>IF(AG185&lt;=10,VLOOKUP(AH185,'cout equipement'!C16:$AF$380,AL185),0)</f>
        <v>0</v>
      </c>
      <c r="AQ185" s="692">
        <f>IF(AG185&gt;10,VLOOKUP(AH185,'cout equipement'!C16:$AF$380,AM185),0)</f>
        <v>0</v>
      </c>
      <c r="AR185" s="684"/>
      <c r="AS185" s="684"/>
      <c r="AT185" s="684"/>
      <c r="AU185" s="684"/>
      <c r="AV185" s="684"/>
      <c r="AW185" s="684"/>
      <c r="AX185" s="684"/>
      <c r="AY185" s="684"/>
      <c r="AZ185" s="684"/>
      <c r="BA185" s="684"/>
      <c r="BB185" s="684"/>
      <c r="BC185" s="684"/>
      <c r="BD185" s="684"/>
      <c r="BE185" s="684"/>
      <c r="BF185" s="684"/>
      <c r="BG185" s="684"/>
    </row>
    <row r="186" spans="4:59" ht="24.95" customHeight="1">
      <c r="AC186" s="659"/>
      <c r="AD186" s="505">
        <f>HLOOKUP($B$9,$F$93:$O$98,4)</f>
        <v>1</v>
      </c>
      <c r="AE186" s="656">
        <f>$B$9+AD186</f>
        <v>101</v>
      </c>
      <c r="AF186" s="495">
        <f>IF(E186&gt;B186,$B$9+1,AE186)</f>
        <v>101</v>
      </c>
      <c r="AG186" s="661">
        <f>$P$92</f>
        <v>1</v>
      </c>
      <c r="AH186" s="471">
        <f t="shared" ref="AH186:AH188" si="123">AF186+$AC$185</f>
        <v>156</v>
      </c>
      <c r="AK186" s="471">
        <f>HLOOKUP(AG186,'cout equipement'!$C$1:$AF$348,2)</f>
        <v>6</v>
      </c>
      <c r="AL186" s="471">
        <f t="shared" si="121"/>
        <v>16</v>
      </c>
      <c r="AM186" s="471">
        <f>IF(AG186&gt;10,AG186+15,'cout equipement'!$AG$2)</f>
        <v>31</v>
      </c>
      <c r="AO186" s="471">
        <f>IF(AG186&lt;=10,VLOOKUP(AH186,'cout equipement'!C17:$AF$380,Calculateur!AK186),0)</f>
        <v>0</v>
      </c>
      <c r="AP186" s="471">
        <f>IF(AG186&lt;=10,VLOOKUP(AH186,'cout equipement'!C17:$AF$380,AL186),0)</f>
        <v>0</v>
      </c>
      <c r="AQ186" s="692">
        <f>IF(AG186&gt;10,VLOOKUP(AH186,'cout equipement'!C17:$AF$380,AM186),0)</f>
        <v>0</v>
      </c>
      <c r="AR186" s="684"/>
      <c r="AS186" s="684"/>
      <c r="AT186" s="684"/>
      <c r="AU186" s="684"/>
      <c r="AV186" s="684"/>
      <c r="AW186" s="684"/>
      <c r="AX186" s="684"/>
      <c r="AY186" s="684"/>
      <c r="AZ186" s="684"/>
      <c r="BA186" s="684"/>
      <c r="BB186" s="684"/>
      <c r="BC186" s="684"/>
      <c r="BD186" s="684"/>
      <c r="BE186" s="684"/>
      <c r="BF186" s="684"/>
      <c r="BG186" s="684"/>
    </row>
    <row r="187" spans="4:59" ht="24.95" customHeight="1">
      <c r="AC187" s="659"/>
      <c r="AD187" s="505">
        <f>HLOOKUP($B$9,$F$93:$O$98,5)</f>
        <v>1</v>
      </c>
      <c r="AE187" s="656">
        <f>$B$9+AD187</f>
        <v>101</v>
      </c>
      <c r="AF187" s="495">
        <f>IF(E187&gt;B187,$B$9+1,AE187)</f>
        <v>101</v>
      </c>
      <c r="AG187" s="661">
        <f>$P$92</f>
        <v>1</v>
      </c>
      <c r="AH187" s="471">
        <f t="shared" si="123"/>
        <v>156</v>
      </c>
      <c r="AK187" s="471">
        <f>HLOOKUP(AG187,'cout equipement'!$C$1:$AF$348,2)</f>
        <v>6</v>
      </c>
      <c r="AL187" s="471">
        <f t="shared" si="121"/>
        <v>16</v>
      </c>
      <c r="AM187" s="471">
        <f>IF(AG187&gt;10,AG187+15,'cout equipement'!$AG$2)</f>
        <v>31</v>
      </c>
      <c r="AO187" s="471">
        <f>IF(AG187&lt;=10,VLOOKUP(AH187,'cout equipement'!C18:$AF$380,Calculateur!AK187),0)</f>
        <v>0</v>
      </c>
      <c r="AP187" s="471">
        <f>IF(AG187&lt;=10,VLOOKUP(AH187,'cout equipement'!C18:$AF$380,AL187),0)</f>
        <v>0</v>
      </c>
      <c r="AQ187" s="692">
        <f>IF(AG187&gt;10,VLOOKUP(AH187,'cout equipement'!C18:$AF$380,AM187),0)</f>
        <v>0</v>
      </c>
      <c r="AR187" s="684"/>
      <c r="AS187" s="684"/>
      <c r="AT187" s="684"/>
      <c r="AU187" s="684"/>
      <c r="AV187" s="684"/>
      <c r="AW187" s="684"/>
      <c r="AX187" s="684"/>
      <c r="AY187" s="684"/>
      <c r="AZ187" s="684"/>
      <c r="BA187" s="684"/>
      <c r="BB187" s="684"/>
      <c r="BC187" s="684"/>
      <c r="BD187" s="684"/>
      <c r="BE187" s="684"/>
      <c r="BF187" s="684"/>
      <c r="BG187" s="684"/>
    </row>
    <row r="188" spans="4:59" ht="24.95" customHeight="1" thickBot="1">
      <c r="AC188" s="660"/>
      <c r="AD188" s="505">
        <f>HLOOKUP($B$9,$F$93:$O$98,6)</f>
        <v>1</v>
      </c>
      <c r="AE188" s="656">
        <f>$B$9+AD188</f>
        <v>101</v>
      </c>
      <c r="AF188" s="495">
        <f>IF(E188&gt;B188,$B$9+1,AE188)</f>
        <v>101</v>
      </c>
      <c r="AG188" s="661">
        <f>$P$92</f>
        <v>1</v>
      </c>
      <c r="AH188" s="471">
        <f t="shared" si="123"/>
        <v>156</v>
      </c>
      <c r="AK188" s="471">
        <f>HLOOKUP(AG188,'cout equipement'!$C$1:$AF$348,2)</f>
        <v>6</v>
      </c>
      <c r="AL188" s="471">
        <f>AK188+10</f>
        <v>16</v>
      </c>
      <c r="AM188" s="471">
        <f>IF(AG188&gt;10,AG188+15,'cout equipement'!$AG$2)</f>
        <v>31</v>
      </c>
      <c r="AO188" s="471">
        <f>IF(AG188&lt;=10,VLOOKUP(AH188,'cout equipement'!C20:$AF$380,Calculateur!AK188),0)</f>
        <v>0</v>
      </c>
      <c r="AP188" s="471">
        <f>IF(AG188&lt;=10,VLOOKUP(AH188,'cout equipement'!C20:$AF$380,AL188),0)</f>
        <v>0</v>
      </c>
      <c r="AQ188" s="692">
        <f>IF(AG188&gt;10,VLOOKUP(AH188,'cout equipement'!C20:$AF$380,AM188),0)</f>
        <v>0</v>
      </c>
      <c r="AR188" s="684"/>
      <c r="AS188" s="684"/>
      <c r="AT188" s="684"/>
      <c r="AU188" s="684"/>
      <c r="AV188" s="684"/>
      <c r="AW188" s="684"/>
      <c r="AX188" s="684"/>
      <c r="AY188" s="684"/>
      <c r="AZ188" s="684"/>
      <c r="BA188" s="684"/>
      <c r="BB188" s="684"/>
      <c r="BC188" s="684"/>
      <c r="BD188" s="684"/>
      <c r="BE188" s="684"/>
      <c r="BF188" s="684"/>
      <c r="BG188" s="684"/>
    </row>
    <row r="189" spans="4:59" ht="24.95" customHeight="1" thickBot="1">
      <c r="AC189" s="664"/>
      <c r="AD189" s="512"/>
      <c r="AE189" s="657"/>
      <c r="AF189" s="652"/>
      <c r="AG189" s="662"/>
      <c r="AK189" s="1626"/>
      <c r="AL189" s="1626"/>
      <c r="AM189" s="1626"/>
      <c r="AO189" s="680" t="s">
        <v>822</v>
      </c>
      <c r="AP189" s="681" t="s">
        <v>823</v>
      </c>
      <c r="AQ189" s="682" t="s">
        <v>824</v>
      </c>
      <c r="AR189" s="684"/>
      <c r="AS189" s="684"/>
      <c r="AT189" s="684"/>
      <c r="AU189" s="684"/>
      <c r="AV189" s="684"/>
      <c r="AW189" s="684"/>
      <c r="AX189" s="684"/>
      <c r="AY189" s="684"/>
      <c r="AZ189" s="684"/>
      <c r="BA189" s="684"/>
      <c r="BB189" s="684"/>
      <c r="BC189" s="684"/>
      <c r="BD189" s="684"/>
      <c r="BE189" s="684"/>
      <c r="BF189" s="684"/>
      <c r="BG189" s="684"/>
    </row>
    <row r="190" spans="4:59" ht="24.95" customHeight="1">
      <c r="AC190" s="1614" t="s">
        <v>683</v>
      </c>
      <c r="AD190" s="488">
        <f>HLOOKUP($AC$11,$F$14:$O$23,B15+1)</f>
        <v>1</v>
      </c>
      <c r="AE190" s="488">
        <f>IF(AD190=0,AD190+$AC$11+1,AD190+$AC$11)</f>
        <v>101</v>
      </c>
      <c r="AF190" s="488"/>
      <c r="AG190" s="1618">
        <f>$P$12</f>
        <v>2</v>
      </c>
      <c r="AH190" s="471">
        <f>AE190+$AC$191</f>
        <v>106</v>
      </c>
      <c r="AK190" s="1626">
        <f>HLOOKUP(AG190,'cout equipement'!$C$1:$AF$348,2)</f>
        <v>7</v>
      </c>
      <c r="AL190" s="1626">
        <f t="shared" si="121"/>
        <v>17</v>
      </c>
      <c r="AM190" s="1626">
        <f>IF(AG190&gt;10,AG190+15,'cout equipement'!$AG$2)</f>
        <v>31</v>
      </c>
      <c r="AO190" s="471">
        <f>IF(AK190&lt;=10,VLOOKUP(AH190,'cout equipement'!$C$5:$AQ$236,Calculateur!AK190),0)</f>
        <v>0</v>
      </c>
      <c r="AP190" s="1626">
        <f>IF(AG190&lt;=10,VLOOKUP(AH190,'cout equipement'!$C$5:$AQ$236,Calculateur!AL190),0)</f>
        <v>0</v>
      </c>
      <c r="AQ190" s="692">
        <f>IF(AG190&gt;=10,VLOOKUP(AH190,'cout equipement'!$C$5:$AG$236,Calculateur!AM190),0)</f>
        <v>0</v>
      </c>
      <c r="AR190" s="684"/>
      <c r="AS190" s="684"/>
      <c r="AT190" s="684"/>
      <c r="AU190" s="684"/>
      <c r="AV190" s="684"/>
      <c r="AW190" s="684"/>
      <c r="AX190" s="684"/>
      <c r="AY190" s="684"/>
      <c r="AZ190" s="684"/>
      <c r="BA190" s="684"/>
      <c r="BB190" s="684"/>
      <c r="BC190" s="684"/>
      <c r="BD190" s="684"/>
      <c r="BE190" s="684"/>
      <c r="BF190" s="684"/>
      <c r="BG190" s="684"/>
    </row>
    <row r="191" spans="4:59" ht="24.95" customHeight="1">
      <c r="AC191" s="1615">
        <v>5</v>
      </c>
      <c r="AD191" s="1612">
        <f t="shared" ref="AD191:AD198" si="124">HLOOKUP($AC$11,$F$14:$O$23,B16+1)</f>
        <v>1</v>
      </c>
      <c r="AE191" s="1612">
        <f t="shared" ref="AE191:AE198" si="125">IF(AD191=0,AD191+$AC$11+1,AD191+$AC$11)</f>
        <v>101</v>
      </c>
      <c r="AF191" s="1612"/>
      <c r="AG191" s="1619">
        <f t="shared" ref="AG191:AG198" si="126">$P$12</f>
        <v>2</v>
      </c>
      <c r="AH191" s="1626">
        <f t="shared" ref="AH191:AH198" si="127">AE191+$AC$191</f>
        <v>106</v>
      </c>
      <c r="AK191" s="1626">
        <f>HLOOKUP(AG191,'cout equipement'!$C$1:$AF$348,2)</f>
        <v>7</v>
      </c>
      <c r="AL191" s="1626">
        <f t="shared" si="121"/>
        <v>17</v>
      </c>
      <c r="AM191" s="1626">
        <f>IF(AG191&gt;10,AG191+15,'cout equipement'!$AG$2)</f>
        <v>31</v>
      </c>
      <c r="AO191" s="1626">
        <f>IF(AK191&lt;=10,VLOOKUP(AH191,'cout equipement'!$C$5:$AQ$236,Calculateur!AK191),0)</f>
        <v>0</v>
      </c>
      <c r="AP191" s="1626">
        <f>IF(AG191&lt;=10,VLOOKUP(AH191,'cout equipement'!$C$5:$AQ$236,Calculateur!AL191),0)</f>
        <v>0</v>
      </c>
      <c r="AQ191" s="692">
        <f>IF(AG191&gt;=10,VLOOKUP(AH191,'cout equipement'!$C$5:$AG$236,Calculateur!AM191),0)</f>
        <v>0</v>
      </c>
      <c r="AR191" s="684"/>
      <c r="AS191" s="684"/>
      <c r="AT191" s="684"/>
      <c r="AU191" s="684"/>
      <c r="AV191" s="684"/>
      <c r="AW191" s="684"/>
      <c r="AX191" s="684"/>
      <c r="AY191" s="684"/>
      <c r="AZ191" s="684"/>
      <c r="BA191" s="684"/>
      <c r="BB191" s="684"/>
      <c r="BC191" s="684"/>
      <c r="BD191" s="684"/>
      <c r="BE191" s="684"/>
      <c r="BF191" s="684"/>
      <c r="BG191" s="684"/>
    </row>
    <row r="192" spans="4:59" ht="24.95" customHeight="1">
      <c r="AB192" s="1626"/>
      <c r="AC192" s="1654"/>
      <c r="AD192" s="1612">
        <f t="shared" si="124"/>
        <v>1</v>
      </c>
      <c r="AE192" s="1612">
        <f t="shared" si="125"/>
        <v>101</v>
      </c>
      <c r="AF192" s="1612"/>
      <c r="AG192" s="1619">
        <f t="shared" si="126"/>
        <v>2</v>
      </c>
      <c r="AH192" s="1626">
        <f t="shared" si="127"/>
        <v>106</v>
      </c>
      <c r="AK192" s="1626">
        <f>HLOOKUP(AG192,'cout equipement'!$C$1:$AF$348,2)</f>
        <v>7</v>
      </c>
      <c r="AL192" s="1626">
        <f t="shared" si="121"/>
        <v>17</v>
      </c>
      <c r="AM192" s="1626">
        <f>IF(AG192&gt;10,AG192+15,'cout equipement'!$AG$2)</f>
        <v>31</v>
      </c>
      <c r="AO192" s="1626">
        <f>IF(AK192&lt;=10,VLOOKUP(AH192,'cout equipement'!$C$5:$AQ$236,Calculateur!AK192),0)</f>
        <v>0</v>
      </c>
      <c r="AP192" s="1626">
        <f>IF(AG192&lt;=10,VLOOKUP(AH192,'cout equipement'!$C$5:$AQ$236,Calculateur!AL192),0)</f>
        <v>0</v>
      </c>
      <c r="AQ192" s="692">
        <f>IF(AG192&gt;=10,VLOOKUP(AH192,'cout equipement'!$C$5:$AG$236,Calculateur!AM192),0)</f>
        <v>0</v>
      </c>
      <c r="AR192" s="684"/>
      <c r="AS192" s="684"/>
      <c r="AT192" s="684"/>
      <c r="AU192" s="684"/>
      <c r="AV192" s="684"/>
      <c r="AW192" s="684"/>
      <c r="AX192" s="684"/>
      <c r="AY192" s="684"/>
      <c r="AZ192" s="684"/>
      <c r="BA192" s="684"/>
      <c r="BB192" s="684"/>
      <c r="BC192" s="684"/>
      <c r="BD192" s="684"/>
      <c r="BE192" s="684"/>
      <c r="BF192" s="684"/>
      <c r="BG192" s="684"/>
    </row>
    <row r="193" spans="2:59" ht="24.95" customHeight="1">
      <c r="AB193" s="1626"/>
      <c r="AC193" s="1654"/>
      <c r="AD193" s="1612">
        <f t="shared" si="124"/>
        <v>1</v>
      </c>
      <c r="AE193" s="1612">
        <f t="shared" si="125"/>
        <v>101</v>
      </c>
      <c r="AF193" s="1612"/>
      <c r="AG193" s="1619">
        <f t="shared" si="126"/>
        <v>2</v>
      </c>
      <c r="AH193" s="1626">
        <f t="shared" si="127"/>
        <v>106</v>
      </c>
      <c r="AK193" s="1626">
        <f>HLOOKUP(AG193,'cout equipement'!$C$1:$AF$348,2)</f>
        <v>7</v>
      </c>
      <c r="AL193" s="1626">
        <f t="shared" si="121"/>
        <v>17</v>
      </c>
      <c r="AM193" s="1626">
        <f>IF(AG193&gt;10,AG193+15,'cout equipement'!$AG$2)</f>
        <v>31</v>
      </c>
      <c r="AO193" s="1626">
        <f>IF(AK193&lt;=10,VLOOKUP(AH193,'cout equipement'!$C$5:$AQ$236,Calculateur!AK193),0)</f>
        <v>0</v>
      </c>
      <c r="AP193" s="1626">
        <f>IF(AG193&lt;=10,VLOOKUP(AH193,'cout equipement'!$C$5:$AQ$236,Calculateur!AL193),0)</f>
        <v>0</v>
      </c>
      <c r="AQ193" s="692">
        <f>IF(AG193&gt;=10,VLOOKUP(AH193,'cout equipement'!$C$5:$AG$236,Calculateur!AM193),0)</f>
        <v>0</v>
      </c>
      <c r="AR193" s="684"/>
      <c r="AS193" s="684"/>
      <c r="AT193" s="684"/>
      <c r="AU193" s="684"/>
      <c r="AV193" s="684"/>
      <c r="AW193" s="684"/>
      <c r="AX193" s="684"/>
      <c r="AY193" s="684"/>
      <c r="AZ193" s="684"/>
      <c r="BA193" s="684"/>
      <c r="BB193" s="684"/>
      <c r="BC193" s="684"/>
      <c r="BD193" s="684"/>
      <c r="BE193" s="684"/>
      <c r="BF193" s="684"/>
      <c r="BG193" s="684"/>
    </row>
    <row r="194" spans="2:59" ht="20.100000000000001" customHeight="1">
      <c r="AB194" s="1626"/>
      <c r="AC194" s="1654"/>
      <c r="AD194" s="1612">
        <f t="shared" si="124"/>
        <v>1</v>
      </c>
      <c r="AE194" s="1612">
        <f t="shared" si="125"/>
        <v>101</v>
      </c>
      <c r="AF194" s="1612"/>
      <c r="AG194" s="1619">
        <f t="shared" si="126"/>
        <v>2</v>
      </c>
      <c r="AH194" s="1626">
        <f t="shared" si="127"/>
        <v>106</v>
      </c>
      <c r="AK194" s="1626">
        <f>HLOOKUP(AG194,'cout equipement'!$C$1:$AF$348,2)</f>
        <v>7</v>
      </c>
      <c r="AL194" s="1626">
        <f t="shared" si="121"/>
        <v>17</v>
      </c>
      <c r="AM194" s="1626">
        <f>IF(AG194&gt;10,AG194+15,'cout equipement'!$AG$2)</f>
        <v>31</v>
      </c>
      <c r="AO194" s="1626">
        <f>IF(AK194&lt;=10,VLOOKUP(AH194,'cout equipement'!$C$5:$AQ$236,Calculateur!AK194),0)</f>
        <v>0</v>
      </c>
      <c r="AP194" s="1626">
        <f>IF(AG194&lt;=10,VLOOKUP(AH194,'cout equipement'!$C$5:$AQ$236,Calculateur!AL194),0)</f>
        <v>0</v>
      </c>
      <c r="AQ194" s="692">
        <f>IF(AG194&gt;=10,VLOOKUP(AH194,'cout equipement'!$C$5:$AG$236,Calculateur!AM194),0)</f>
        <v>0</v>
      </c>
      <c r="AR194" s="684"/>
      <c r="AS194" s="684"/>
      <c r="AT194" s="684"/>
      <c r="AU194" s="684"/>
      <c r="AV194" s="684"/>
      <c r="AW194" s="684"/>
      <c r="AX194" s="684"/>
      <c r="AY194" s="684"/>
      <c r="AZ194" s="684"/>
      <c r="BA194" s="684"/>
      <c r="BB194" s="684"/>
      <c r="BC194" s="684"/>
      <c r="BD194" s="684"/>
      <c r="BE194" s="684"/>
      <c r="BF194" s="684"/>
      <c r="BG194" s="684"/>
    </row>
    <row r="195" spans="2:59" ht="20.100000000000001" customHeight="1">
      <c r="AB195" s="1626"/>
      <c r="AC195" s="1654"/>
      <c r="AD195" s="1612">
        <f t="shared" si="124"/>
        <v>0</v>
      </c>
      <c r="AE195" s="1612">
        <f t="shared" si="125"/>
        <v>101</v>
      </c>
      <c r="AF195" s="1612"/>
      <c r="AG195" s="1619">
        <f t="shared" si="126"/>
        <v>2</v>
      </c>
      <c r="AH195" s="1626">
        <f t="shared" si="127"/>
        <v>106</v>
      </c>
      <c r="AK195" s="1626">
        <f>HLOOKUP(AG195,'cout equipement'!$C$1:$AF$348,2)</f>
        <v>7</v>
      </c>
      <c r="AL195" s="1626">
        <f t="shared" si="121"/>
        <v>17</v>
      </c>
      <c r="AM195" s="1626">
        <f>IF(AG195&gt;10,AG195+15,'cout equipement'!$AG$2)</f>
        <v>31</v>
      </c>
      <c r="AO195" s="1626">
        <f>IF(AK195&lt;=10,VLOOKUP(AH195,'cout equipement'!$C$5:$AQ$236,Calculateur!AK195),0)</f>
        <v>0</v>
      </c>
      <c r="AP195" s="1626">
        <f>IF(AG195&lt;=10,VLOOKUP(AH195,'cout equipement'!$C$5:$AQ$236,Calculateur!AL195),0)</f>
        <v>0</v>
      </c>
      <c r="AQ195" s="692">
        <f>IF(AG195&gt;=10,VLOOKUP(AH195,'cout equipement'!$C$5:$AG$236,Calculateur!AM195),0)</f>
        <v>0</v>
      </c>
    </row>
    <row r="196" spans="2:59" ht="20.100000000000001" customHeight="1">
      <c r="AB196" s="1626"/>
      <c r="AC196" s="1654"/>
      <c r="AD196" s="1612">
        <f t="shared" si="124"/>
        <v>0</v>
      </c>
      <c r="AE196" s="1612">
        <f t="shared" si="125"/>
        <v>101</v>
      </c>
      <c r="AF196" s="1612"/>
      <c r="AG196" s="1619">
        <f t="shared" si="126"/>
        <v>2</v>
      </c>
      <c r="AH196" s="1626">
        <f t="shared" si="127"/>
        <v>106</v>
      </c>
      <c r="AK196" s="1626">
        <f>HLOOKUP(AG196,'cout equipement'!$C$1:$AF$348,2)</f>
        <v>7</v>
      </c>
      <c r="AL196" s="1626">
        <f t="shared" si="121"/>
        <v>17</v>
      </c>
      <c r="AM196" s="1626">
        <f>IF(AG196&gt;10,AG196+15,'cout equipement'!$AG$2)</f>
        <v>31</v>
      </c>
      <c r="AO196" s="1626">
        <f>IF(AK196&lt;=10,VLOOKUP(AH196,'cout equipement'!$C$5:$AQ$236,Calculateur!AK196),0)</f>
        <v>0</v>
      </c>
      <c r="AP196" s="1626">
        <f>IF(AG196&lt;=10,VLOOKUP(AH196,'cout equipement'!$C$5:$AQ$236,Calculateur!AL196),0)</f>
        <v>0</v>
      </c>
      <c r="AQ196" s="692">
        <f>IF(AG196&gt;=10,VLOOKUP(AH196,'cout equipement'!$C$5:$AG$236,Calculateur!AM196),0)</f>
        <v>0</v>
      </c>
    </row>
    <row r="197" spans="2:59" ht="20.100000000000001" customHeight="1">
      <c r="AB197" s="1626"/>
      <c r="AC197" s="1654"/>
      <c r="AD197" s="1612">
        <f t="shared" si="124"/>
        <v>0</v>
      </c>
      <c r="AE197" s="1612">
        <f t="shared" si="125"/>
        <v>101</v>
      </c>
      <c r="AF197" s="1612"/>
      <c r="AG197" s="1619">
        <f t="shared" si="126"/>
        <v>2</v>
      </c>
      <c r="AH197" s="1626">
        <f t="shared" si="127"/>
        <v>106</v>
      </c>
      <c r="AK197" s="1626">
        <f>HLOOKUP(AG197,'cout equipement'!$C$1:$AF$348,2)</f>
        <v>7</v>
      </c>
      <c r="AL197" s="1626">
        <f t="shared" si="121"/>
        <v>17</v>
      </c>
      <c r="AM197" s="1626">
        <f>IF(AG197&gt;10,AG197+15,'cout equipement'!$AG$2)</f>
        <v>31</v>
      </c>
      <c r="AO197" s="1626">
        <f>IF(AK197&lt;=10,VLOOKUP(AH197,'cout equipement'!$C$5:$AQ$236,Calculateur!AK197),0)</f>
        <v>0</v>
      </c>
      <c r="AP197" s="1626">
        <f>IF(AG197&lt;=10,VLOOKUP(AH197,'cout equipement'!$C$5:$AQ$236,Calculateur!AL197),0)</f>
        <v>0</v>
      </c>
      <c r="AQ197" s="692">
        <f>IF(AG197&gt;=10,VLOOKUP(AH197,'cout equipement'!$C$5:$AG$236,Calculateur!AM197),0)</f>
        <v>0</v>
      </c>
    </row>
    <row r="198" spans="2:59" ht="20.100000000000001" customHeight="1" thickBot="1">
      <c r="AB198" s="1626"/>
      <c r="AC198" s="1655"/>
      <c r="AD198" s="1616">
        <f t="shared" si="124"/>
        <v>0</v>
      </c>
      <c r="AE198" s="1616">
        <f t="shared" si="125"/>
        <v>101</v>
      </c>
      <c r="AF198" s="1616"/>
      <c r="AG198" s="1621">
        <f t="shared" si="126"/>
        <v>2</v>
      </c>
      <c r="AH198" s="1626">
        <f t="shared" si="127"/>
        <v>106</v>
      </c>
      <c r="AK198" s="1626">
        <f>HLOOKUP(AG198,'cout equipement'!$C$1:$AF$348,2)</f>
        <v>7</v>
      </c>
      <c r="AL198" s="1626">
        <f t="shared" si="121"/>
        <v>17</v>
      </c>
      <c r="AM198" s="1626">
        <f>IF(AG198&gt;10,AG198+15,'cout equipement'!$AG$2)</f>
        <v>31</v>
      </c>
      <c r="AO198" s="1626">
        <f>IF(AK198&lt;=10,VLOOKUP(AH198,'cout equipement'!$C$5:$AQ$236,Calculateur!AK198),0)</f>
        <v>0</v>
      </c>
      <c r="AP198" s="1626">
        <f>IF(AG198&lt;=10,VLOOKUP(AH198,'cout equipement'!$C$5:$AQ$236,Calculateur!AL198),0)</f>
        <v>0</v>
      </c>
      <c r="AQ198" s="692">
        <f>IF(AG198&gt;=10,VLOOKUP(AH198,'cout equipement'!$C$5:$AG$236,Calculateur!AM198),0)</f>
        <v>0</v>
      </c>
    </row>
    <row r="199" spans="2:59" ht="20.100000000000001" customHeight="1">
      <c r="AC199" s="1623"/>
      <c r="AD199" s="488"/>
      <c r="AE199" s="488"/>
      <c r="AF199" s="488"/>
      <c r="AG199" s="1618"/>
      <c r="AK199" s="1626"/>
      <c r="AL199" s="1626"/>
      <c r="AM199" s="1626"/>
      <c r="AO199" s="680" t="s">
        <v>822</v>
      </c>
      <c r="AP199" s="681" t="s">
        <v>823</v>
      </c>
      <c r="AQ199" s="682" t="s">
        <v>824</v>
      </c>
    </row>
    <row r="200" spans="2:59" ht="20.100000000000001" customHeight="1">
      <c r="AC200" s="1615" t="s">
        <v>1032</v>
      </c>
      <c r="AD200" s="1612">
        <f>HLOOKUP($AC$11,$F$36:$O$40,B37+1)</f>
        <v>0</v>
      </c>
      <c r="AE200" s="1612">
        <f>IF(AD200=0,AD200+400+1,AD200+400)</f>
        <v>401</v>
      </c>
      <c r="AF200" s="1612"/>
      <c r="AG200" s="1619">
        <f>$P$34</f>
        <v>2</v>
      </c>
      <c r="AH200" s="471">
        <f>AE200+$AC$201</f>
        <v>401</v>
      </c>
      <c r="AK200" s="1626">
        <f>HLOOKUP(AG200,'cout equipement'!$C$1:$AF$348,2)</f>
        <v>7</v>
      </c>
      <c r="AL200" s="1626">
        <f t="shared" ref="AL200:AL203" si="128">AK200+10</f>
        <v>17</v>
      </c>
      <c r="AM200" s="1626">
        <f>IF(AG200&gt;10,AG200+15,'cout equipement'!$AG$2)</f>
        <v>31</v>
      </c>
      <c r="AO200" s="1626">
        <f>IF(AK200&lt;=10,VLOOKUP(AH200,'cout equipement'!$C$5:$AQ$236,Calculateur!AK200),0)</f>
        <v>0</v>
      </c>
      <c r="AP200" s="1626">
        <f>IF(AG200&lt;=10,VLOOKUP(AH200,'cout equipement'!$C$5:$AQ$236,Calculateur!AL200),0)</f>
        <v>0</v>
      </c>
      <c r="AQ200" s="692">
        <f>IF(AG200&gt;=10,VLOOKUP(AH200,'cout equipement'!$C$5:$AG$236,Calculateur!AM200),0)</f>
        <v>0</v>
      </c>
    </row>
    <row r="201" spans="2:59" ht="20.100000000000001" customHeight="1">
      <c r="AC201" s="1624"/>
      <c r="AD201" s="1612">
        <f>HLOOKUP($AC$11,$F$36:$O$40,B38+1)</f>
        <v>0</v>
      </c>
      <c r="AE201" s="1612">
        <f t="shared" ref="AE201:AE203" si="129">IF(AD201=0,AD201+400+1,AD201+400)</f>
        <v>401</v>
      </c>
      <c r="AF201" s="1612"/>
      <c r="AG201" s="1619">
        <f t="shared" ref="AG201:AG203" si="130">$P$34</f>
        <v>2</v>
      </c>
      <c r="AH201" s="1626">
        <f t="shared" ref="AH201:AH203" si="131">AE201+$AC$201</f>
        <v>401</v>
      </c>
      <c r="AK201" s="1626">
        <f>HLOOKUP(AG201,'cout equipement'!$C$1:$AF$348,2)</f>
        <v>7</v>
      </c>
      <c r="AL201" s="1626">
        <f t="shared" si="128"/>
        <v>17</v>
      </c>
      <c r="AM201" s="1626">
        <f>IF(AG201&gt;10,AG201+15,'cout equipement'!$AG$2)</f>
        <v>31</v>
      </c>
      <c r="AO201" s="1626">
        <f>IF(AK201&lt;=10,VLOOKUP(AH201,'cout equipement'!$C$5:$AQ$236,Calculateur!AK201),0)</f>
        <v>0</v>
      </c>
      <c r="AP201" s="1626">
        <f>IF(AG201&lt;=10,VLOOKUP(AH201,'cout equipement'!$C$5:$AQ$236,Calculateur!AL201),0)</f>
        <v>0</v>
      </c>
      <c r="AQ201" s="692">
        <f>IF(AG201&gt;=10,VLOOKUP(AH201,'cout equipement'!$C$5:$AG$236,Calculateur!AM201),0)</f>
        <v>0</v>
      </c>
    </row>
    <row r="202" spans="2:59" ht="20.100000000000001" customHeight="1">
      <c r="AC202" s="1624"/>
      <c r="AD202" s="1612">
        <f>HLOOKUP($AC$11,$F$36:$O$40,B39+1)</f>
        <v>0</v>
      </c>
      <c r="AE202" s="1612">
        <f t="shared" si="129"/>
        <v>401</v>
      </c>
      <c r="AF202" s="1612"/>
      <c r="AG202" s="1619">
        <f t="shared" si="130"/>
        <v>2</v>
      </c>
      <c r="AH202" s="1626">
        <f t="shared" si="131"/>
        <v>401</v>
      </c>
      <c r="AK202" s="1626">
        <f>HLOOKUP(AG202,'cout equipement'!$C$1:$AF$348,2)</f>
        <v>7</v>
      </c>
      <c r="AL202" s="1626">
        <f t="shared" si="128"/>
        <v>17</v>
      </c>
      <c r="AM202" s="1626">
        <f>IF(AG202&gt;10,AG202+15,'cout equipement'!$AG$2)</f>
        <v>31</v>
      </c>
      <c r="AO202" s="1626">
        <f>IF(AK202&lt;=10,VLOOKUP(AH202,'cout equipement'!$C$5:$AQ$236,Calculateur!AK202),0)</f>
        <v>0</v>
      </c>
      <c r="AP202" s="1626">
        <f>IF(AG202&lt;=10,VLOOKUP(AH202,'cout equipement'!$C$5:$AQ$236,Calculateur!AL202),0)</f>
        <v>0</v>
      </c>
      <c r="AQ202" s="692">
        <f>IF(AG202&gt;=10,VLOOKUP(AH202,'cout equipement'!$C$5:$AG$236,Calculateur!AM202),0)</f>
        <v>0</v>
      </c>
    </row>
    <row r="203" spans="2:59" ht="20.100000000000001" customHeight="1" thickBot="1">
      <c r="AC203" s="1625"/>
      <c r="AD203" s="1616">
        <f>HLOOKUP($AC$11,$F$36:$O$40,B40+1)</f>
        <v>0</v>
      </c>
      <c r="AE203" s="1616">
        <f t="shared" si="129"/>
        <v>401</v>
      </c>
      <c r="AF203" s="1616"/>
      <c r="AG203" s="1621">
        <f t="shared" si="130"/>
        <v>2</v>
      </c>
      <c r="AH203" s="1626">
        <f t="shared" si="131"/>
        <v>401</v>
      </c>
      <c r="AK203" s="1626">
        <f>HLOOKUP(AG203,'cout equipement'!$C$1:$AF$348,2)</f>
        <v>7</v>
      </c>
      <c r="AL203" s="1626">
        <f t="shared" si="128"/>
        <v>17</v>
      </c>
      <c r="AM203" s="1626">
        <f>IF(AG203&gt;10,AG203+15,'cout equipement'!$AG$2)</f>
        <v>31</v>
      </c>
      <c r="AO203" s="1626">
        <f>IF(AK203&lt;=10,VLOOKUP(AH203,'cout equipement'!$C$5:$AQ$236,Calculateur!AK203),0)</f>
        <v>0</v>
      </c>
      <c r="AP203" s="1626">
        <f>IF(AG203&lt;=10,VLOOKUP(AH203,'cout equipement'!$C$5:$AQ$236,Calculateur!AL203),0)</f>
        <v>0</v>
      </c>
      <c r="AQ203" s="692">
        <f>IF(AG203&gt;=10,VLOOKUP(AH203,'cout equipement'!$C$5:$AG$236,Calculateur!AM203),0)</f>
        <v>0</v>
      </c>
    </row>
    <row r="204" spans="2:59" s="1626" customFormat="1" ht="20.100000000000001" customHeight="1">
      <c r="B204" s="515"/>
      <c r="C204" s="515"/>
      <c r="AC204" s="1617"/>
      <c r="AD204" s="488"/>
      <c r="AE204" s="488"/>
      <c r="AF204" s="488"/>
      <c r="AG204" s="1618"/>
      <c r="AO204" s="680" t="s">
        <v>822</v>
      </c>
      <c r="AP204" s="681" t="s">
        <v>823</v>
      </c>
      <c r="AQ204" s="682" t="s">
        <v>824</v>
      </c>
    </row>
    <row r="205" spans="2:59" ht="20.100000000000001" customHeight="1">
      <c r="AC205" s="1622" t="s">
        <v>817</v>
      </c>
      <c r="AD205" s="1612">
        <f t="shared" ref="AD205:AD210" si="132">HLOOKUP($AC$11,$F$48:$O$54,B49+1)</f>
        <v>0</v>
      </c>
      <c r="AE205" s="1612">
        <f>IF(AD205=0,506,$AC$11+AD205+$AC$206)</f>
        <v>506</v>
      </c>
      <c r="AF205" s="1612"/>
      <c r="AG205" s="1619">
        <f>$P$46</f>
        <v>2</v>
      </c>
      <c r="AH205" s="471">
        <f>AE205</f>
        <v>506</v>
      </c>
      <c r="AK205" s="1626">
        <f>HLOOKUP(AG205,'cout equipement'!$C$1:$AF$348,2)</f>
        <v>7</v>
      </c>
      <c r="AL205" s="1626">
        <f t="shared" ref="AL205:AL210" si="133">AK205+10</f>
        <v>17</v>
      </c>
      <c r="AM205" s="1626">
        <f>IF(AG205&gt;10,AG205+15,'cout equipement'!$AG$2)</f>
        <v>31</v>
      </c>
      <c r="AO205" s="1626">
        <f>IF(AK205&lt;=10,VLOOKUP(AH205,'cout equipement'!$C$5:$AF$236,Calculateur!AK205),0)</f>
        <v>0</v>
      </c>
      <c r="AP205" s="1626">
        <f>IF(AG205&lt;=10,VLOOKUP(AH205,'cout equipement'!$C$5:$AQ$236,Calculateur!AL205),0)</f>
        <v>0</v>
      </c>
      <c r="AQ205" s="692">
        <f>IF(AG205&gt;10=0,VLOOKUP(AH205,'cout equipement'!$C$5:$AG$236,Calculateur!AM205),0)</f>
        <v>0</v>
      </c>
    </row>
    <row r="206" spans="2:59" ht="20.100000000000001" customHeight="1">
      <c r="AC206" s="1611">
        <v>65</v>
      </c>
      <c r="AD206" s="1612">
        <f t="shared" si="132"/>
        <v>0</v>
      </c>
      <c r="AE206" s="1612">
        <f t="shared" ref="AE206:AE210" si="134">IF(AD206=0,506,$AC$11+AD206+$AC$206)</f>
        <v>506</v>
      </c>
      <c r="AF206" s="1612"/>
      <c r="AG206" s="1619">
        <f t="shared" ref="AG206:AG210" si="135">$P$46</f>
        <v>2</v>
      </c>
      <c r="AH206" s="1626">
        <f t="shared" ref="AH206:AH210" si="136">AE206</f>
        <v>506</v>
      </c>
      <c r="AK206" s="1626">
        <f>HLOOKUP(AG206,'cout equipement'!$C$1:$AF$348,2)</f>
        <v>7</v>
      </c>
      <c r="AL206" s="1626">
        <f t="shared" si="133"/>
        <v>17</v>
      </c>
      <c r="AM206" s="1626">
        <f>IF(AG206&gt;10,AG206+15,'cout equipement'!$AG$2)</f>
        <v>31</v>
      </c>
      <c r="AO206" s="1626">
        <f>IF(AK206&lt;=10,VLOOKUP(AH206,'cout equipement'!$C$5:$AF$236,Calculateur!AK206),0)</f>
        <v>0</v>
      </c>
      <c r="AP206" s="1626">
        <f>IF(AG206&lt;=10,VLOOKUP(AH206,'cout equipement'!$C$5:$AQ$236,Calculateur!AL206),0)</f>
        <v>0</v>
      </c>
      <c r="AQ206" s="692">
        <f>IF(AG206&gt;10=0,VLOOKUP(AH206,'cout equipement'!$C$5:$AG$236,Calculateur!AM206),0)</f>
        <v>0</v>
      </c>
    </row>
    <row r="207" spans="2:59" ht="20.100000000000001" customHeight="1">
      <c r="AC207" s="1611"/>
      <c r="AD207" s="1612">
        <f t="shared" si="132"/>
        <v>0</v>
      </c>
      <c r="AE207" s="1612">
        <f t="shared" si="134"/>
        <v>506</v>
      </c>
      <c r="AF207" s="1612"/>
      <c r="AG207" s="1619">
        <f t="shared" si="135"/>
        <v>2</v>
      </c>
      <c r="AH207" s="1626">
        <f t="shared" si="136"/>
        <v>506</v>
      </c>
      <c r="AK207" s="1626">
        <f>HLOOKUP(AG207,'cout equipement'!$C$1:$AF$348,2)</f>
        <v>7</v>
      </c>
      <c r="AL207" s="1626">
        <f t="shared" si="133"/>
        <v>17</v>
      </c>
      <c r="AM207" s="1626">
        <f>IF(AG207&gt;10,AG207+15,'cout equipement'!$AG$2)</f>
        <v>31</v>
      </c>
      <c r="AO207" s="1626">
        <f>IF(AK207&lt;=10,VLOOKUP(AH207,'cout equipement'!$C$5:$AF$236,Calculateur!AK207),0)</f>
        <v>0</v>
      </c>
      <c r="AP207" s="1626">
        <f>IF(AG207&lt;=10,VLOOKUP(AH207,'cout equipement'!$C$5:$AQ$236,Calculateur!AL207),0)</f>
        <v>0</v>
      </c>
      <c r="AQ207" s="692">
        <f>IF(AG207&gt;10=0,VLOOKUP(AH207,'cout equipement'!$C$5:$AG$236,Calculateur!AM207),0)</f>
        <v>0</v>
      </c>
    </row>
    <row r="208" spans="2:59" ht="20.100000000000001" customHeight="1">
      <c r="AC208" s="1611"/>
      <c r="AD208" s="1612">
        <f t="shared" si="132"/>
        <v>0</v>
      </c>
      <c r="AE208" s="1612">
        <f t="shared" si="134"/>
        <v>506</v>
      </c>
      <c r="AF208" s="1612"/>
      <c r="AG208" s="1619">
        <f t="shared" si="135"/>
        <v>2</v>
      </c>
      <c r="AH208" s="1626">
        <f t="shared" si="136"/>
        <v>506</v>
      </c>
      <c r="AK208" s="1626">
        <f>HLOOKUP(AG208,'cout equipement'!$C$1:$AF$348,2)</f>
        <v>7</v>
      </c>
      <c r="AL208" s="1626">
        <f t="shared" si="133"/>
        <v>17</v>
      </c>
      <c r="AM208" s="1626">
        <f>IF(AG208&gt;10,AG208+15,'cout equipement'!$AG$2)</f>
        <v>31</v>
      </c>
      <c r="AO208" s="1626">
        <f>IF(AK208&lt;=10,VLOOKUP(AH208,'cout equipement'!$C$5:$AF$236,Calculateur!AK208),0)</f>
        <v>0</v>
      </c>
      <c r="AP208" s="1626">
        <f>IF(AG208&lt;=10,VLOOKUP(AH208,'cout equipement'!$C$5:$AQ$236,Calculateur!AL208),0)</f>
        <v>0</v>
      </c>
      <c r="AQ208" s="692">
        <f>IF(AG208&gt;10=0,VLOOKUP(AH208,'cout equipement'!$C$5:$AG$236,Calculateur!AM208),0)</f>
        <v>0</v>
      </c>
    </row>
    <row r="209" spans="29:43" ht="20.100000000000001" customHeight="1">
      <c r="AC209" s="1611"/>
      <c r="AD209" s="1612">
        <f t="shared" si="132"/>
        <v>0</v>
      </c>
      <c r="AE209" s="1612">
        <f t="shared" si="134"/>
        <v>506</v>
      </c>
      <c r="AF209" s="1612"/>
      <c r="AG209" s="1619">
        <f t="shared" si="135"/>
        <v>2</v>
      </c>
      <c r="AH209" s="1626">
        <f t="shared" si="136"/>
        <v>506</v>
      </c>
      <c r="AK209" s="1626">
        <f>HLOOKUP(AG209,'cout equipement'!$C$1:$AF$348,2)</f>
        <v>7</v>
      </c>
      <c r="AL209" s="1626">
        <f t="shared" si="133"/>
        <v>17</v>
      </c>
      <c r="AM209" s="1626">
        <f>IF(AG209&gt;10,AG209+15,'cout equipement'!$AG$2)</f>
        <v>31</v>
      </c>
      <c r="AO209" s="1626">
        <f>IF(AK209&lt;=10,VLOOKUP(AH209,'cout equipement'!$C$5:$AF$236,Calculateur!AK209),0)</f>
        <v>0</v>
      </c>
      <c r="AP209" s="1626">
        <f>IF(AG209&lt;=10,VLOOKUP(AH209,'cout equipement'!$C$5:$AQ$236,Calculateur!AL209),0)</f>
        <v>0</v>
      </c>
      <c r="AQ209" s="692">
        <f>IF(AG209&gt;10=0,VLOOKUP(AH209,'cout equipement'!$C$5:$AG$236,Calculateur!AM209),0)</f>
        <v>0</v>
      </c>
    </row>
    <row r="210" spans="29:43" ht="20.100000000000001" customHeight="1" thickBot="1">
      <c r="AC210" s="1620"/>
      <c r="AD210" s="1616">
        <f t="shared" si="132"/>
        <v>0</v>
      </c>
      <c r="AE210" s="1616">
        <f t="shared" si="134"/>
        <v>506</v>
      </c>
      <c r="AF210" s="1616"/>
      <c r="AG210" s="1621">
        <f t="shared" si="135"/>
        <v>2</v>
      </c>
      <c r="AH210" s="1626">
        <f t="shared" si="136"/>
        <v>506</v>
      </c>
      <c r="AK210" s="1626">
        <f>HLOOKUP(AG210,'cout equipement'!$C$1:$AF$348,2)</f>
        <v>7</v>
      </c>
      <c r="AL210" s="1626">
        <f t="shared" si="133"/>
        <v>17</v>
      </c>
      <c r="AM210" s="1626">
        <f>IF(AG210&gt;10,AG210+15,'cout equipement'!$AG$2)</f>
        <v>31</v>
      </c>
      <c r="AO210" s="1626">
        <f>IF(AK210&lt;=10,VLOOKUP(AH210,'cout equipement'!$C$5:$AF$236,Calculateur!AK210),0)</f>
        <v>0</v>
      </c>
      <c r="AP210" s="1626">
        <f>IF(AG210&lt;=10,VLOOKUP(AH210,'cout equipement'!$C$5:$AQ$236,Calculateur!AL210),0)</f>
        <v>0</v>
      </c>
      <c r="AQ210" s="692">
        <f>IF(AG210&gt;10=0,VLOOKUP(AH210,'cout equipement'!$C$5:$AG$236,Calculateur!AM210),0)</f>
        <v>0</v>
      </c>
    </row>
    <row r="211" spans="29:43" ht="20.100000000000001" customHeight="1">
      <c r="AD211" s="1626"/>
    </row>
    <row r="212" spans="29:43" ht="20.100000000000001" customHeight="1">
      <c r="AD212" s="1626"/>
    </row>
    <row r="213" spans="29:43" ht="20.100000000000001" customHeight="1">
      <c r="AD213" s="1626"/>
    </row>
    <row r="214" spans="29:43" ht="20.100000000000001" customHeight="1"/>
    <row r="215" spans="29:43" ht="20.100000000000001" customHeight="1"/>
    <row r="216" spans="29:43" ht="20.100000000000001" customHeight="1"/>
    <row r="217" spans="29:43" ht="20.100000000000001" customHeight="1"/>
    <row r="218" spans="29:43" ht="20.100000000000001" customHeight="1"/>
    <row r="219" spans="29:43" ht="163.5" customHeight="1"/>
    <row r="220" spans="29:43" ht="163.5" customHeight="1"/>
    <row r="221" spans="29:43" ht="162.75" customHeight="1"/>
    <row r="222" spans="29:43" ht="159.75" customHeight="1"/>
    <row r="223" spans="29:43" ht="159.75" customHeight="1"/>
    <row r="224" spans="29:43" ht="159.75" customHeight="1"/>
    <row r="225" ht="159.75" customHeight="1"/>
    <row r="226" ht="159.75" customHeight="1"/>
    <row r="227" ht="159.75" customHeight="1"/>
    <row r="228" ht="159.75" customHeight="1"/>
    <row r="229" ht="159.75" customHeight="1"/>
    <row r="230" ht="159.75" customHeight="1"/>
    <row r="231" ht="159.75" customHeight="1"/>
    <row r="232" ht="159.75" customHeight="1"/>
    <row r="233" ht="159.75" customHeight="1"/>
    <row r="234" ht="159.75" customHeight="1"/>
    <row r="235" ht="159.75" customHeight="1"/>
    <row r="236" ht="159.75" customHeight="1"/>
    <row r="237" ht="159.75" customHeight="1"/>
    <row r="238" ht="159.75" customHeight="1"/>
    <row r="239" ht="159.75" customHeight="1"/>
    <row r="240" ht="159.75" customHeight="1"/>
    <row r="241" spans="125:128" ht="159.75" customHeight="1"/>
    <row r="242" spans="125:128" ht="159.75" customHeight="1"/>
    <row r="243" spans="125:128" ht="159.75" customHeight="1">
      <c r="DU243" s="2603" t="s">
        <v>1117</v>
      </c>
      <c r="DV243" s="2603"/>
      <c r="DW243" s="2603"/>
      <c r="DX243" s="2603"/>
    </row>
    <row r="244" spans="125:128" ht="200.1" customHeight="1">
      <c r="DU244" s="1532">
        <v>1</v>
      </c>
      <c r="DV244" s="1532" t="s">
        <v>1101</v>
      </c>
      <c r="DW244" s="1533"/>
      <c r="DX244" s="1532" t="str">
        <f ca="1">CELL("adresse",DW244)</f>
        <v>$DW$244</v>
      </c>
    </row>
    <row r="245" spans="125:128" ht="200.1" customHeight="1">
      <c r="DU245" s="1532">
        <v>2</v>
      </c>
      <c r="DV245" s="1532" t="s">
        <v>1102</v>
      </c>
      <c r="DW245" s="1533"/>
      <c r="DX245" s="1532" t="str">
        <f t="shared" ref="DX245" ca="1" si="137">CELL("adresse",DW245)</f>
        <v>$DW$245</v>
      </c>
    </row>
    <row r="246" spans="125:128" ht="200.1" customHeight="1">
      <c r="DU246" s="1532">
        <v>3</v>
      </c>
      <c r="DV246" s="1532" t="s">
        <v>1103</v>
      </c>
      <c r="DW246" s="1533"/>
      <c r="DX246" s="1532" t="str">
        <f ca="1">CELL("adresse",DW246)</f>
        <v>$DW$246</v>
      </c>
    </row>
    <row r="247" spans="125:128" ht="200.1" customHeight="1">
      <c r="DU247" s="1532">
        <v>4</v>
      </c>
      <c r="DV247" s="1532" t="s">
        <v>1104</v>
      </c>
      <c r="DW247" s="1533"/>
      <c r="DX247" s="1532" t="str">
        <f t="shared" ref="DX247:DX258" ca="1" si="138">CELL("adresse",DW247)</f>
        <v>$DW$247</v>
      </c>
    </row>
    <row r="248" spans="125:128" ht="200.1" customHeight="1">
      <c r="DU248" s="1532">
        <v>5</v>
      </c>
      <c r="DV248" s="1532" t="s">
        <v>1105</v>
      </c>
      <c r="DW248" s="1533"/>
      <c r="DX248" s="1532" t="str">
        <f t="shared" ca="1" si="138"/>
        <v>$DW$248</v>
      </c>
    </row>
    <row r="249" spans="125:128" ht="200.1" customHeight="1">
      <c r="DU249" s="1532">
        <v>6</v>
      </c>
      <c r="DV249" s="1532" t="s">
        <v>802</v>
      </c>
      <c r="DW249" s="1533"/>
      <c r="DX249" s="1532" t="str">
        <f t="shared" ca="1" si="138"/>
        <v>$DW$249</v>
      </c>
    </row>
    <row r="250" spans="125:128" ht="200.1" customHeight="1">
      <c r="DU250" s="1532">
        <v>7</v>
      </c>
      <c r="DV250" s="1532" t="s">
        <v>1106</v>
      </c>
      <c r="DW250" s="1533"/>
      <c r="DX250" s="1532" t="str">
        <f t="shared" ca="1" si="138"/>
        <v>$DW$250</v>
      </c>
    </row>
    <row r="251" spans="125:128" ht="200.1" customHeight="1">
      <c r="DU251" s="1532">
        <v>8</v>
      </c>
      <c r="DV251" s="1532" t="s">
        <v>1107</v>
      </c>
      <c r="DW251" s="1533"/>
      <c r="DX251" s="1532" t="str">
        <f t="shared" ca="1" si="138"/>
        <v>$DW$251</v>
      </c>
    </row>
    <row r="252" spans="125:128" ht="200.1" customHeight="1">
      <c r="DU252" s="1532">
        <v>9</v>
      </c>
      <c r="DV252" s="1532" t="s">
        <v>1108</v>
      </c>
      <c r="DW252" s="1533"/>
      <c r="DX252" s="1532" t="str">
        <f t="shared" ca="1" si="138"/>
        <v>$DW$252</v>
      </c>
    </row>
    <row r="253" spans="125:128" ht="200.1" customHeight="1">
      <c r="DU253" s="1532">
        <v>10</v>
      </c>
      <c r="DV253" s="1532" t="s">
        <v>1109</v>
      </c>
      <c r="DW253" s="1533"/>
      <c r="DX253" s="1532" t="str">
        <f t="shared" ca="1" si="138"/>
        <v>$DW$253</v>
      </c>
    </row>
    <row r="254" spans="125:128" ht="200.1" customHeight="1">
      <c r="DU254" s="1532">
        <v>11</v>
      </c>
      <c r="DV254" s="1532" t="s">
        <v>1110</v>
      </c>
      <c r="DW254" s="1533"/>
      <c r="DX254" s="1532" t="str">
        <f t="shared" ca="1" si="138"/>
        <v>$DW$254</v>
      </c>
    </row>
    <row r="255" spans="125:128" ht="200.1" customHeight="1">
      <c r="DU255" s="1532">
        <v>12</v>
      </c>
      <c r="DV255" s="1532" t="s">
        <v>1111</v>
      </c>
      <c r="DW255" s="1533"/>
      <c r="DX255" s="1532" t="str">
        <f t="shared" ca="1" si="138"/>
        <v>$DW$255</v>
      </c>
    </row>
    <row r="256" spans="125:128" ht="200.1" customHeight="1">
      <c r="DU256" s="1532">
        <v>13</v>
      </c>
      <c r="DV256" s="1532" t="s">
        <v>945</v>
      </c>
      <c r="DW256" s="1533"/>
      <c r="DX256" s="1532" t="str">
        <f t="shared" ca="1" si="138"/>
        <v>$DW$256</v>
      </c>
    </row>
    <row r="257" spans="125:128" ht="200.1" customHeight="1">
      <c r="DU257" s="1532">
        <v>14</v>
      </c>
      <c r="DV257" s="1532" t="s">
        <v>1113</v>
      </c>
      <c r="DW257" s="1533"/>
      <c r="DX257" s="1532" t="str">
        <f t="shared" ca="1" si="138"/>
        <v>$DW$257</v>
      </c>
    </row>
    <row r="258" spans="125:128" ht="200.1" customHeight="1">
      <c r="DU258" s="1532">
        <v>15</v>
      </c>
      <c r="DV258" s="1532" t="s">
        <v>1112</v>
      </c>
      <c r="DW258" s="1533"/>
      <c r="DX258" s="1532" t="str">
        <f t="shared" ca="1" si="138"/>
        <v>$DW$258</v>
      </c>
    </row>
    <row r="259" spans="125:128" ht="159.75" customHeight="1"/>
    <row r="260" spans="125:128" ht="159.75" customHeight="1"/>
    <row r="261" spans="125:128" ht="159.75" customHeight="1"/>
    <row r="262" spans="125:128" ht="159.75" customHeight="1"/>
    <row r="263" spans="125:128" ht="159.75" customHeight="1"/>
    <row r="264" spans="125:128" ht="159.75" customHeight="1"/>
    <row r="265" spans="125:128" ht="159.75" customHeight="1"/>
    <row r="266" spans="125:128" ht="159.75" customHeight="1"/>
    <row r="267" spans="125:128" ht="159.75" customHeight="1"/>
    <row r="268" spans="125:128" ht="159.75" customHeight="1"/>
    <row r="269" spans="125:128" ht="159.75" customHeight="1"/>
    <row r="270" spans="125:128" ht="159.75" customHeight="1"/>
    <row r="271" spans="125:128" ht="159.75" customHeight="1"/>
    <row r="272" spans="125:128" ht="159.75" customHeight="1"/>
    <row r="273" ht="159.75" customHeight="1"/>
    <row r="274" ht="159.75" customHeight="1"/>
    <row r="275" ht="159.75" customHeight="1"/>
    <row r="276" ht="159.75" customHeight="1"/>
    <row r="277" ht="159.75" customHeight="1"/>
    <row r="278" ht="159.75" customHeight="1"/>
    <row r="279" ht="159.75" customHeight="1"/>
    <row r="280" ht="159.75" customHeight="1"/>
    <row r="281" ht="159.75" customHeight="1"/>
    <row r="282" ht="159.75" customHeight="1"/>
    <row r="283" ht="159.75" customHeight="1"/>
    <row r="284" ht="159.75" customHeight="1"/>
    <row r="285" ht="159.75" customHeight="1"/>
    <row r="286" ht="159.75" customHeight="1"/>
    <row r="287" ht="159.75" customHeight="1"/>
    <row r="288" ht="159.75" customHeight="1"/>
    <row r="289" ht="159.75" customHeight="1"/>
    <row r="290" ht="159.75" customHeight="1"/>
    <row r="291" ht="159.75" customHeight="1"/>
    <row r="292" ht="159.75" customHeight="1"/>
    <row r="293" ht="159.75" customHeight="1"/>
    <row r="294" ht="159.75" customHeight="1"/>
    <row r="295" ht="159.75" customHeight="1"/>
    <row r="296" ht="159.75" customHeight="1"/>
    <row r="297" ht="159.75" customHeight="1"/>
    <row r="298" ht="159.75" customHeight="1"/>
    <row r="299" ht="159.75" customHeight="1"/>
    <row r="300" ht="159.75" customHeight="1"/>
    <row r="301" ht="159.75" customHeight="1"/>
    <row r="302" ht="159.75" customHeight="1"/>
    <row r="303" ht="159.75" customHeight="1"/>
    <row r="304" ht="159.75" customHeight="1"/>
    <row r="305" ht="159.75" customHeight="1"/>
    <row r="306" ht="159.75" customHeight="1"/>
    <row r="307" ht="159.75" customHeight="1"/>
    <row r="308" ht="159.75" customHeight="1"/>
    <row r="309" ht="159.75" customHeight="1"/>
    <row r="310" ht="159.75" customHeight="1"/>
    <row r="311" ht="159.75" customHeight="1"/>
    <row r="312" ht="159.75" customHeight="1"/>
    <row r="313" ht="159.75" customHeight="1"/>
    <row r="314" ht="159.75" customHeight="1"/>
    <row r="315" ht="159.75" customHeight="1"/>
    <row r="316" ht="159.75" customHeight="1"/>
    <row r="317" ht="159.75" customHeight="1"/>
    <row r="318" ht="159.75" customHeight="1"/>
    <row r="319" ht="159.75" customHeight="1"/>
    <row r="320" ht="159.75" customHeight="1"/>
    <row r="321" ht="159.75" customHeight="1"/>
    <row r="322" ht="159.75" customHeight="1"/>
    <row r="323" ht="159.75" customHeight="1"/>
    <row r="324" ht="159.75" customHeight="1"/>
    <row r="325" ht="159.75" customHeight="1"/>
    <row r="326" ht="159.75" customHeight="1"/>
    <row r="327" ht="159.75" customHeight="1"/>
    <row r="328" ht="159.75" customHeight="1"/>
    <row r="329" ht="159.75" customHeight="1"/>
    <row r="330" ht="159.75" customHeight="1"/>
    <row r="331" ht="159.75" customHeight="1"/>
    <row r="332" ht="159.75" customHeight="1"/>
    <row r="333" ht="159.75" customHeight="1"/>
    <row r="334" ht="159.75" customHeight="1"/>
    <row r="335" ht="159.75" customHeight="1"/>
    <row r="336" ht="159.75" customHeight="1"/>
    <row r="337" ht="159.75" customHeight="1"/>
    <row r="338" ht="159.75" customHeight="1"/>
    <row r="339" ht="159.75" customHeight="1"/>
    <row r="340" ht="159.75" customHeight="1"/>
    <row r="341" ht="159.75" customHeight="1"/>
    <row r="342" ht="159.75" customHeight="1"/>
    <row r="343" ht="159.75" customHeight="1"/>
    <row r="344" ht="159.75" customHeight="1"/>
    <row r="345" ht="159.75" customHeight="1"/>
    <row r="346" ht="159.75" customHeight="1"/>
    <row r="347" ht="159.75" customHeight="1"/>
    <row r="348" ht="159.75" customHeight="1"/>
    <row r="349" ht="159.75" customHeight="1"/>
    <row r="350" ht="159.75" customHeight="1"/>
    <row r="351" ht="159.75" customHeight="1"/>
    <row r="352" ht="159.75" customHeight="1"/>
    <row r="353" ht="159.75" customHeight="1"/>
    <row r="354" ht="159.75" customHeight="1"/>
    <row r="355" ht="159.75" customHeight="1"/>
    <row r="356" ht="159.75" customHeight="1"/>
    <row r="357" ht="159.75" customHeight="1"/>
    <row r="358" ht="159.75" customHeight="1"/>
    <row r="359" ht="159.75" customHeight="1"/>
    <row r="360" ht="159.75" customHeight="1"/>
    <row r="361" ht="159.75" customHeight="1"/>
    <row r="362" ht="159.75" customHeight="1"/>
    <row r="363" ht="159.75" customHeight="1"/>
    <row r="364" ht="159.75" customHeight="1"/>
    <row r="365" ht="159.75" customHeight="1"/>
    <row r="366" ht="159.75" customHeight="1"/>
    <row r="367" ht="159.75" customHeight="1"/>
    <row r="368" ht="159.75" customHeight="1"/>
    <row r="369" ht="159.75" customHeight="1"/>
    <row r="370" ht="159.75" customHeight="1"/>
    <row r="371" ht="159.75" customHeight="1"/>
    <row r="372" ht="159.75" customHeight="1"/>
    <row r="373" ht="159.75" customHeight="1"/>
    <row r="374" ht="159.75" customHeight="1"/>
    <row r="375" ht="159.75" customHeight="1"/>
    <row r="376" ht="159.75" customHeight="1"/>
    <row r="377" ht="159.75" customHeight="1"/>
    <row r="378" ht="159.75" customHeight="1"/>
    <row r="379" ht="159.75" customHeight="1"/>
    <row r="380" ht="159.75" customHeight="1"/>
    <row r="381" ht="159.75" customHeight="1"/>
    <row r="382" ht="159.75" customHeight="1"/>
    <row r="383" ht="159.75" customHeight="1"/>
    <row r="384" ht="159.75" customHeight="1"/>
    <row r="385" ht="159.75" customHeight="1"/>
    <row r="386" ht="159.75" customHeight="1"/>
    <row r="387" ht="159.75" customHeight="1"/>
    <row r="388" ht="159.75" customHeight="1"/>
    <row r="389" ht="159.75" customHeight="1"/>
    <row r="390" ht="159.75" customHeight="1"/>
    <row r="391" ht="159.75" customHeight="1"/>
    <row r="392" ht="159.75" customHeight="1"/>
    <row r="393" ht="159.75" customHeight="1"/>
    <row r="394" ht="159.75" customHeight="1"/>
    <row r="395" ht="159.75" customHeight="1"/>
    <row r="396" ht="159.75" customHeight="1"/>
    <row r="397" ht="159.75" customHeight="1"/>
    <row r="398" ht="159.75" customHeight="1"/>
    <row r="399" ht="159.75" customHeight="1"/>
    <row r="400" ht="159.75" customHeight="1"/>
    <row r="401" ht="159.75" customHeight="1"/>
    <row r="402" ht="159.75" customHeight="1"/>
    <row r="403" ht="159.75" customHeight="1"/>
    <row r="404" ht="159.75" customHeight="1"/>
    <row r="405" ht="159.75" customHeight="1"/>
    <row r="406" ht="159.75" customHeight="1"/>
    <row r="407" ht="159.75" customHeight="1"/>
    <row r="408" ht="159.75" customHeight="1"/>
    <row r="409" ht="159.75" customHeight="1"/>
    <row r="410" ht="159.75" customHeight="1"/>
    <row r="411" ht="159.75" customHeight="1"/>
    <row r="412" ht="159.75" customHeight="1"/>
    <row r="413" ht="159.75" customHeight="1"/>
    <row r="414" ht="159.75" customHeight="1"/>
    <row r="415" ht="159.75" customHeight="1"/>
    <row r="416" ht="159.75" customHeight="1"/>
    <row r="417" ht="159.75" customHeight="1"/>
    <row r="418" ht="159.75" customHeight="1"/>
    <row r="419" ht="159.75" customHeight="1"/>
    <row r="420" ht="159.75" customHeight="1"/>
    <row r="421" ht="159.75" customHeight="1"/>
    <row r="422" ht="159.75" customHeight="1"/>
    <row r="423" ht="159.75" customHeight="1"/>
    <row r="424" ht="159.75" customHeight="1"/>
    <row r="425" ht="159.75" customHeight="1"/>
    <row r="426" ht="159.75" customHeight="1"/>
    <row r="427" ht="159.75" customHeight="1"/>
    <row r="428" ht="159.75" customHeight="1"/>
    <row r="429" ht="159.75" customHeight="1"/>
    <row r="430" ht="159.75" customHeight="1"/>
    <row r="431" ht="159.75" customHeight="1"/>
    <row r="432" ht="159.75" customHeight="1"/>
    <row r="433" ht="159.75" customHeight="1"/>
    <row r="434" ht="159.75" customHeight="1"/>
    <row r="435" ht="159.75" customHeight="1"/>
    <row r="436" ht="159.75" customHeight="1"/>
    <row r="437" ht="159.75" customHeight="1"/>
    <row r="438" ht="159.75" customHeight="1"/>
    <row r="439" ht="159.75" customHeight="1"/>
    <row r="440" ht="159.75" customHeight="1"/>
    <row r="441" ht="159.75" customHeight="1"/>
    <row r="442" ht="159.75" customHeight="1"/>
    <row r="443" ht="159.75" customHeight="1"/>
    <row r="444" ht="159.75" customHeight="1"/>
    <row r="445" ht="159.75" customHeight="1"/>
    <row r="446" ht="159.75" customHeight="1"/>
    <row r="447" ht="159.75" customHeight="1"/>
    <row r="448" ht="159.75" customHeight="1"/>
    <row r="449" ht="159.75" customHeight="1"/>
    <row r="450" ht="159.75" customHeight="1"/>
    <row r="451" ht="159.75" customHeight="1"/>
    <row r="452" ht="159.75" customHeight="1"/>
    <row r="453" ht="159.75" customHeight="1"/>
    <row r="454" ht="159.75" customHeight="1"/>
    <row r="455" ht="159.75" customHeight="1"/>
    <row r="456" ht="159.75" customHeight="1"/>
    <row r="457" ht="159.75" customHeight="1"/>
    <row r="458" ht="159.75" customHeight="1"/>
    <row r="459" ht="159.75" customHeight="1"/>
    <row r="460" ht="159.75" customHeight="1"/>
    <row r="461" ht="159.75" customHeight="1"/>
    <row r="462" ht="159.75" customHeight="1"/>
    <row r="463" ht="159.75" customHeight="1"/>
    <row r="464" ht="159.75" customHeight="1"/>
    <row r="465" ht="159.75" customHeight="1"/>
    <row r="466" ht="159.75" customHeight="1"/>
    <row r="467" ht="159.75" customHeight="1"/>
  </sheetData>
  <sheetProtection password="9577" sheet="1" objects="1" scenarios="1" selectLockedCells="1"/>
  <mergeCells count="132">
    <mergeCell ref="BB170:BD170"/>
    <mergeCell ref="CV72:DE72"/>
    <mergeCell ref="CV74:DF74"/>
    <mergeCell ref="CV75:DF75"/>
    <mergeCell ref="CV76:DF76"/>
    <mergeCell ref="CV77:DF77"/>
    <mergeCell ref="CV78:DF78"/>
    <mergeCell ref="CV79:DF79"/>
    <mergeCell ref="CV83:DF85"/>
    <mergeCell ref="BT73:BW73"/>
    <mergeCell ref="BX73:CA73"/>
    <mergeCell ref="BH73:BK73"/>
    <mergeCell ref="CV95:DF95"/>
    <mergeCell ref="CV96:DF96"/>
    <mergeCell ref="CV97:DF97"/>
    <mergeCell ref="CV98:DF98"/>
    <mergeCell ref="CV100:DF102"/>
    <mergeCell ref="CV86:DF86"/>
    <mergeCell ref="CV87:DF87"/>
    <mergeCell ref="CV88:DF88"/>
    <mergeCell ref="CV89:DF89"/>
    <mergeCell ref="CV90:DF90"/>
    <mergeCell ref="CV91:DF91"/>
    <mergeCell ref="CV92:DF92"/>
    <mergeCell ref="L15:L23"/>
    <mergeCell ref="P24:Q33"/>
    <mergeCell ref="P41:Q45"/>
    <mergeCell ref="P55:Q61"/>
    <mergeCell ref="N76:N78"/>
    <mergeCell ref="N51:N54"/>
    <mergeCell ref="N37:N40"/>
    <mergeCell ref="J37:J40"/>
    <mergeCell ref="J49:J54"/>
    <mergeCell ref="J65:J66"/>
    <mergeCell ref="D24:D33"/>
    <mergeCell ref="G8:H8"/>
    <mergeCell ref="G9:H9"/>
    <mergeCell ref="E10:E11"/>
    <mergeCell ref="H65:H66"/>
    <mergeCell ref="H37:H40"/>
    <mergeCell ref="F20:F23"/>
    <mergeCell ref="H22:H23"/>
    <mergeCell ref="H49:H54"/>
    <mergeCell ref="D34:D40"/>
    <mergeCell ref="D55:D61"/>
    <mergeCell ref="E63:E64"/>
    <mergeCell ref="D46:D54"/>
    <mergeCell ref="D62:D66"/>
    <mergeCell ref="F49:F54"/>
    <mergeCell ref="F65:F66"/>
    <mergeCell ref="F37:F40"/>
    <mergeCell ref="D10:D11"/>
    <mergeCell ref="D12:D23"/>
    <mergeCell ref="E13:E14"/>
    <mergeCell ref="E35:E36"/>
    <mergeCell ref="E47:E48"/>
    <mergeCell ref="D72:D78"/>
    <mergeCell ref="F169:H169"/>
    <mergeCell ref="D105:K105"/>
    <mergeCell ref="D99:D103"/>
    <mergeCell ref="D41:D45"/>
    <mergeCell ref="D79:D84"/>
    <mergeCell ref="D92:D98"/>
    <mergeCell ref="E92:E93"/>
    <mergeCell ref="E117:J117"/>
    <mergeCell ref="E106:J106"/>
    <mergeCell ref="D67:D71"/>
    <mergeCell ref="E85:E86"/>
    <mergeCell ref="D85:D91"/>
    <mergeCell ref="E123:G123"/>
    <mergeCell ref="H123:J123"/>
    <mergeCell ref="E72:E73"/>
    <mergeCell ref="S9:AC9"/>
    <mergeCell ref="AE169:AF169"/>
    <mergeCell ref="AN170:AQ170"/>
    <mergeCell ref="AS170:AU170"/>
    <mergeCell ref="AV170:AX170"/>
    <mergeCell ref="AY170:BA170"/>
    <mergeCell ref="AD73:AG73"/>
    <mergeCell ref="AJ73:AM73"/>
    <mergeCell ref="T11:Y11"/>
    <mergeCell ref="AZ67:AZ71"/>
    <mergeCell ref="AR73:AU73"/>
    <mergeCell ref="AV73:AY73"/>
    <mergeCell ref="AR23:AW23"/>
    <mergeCell ref="AR13:AW13"/>
    <mergeCell ref="AZ12:AZ23"/>
    <mergeCell ref="AZ24:AZ33"/>
    <mergeCell ref="AZ34:AZ40"/>
    <mergeCell ref="AR40:AW40"/>
    <mergeCell ref="AR35:AW35"/>
    <mergeCell ref="S12:S14"/>
    <mergeCell ref="S34:S36"/>
    <mergeCell ref="AZ41:AZ45"/>
    <mergeCell ref="S62:S64"/>
    <mergeCell ref="DU243:DX243"/>
    <mergeCell ref="BD73:BG73"/>
    <mergeCell ref="BP73:BS73"/>
    <mergeCell ref="N97:N98"/>
    <mergeCell ref="P72:P78"/>
    <mergeCell ref="P34:P40"/>
    <mergeCell ref="P85:P91"/>
    <mergeCell ref="P67:Q71"/>
    <mergeCell ref="P79:Q84"/>
    <mergeCell ref="P99:Q103"/>
    <mergeCell ref="AZ46:AZ54"/>
    <mergeCell ref="AZ55:AZ61"/>
    <mergeCell ref="AZ62:AZ66"/>
    <mergeCell ref="AR47:AW47"/>
    <mergeCell ref="AR54:AW54"/>
    <mergeCell ref="S46:S48"/>
    <mergeCell ref="CN79:CP79"/>
    <mergeCell ref="CR79:CT79"/>
    <mergeCell ref="AN73:AQ73"/>
    <mergeCell ref="T73:Y73"/>
    <mergeCell ref="CH73:CK73"/>
    <mergeCell ref="CV93:DF93"/>
    <mergeCell ref="CV94:DF94"/>
    <mergeCell ref="N90:N91"/>
    <mergeCell ref="P11:Q11"/>
    <mergeCell ref="P92:P98"/>
    <mergeCell ref="N15:N23"/>
    <mergeCell ref="P46:P54"/>
    <mergeCell ref="P12:P23"/>
    <mergeCell ref="P62:P66"/>
    <mergeCell ref="AR63:AW63"/>
    <mergeCell ref="AR67:AW67"/>
    <mergeCell ref="CM73:CT73"/>
    <mergeCell ref="AZ73:BC73"/>
    <mergeCell ref="BL73:BO73"/>
    <mergeCell ref="CB73:CE73"/>
    <mergeCell ref="BG12:BG71"/>
  </mergeCells>
  <conditionalFormatting sqref="F9:I9">
    <cfRule type="dataBar" priority="1">
      <dataBar>
        <cfvo type="min" val="0"/>
        <cfvo type="max" val="0"/>
        <color rgb="FF638EC6"/>
      </dataBar>
    </cfRule>
  </conditionalFormatting>
  <pageMargins left="0.25" right="0.25" top="0.75" bottom="0.75" header="0.3" footer="0.3"/>
  <pageSetup paperSize="9" pageOrder="overThenDown" orientation="landscape" horizontalDpi="4294967293" r:id="rId1"/>
  <ignoredErrors>
    <ignoredError sqref="AG87 F118:F119 F130:F135 F137 J130:J133 F120:F122 AJ25:AJ33 AM25:AM33 AJ42:AJ45 AM42:AM45 AP42:AP45 AJ56:AJ61 AM56:AM61 AJ69:AJ70 AM69:AM70 F138:F143 F124:F126" formula="1"/>
  </ignoredErrors>
  <drawing r:id="rId2"/>
  <legacyDrawing r:id="rId3"/>
</worksheet>
</file>

<file path=xl/worksheets/sheet13.xml><?xml version="1.0" encoding="utf-8"?>
<worksheet xmlns="http://schemas.openxmlformats.org/spreadsheetml/2006/main" xmlns:r="http://schemas.openxmlformats.org/officeDocument/2006/relationships">
  <dimension ref="B1:AM268"/>
  <sheetViews>
    <sheetView workbookViewId="0">
      <selection activeCell="E13" sqref="E13"/>
    </sheetView>
  </sheetViews>
  <sheetFormatPr baseColWidth="10" defaultRowHeight="12.75"/>
  <cols>
    <col min="1" max="1" width="11.42578125" style="1657"/>
    <col min="2" max="2" width="12.7109375" style="1657" customWidth="1"/>
    <col min="3" max="3" width="23" style="1657" customWidth="1"/>
    <col min="4" max="4" width="11.42578125" style="1657"/>
    <col min="5" max="5" width="29" style="1657" customWidth="1"/>
    <col min="6" max="6" width="7.7109375" style="1657" customWidth="1"/>
    <col min="7" max="7" width="22.85546875" style="1657" customWidth="1"/>
    <col min="8" max="8" width="11.42578125" style="1657"/>
    <col min="9" max="9" width="22.85546875" style="1657" customWidth="1"/>
    <col min="10" max="13" width="11.42578125" style="1657"/>
    <col min="14" max="14" width="47.7109375" style="1657" customWidth="1"/>
    <col min="15" max="15" width="15" style="1657" customWidth="1"/>
    <col min="16" max="16" width="11.42578125" style="1657"/>
    <col min="17" max="17" width="18.85546875" style="1657" bestFit="1" customWidth="1"/>
    <col min="18" max="18" width="6.28515625" style="1657" customWidth="1"/>
    <col min="19" max="20" width="11.42578125" style="1657"/>
    <col min="21" max="21" width="17.140625" style="1657" customWidth="1"/>
    <col min="22" max="22" width="6.28515625" style="1657" customWidth="1"/>
    <col min="23" max="24" width="11.42578125" style="1657"/>
    <col min="25" max="25" width="40.42578125" style="1657" bestFit="1" customWidth="1"/>
    <col min="26" max="26" width="6.28515625" style="1657" customWidth="1"/>
    <col min="27" max="28" width="11.42578125" style="1657"/>
    <col min="29" max="29" width="14.140625" style="1657" bestFit="1" customWidth="1"/>
    <col min="30" max="30" width="6.28515625" style="1657" customWidth="1"/>
    <col min="31" max="32" width="11.42578125" style="1657"/>
    <col min="33" max="33" width="21.28515625" style="1657" bestFit="1" customWidth="1"/>
    <col min="34" max="34" width="6.28515625" style="1657" customWidth="1"/>
    <col min="35" max="36" width="11.42578125" style="1657"/>
    <col min="37" max="37" width="20.85546875" style="1657" bestFit="1" customWidth="1"/>
    <col min="38" max="38" width="6.28515625" style="1657" customWidth="1"/>
    <col min="39" max="16384" width="11.42578125" style="1657"/>
  </cols>
  <sheetData>
    <row r="1" spans="2:13" ht="24.95" customHeight="1" thickBot="1">
      <c r="B1" s="1631">
        <v>55</v>
      </c>
      <c r="C1" s="1657" t="s">
        <v>677</v>
      </c>
      <c r="E1" s="1657" t="s">
        <v>675</v>
      </c>
      <c r="G1" s="1657" t="s">
        <v>676</v>
      </c>
      <c r="I1" s="1657" t="s">
        <v>39</v>
      </c>
    </row>
    <row r="2" spans="2:13" ht="24.95" customHeight="1" thickBot="1">
      <c r="C2" s="1632">
        <v>2</v>
      </c>
      <c r="D2" s="467">
        <v>1</v>
      </c>
      <c r="E2" s="1632">
        <v>6</v>
      </c>
      <c r="F2" s="467">
        <v>1</v>
      </c>
      <c r="G2" s="1632"/>
      <c r="H2" s="467">
        <v>1</v>
      </c>
      <c r="I2" s="1632" t="str">
        <f>HLOOKUP($H$7,'Ships Table'!$C$2:$AG$43,9)</f>
        <v>Intercepte</v>
      </c>
      <c r="K2" s="1631">
        <f>H7-1+H2</f>
        <v>101</v>
      </c>
      <c r="L2" s="1631">
        <f>(K2-H2)/100</f>
        <v>1</v>
      </c>
      <c r="M2" s="1631">
        <f>IF(L2&lt;6,100,IF(AND(L2&gt;6,L2&lt;11),200,IF(AND(L2&gt;10,L2&lt;15),300,IF(L2=15,400,500))))</f>
        <v>100</v>
      </c>
    </row>
    <row r="3" spans="2:13" ht="24.95" customHeight="1">
      <c r="C3" s="1662"/>
      <c r="E3" s="1713"/>
      <c r="F3" s="1816"/>
      <c r="G3" s="1713"/>
      <c r="I3" s="1662"/>
    </row>
    <row r="4" spans="2:13" s="1631" customFormat="1" ht="24.95" customHeight="1">
      <c r="E4" s="1732"/>
      <c r="F4" s="1732"/>
      <c r="G4" s="1732"/>
    </row>
    <row r="5" spans="2:13" s="1631" customFormat="1" ht="24.95" customHeight="1">
      <c r="C5" s="1631">
        <v>0</v>
      </c>
      <c r="D5" s="1631">
        <v>1</v>
      </c>
      <c r="E5" s="1732">
        <v>2</v>
      </c>
      <c r="F5" s="1732">
        <v>3</v>
      </c>
      <c r="G5" s="1732">
        <v>4</v>
      </c>
      <c r="H5" s="1631">
        <f>D2</f>
        <v>1</v>
      </c>
      <c r="J5" s="1631">
        <v>1</v>
      </c>
      <c r="K5" s="1631">
        <v>2</v>
      </c>
      <c r="L5" s="1631">
        <v>3</v>
      </c>
      <c r="M5" s="1631">
        <f>H2</f>
        <v>1</v>
      </c>
    </row>
    <row r="6" spans="2:13" s="1631" customFormat="1" ht="24.95" customHeight="1">
      <c r="D6" s="1631" t="s">
        <v>1166</v>
      </c>
      <c r="E6" s="1732" t="s">
        <v>721</v>
      </c>
      <c r="F6" s="1732" t="s">
        <v>722</v>
      </c>
      <c r="G6" s="1732" t="s">
        <v>112</v>
      </c>
      <c r="H6" s="1631" t="str">
        <f>HLOOKUP(H5,$D$5:$G$7,2)</f>
        <v>Chasseur</v>
      </c>
      <c r="J6" s="1631" t="s">
        <v>1167</v>
      </c>
      <c r="K6" s="1631" t="s">
        <v>1168</v>
      </c>
      <c r="L6" s="1631" t="s">
        <v>656</v>
      </c>
      <c r="M6" s="1631" t="str">
        <f>HLOOKUP($K$2,'Ships Table'!$C$2:$AG$43,5)</f>
        <v>Standard</v>
      </c>
    </row>
    <row r="7" spans="2:13" s="1631" customFormat="1" ht="24.95" customHeight="1">
      <c r="C7" s="1631">
        <f>IF(D2=1,F2*100+1,IF(D2=2,600+F2*100+1,IF(D2=3,1000+F2*100+1,IF(D2=4,1400+F2*100+1,0))))</f>
        <v>101</v>
      </c>
      <c r="D7" s="1631">
        <f>IF(D2=1,C7,601)</f>
        <v>101</v>
      </c>
      <c r="E7" s="1732">
        <f>IF(AND(D2=2,F2&gt;4),1001,C7)</f>
        <v>101</v>
      </c>
      <c r="F7" s="1732">
        <f>IF(AND(D2=3,F2&gt;4),1401,C7)</f>
        <v>101</v>
      </c>
      <c r="G7" s="1732">
        <f>IF(AND(D2=4,F2&gt;1),1501,C7)</f>
        <v>101</v>
      </c>
      <c r="H7" s="1631">
        <f>HLOOKUP(D2,D5:G7,3)</f>
        <v>101</v>
      </c>
      <c r="J7" s="1631">
        <f>H7</f>
        <v>101</v>
      </c>
      <c r="K7" s="1631">
        <f>H7+1</f>
        <v>102</v>
      </c>
      <c r="L7" s="1631">
        <f>H7+2</f>
        <v>103</v>
      </c>
      <c r="M7" s="1631">
        <f>K2</f>
        <v>101</v>
      </c>
    </row>
    <row r="8" spans="2:13" s="1631" customFormat="1" ht="24.95" customHeight="1">
      <c r="D8" s="1631" t="s">
        <v>815</v>
      </c>
      <c r="E8" s="1732" t="s">
        <v>969</v>
      </c>
      <c r="F8" s="1732" t="s">
        <v>70</v>
      </c>
      <c r="G8" s="1732" t="s">
        <v>1177</v>
      </c>
      <c r="H8" s="1631" t="s">
        <v>1178</v>
      </c>
    </row>
    <row r="9" spans="2:13" s="1631" customFormat="1" ht="24.95" customHeight="1" thickBot="1">
      <c r="D9" s="1631">
        <f>HLOOKUP($K$2,'Ships Table'!$C$2:$AG$43,11)</f>
        <v>3</v>
      </c>
      <c r="E9" s="1732">
        <f>HLOOKUP($K$2,'Ships Table'!$C$2:$AG$43,15)</f>
        <v>0</v>
      </c>
      <c r="F9" s="1732">
        <f>HLOOKUP($K$2,'Ships Table'!$C$2:$AG$43,17)</f>
        <v>0</v>
      </c>
      <c r="G9" s="1732">
        <f>HLOOKUP($K$2,'Ships Table'!$C$2:$AG$43,13)</f>
        <v>0</v>
      </c>
      <c r="H9" s="1631">
        <f>SUM(D9:G9)</f>
        <v>3</v>
      </c>
    </row>
    <row r="10" spans="2:13" ht="24.95" customHeight="1" thickBot="1">
      <c r="B10" s="2650" t="s">
        <v>815</v>
      </c>
      <c r="C10" s="1632" t="s">
        <v>1170</v>
      </c>
      <c r="D10" s="1660">
        <f>D9</f>
        <v>3</v>
      </c>
      <c r="E10" s="1660"/>
      <c r="F10" s="1660"/>
      <c r="G10" s="1660"/>
      <c r="H10" s="1660"/>
      <c r="I10" s="1660"/>
      <c r="J10" s="1660"/>
      <c r="K10" s="1661"/>
    </row>
    <row r="11" spans="2:13" ht="24.95" customHeight="1">
      <c r="B11" s="2651"/>
      <c r="C11" s="2650" t="s">
        <v>1171</v>
      </c>
      <c r="D11" s="2654" t="str">
        <f>HLOOKUP($K$2,'Ships Table'!$C$2:$AG$43,10)</f>
        <v>3 face</v>
      </c>
      <c r="E11" s="2655"/>
      <c r="F11" s="1712"/>
      <c r="G11" s="1662"/>
      <c r="H11" s="1662"/>
      <c r="I11" s="1662"/>
      <c r="J11" s="1662"/>
      <c r="K11" s="1663"/>
    </row>
    <row r="12" spans="2:13" ht="24.95" customHeight="1" thickBot="1">
      <c r="B12" s="2651"/>
      <c r="C12" s="2652"/>
      <c r="D12" s="2654"/>
      <c r="E12" s="2655"/>
      <c r="F12" s="1712" t="s">
        <v>1199</v>
      </c>
      <c r="G12" s="1713" t="s">
        <v>1199</v>
      </c>
      <c r="H12" s="1662"/>
      <c r="I12" s="1662"/>
      <c r="J12" s="1662"/>
      <c r="K12" s="1663"/>
    </row>
    <row r="13" spans="2:13" ht="24.95" customHeight="1">
      <c r="B13" s="2651"/>
      <c r="C13" s="1662">
        <f>IF($D$9=0,0,1)</f>
        <v>1</v>
      </c>
      <c r="D13" s="1713"/>
      <c r="E13" s="1825">
        <v>1</v>
      </c>
      <c r="F13" s="1696" t="e">
        <f>AVERAGE(VLOOKUP(E13+$M$2,'Weapons Table'!$C$6:$S$93,'Weapons Table'!$E$1),VLOOKUP(calculateur2!E13+calculateur2!$M$2,'Weapons Table'!$C$6:$S$93,'Weapons Table'!$F$1))/VLOOKUP($M$2+E13,'Weapons Table'!$C$6:$S$93,'Weapons Table'!$N$1)</f>
        <v>#DIV/0!</v>
      </c>
      <c r="G13" s="1713" t="str">
        <f>IF(C13&gt;$D$10," ",IF(VLOOKUP($M$2+E13,'Weapons Table'!$C$6:$S$93,'Weapons Table'!$N$1)=0," ",calculateur2!F13))</f>
        <v xml:space="preserve"> </v>
      </c>
      <c r="H13" s="1662"/>
      <c r="I13" s="1662"/>
      <c r="J13" s="1662"/>
      <c r="K13" s="1663"/>
    </row>
    <row r="14" spans="2:13" ht="24.95" customHeight="1">
      <c r="B14" s="2651"/>
      <c r="C14" s="1662">
        <f>IF($D$10&gt;C13,C13+1," ")</f>
        <v>2</v>
      </c>
      <c r="D14" s="1713"/>
      <c r="E14" s="1825">
        <v>1</v>
      </c>
      <c r="F14" s="1696" t="e">
        <f>AVERAGE(VLOOKUP(E14+$M$2,'Weapons Table'!$C$6:$S$93,'Weapons Table'!$E$1),VLOOKUP(calculateur2!E14+calculateur2!$M$2,'Weapons Table'!$C$6:$S$93,'Weapons Table'!$F$1))/VLOOKUP($M$2+E14,'Weapons Table'!$C$6:$S$93,'Weapons Table'!$N$1)</f>
        <v>#DIV/0!</v>
      </c>
      <c r="G14" s="1713" t="str">
        <f>IF(C14&gt;$H$9," ",IF(VLOOKUP($M$2+E14,'Weapons Table'!$C$6:$S$93,'Weapons Table'!$N$1)=0," ",calculateur2!F14))</f>
        <v xml:space="preserve"> </v>
      </c>
      <c r="H14" s="1662"/>
      <c r="I14" s="1662"/>
      <c r="J14" s="1662"/>
      <c r="K14" s="1663"/>
    </row>
    <row r="15" spans="2:13" ht="24.95" customHeight="1">
      <c r="B15" s="2651"/>
      <c r="C15" s="1662">
        <f t="shared" ref="C15:C21" si="0">IF($D$10&gt;C14,C14+1," ")</f>
        <v>3</v>
      </c>
      <c r="D15" s="1713"/>
      <c r="E15" s="1825">
        <v>1</v>
      </c>
      <c r="F15" s="1696" t="e">
        <f>AVERAGE(VLOOKUP(E15+$M$2,'Weapons Table'!$C$6:$S$93,'Weapons Table'!$E$1),VLOOKUP(calculateur2!E15+calculateur2!$M$2,'Weapons Table'!$C$6:$S$93,'Weapons Table'!$F$1))/VLOOKUP($M$2+E15,'Weapons Table'!$C$6:$S$93,'Weapons Table'!$N$1)</f>
        <v>#DIV/0!</v>
      </c>
      <c r="G15" s="1713" t="str">
        <f>IF(C15&gt;$H$9," ",IF(VLOOKUP($M$2+E15,'Weapons Table'!$C$6:$S$93,'Weapons Table'!$N$1)=0," ",calculateur2!F15))</f>
        <v xml:space="preserve"> </v>
      </c>
      <c r="H15" s="1662"/>
      <c r="I15" s="1662"/>
      <c r="J15" s="1662"/>
      <c r="K15" s="1663"/>
    </row>
    <row r="16" spans="2:13" ht="24.95" customHeight="1">
      <c r="B16" s="2651"/>
      <c r="C16" s="1662" t="str">
        <f t="shared" si="0"/>
        <v xml:space="preserve"> </v>
      </c>
      <c r="D16" s="1713"/>
      <c r="E16" s="1825">
        <v>1</v>
      </c>
      <c r="F16" s="1696" t="e">
        <f>AVERAGE(VLOOKUP(E16+$M$2,'Weapons Table'!$C$6:$S$93,'Weapons Table'!$E$1),VLOOKUP(calculateur2!E16+calculateur2!$M$2,'Weapons Table'!$C$6:$S$93,'Weapons Table'!$F$1))/VLOOKUP($M$2+E16,'Weapons Table'!$C$6:$S$93,'Weapons Table'!$N$1)</f>
        <v>#DIV/0!</v>
      </c>
      <c r="G16" s="1713" t="str">
        <f>IF(C16&gt;$H$9," ",IF(VLOOKUP($M$2+E16,'Weapons Table'!$C$6:$S$93,'Weapons Table'!$N$1)=0," ",calculateur2!F16))</f>
        <v xml:space="preserve"> </v>
      </c>
      <c r="H16" s="1662"/>
      <c r="I16" s="1662"/>
      <c r="J16" s="1662"/>
      <c r="K16" s="1663"/>
    </row>
    <row r="17" spans="2:11" ht="24.95" customHeight="1">
      <c r="B17" s="2651"/>
      <c r="C17" s="1662" t="str">
        <f t="shared" si="0"/>
        <v xml:space="preserve"> </v>
      </c>
      <c r="D17" s="1713"/>
      <c r="E17" s="1825">
        <v>1</v>
      </c>
      <c r="F17" s="1696" t="e">
        <f>AVERAGE(VLOOKUP(E17+$M$2,'Weapons Table'!$C$6:$S$93,'Weapons Table'!$E$1),VLOOKUP(calculateur2!E17+calculateur2!$M$2,'Weapons Table'!$C$6:$S$93,'Weapons Table'!$F$1))/VLOOKUP($M$2+E17,'Weapons Table'!$C$6:$S$93,'Weapons Table'!$N$1)</f>
        <v>#DIV/0!</v>
      </c>
      <c r="G17" s="1713" t="str">
        <f>IF(C17&gt;$H$9," ",IF(VLOOKUP($M$2+E17,'Weapons Table'!$C$6:$S$93,'Weapons Table'!$N$1)=0," ",calculateur2!F17))</f>
        <v xml:space="preserve"> </v>
      </c>
      <c r="H17" s="1662"/>
      <c r="I17" s="1662"/>
      <c r="J17" s="1662"/>
      <c r="K17" s="1663"/>
    </row>
    <row r="18" spans="2:11" ht="24.95" customHeight="1">
      <c r="B18" s="2651"/>
      <c r="C18" s="1662" t="str">
        <f t="shared" si="0"/>
        <v xml:space="preserve"> </v>
      </c>
      <c r="D18" s="1713"/>
      <c r="E18" s="1825">
        <v>1</v>
      </c>
      <c r="F18" s="1696" t="e">
        <f>AVERAGE(VLOOKUP(E18+$M$2,'Weapons Table'!$C$6:$S$93,'Weapons Table'!$E$1),VLOOKUP(calculateur2!E18+calculateur2!$M$2,'Weapons Table'!$C$6:$S$93,'Weapons Table'!$F$1))/VLOOKUP($M$2+E18,'Weapons Table'!$C$6:$S$93,'Weapons Table'!$N$1)</f>
        <v>#DIV/0!</v>
      </c>
      <c r="G18" s="1713" t="str">
        <f>IF(C18&gt;$H$9," ",IF(VLOOKUP($M$2+E18,'Weapons Table'!$C$6:$S$93,'Weapons Table'!$N$1)=0," ",calculateur2!F18))</f>
        <v xml:space="preserve"> </v>
      </c>
      <c r="H18" s="1662"/>
      <c r="I18" s="1662"/>
      <c r="J18" s="1662"/>
      <c r="K18" s="1663"/>
    </row>
    <row r="19" spans="2:11" ht="24.95" customHeight="1">
      <c r="B19" s="2651"/>
      <c r="C19" s="1662" t="str">
        <f t="shared" si="0"/>
        <v xml:space="preserve"> </v>
      </c>
      <c r="D19" s="1713"/>
      <c r="E19" s="1825">
        <v>1</v>
      </c>
      <c r="F19" s="1696" t="e">
        <f>AVERAGE(VLOOKUP(E19+$M$2,'Weapons Table'!$C$6:$S$93,'Weapons Table'!$E$1),VLOOKUP(calculateur2!E19+calculateur2!$M$2,'Weapons Table'!$C$6:$S$93,'Weapons Table'!$F$1))/VLOOKUP($M$2+E19,'Weapons Table'!$C$6:$S$93,'Weapons Table'!$N$1)</f>
        <v>#DIV/0!</v>
      </c>
      <c r="G19" s="1713" t="str">
        <f>IF(C19&gt;$H$9," ",IF(VLOOKUP($M$2+E19,'Weapons Table'!$C$6:$S$93,'Weapons Table'!$N$1)=0," ",calculateur2!F19))</f>
        <v xml:space="preserve"> </v>
      </c>
      <c r="H19" s="1662"/>
      <c r="I19" s="1662"/>
      <c r="J19" s="1662"/>
      <c r="K19" s="1663"/>
    </row>
    <row r="20" spans="2:11" ht="24.95" customHeight="1">
      <c r="B20" s="2651"/>
      <c r="C20" s="1662" t="str">
        <f t="shared" si="0"/>
        <v xml:space="preserve"> </v>
      </c>
      <c r="D20" s="1713"/>
      <c r="E20" s="1825">
        <v>1</v>
      </c>
      <c r="F20" s="1696" t="e">
        <f>AVERAGE(VLOOKUP(E20+$M$2,'Weapons Table'!$C$6:$S$93,'Weapons Table'!$E$1),VLOOKUP(calculateur2!E20+calculateur2!$M$2,'Weapons Table'!$C$6:$S$93,'Weapons Table'!$F$1))/VLOOKUP($M$2+E20,'Weapons Table'!$C$6:$S$93,'Weapons Table'!$N$1)</f>
        <v>#DIV/0!</v>
      </c>
      <c r="G20" s="1713" t="str">
        <f>IF(C20&gt;$H$9," ",IF(VLOOKUP($M$2+E20,'Weapons Table'!$C$6:$S$93,'Weapons Table'!$N$1)=0," ",calculateur2!F20))</f>
        <v xml:space="preserve"> </v>
      </c>
      <c r="H20" s="1662"/>
      <c r="I20" s="1662"/>
      <c r="J20" s="1662"/>
      <c r="K20" s="1663"/>
    </row>
    <row r="21" spans="2:11" ht="24.95" customHeight="1" thickBot="1">
      <c r="B21" s="2652"/>
      <c r="C21" s="1664" t="str">
        <f t="shared" si="0"/>
        <v xml:space="preserve"> </v>
      </c>
      <c r="D21" s="1817"/>
      <c r="E21" s="1826">
        <v>1</v>
      </c>
      <c r="F21" s="1697" t="e">
        <f>AVERAGE(VLOOKUP(E21+$M$2,'Weapons Table'!$C$6:$S$93,'Weapons Table'!$E$1),VLOOKUP(calculateur2!E21+calculateur2!$M$2,'Weapons Table'!$C$6:$S$93,'Weapons Table'!$F$1))/VLOOKUP($M$2+E21,'Weapons Table'!$C$6:$S$93,'Weapons Table'!$N$1)</f>
        <v>#DIV/0!</v>
      </c>
      <c r="G21" s="1817" t="str">
        <f>IF(C21&gt;$H$9," ",IF(VLOOKUP($M$2+E21,'Weapons Table'!$C$6:$S$93,'Weapons Table'!$N$1)=0," ",calculateur2!F21))</f>
        <v xml:space="preserve"> </v>
      </c>
      <c r="H21" s="1664"/>
      <c r="I21" s="1664"/>
      <c r="J21" s="1664"/>
      <c r="K21" s="1665"/>
    </row>
    <row r="22" spans="2:11" ht="24.95" customHeight="1" thickBot="1">
      <c r="B22" s="2656" t="s">
        <v>1223</v>
      </c>
      <c r="C22" s="1632" t="s">
        <v>1170</v>
      </c>
      <c r="D22" s="1714">
        <f>G9</f>
        <v>0</v>
      </c>
      <c r="E22" s="1715"/>
      <c r="F22" s="1831"/>
      <c r="G22" s="1714"/>
      <c r="H22" s="1714"/>
      <c r="I22" s="1714"/>
      <c r="J22" s="1714"/>
      <c r="K22" s="1716"/>
    </row>
    <row r="23" spans="2:11" ht="24.95" customHeight="1">
      <c r="B23" s="2657"/>
      <c r="C23" s="2650" t="s">
        <v>1171</v>
      </c>
      <c r="D23" s="2654"/>
      <c r="E23" s="2655"/>
      <c r="F23" s="1696"/>
      <c r="G23" s="1713"/>
      <c r="H23" s="1713"/>
      <c r="I23" s="1713"/>
      <c r="J23" s="1713"/>
      <c r="K23" s="1717"/>
    </row>
    <row r="24" spans="2:11" ht="24.95" customHeight="1" thickBot="1">
      <c r="B24" s="2657"/>
      <c r="C24" s="2652"/>
      <c r="D24" s="2654"/>
      <c r="E24" s="2655"/>
      <c r="F24" s="1712" t="s">
        <v>1199</v>
      </c>
      <c r="G24" s="1713" t="s">
        <v>1199</v>
      </c>
      <c r="H24" s="1713"/>
      <c r="I24" s="1713"/>
      <c r="J24" s="1713"/>
      <c r="K24" s="1717"/>
    </row>
    <row r="25" spans="2:11" ht="24.95" customHeight="1">
      <c r="B25" s="2657"/>
      <c r="C25" s="1662">
        <f>IF($D$22=0,0,1)</f>
        <v>0</v>
      </c>
      <c r="D25" s="1662"/>
      <c r="E25" s="1827">
        <v>1</v>
      </c>
      <c r="F25" s="1730" t="e">
        <f>AVERAGE(VLOOKUP(E25+$M$2*10,'Weapons Table'!$C$6:$S$93,'Weapons Table'!$E$1),VLOOKUP(E25+$M$2*10,'Weapons Table'!$C$6:$S$93,'Weapons Table'!F1)/VLOOKUP(E25+$M$2*10,'Weapons Table'!$C$6:$S$93,'Weapons Table'!$N$1))</f>
        <v>#DIV/0!</v>
      </c>
      <c r="G25" s="1662" t="str">
        <f>IF(C13&gt;$D$10," ",IF(VLOOKUP(E25+$M$2*10,'Weapons Table'!C6:S93,'Weapons Table'!$N$1)=0," ",calculateur2!F25))</f>
        <v xml:space="preserve"> </v>
      </c>
      <c r="H25" s="1662"/>
      <c r="I25" s="1662"/>
      <c r="J25" s="1662"/>
      <c r="K25" s="1663"/>
    </row>
    <row r="26" spans="2:11" ht="24.95" customHeight="1">
      <c r="B26" s="2657"/>
      <c r="C26" s="1662" t="str">
        <f>IF($D$22&gt;C25,C25+1," ")</f>
        <v xml:space="preserve"> </v>
      </c>
      <c r="D26" s="1662"/>
      <c r="E26" s="1827">
        <v>1</v>
      </c>
      <c r="F26" s="1730" t="e">
        <f>AVERAGE(VLOOKUP(E26+$M$2*10,'Weapons Table'!$C$6:$S$93,'Weapons Table'!$E$1),VLOOKUP(E26+$M$2*10,'Weapons Table'!$C$6:$S$93,'Weapons Table'!F2)/VLOOKUP(E26+$M$2*10,'Weapons Table'!$C$6:$S$93,'Weapons Table'!$N$1))</f>
        <v>#VALUE!</v>
      </c>
      <c r="G26" s="1662" t="str">
        <f>IF(C14&gt;$D$10," ",IF(VLOOKUP(E26+$M$2*10,'Weapons Table'!C7:S94,'Weapons Table'!$N$1)=0," ",calculateur2!F26))</f>
        <v xml:space="preserve"> </v>
      </c>
      <c r="H26" s="1662"/>
      <c r="I26" s="1662"/>
      <c r="J26" s="1662"/>
      <c r="K26" s="1663"/>
    </row>
    <row r="27" spans="2:11" ht="24.95" customHeight="1">
      <c r="B27" s="2657"/>
      <c r="C27" s="1662" t="str">
        <f t="shared" ref="C27:C28" si="1">IF($D$22&gt;C26,C26+1," ")</f>
        <v xml:space="preserve"> </v>
      </c>
      <c r="D27" s="1662"/>
      <c r="E27" s="1827">
        <v>1</v>
      </c>
      <c r="F27" s="1730" t="e">
        <f>AVERAGE(VLOOKUP(E27+$M$2*10,'Weapons Table'!$C$6:$S$93,'Weapons Table'!$E$1),VLOOKUP(E27+$M$2*10,'Weapons Table'!$C$6:$S$93,'Weapons Table'!F3)/VLOOKUP(E27+$M$2*10,'Weapons Table'!$C$6:$S$93,'Weapons Table'!$N$1))</f>
        <v>#VALUE!</v>
      </c>
      <c r="G27" s="1662" t="str">
        <f>IF(C15&gt;$D$10," ",IF(VLOOKUP(E27+$M$2*10,'Weapons Table'!C8:S95,'Weapons Table'!$N$1)=0," ",calculateur2!F27))</f>
        <v xml:space="preserve"> </v>
      </c>
      <c r="H27" s="1662"/>
      <c r="I27" s="1662"/>
      <c r="J27" s="1662"/>
      <c r="K27" s="1663"/>
    </row>
    <row r="28" spans="2:11" ht="24.95" customHeight="1" thickBot="1">
      <c r="B28" s="2658"/>
      <c r="C28" s="1664" t="str">
        <f t="shared" si="1"/>
        <v xml:space="preserve"> </v>
      </c>
      <c r="D28" s="1664"/>
      <c r="E28" s="1828">
        <v>1</v>
      </c>
      <c r="F28" s="1731" t="e">
        <f>AVERAGE(VLOOKUP(E28+$M$2*10,'Weapons Table'!$C$6:$S$93,'Weapons Table'!$E$1),VLOOKUP(E28+$M$2*10,'Weapons Table'!$C$6:$S$93,'Weapons Table'!F4)/VLOOKUP(E28+$M$2*10,'Weapons Table'!$C$6:$S$93,'Weapons Table'!$N$1))</f>
        <v>#REF!</v>
      </c>
      <c r="G28" s="1664" t="str">
        <f>IF(C16&gt;$D$10," ",IF(VLOOKUP(E28+$M$2*10,'Weapons Table'!C9:S96,'Weapons Table'!$N$1)=0," ",calculateur2!F28))</f>
        <v xml:space="preserve"> </v>
      </c>
      <c r="H28" s="1664"/>
      <c r="I28" s="1664"/>
      <c r="J28" s="1664"/>
      <c r="K28" s="1665"/>
    </row>
    <row r="29" spans="2:11" ht="24.95" customHeight="1" thickBot="1">
      <c r="B29" s="2656" t="s">
        <v>969</v>
      </c>
      <c r="C29" s="1632" t="s">
        <v>1170</v>
      </c>
      <c r="D29" s="1660">
        <f>E9</f>
        <v>0</v>
      </c>
      <c r="E29" s="1660"/>
      <c r="F29" s="1832"/>
      <c r="G29" s="1660"/>
      <c r="H29" s="1660"/>
      <c r="I29" s="1660"/>
      <c r="J29" s="1660"/>
      <c r="K29" s="1661"/>
    </row>
    <row r="30" spans="2:11" ht="24.95" customHeight="1">
      <c r="B30" s="2657"/>
      <c r="C30" s="2650" t="s">
        <v>1171</v>
      </c>
      <c r="D30" s="1662"/>
      <c r="E30" s="1662"/>
      <c r="F30" s="1730"/>
      <c r="G30" s="1662"/>
      <c r="H30" s="1662"/>
      <c r="I30" s="1662"/>
      <c r="J30" s="1662"/>
      <c r="K30" s="1663"/>
    </row>
    <row r="31" spans="2:11" ht="24.95" customHeight="1" thickBot="1">
      <c r="B31" s="2657"/>
      <c r="C31" s="2652"/>
      <c r="D31" s="1662"/>
      <c r="E31" s="1662"/>
      <c r="F31" s="1730" t="s">
        <v>1199</v>
      </c>
      <c r="G31" s="1662" t="s">
        <v>1199</v>
      </c>
      <c r="H31" s="1662"/>
      <c r="I31" s="1662"/>
      <c r="J31" s="1662"/>
      <c r="K31" s="1663"/>
    </row>
    <row r="32" spans="2:11" ht="24.95" customHeight="1">
      <c r="B32" s="2657"/>
      <c r="C32" s="1662">
        <f>IF($D$29=0,0,1)</f>
        <v>0</v>
      </c>
      <c r="D32" s="1662"/>
      <c r="E32" s="1829">
        <v>1</v>
      </c>
      <c r="F32" s="1730" t="e">
        <f>AVERAGE(VLOOKUP($M$2*10+E32*10,'Weapons Table'!$C$6:$S$93,'Weapons Table'!$E$1),VLOOKUP($M$2*10+E32*10,'Weapons Table'!$C$6:$S$93,'Weapons Table'!$F$1)/VLOOKUP($M$2*10+E32*10,'Weapons Table'!$C$6:$S$93,'Weapons Table'!$N$1))</f>
        <v>#DIV/0!</v>
      </c>
      <c r="G32" s="1662" t="str">
        <f>IF(VLOOKUP($M$2*10+E32*10,'Weapons Table'!$C$6:$S$93,'Weapons Table'!$N$1)=0," ",calculateur2!F32)</f>
        <v xml:space="preserve"> </v>
      </c>
      <c r="H32" s="1662"/>
      <c r="I32" s="1662"/>
      <c r="J32" s="1662"/>
      <c r="K32" s="1663"/>
    </row>
    <row r="33" spans="2:11" ht="24.95" customHeight="1">
      <c r="B33" s="2657"/>
      <c r="C33" s="1662" t="str">
        <f>IF($D$29&gt;C32,C32+1," ")</f>
        <v xml:space="preserve"> </v>
      </c>
      <c r="D33" s="1662"/>
      <c r="E33" s="1829">
        <v>1</v>
      </c>
      <c r="F33" s="1730" t="e">
        <f>AVERAGE(VLOOKUP($M$2*10+E33*10,'Weapons Table'!$C$6:$S$93,'Weapons Table'!$E$1),VLOOKUP($M$2*10+E33*10,'Weapons Table'!$C$6:$S$93,'Weapons Table'!$F$1)/VLOOKUP($M$2*10+E33*10,'Weapons Table'!$C$6:$S$93,'Weapons Table'!$N$1))</f>
        <v>#DIV/0!</v>
      </c>
      <c r="G33" s="1662" t="str">
        <f>IF(VLOOKUP($M$2*10+E33*10,'Weapons Table'!$C$6:$S$93,'Weapons Table'!$N$1)=0," ",calculateur2!F33)</f>
        <v xml:space="preserve"> </v>
      </c>
      <c r="H33" s="1662"/>
      <c r="I33" s="1662"/>
      <c r="J33" s="1662"/>
      <c r="K33" s="1663"/>
    </row>
    <row r="34" spans="2:11" ht="24.95" customHeight="1">
      <c r="B34" s="2657"/>
      <c r="C34" s="1662" t="str">
        <f t="shared" ref="C34:C37" si="2">IF($D$29&gt;C33,C33+1," ")</f>
        <v xml:space="preserve"> </v>
      </c>
      <c r="D34" s="1662"/>
      <c r="E34" s="1829">
        <v>1</v>
      </c>
      <c r="F34" s="1730" t="e">
        <f>AVERAGE(VLOOKUP($M$2*10+E34*10,'Weapons Table'!$C$6:$S$93,'Weapons Table'!$E$1),VLOOKUP($M$2*10+E34*10,'Weapons Table'!$C$6:$S$93,'Weapons Table'!$F$1)/VLOOKUP($M$2*10+E34*10,'Weapons Table'!$C$6:$S$93,'Weapons Table'!$N$1))</f>
        <v>#DIV/0!</v>
      </c>
      <c r="G34" s="1662" t="str">
        <f>IF(VLOOKUP($M$2*10+E34*10,'Weapons Table'!$C$6:$S$93,'Weapons Table'!$N$1)=0," ",calculateur2!F34)</f>
        <v xml:space="preserve"> </v>
      </c>
      <c r="H34" s="1662"/>
      <c r="I34" s="1662"/>
      <c r="J34" s="1662"/>
      <c r="K34" s="1663"/>
    </row>
    <row r="35" spans="2:11" ht="24.95" customHeight="1">
      <c r="B35" s="2657"/>
      <c r="C35" s="1662" t="str">
        <f t="shared" si="2"/>
        <v xml:space="preserve"> </v>
      </c>
      <c r="D35" s="1662"/>
      <c r="E35" s="1829">
        <v>1</v>
      </c>
      <c r="F35" s="1730" t="e">
        <f>AVERAGE(VLOOKUP($M$2*10+E35*10,'Weapons Table'!$C$6:$S$93,'Weapons Table'!$E$1),VLOOKUP($M$2*10+E35*10,'Weapons Table'!$C$6:$S$93,'Weapons Table'!$F$1)/VLOOKUP($M$2*10+E35*10,'Weapons Table'!$C$6:$S$93,'Weapons Table'!$N$1))</f>
        <v>#DIV/0!</v>
      </c>
      <c r="G35" s="1662" t="str">
        <f>IF(VLOOKUP($M$2*10+E35*10,'Weapons Table'!$C$6:$S$93,'Weapons Table'!$N$1)=0," ",calculateur2!F35)</f>
        <v xml:space="preserve"> </v>
      </c>
      <c r="H35" s="1662"/>
      <c r="I35" s="1662"/>
      <c r="J35" s="1662"/>
      <c r="K35" s="1663"/>
    </row>
    <row r="36" spans="2:11" ht="24.95" customHeight="1">
      <c r="B36" s="2657"/>
      <c r="C36" s="1662" t="str">
        <f t="shared" si="2"/>
        <v xml:space="preserve"> </v>
      </c>
      <c r="D36" s="1662"/>
      <c r="E36" s="1829">
        <v>1</v>
      </c>
      <c r="F36" s="1730" t="e">
        <f>AVERAGE(VLOOKUP($M$2*10+E36*10,'Weapons Table'!$C$6:$S$93,'Weapons Table'!$E$1),VLOOKUP($M$2*10+E36*10,'Weapons Table'!$C$6:$S$93,'Weapons Table'!$F$1)/VLOOKUP($M$2*10+E36*10,'Weapons Table'!$C$6:$S$93,'Weapons Table'!$N$1))</f>
        <v>#DIV/0!</v>
      </c>
      <c r="G36" s="1662" t="str">
        <f>IF(VLOOKUP($M$2*10+E36*10,'Weapons Table'!$C$6:$S$93,'Weapons Table'!$N$1)=0," ",calculateur2!F36)</f>
        <v xml:space="preserve"> </v>
      </c>
      <c r="H36" s="1662"/>
      <c r="I36" s="1662"/>
      <c r="J36" s="1662"/>
      <c r="K36" s="1663"/>
    </row>
    <row r="37" spans="2:11" ht="24.95" customHeight="1" thickBot="1">
      <c r="B37" s="2658"/>
      <c r="C37" s="1664" t="str">
        <f t="shared" si="2"/>
        <v xml:space="preserve"> </v>
      </c>
      <c r="D37" s="1664"/>
      <c r="E37" s="1830">
        <v>1</v>
      </c>
      <c r="F37" s="1731" t="e">
        <f>AVERAGE(VLOOKUP($M$2*10+E37*10,'Weapons Table'!$C$6:$S$93,'Weapons Table'!$E$1),VLOOKUP($M$2*10+E37*10,'Weapons Table'!$C$6:$S$93,'Weapons Table'!$F$1)/VLOOKUP($M$2*10+E37*10,'Weapons Table'!$C$6:$S$93,'Weapons Table'!$N$1))</f>
        <v>#DIV/0!</v>
      </c>
      <c r="G37" s="1664" t="str">
        <f>IF(VLOOKUP($M$2*10+E37*10,'Weapons Table'!$C$6:$S$93,'Weapons Table'!$N$1)=0," ",calculateur2!F37)</f>
        <v xml:space="preserve"> </v>
      </c>
      <c r="H37" s="1664"/>
      <c r="I37" s="1664"/>
      <c r="J37" s="1664"/>
      <c r="K37" s="1665"/>
    </row>
    <row r="38" spans="2:11" ht="24.95" customHeight="1"/>
    <row r="39" spans="2:11" ht="24.95" customHeight="1"/>
    <row r="40" spans="2:11" ht="24.95" customHeight="1"/>
    <row r="41" spans="2:11" ht="24.95" customHeight="1"/>
    <row r="42" spans="2:11" ht="24.95" customHeight="1"/>
    <row r="43" spans="2:11" ht="24.95" customHeight="1"/>
    <row r="44" spans="2:11" ht="24.95" customHeight="1"/>
    <row r="45" spans="2:11" ht="24.95" customHeight="1"/>
    <row r="46" spans="2:11" ht="24.95" customHeight="1"/>
    <row r="47" spans="2:11" ht="24.95" customHeight="1"/>
    <row r="48" spans="2:11" ht="24.95" customHeight="1"/>
    <row r="49" spans="12:17" ht="24.95" customHeight="1"/>
    <row r="50" spans="12:17" ht="24.95" customHeight="1"/>
    <row r="51" spans="12:17" ht="24.95" customHeight="1"/>
    <row r="52" spans="12:17" ht="24.95" customHeight="1"/>
    <row r="53" spans="12:17" ht="24.95" customHeight="1"/>
    <row r="54" spans="12:17" ht="24.95" customHeight="1"/>
    <row r="55" spans="12:17" ht="24.95" customHeight="1"/>
    <row r="56" spans="12:17" ht="24.95" customHeight="1"/>
    <row r="57" spans="12:17" ht="24.95" customHeight="1"/>
    <row r="58" spans="12:17" ht="24.95" customHeight="1"/>
    <row r="59" spans="12:17" ht="24.95" customHeight="1">
      <c r="L59" s="2653" t="s">
        <v>1117</v>
      </c>
      <c r="M59" s="2653"/>
      <c r="N59" s="2653"/>
      <c r="O59" s="2653"/>
      <c r="Q59" s="1657" t="s">
        <v>1169</v>
      </c>
    </row>
    <row r="60" spans="12:17" ht="159.94999999999999" customHeight="1">
      <c r="L60" s="1818">
        <v>1</v>
      </c>
      <c r="M60" s="1818" t="s">
        <v>1101</v>
      </c>
      <c r="N60" s="1819"/>
      <c r="O60" s="1818" t="str">
        <f ca="1">CELL("adresse",N60)</f>
        <v>$N$60</v>
      </c>
    </row>
    <row r="61" spans="12:17" ht="159.94999999999999" customHeight="1">
      <c r="L61" s="1818">
        <v>2</v>
      </c>
      <c r="M61" s="1818" t="s">
        <v>1102</v>
      </c>
      <c r="N61" s="1819"/>
      <c r="O61" s="1818" t="str">
        <f t="shared" ref="O61" ca="1" si="3">CELL("adresse",N61)</f>
        <v>$N$61</v>
      </c>
    </row>
    <row r="62" spans="12:17" ht="159.94999999999999" customHeight="1">
      <c r="L62" s="1818">
        <v>3</v>
      </c>
      <c r="M62" s="1818" t="s">
        <v>1103</v>
      </c>
      <c r="N62" s="1819"/>
      <c r="O62" s="1818" t="str">
        <f ca="1">CELL("adresse",N62)</f>
        <v>$N$62</v>
      </c>
    </row>
    <row r="63" spans="12:17" ht="159.94999999999999" customHeight="1">
      <c r="L63" s="1818">
        <v>4</v>
      </c>
      <c r="M63" s="1818" t="s">
        <v>1104</v>
      </c>
      <c r="N63" s="1819"/>
      <c r="O63" s="1818" t="str">
        <f t="shared" ref="O63:O74" ca="1" si="4">CELL("adresse",N63)</f>
        <v>$N$63</v>
      </c>
    </row>
    <row r="64" spans="12:17" ht="159.94999999999999" customHeight="1">
      <c r="L64" s="1818">
        <v>5</v>
      </c>
      <c r="M64" s="1818" t="s">
        <v>1105</v>
      </c>
      <c r="N64" s="1819"/>
      <c r="O64" s="1818" t="str">
        <f t="shared" ca="1" si="4"/>
        <v>$N$64</v>
      </c>
    </row>
    <row r="65" spans="12:39" ht="159.94999999999999" customHeight="1">
      <c r="L65" s="1818">
        <v>6</v>
      </c>
      <c r="M65" s="1818" t="s">
        <v>802</v>
      </c>
      <c r="N65" s="1819"/>
      <c r="O65" s="1818" t="str">
        <f t="shared" ca="1" si="4"/>
        <v>$N$65</v>
      </c>
    </row>
    <row r="66" spans="12:39" ht="159.94999999999999" customHeight="1">
      <c r="L66" s="1818">
        <v>7</v>
      </c>
      <c r="M66" s="1818" t="s">
        <v>1106</v>
      </c>
      <c r="N66" s="1819"/>
      <c r="O66" s="1818" t="str">
        <f t="shared" ca="1" si="4"/>
        <v>$N$66</v>
      </c>
    </row>
    <row r="67" spans="12:39" ht="159.94999999999999" customHeight="1">
      <c r="L67" s="1818">
        <v>8</v>
      </c>
      <c r="M67" s="1818" t="s">
        <v>1107</v>
      </c>
      <c r="N67" s="1819"/>
      <c r="O67" s="1818" t="str">
        <f t="shared" ca="1" si="4"/>
        <v>$N$67</v>
      </c>
    </row>
    <row r="68" spans="12:39" ht="159.94999999999999" customHeight="1">
      <c r="L68" s="1818">
        <v>9</v>
      </c>
      <c r="M68" s="1818" t="s">
        <v>1108</v>
      </c>
      <c r="N68" s="1819"/>
      <c r="O68" s="1818" t="str">
        <f t="shared" ca="1" si="4"/>
        <v>$N$68</v>
      </c>
    </row>
    <row r="69" spans="12:39" ht="159.94999999999999" customHeight="1">
      <c r="L69" s="1818">
        <v>10</v>
      </c>
      <c r="M69" s="1818" t="s">
        <v>1109</v>
      </c>
      <c r="N69" s="1819"/>
      <c r="O69" s="1818" t="str">
        <f t="shared" ca="1" si="4"/>
        <v>$N$69</v>
      </c>
    </row>
    <row r="70" spans="12:39" ht="159.94999999999999" customHeight="1">
      <c r="L70" s="1818">
        <v>11</v>
      </c>
      <c r="M70" s="1818" t="s">
        <v>1110</v>
      </c>
      <c r="N70" s="1819"/>
      <c r="O70" s="1818" t="str">
        <f t="shared" ca="1" si="4"/>
        <v>$N$70</v>
      </c>
    </row>
    <row r="71" spans="12:39" ht="159.94999999999999" customHeight="1">
      <c r="L71" s="1818">
        <v>12</v>
      </c>
      <c r="M71" s="1818" t="s">
        <v>1111</v>
      </c>
      <c r="N71" s="1819"/>
      <c r="O71" s="1818" t="str">
        <f t="shared" ca="1" si="4"/>
        <v>$N$71</v>
      </c>
    </row>
    <row r="72" spans="12:39" ht="159.94999999999999" customHeight="1">
      <c r="L72" s="1818">
        <v>13</v>
      </c>
      <c r="M72" s="1818" t="s">
        <v>945</v>
      </c>
      <c r="N72" s="1819"/>
      <c r="O72" s="1818" t="str">
        <f t="shared" ca="1" si="4"/>
        <v>$N$72</v>
      </c>
    </row>
    <row r="73" spans="12:39" ht="159.94999999999999" customHeight="1">
      <c r="L73" s="1818">
        <v>14</v>
      </c>
      <c r="M73" s="1818" t="s">
        <v>1113</v>
      </c>
      <c r="N73" s="1819"/>
      <c r="O73" s="1818" t="str">
        <f t="shared" ca="1" si="4"/>
        <v>$N$73</v>
      </c>
    </row>
    <row r="74" spans="12:39" ht="159.94999999999999" customHeight="1">
      <c r="L74" s="1818">
        <v>15</v>
      </c>
      <c r="M74" s="1818" t="s">
        <v>1112</v>
      </c>
      <c r="N74" s="1819"/>
      <c r="O74" s="1818" t="str">
        <f t="shared" ca="1" si="4"/>
        <v>$N$74</v>
      </c>
    </row>
    <row r="75" spans="12:39" ht="20.100000000000001" customHeight="1">
      <c r="L75" s="1820"/>
      <c r="M75" s="1820"/>
      <c r="N75" s="1658"/>
      <c r="O75" s="1820"/>
      <c r="P75" s="2649">
        <v>100</v>
      </c>
      <c r="Q75" s="2649"/>
      <c r="R75" s="2649"/>
      <c r="S75" s="2649"/>
      <c r="T75" s="2649">
        <v>200</v>
      </c>
      <c r="U75" s="2649"/>
      <c r="V75" s="2649"/>
      <c r="W75" s="2649"/>
      <c r="X75" s="2649">
        <v>300</v>
      </c>
      <c r="Y75" s="2649"/>
      <c r="Z75" s="2649"/>
      <c r="AA75" s="2649"/>
      <c r="AB75" s="2649">
        <v>400</v>
      </c>
      <c r="AC75" s="2649"/>
      <c r="AD75" s="2649"/>
      <c r="AE75" s="2649"/>
      <c r="AF75" s="2649">
        <v>500</v>
      </c>
      <c r="AG75" s="2649"/>
      <c r="AH75" s="2649"/>
      <c r="AI75" s="2649"/>
      <c r="AJ75" s="1657">
        <f>M2</f>
        <v>100</v>
      </c>
    </row>
    <row r="76" spans="12:39" ht="24.95" customHeight="1">
      <c r="P76" s="2649" t="s">
        <v>1198</v>
      </c>
      <c r="Q76" s="2649"/>
      <c r="R76" s="2649"/>
      <c r="S76" s="2649"/>
      <c r="T76" s="2649" t="s">
        <v>1208</v>
      </c>
      <c r="U76" s="2649"/>
      <c r="V76" s="2649"/>
      <c r="W76" s="2649"/>
      <c r="X76" s="2649" t="s">
        <v>1214</v>
      </c>
      <c r="Y76" s="2649"/>
      <c r="Z76" s="2649"/>
      <c r="AA76" s="2649"/>
      <c r="AB76" s="2649" t="s">
        <v>1215</v>
      </c>
      <c r="AC76" s="2649"/>
      <c r="AD76" s="2649"/>
      <c r="AE76" s="2649"/>
      <c r="AF76" s="2649" t="s">
        <v>1216</v>
      </c>
      <c r="AG76" s="2649"/>
      <c r="AH76" s="2649"/>
      <c r="AI76" s="2649"/>
      <c r="AJ76" s="2649" t="str">
        <f>HLOOKUP(AJ75,$P$75:$AI$96,2)</f>
        <v>images armes chasseur</v>
      </c>
      <c r="AK76" s="2649"/>
      <c r="AL76" s="2649"/>
      <c r="AM76" s="2649"/>
    </row>
    <row r="77" spans="12:39" ht="30.75" customHeight="1">
      <c r="P77" s="1657">
        <v>1</v>
      </c>
      <c r="Q77" s="1657" t="s">
        <v>61</v>
      </c>
      <c r="R77" s="1659"/>
      <c r="S77" s="1657" t="str">
        <f ca="1">CELL("adresse",R77)</f>
        <v>$R$77</v>
      </c>
      <c r="T77" s="1657">
        <v>1</v>
      </c>
      <c r="U77" s="1657" t="s">
        <v>61</v>
      </c>
      <c r="V77" s="1659"/>
      <c r="W77" s="1657" t="str">
        <f ca="1">CELL("adresse",V77)</f>
        <v>$V$77</v>
      </c>
      <c r="X77" s="1657">
        <v>1</v>
      </c>
      <c r="Y77" s="1821" t="s">
        <v>61</v>
      </c>
      <c r="Z77" s="1659"/>
      <c r="AA77" s="1657" t="str">
        <f ca="1">CELL("adresse",Z77)</f>
        <v>$Z$77</v>
      </c>
      <c r="AB77" s="1657">
        <v>1</v>
      </c>
      <c r="AC77" s="1657" t="s">
        <v>61</v>
      </c>
      <c r="AD77" s="1659"/>
      <c r="AE77" s="1657" t="str">
        <f ca="1">CELL("adresse",AD77)</f>
        <v>$AD$77</v>
      </c>
      <c r="AH77" s="1659"/>
      <c r="AI77" s="1657" t="str">
        <f ca="1">CELL("adresse",AH77)</f>
        <v>$AH$77</v>
      </c>
      <c r="AJ77" s="1657">
        <v>1</v>
      </c>
      <c r="AK77" s="1657" t="str">
        <f>IF($AJ$75=$P$75,Q77,IF($AJ$75=$T$75,U77,IF($AJ$75=$X$75,Y77,IF($AJ$75=$AB$75,AC77,AG77))))</f>
        <v>-</v>
      </c>
      <c r="AM77" s="1657" t="str">
        <f ca="1">IF($AJ$75=100,S77,IF($AJ$75=200,W77,IF($AJ$75=300,AA77,IF($AJ$75=400,AE77,AI77))))</f>
        <v>$R$77</v>
      </c>
    </row>
    <row r="78" spans="12:39" ht="30.75" customHeight="1">
      <c r="P78" s="1657">
        <v>2</v>
      </c>
      <c r="Q78" s="1657" t="s">
        <v>1036</v>
      </c>
      <c r="R78" s="1659"/>
      <c r="S78" s="1657" t="str">
        <f t="shared" ref="S78:S96" ca="1" si="5">CELL("adresse",R78)</f>
        <v>$R$78</v>
      </c>
      <c r="T78" s="1657">
        <v>2</v>
      </c>
      <c r="U78" s="1657" t="s">
        <v>1187</v>
      </c>
      <c r="V78" s="1659"/>
      <c r="W78" s="1657" t="str">
        <f t="shared" ref="W78:W93" ca="1" si="6">CELL("adresse",V78)</f>
        <v>$V$78</v>
      </c>
      <c r="X78" s="1657">
        <v>2</v>
      </c>
      <c r="Y78" s="1822" t="s">
        <v>95</v>
      </c>
      <c r="Z78" s="1659"/>
      <c r="AA78" s="1657" t="str">
        <f t="shared" ref="AA78:AA95" ca="1" si="7">CELL("adresse",Z78)</f>
        <v>$Z$78</v>
      </c>
      <c r="AB78" s="1657">
        <v>2</v>
      </c>
      <c r="AC78" s="1657" t="s">
        <v>61</v>
      </c>
      <c r="AD78" s="1659"/>
      <c r="AE78" s="1657" t="str">
        <f t="shared" ref="AE78:AE96" ca="1" si="8">CELL("adresse",AD78)</f>
        <v>$AD$78</v>
      </c>
      <c r="AH78" s="1659"/>
      <c r="AI78" s="1657" t="str">
        <f t="shared" ref="AI78:AI96" ca="1" si="9">CELL("adresse",AH78)</f>
        <v>$AH$78</v>
      </c>
      <c r="AJ78" s="1657">
        <v>2</v>
      </c>
      <c r="AK78" s="1657" t="str">
        <f t="shared" ref="AK78:AK96" si="10">IF($AJ$75=$P$75,Q78,IF($AJ$75=$T$75,U78,IF($AJ$75=$X$75,Y78,IF($AJ$75=$AB$75,AC78,AG78))))</f>
        <v>canon cinétique</v>
      </c>
      <c r="AM78" s="1657" t="str">
        <f t="shared" ref="AM78:AM96" ca="1" si="11">IF($AJ$75=100,S78,IF($AJ$75=200,W78,IF($AJ$75=300,AA78,IF($AJ$75=400,AE78,AI78))))</f>
        <v>$R$78</v>
      </c>
    </row>
    <row r="79" spans="12:39" ht="30.75" customHeight="1">
      <c r="P79" s="1657">
        <v>3</v>
      </c>
      <c r="Q79" s="1657" t="s">
        <v>1187</v>
      </c>
      <c r="R79" s="1659"/>
      <c r="S79" s="1657" t="str">
        <f t="shared" ca="1" si="5"/>
        <v>$R$79</v>
      </c>
      <c r="T79" s="1657">
        <v>3</v>
      </c>
      <c r="U79" s="1657" t="s">
        <v>1188</v>
      </c>
      <c r="V79" s="1659"/>
      <c r="W79" s="1657" t="str">
        <f t="shared" ca="1" si="6"/>
        <v>$V$79</v>
      </c>
      <c r="X79" s="1657">
        <v>3</v>
      </c>
      <c r="Y79" s="1822" t="s">
        <v>96</v>
      </c>
      <c r="Z79" s="1659"/>
      <c r="AA79" s="1657" t="str">
        <f t="shared" ca="1" si="7"/>
        <v>$Z$79</v>
      </c>
      <c r="AB79" s="1657">
        <v>3</v>
      </c>
      <c r="AC79" s="1657" t="s">
        <v>61</v>
      </c>
      <c r="AD79" s="1659"/>
      <c r="AE79" s="1657" t="str">
        <f t="shared" ca="1" si="8"/>
        <v>$AD$79</v>
      </c>
      <c r="AH79" s="1659"/>
      <c r="AI79" s="1657" t="str">
        <f t="shared" ca="1" si="9"/>
        <v>$AH$79</v>
      </c>
      <c r="AJ79" s="1657">
        <v>3</v>
      </c>
      <c r="AK79" s="1657" t="str">
        <f t="shared" si="10"/>
        <v>Canon cour (M)</v>
      </c>
      <c r="AM79" s="1657" t="str">
        <f t="shared" ca="1" si="11"/>
        <v>$R$79</v>
      </c>
    </row>
    <row r="80" spans="12:39" ht="30.75" customHeight="1">
      <c r="P80" s="1657">
        <v>4</v>
      </c>
      <c r="Q80" s="1657" t="s">
        <v>1188</v>
      </c>
      <c r="R80" s="1659"/>
      <c r="S80" s="1657" t="str">
        <f t="shared" ca="1" si="5"/>
        <v>$R$80</v>
      </c>
      <c r="T80" s="1657">
        <v>4</v>
      </c>
      <c r="U80" s="1657" t="s">
        <v>1209</v>
      </c>
      <c r="V80" s="1659"/>
      <c r="W80" s="1657" t="str">
        <f t="shared" ca="1" si="6"/>
        <v>$V$80</v>
      </c>
      <c r="X80" s="1657">
        <v>4</v>
      </c>
      <c r="Y80" s="1822" t="s">
        <v>97</v>
      </c>
      <c r="Z80" s="1659"/>
      <c r="AA80" s="1657" t="str">
        <f t="shared" ca="1" si="7"/>
        <v>$Z$80</v>
      </c>
      <c r="AB80" s="1657">
        <v>4</v>
      </c>
      <c r="AC80" s="1657" t="s">
        <v>61</v>
      </c>
      <c r="AD80" s="1659"/>
      <c r="AE80" s="1657" t="str">
        <f t="shared" ca="1" si="8"/>
        <v>$AD$80</v>
      </c>
      <c r="AH80" s="1659"/>
      <c r="AI80" s="1657" t="str">
        <f t="shared" ca="1" si="9"/>
        <v>$AH$80</v>
      </c>
      <c r="AJ80" s="1657">
        <v>4</v>
      </c>
      <c r="AK80" s="1657" t="str">
        <f t="shared" si="10"/>
        <v>Canon cour (P)</v>
      </c>
      <c r="AM80" s="1657" t="str">
        <f t="shared" ca="1" si="11"/>
        <v>$R$80</v>
      </c>
    </row>
    <row r="81" spans="16:39" ht="30.75" customHeight="1">
      <c r="P81" s="1657">
        <v>5</v>
      </c>
      <c r="Q81" s="1657" t="s">
        <v>1182</v>
      </c>
      <c r="R81" s="1659"/>
      <c r="S81" s="1657" t="str">
        <f t="shared" ca="1" si="5"/>
        <v>$R$81</v>
      </c>
      <c r="T81" s="1657">
        <v>5</v>
      </c>
      <c r="U81" s="1657" t="s">
        <v>1210</v>
      </c>
      <c r="V81" s="1659"/>
      <c r="W81" s="1657" t="str">
        <f t="shared" ca="1" si="6"/>
        <v>$V$81</v>
      </c>
      <c r="X81" s="1657">
        <v>5</v>
      </c>
      <c r="Y81" s="1822" t="s">
        <v>1015</v>
      </c>
      <c r="Z81" s="1659"/>
      <c r="AA81" s="1657" t="str">
        <f t="shared" ca="1" si="7"/>
        <v>$Z$81</v>
      </c>
      <c r="AB81" s="1657">
        <v>5</v>
      </c>
      <c r="AC81" s="1657" t="s">
        <v>61</v>
      </c>
      <c r="AD81" s="1659"/>
      <c r="AE81" s="1657" t="str">
        <f t="shared" ca="1" si="8"/>
        <v>$AD$81</v>
      </c>
      <c r="AH81" s="1659"/>
      <c r="AI81" s="1657" t="str">
        <f t="shared" ca="1" si="9"/>
        <v>$AH$81</v>
      </c>
      <c r="AJ81" s="1657">
        <v>5</v>
      </c>
      <c r="AK81" s="1657" t="str">
        <f t="shared" si="10"/>
        <v>Canon experimental</v>
      </c>
      <c r="AM81" s="1657" t="str">
        <f t="shared" ca="1" si="11"/>
        <v>$R$81</v>
      </c>
    </row>
    <row r="82" spans="16:39" ht="30.75" customHeight="1">
      <c r="P82" s="1657">
        <v>6</v>
      </c>
      <c r="Q82" s="1657" t="s">
        <v>1183</v>
      </c>
      <c r="R82" s="1659"/>
      <c r="S82" s="1657" t="str">
        <f t="shared" ca="1" si="5"/>
        <v>$R$82</v>
      </c>
      <c r="T82" s="1657">
        <v>6</v>
      </c>
      <c r="U82" s="1657" t="s">
        <v>1211</v>
      </c>
      <c r="V82" s="1659"/>
      <c r="W82" s="1657" t="str">
        <f t="shared" ca="1" si="6"/>
        <v>$V$82</v>
      </c>
      <c r="X82" s="1657">
        <v>6</v>
      </c>
      <c r="Y82" s="1822" t="s">
        <v>98</v>
      </c>
      <c r="Z82" s="1659"/>
      <c r="AA82" s="1657" t="str">
        <f t="shared" ca="1" si="7"/>
        <v>$Z$82</v>
      </c>
      <c r="AB82" s="1657">
        <v>6</v>
      </c>
      <c r="AC82" s="1657" t="s">
        <v>61</v>
      </c>
      <c r="AD82" s="1659"/>
      <c r="AE82" s="1657" t="str">
        <f t="shared" ca="1" si="8"/>
        <v>$AD$82</v>
      </c>
      <c r="AH82" s="1659"/>
      <c r="AI82" s="1657" t="str">
        <f t="shared" ca="1" si="9"/>
        <v>$AH$82</v>
      </c>
      <c r="AJ82" s="1657">
        <v>6</v>
      </c>
      <c r="AK82" s="1657" t="str">
        <f t="shared" si="10"/>
        <v>Canon expérimental +5%</v>
      </c>
      <c r="AM82" s="1657" t="str">
        <f t="shared" ca="1" si="11"/>
        <v>$R$82</v>
      </c>
    </row>
    <row r="83" spans="16:39" ht="30.75" customHeight="1">
      <c r="P83" s="1657">
        <v>7</v>
      </c>
      <c r="Q83" s="1657" t="s">
        <v>1189</v>
      </c>
      <c r="R83" s="1659"/>
      <c r="S83" s="1657" t="str">
        <f t="shared" ca="1" si="5"/>
        <v>$R$83</v>
      </c>
      <c r="T83" s="1657">
        <v>7</v>
      </c>
      <c r="U83" s="1657" t="s">
        <v>1190</v>
      </c>
      <c r="V83" s="1659"/>
      <c r="W83" s="1657" t="str">
        <f t="shared" ca="1" si="6"/>
        <v>$V$83</v>
      </c>
      <c r="X83" s="1657">
        <v>7</v>
      </c>
      <c r="Y83" s="1822" t="s">
        <v>99</v>
      </c>
      <c r="Z83" s="1659"/>
      <c r="AA83" s="1657" t="str">
        <f t="shared" ca="1" si="7"/>
        <v>$Z$83</v>
      </c>
      <c r="AB83" s="1657">
        <v>7</v>
      </c>
      <c r="AC83" s="1657" t="s">
        <v>61</v>
      </c>
      <c r="AD83" s="1659"/>
      <c r="AE83" s="1657" t="str">
        <f t="shared" ca="1" si="8"/>
        <v>$AD$83</v>
      </c>
      <c r="AH83" s="1659"/>
      <c r="AI83" s="1657" t="str">
        <f t="shared" ca="1" si="9"/>
        <v>$AH$83</v>
      </c>
      <c r="AJ83" s="1657">
        <v>7</v>
      </c>
      <c r="AK83" s="1657" t="str">
        <f t="shared" si="10"/>
        <v>Canon standard (M)</v>
      </c>
      <c r="AM83" s="1657" t="str">
        <f t="shared" ca="1" si="11"/>
        <v>$R$83</v>
      </c>
    </row>
    <row r="84" spans="16:39" ht="30.75" customHeight="1">
      <c r="P84" s="1657">
        <v>8</v>
      </c>
      <c r="Q84" s="1657" t="s">
        <v>1190</v>
      </c>
      <c r="R84" s="1659"/>
      <c r="S84" s="1657" t="str">
        <f t="shared" ca="1" si="5"/>
        <v>$R$84</v>
      </c>
      <c r="T84" s="1657">
        <v>8</v>
      </c>
      <c r="U84" s="1657" t="s">
        <v>1191</v>
      </c>
      <c r="V84" s="1659"/>
      <c r="W84" s="1657" t="str">
        <f t="shared" ca="1" si="6"/>
        <v>$V$84</v>
      </c>
      <c r="X84" s="1657">
        <v>8</v>
      </c>
      <c r="Y84" s="1822" t="s">
        <v>100</v>
      </c>
      <c r="Z84" s="1659"/>
      <c r="AA84" s="1657" t="str">
        <f t="shared" ca="1" si="7"/>
        <v>$Z$84</v>
      </c>
      <c r="AB84" s="1657">
        <v>8</v>
      </c>
      <c r="AC84" s="1657" t="s">
        <v>61</v>
      </c>
      <c r="AD84" s="1659"/>
      <c r="AE84" s="1657" t="str">
        <f t="shared" ca="1" si="8"/>
        <v>$AD$84</v>
      </c>
      <c r="AH84" s="1659"/>
      <c r="AI84" s="1657" t="str">
        <f t="shared" ca="1" si="9"/>
        <v>$AH$84</v>
      </c>
      <c r="AJ84" s="1657">
        <v>8</v>
      </c>
      <c r="AK84" s="1657" t="str">
        <f t="shared" si="10"/>
        <v>Canon standard (P)</v>
      </c>
      <c r="AM84" s="1657" t="str">
        <f t="shared" ca="1" si="11"/>
        <v>$R$84</v>
      </c>
    </row>
    <row r="85" spans="16:39" ht="30.75" customHeight="1">
      <c r="P85" s="1657">
        <v>9</v>
      </c>
      <c r="Q85" s="1657" t="s">
        <v>1191</v>
      </c>
      <c r="R85" s="1659"/>
      <c r="S85" s="1657" t="str">
        <f t="shared" ca="1" si="5"/>
        <v>$R$85</v>
      </c>
      <c r="T85" s="1657">
        <v>9</v>
      </c>
      <c r="U85" s="1657" t="s">
        <v>1212</v>
      </c>
      <c r="V85" s="1659"/>
      <c r="W85" s="1657" t="str">
        <f t="shared" ca="1" si="6"/>
        <v>$V$85</v>
      </c>
      <c r="X85" s="1657">
        <v>9</v>
      </c>
      <c r="Y85" s="1822" t="s">
        <v>101</v>
      </c>
      <c r="Z85" s="1659"/>
      <c r="AA85" s="1657" t="str">
        <f t="shared" ca="1" si="7"/>
        <v>$Z$85</v>
      </c>
      <c r="AB85" s="1657">
        <v>9</v>
      </c>
      <c r="AC85" s="1657" t="s">
        <v>807</v>
      </c>
      <c r="AD85" s="1659"/>
      <c r="AE85" s="1657" t="str">
        <f t="shared" ca="1" si="8"/>
        <v>$AD$85</v>
      </c>
      <c r="AH85" s="1659"/>
      <c r="AI85" s="1657" t="str">
        <f t="shared" ca="1" si="9"/>
        <v>$AH$85</v>
      </c>
      <c r="AJ85" s="1657">
        <v>9</v>
      </c>
      <c r="AK85" s="1657" t="str">
        <f t="shared" si="10"/>
        <v>Canon long (M)</v>
      </c>
      <c r="AM85" s="1657" t="str">
        <f t="shared" ca="1" si="11"/>
        <v>$R$85</v>
      </c>
    </row>
    <row r="86" spans="16:39" ht="30.75" customHeight="1">
      <c r="P86" s="1657">
        <v>10</v>
      </c>
      <c r="Q86" s="1657" t="s">
        <v>1212</v>
      </c>
      <c r="R86" s="1659"/>
      <c r="S86" s="1657" t="str">
        <f t="shared" ca="1" si="5"/>
        <v>$R$86</v>
      </c>
      <c r="T86" s="1657">
        <v>10</v>
      </c>
      <c r="U86" s="1657" t="s">
        <v>1184</v>
      </c>
      <c r="V86" s="1659"/>
      <c r="W86" s="1657" t="str">
        <f t="shared" ca="1" si="6"/>
        <v>$V$86</v>
      </c>
      <c r="X86" s="1657">
        <v>10</v>
      </c>
      <c r="Y86" s="1822" t="s">
        <v>111</v>
      </c>
      <c r="Z86" s="1659"/>
      <c r="AA86" s="1657" t="str">
        <f t="shared" ca="1" si="7"/>
        <v>$Z$86</v>
      </c>
      <c r="AB86" s="1657">
        <v>10</v>
      </c>
      <c r="AC86" s="1657" t="s">
        <v>803</v>
      </c>
      <c r="AD86" s="1659"/>
      <c r="AE86" s="1657" t="str">
        <f t="shared" ca="1" si="8"/>
        <v>$AD$86</v>
      </c>
      <c r="AH86" s="1659"/>
      <c r="AI86" s="1657" t="str">
        <f t="shared" ca="1" si="9"/>
        <v>$AH$86</v>
      </c>
      <c r="AJ86" s="1657">
        <v>10</v>
      </c>
      <c r="AK86" s="1657" t="str">
        <f t="shared" si="10"/>
        <v>Canon long (P)</v>
      </c>
      <c r="AM86" s="1657" t="str">
        <f t="shared" ca="1" si="11"/>
        <v>$R$86</v>
      </c>
    </row>
    <row r="87" spans="16:39" ht="30.75" customHeight="1">
      <c r="P87" s="1657">
        <v>11</v>
      </c>
      <c r="Q87" s="1657" t="s">
        <v>1184</v>
      </c>
      <c r="R87" s="1659"/>
      <c r="S87" s="1657" t="str">
        <f t="shared" ca="1" si="5"/>
        <v>$R$87</v>
      </c>
      <c r="T87" s="1657">
        <v>11</v>
      </c>
      <c r="U87" s="1657" t="s">
        <v>1192</v>
      </c>
      <c r="V87" s="1659"/>
      <c r="W87" s="1657" t="str">
        <f t="shared" ca="1" si="6"/>
        <v>$V$87</v>
      </c>
      <c r="X87" s="1657">
        <v>11</v>
      </c>
      <c r="Y87" s="1822" t="s">
        <v>110</v>
      </c>
      <c r="Z87" s="1659"/>
      <c r="AA87" s="1657" t="str">
        <f t="shared" ca="1" si="7"/>
        <v>$Z$87</v>
      </c>
      <c r="AB87" s="1657">
        <v>11</v>
      </c>
      <c r="AC87" s="1657" t="s">
        <v>61</v>
      </c>
      <c r="AD87" s="1659"/>
      <c r="AE87" s="1657" t="str">
        <f t="shared" ca="1" si="8"/>
        <v>$AD$87</v>
      </c>
      <c r="AH87" s="1659"/>
      <c r="AI87" s="1657" t="str">
        <f t="shared" ca="1" si="9"/>
        <v>$AH$87</v>
      </c>
      <c r="AJ87" s="1657">
        <v>11</v>
      </c>
      <c r="AK87" s="1823" t="str">
        <f t="shared" si="10"/>
        <v>Canon d'extraction</v>
      </c>
      <c r="AM87" s="1657" t="str">
        <f t="shared" ca="1" si="11"/>
        <v>$R$87</v>
      </c>
    </row>
    <row r="88" spans="16:39" ht="30.75" customHeight="1">
      <c r="P88" s="1657">
        <v>12</v>
      </c>
      <c r="Q88" s="1657" t="s">
        <v>1192</v>
      </c>
      <c r="R88" s="1659"/>
      <c r="S88" s="1657" t="str">
        <f t="shared" ca="1" si="5"/>
        <v>$R$88</v>
      </c>
      <c r="T88" s="1657">
        <v>12</v>
      </c>
      <c r="U88" s="1657" t="s">
        <v>1193</v>
      </c>
      <c r="V88" s="1659"/>
      <c r="W88" s="1657" t="str">
        <f t="shared" ca="1" si="6"/>
        <v>$V$88</v>
      </c>
      <c r="X88" s="1657">
        <v>12</v>
      </c>
      <c r="Y88" s="1822" t="s">
        <v>102</v>
      </c>
      <c r="Z88" s="1659"/>
      <c r="AA88" s="1657" t="str">
        <f t="shared" ca="1" si="7"/>
        <v>$Z$88</v>
      </c>
      <c r="AB88" s="1657">
        <v>12</v>
      </c>
      <c r="AC88" s="1657" t="s">
        <v>61</v>
      </c>
      <c r="AD88" s="1659"/>
      <c r="AE88" s="1657" t="str">
        <f t="shared" ca="1" si="8"/>
        <v>$AD$88</v>
      </c>
      <c r="AH88" s="1659"/>
      <c r="AI88" s="1657" t="str">
        <f t="shared" ca="1" si="9"/>
        <v>$AH$88</v>
      </c>
      <c r="AJ88" s="1657">
        <v>12</v>
      </c>
      <c r="AK88" s="1823" t="str">
        <f t="shared" si="10"/>
        <v>Canon d'extraction exp</v>
      </c>
      <c r="AM88" s="1657" t="str">
        <f t="shared" ca="1" si="11"/>
        <v>$R$88</v>
      </c>
    </row>
    <row r="89" spans="16:39" ht="30.75" customHeight="1">
      <c r="P89" s="1657">
        <v>13</v>
      </c>
      <c r="Q89" s="1657" t="s">
        <v>846</v>
      </c>
      <c r="R89" s="1659"/>
      <c r="S89" s="1657" t="str">
        <f t="shared" ca="1" si="5"/>
        <v>$R$89</v>
      </c>
      <c r="T89" s="1657">
        <v>13</v>
      </c>
      <c r="U89" s="1657" t="s">
        <v>1194</v>
      </c>
      <c r="V89" s="1659"/>
      <c r="W89" s="1657" t="str">
        <f t="shared" ca="1" si="6"/>
        <v>$V$89</v>
      </c>
      <c r="X89" s="1657">
        <v>13</v>
      </c>
      <c r="Y89" s="1822" t="s">
        <v>103</v>
      </c>
      <c r="Z89" s="1659"/>
      <c r="AA89" s="1657" t="str">
        <f t="shared" ca="1" si="7"/>
        <v>$Z$89</v>
      </c>
      <c r="AB89" s="1657">
        <v>13</v>
      </c>
      <c r="AC89" s="1657" t="s">
        <v>61</v>
      </c>
      <c r="AD89" s="1659"/>
      <c r="AE89" s="1657" t="str">
        <f t="shared" ca="1" si="8"/>
        <v>$AD$89</v>
      </c>
      <c r="AH89" s="1659"/>
      <c r="AI89" s="1657" t="str">
        <f t="shared" ca="1" si="9"/>
        <v>$AH$89</v>
      </c>
      <c r="AJ89" s="1657">
        <v>13</v>
      </c>
      <c r="AK89" s="1823" t="str">
        <f t="shared" si="10"/>
        <v>Novas</v>
      </c>
      <c r="AM89" s="1657" t="str">
        <f t="shared" ca="1" si="11"/>
        <v>$R$89</v>
      </c>
    </row>
    <row r="90" spans="16:39" ht="30.75" customHeight="1">
      <c r="P90" s="1657">
        <v>14</v>
      </c>
      <c r="Q90" s="1657" t="s">
        <v>1193</v>
      </c>
      <c r="R90" s="1659"/>
      <c r="S90" s="1657" t="str">
        <f t="shared" ca="1" si="5"/>
        <v>$R$90</v>
      </c>
      <c r="T90" s="1657">
        <v>14</v>
      </c>
      <c r="U90" s="1657" t="s">
        <v>1197</v>
      </c>
      <c r="V90" s="1659"/>
      <c r="W90" s="1657" t="str">
        <f t="shared" ca="1" si="6"/>
        <v>$V$90</v>
      </c>
      <c r="X90" s="1657">
        <v>14</v>
      </c>
      <c r="Y90" s="1822" t="s">
        <v>104</v>
      </c>
      <c r="Z90" s="1659"/>
      <c r="AA90" s="1657" t="str">
        <f t="shared" ca="1" si="7"/>
        <v>$Z$90</v>
      </c>
      <c r="AB90" s="1657">
        <v>14</v>
      </c>
      <c r="AC90" s="1657" t="s">
        <v>61</v>
      </c>
      <c r="AD90" s="1659"/>
      <c r="AE90" s="1657" t="str">
        <f t="shared" ca="1" si="8"/>
        <v>$AD$90</v>
      </c>
      <c r="AH90" s="1659"/>
      <c r="AI90" s="1657" t="str">
        <f t="shared" ca="1" si="9"/>
        <v>$AH$90</v>
      </c>
      <c r="AJ90" s="1657">
        <v>14</v>
      </c>
      <c r="AK90" s="1823" t="str">
        <f t="shared" si="10"/>
        <v>Lanceur de missile moy porté (M)</v>
      </c>
      <c r="AM90" s="1657" t="str">
        <f t="shared" ca="1" si="11"/>
        <v>$R$90</v>
      </c>
    </row>
    <row r="91" spans="16:39" ht="30.75" customHeight="1">
      <c r="P91" s="1657">
        <v>15</v>
      </c>
      <c r="Q91" s="1657" t="s">
        <v>1194</v>
      </c>
      <c r="R91" s="1659"/>
      <c r="S91" s="1657" t="str">
        <f t="shared" ca="1" si="5"/>
        <v>$R$91</v>
      </c>
      <c r="T91" s="1657">
        <v>15</v>
      </c>
      <c r="U91" s="1657" t="s">
        <v>1195</v>
      </c>
      <c r="V91" s="1659"/>
      <c r="W91" s="1657" t="str">
        <f t="shared" ca="1" si="6"/>
        <v>$V$91</v>
      </c>
      <c r="X91" s="1657">
        <v>15</v>
      </c>
      <c r="Y91" s="1822" t="s">
        <v>105</v>
      </c>
      <c r="Z91" s="1659"/>
      <c r="AA91" s="1657" t="str">
        <f t="shared" ca="1" si="7"/>
        <v>$Z$91</v>
      </c>
      <c r="AB91" s="1657">
        <v>15</v>
      </c>
      <c r="AC91" s="1657" t="s">
        <v>61</v>
      </c>
      <c r="AD91" s="1659"/>
      <c r="AE91" s="1657" t="str">
        <f t="shared" ca="1" si="8"/>
        <v>$AD$91</v>
      </c>
      <c r="AH91" s="1659"/>
      <c r="AI91" s="1657" t="str">
        <f t="shared" ca="1" si="9"/>
        <v>$AH$91</v>
      </c>
      <c r="AJ91" s="1657">
        <v>15</v>
      </c>
      <c r="AK91" s="1823" t="str">
        <f t="shared" si="10"/>
        <v>Lanceur de missile moy porté (P)</v>
      </c>
      <c r="AM91" s="1657" t="str">
        <f t="shared" ca="1" si="11"/>
        <v>$R$91</v>
      </c>
    </row>
    <row r="92" spans="16:39" ht="30.75" customHeight="1">
      <c r="P92" s="1657">
        <v>16</v>
      </c>
      <c r="Q92" s="1657" t="s">
        <v>1197</v>
      </c>
      <c r="R92" s="1659"/>
      <c r="S92" s="1657" t="str">
        <f t="shared" ca="1" si="5"/>
        <v>$R$92</v>
      </c>
      <c r="T92" s="1657">
        <v>16</v>
      </c>
      <c r="U92" s="1657" t="s">
        <v>1196</v>
      </c>
      <c r="V92" s="1659"/>
      <c r="W92" s="1657" t="str">
        <f t="shared" ca="1" si="6"/>
        <v>$V$92</v>
      </c>
      <c r="X92" s="1657">
        <v>16</v>
      </c>
      <c r="Y92" s="1822" t="s">
        <v>106</v>
      </c>
      <c r="Z92" s="1659"/>
      <c r="AA92" s="1657" t="str">
        <f t="shared" ca="1" si="7"/>
        <v>$Z$92</v>
      </c>
      <c r="AB92" s="1657">
        <v>16</v>
      </c>
      <c r="AC92" s="1657" t="s">
        <v>61</v>
      </c>
      <c r="AD92" s="1659"/>
      <c r="AE92" s="1657" t="str">
        <f t="shared" ca="1" si="8"/>
        <v>$AD$92</v>
      </c>
      <c r="AH92" s="1659"/>
      <c r="AI92" s="1657" t="str">
        <f t="shared" ca="1" si="9"/>
        <v>$AH$92</v>
      </c>
      <c r="AJ92" s="1657">
        <v>16</v>
      </c>
      <c r="AK92" s="1823" t="str">
        <f t="shared" si="10"/>
        <v>Lanceur de missile exp</v>
      </c>
      <c r="AM92" s="1657" t="str">
        <f t="shared" ca="1" si="11"/>
        <v>$R$92</v>
      </c>
    </row>
    <row r="93" spans="16:39" ht="30.75" customHeight="1">
      <c r="P93" s="1657">
        <v>17</v>
      </c>
      <c r="Q93" s="1657" t="s">
        <v>1195</v>
      </c>
      <c r="R93" s="1659"/>
      <c r="S93" s="1657" t="str">
        <f t="shared" ca="1" si="5"/>
        <v>$R$93</v>
      </c>
      <c r="T93" s="1657">
        <v>17</v>
      </c>
      <c r="U93" s="1657" t="s">
        <v>1213</v>
      </c>
      <c r="V93" s="1659"/>
      <c r="W93" s="1657" t="str">
        <f t="shared" ca="1" si="6"/>
        <v>$V$93</v>
      </c>
      <c r="X93" s="1657">
        <v>17</v>
      </c>
      <c r="Y93" s="1822" t="s">
        <v>107</v>
      </c>
      <c r="Z93" s="1659"/>
      <c r="AA93" s="1657" t="str">
        <f t="shared" ca="1" si="7"/>
        <v>$Z$93</v>
      </c>
      <c r="AB93" s="1657">
        <v>17</v>
      </c>
      <c r="AC93" s="1657" t="s">
        <v>61</v>
      </c>
      <c r="AD93" s="1659"/>
      <c r="AE93" s="1657" t="str">
        <f t="shared" ca="1" si="8"/>
        <v>$AD$93</v>
      </c>
      <c r="AH93" s="1659"/>
      <c r="AI93" s="1657" t="str">
        <f t="shared" ca="1" si="9"/>
        <v>$AH$93</v>
      </c>
      <c r="AJ93" s="1657">
        <v>17</v>
      </c>
      <c r="AK93" s="1823" t="str">
        <f t="shared" si="10"/>
        <v>Lanceur de missile long porté (M)</v>
      </c>
      <c r="AM93" s="1657" t="str">
        <f t="shared" ca="1" si="11"/>
        <v>$R$93</v>
      </c>
    </row>
    <row r="94" spans="16:39" ht="30.75" customHeight="1">
      <c r="P94" s="1657">
        <v>18</v>
      </c>
      <c r="Q94" s="1657" t="s">
        <v>1196</v>
      </c>
      <c r="R94" s="1659"/>
      <c r="S94" s="1657" t="str">
        <f t="shared" ca="1" si="5"/>
        <v>$R$94</v>
      </c>
      <c r="T94" s="1657">
        <v>18</v>
      </c>
      <c r="V94" s="1659"/>
      <c r="X94" s="1657">
        <v>18</v>
      </c>
      <c r="Y94" s="1822" t="s">
        <v>108</v>
      </c>
      <c r="Z94" s="1659"/>
      <c r="AA94" s="1657" t="str">
        <f t="shared" ca="1" si="7"/>
        <v>$Z$94</v>
      </c>
      <c r="AB94" s="1657">
        <v>18</v>
      </c>
      <c r="AC94" s="1657" t="s">
        <v>61</v>
      </c>
      <c r="AD94" s="1659"/>
      <c r="AE94" s="1657" t="str">
        <f t="shared" ca="1" si="8"/>
        <v>$AD$94</v>
      </c>
      <c r="AH94" s="1659"/>
      <c r="AI94" s="1657" t="str">
        <f t="shared" ca="1" si="9"/>
        <v>$AH$94</v>
      </c>
      <c r="AJ94" s="1657">
        <v>18</v>
      </c>
      <c r="AK94" s="1823" t="str">
        <f t="shared" si="10"/>
        <v>Lanceur de missile long porté (P)</v>
      </c>
      <c r="AM94" s="1657" t="str">
        <f t="shared" ca="1" si="11"/>
        <v>$R$94</v>
      </c>
    </row>
    <row r="95" spans="16:39" ht="30.75" customHeight="1">
      <c r="P95" s="1657">
        <v>19</v>
      </c>
      <c r="Q95" s="1657" t="s">
        <v>1185</v>
      </c>
      <c r="R95" s="1659"/>
      <c r="S95" s="1657" t="str">
        <f t="shared" ca="1" si="5"/>
        <v>$R$95</v>
      </c>
      <c r="T95" s="1657">
        <v>19</v>
      </c>
      <c r="V95" s="1659"/>
      <c r="X95" s="1657">
        <v>19</v>
      </c>
      <c r="Y95" s="1822" t="s">
        <v>989</v>
      </c>
      <c r="Z95" s="1659"/>
      <c r="AA95" s="1657" t="str">
        <f t="shared" ca="1" si="7"/>
        <v>$Z$95</v>
      </c>
      <c r="AB95" s="1657">
        <v>19</v>
      </c>
      <c r="AC95" s="1657" t="s">
        <v>61</v>
      </c>
      <c r="AD95" s="1659"/>
      <c r="AE95" s="1657" t="str">
        <f t="shared" ca="1" si="8"/>
        <v>$AD$95</v>
      </c>
      <c r="AH95" s="1659"/>
      <c r="AI95" s="1657" t="str">
        <f t="shared" ca="1" si="9"/>
        <v>$AH$95</v>
      </c>
      <c r="AJ95" s="1657">
        <v>19</v>
      </c>
      <c r="AK95" s="1823" t="str">
        <f t="shared" si="10"/>
        <v>Lanceur de torpille cyclone</v>
      </c>
      <c r="AM95" s="1657" t="str">
        <f t="shared" ca="1" si="11"/>
        <v>$R$95</v>
      </c>
    </row>
    <row r="96" spans="16:39" ht="30.75" customHeight="1">
      <c r="P96" s="1657">
        <v>20</v>
      </c>
      <c r="Q96" s="1657" t="s">
        <v>1186</v>
      </c>
      <c r="R96" s="1659"/>
      <c r="S96" s="1657" t="str">
        <f t="shared" ca="1" si="5"/>
        <v>$R$96</v>
      </c>
      <c r="T96" s="1657">
        <v>20</v>
      </c>
      <c r="V96" s="1659"/>
      <c r="X96" s="1657">
        <v>20</v>
      </c>
      <c r="Y96" s="1662"/>
      <c r="Z96" s="1659"/>
      <c r="AB96" s="1657">
        <v>20</v>
      </c>
      <c r="AC96" s="1657" t="s">
        <v>61</v>
      </c>
      <c r="AD96" s="1659"/>
      <c r="AE96" s="1657" t="str">
        <f t="shared" ca="1" si="8"/>
        <v>$AD$96</v>
      </c>
      <c r="AH96" s="1659"/>
      <c r="AI96" s="1657" t="str">
        <f t="shared" ca="1" si="9"/>
        <v>$AH$96</v>
      </c>
      <c r="AJ96" s="1657">
        <v>20</v>
      </c>
      <c r="AK96" s="1823" t="str">
        <f t="shared" si="10"/>
        <v xml:space="preserve">Lanceur de torpille menticorre </v>
      </c>
      <c r="AM96" s="1657" t="str">
        <f t="shared" ca="1" si="11"/>
        <v>$R$96</v>
      </c>
    </row>
    <row r="97" spans="16:39" ht="30.75" customHeight="1">
      <c r="P97" s="2649">
        <v>100</v>
      </c>
      <c r="Q97" s="2649"/>
      <c r="R97" s="2649"/>
      <c r="S97" s="2649"/>
      <c r="T97" s="2649">
        <v>200</v>
      </c>
      <c r="U97" s="2649"/>
      <c r="V97" s="2649"/>
      <c r="W97" s="2649"/>
      <c r="X97" s="2649">
        <v>300</v>
      </c>
      <c r="Y97" s="2649"/>
      <c r="Z97" s="2649"/>
      <c r="AA97" s="2649"/>
      <c r="AB97" s="2649">
        <v>400</v>
      </c>
      <c r="AC97" s="2649"/>
      <c r="AD97" s="2649"/>
      <c r="AE97" s="2649"/>
      <c r="AF97" s="2649">
        <v>500</v>
      </c>
      <c r="AG97" s="2649"/>
      <c r="AH97" s="2649"/>
      <c r="AI97" s="2649"/>
      <c r="AJ97" s="2649">
        <f>AJ75</f>
        <v>100</v>
      </c>
      <c r="AK97" s="2649"/>
      <c r="AL97" s="2649"/>
      <c r="AM97" s="2649"/>
    </row>
    <row r="98" spans="16:39" ht="30.75" customHeight="1">
      <c r="P98" s="2649" t="s">
        <v>1032</v>
      </c>
      <c r="Q98" s="2649"/>
      <c r="R98" s="2649"/>
      <c r="S98" s="2649"/>
      <c r="T98" s="2649" t="s">
        <v>1032</v>
      </c>
      <c r="U98" s="2649"/>
      <c r="V98" s="2649"/>
      <c r="W98" s="2649"/>
      <c r="X98" s="2649" t="s">
        <v>1032</v>
      </c>
      <c r="Y98" s="2649"/>
      <c r="Z98" s="2649"/>
      <c r="AA98" s="2649"/>
      <c r="AB98" s="2649" t="s">
        <v>1032</v>
      </c>
      <c r="AC98" s="2649"/>
      <c r="AD98" s="2649"/>
      <c r="AE98" s="2649"/>
      <c r="AF98" s="2649" t="s">
        <v>1032</v>
      </c>
      <c r="AG98" s="2649"/>
      <c r="AH98" s="2649"/>
      <c r="AI98" s="2649"/>
      <c r="AJ98" s="2649" t="s">
        <v>1032</v>
      </c>
      <c r="AK98" s="2649"/>
      <c r="AL98" s="2649"/>
      <c r="AM98" s="2649"/>
    </row>
    <row r="99" spans="16:39" ht="30.75" customHeight="1">
      <c r="P99" s="1657">
        <v>1</v>
      </c>
      <c r="Q99" s="1657" t="s">
        <v>61</v>
      </c>
      <c r="R99" s="1659"/>
      <c r="S99" s="1657" t="str">
        <f ca="1">CELL("adresse",R99)</f>
        <v>$R$99</v>
      </c>
      <c r="T99" s="1657">
        <v>1</v>
      </c>
      <c r="U99" s="1657" t="s">
        <v>61</v>
      </c>
      <c r="V99" s="1659"/>
      <c r="W99" s="1657" t="str">
        <f ca="1">CELL("adresse",V99)</f>
        <v>$V$99</v>
      </c>
      <c r="X99" s="1657">
        <v>1</v>
      </c>
      <c r="Y99" s="1657" t="s">
        <v>61</v>
      </c>
      <c r="Z99" s="1659"/>
      <c r="AA99" s="1657" t="str">
        <f ca="1">CELL("adresse",Z99)</f>
        <v>$Z$99</v>
      </c>
      <c r="AB99" s="1657">
        <v>1</v>
      </c>
      <c r="AC99" s="1657" t="s">
        <v>61</v>
      </c>
      <c r="AD99" s="1659"/>
      <c r="AE99" s="1657" t="str">
        <f ca="1">CELL("adresse",AD99)</f>
        <v>$AD$99</v>
      </c>
      <c r="AF99" s="1657">
        <v>1</v>
      </c>
      <c r="AG99" s="1657" t="s">
        <v>61</v>
      </c>
      <c r="AH99" s="1659"/>
      <c r="AI99" s="1657" t="str">
        <f ca="1">CELL("adresse",AH99)</f>
        <v>$AH$99</v>
      </c>
      <c r="AJ99" s="1657">
        <v>1</v>
      </c>
      <c r="AK99" s="1657" t="str">
        <f>IF($AJ$97=100,Q99,IF($AJ$97=200,U99,IF($AJ$97=300,Y99,IF($AJ$97=400,AC99,AG99))))</f>
        <v>-</v>
      </c>
      <c r="AM99" s="1657" t="str">
        <f ca="1">IF($AJ$97=100,S99,IF($AJ$97=200,W99,IF($AJ$97=300,AA99,IF($AJ$97=400,AE99,AI99))))</f>
        <v>$R$99</v>
      </c>
    </row>
    <row r="100" spans="16:39" ht="30.75" customHeight="1">
      <c r="P100" s="1657">
        <v>2</v>
      </c>
      <c r="Q100" s="1657" t="s">
        <v>61</v>
      </c>
      <c r="R100" s="1659"/>
      <c r="S100" s="1657" t="str">
        <f t="shared" ref="S100:S102" ca="1" si="12">CELL("adresse",R100)</f>
        <v>$R$100</v>
      </c>
      <c r="T100" s="1657">
        <v>2</v>
      </c>
      <c r="U100" s="1657" t="s">
        <v>61</v>
      </c>
      <c r="V100" s="1659"/>
      <c r="W100" s="1657" t="str">
        <f t="shared" ref="W100:W102" ca="1" si="13">CELL("adresse",V100)</f>
        <v>$V$100</v>
      </c>
      <c r="X100" s="1657">
        <v>2</v>
      </c>
      <c r="Y100" s="1657" t="s">
        <v>61</v>
      </c>
      <c r="Z100" s="1659"/>
      <c r="AA100" s="1657" t="str">
        <f t="shared" ref="AA100:AA102" ca="1" si="14">CELL("adresse",Z100)</f>
        <v>$Z$100</v>
      </c>
      <c r="AB100" s="1657">
        <v>2</v>
      </c>
      <c r="AC100" s="1657" t="s">
        <v>1217</v>
      </c>
      <c r="AD100" s="1659"/>
      <c r="AE100" s="1657" t="str">
        <f t="shared" ref="AE100:AE102" ca="1" si="15">CELL("adresse",AD100)</f>
        <v>$AD$100</v>
      </c>
      <c r="AF100" s="1657">
        <v>2</v>
      </c>
      <c r="AG100" s="1657" t="s">
        <v>61</v>
      </c>
      <c r="AH100" s="1659"/>
      <c r="AI100" s="1657" t="str">
        <f t="shared" ref="AI100:AI102" ca="1" si="16">CELL("adresse",AH100)</f>
        <v>$AH$100</v>
      </c>
      <c r="AJ100" s="1657">
        <v>2</v>
      </c>
      <c r="AK100" s="1657" t="str">
        <f t="shared" ref="AK100:AK102" si="17">IF($AJ$97=100,Q100,IF($AJ$97=200,U100,IF($AJ$97=300,Y100,IF($AJ$97=400,AC100,AG100))))</f>
        <v>-</v>
      </c>
      <c r="AM100" s="1657" t="str">
        <f t="shared" ref="AM100:AM102" ca="1" si="18">IF($AJ$97=100,S100,IF($AJ$97=200,W100,IF($AJ$97=300,AA100,IF($AJ$97=400,AE100,AI100))))</f>
        <v>$R$100</v>
      </c>
    </row>
    <row r="101" spans="16:39" ht="30.75" customHeight="1">
      <c r="P101" s="1657">
        <v>3</v>
      </c>
      <c r="Q101" s="1657" t="s">
        <v>61</v>
      </c>
      <c r="R101" s="1659"/>
      <c r="S101" s="1657" t="str">
        <f t="shared" ca="1" si="12"/>
        <v>$R$101</v>
      </c>
      <c r="T101" s="1657">
        <v>3</v>
      </c>
      <c r="U101" s="1657" t="s">
        <v>61</v>
      </c>
      <c r="V101" s="1659"/>
      <c r="W101" s="1657" t="str">
        <f t="shared" ca="1" si="13"/>
        <v>$V$101</v>
      </c>
      <c r="X101" s="1657">
        <v>3</v>
      </c>
      <c r="Y101" s="1657" t="s">
        <v>61</v>
      </c>
      <c r="Z101" s="1659"/>
      <c r="AA101" s="1657" t="str">
        <f t="shared" ca="1" si="14"/>
        <v>$Z$101</v>
      </c>
      <c r="AB101" s="1657">
        <v>3</v>
      </c>
      <c r="AC101" s="1657" t="s">
        <v>1218</v>
      </c>
      <c r="AD101" s="1659"/>
      <c r="AE101" s="1657" t="str">
        <f t="shared" ca="1" si="15"/>
        <v>$AD$101</v>
      </c>
      <c r="AF101" s="1657">
        <v>3</v>
      </c>
      <c r="AG101" s="1657" t="s">
        <v>61</v>
      </c>
      <c r="AH101" s="1659"/>
      <c r="AI101" s="1657" t="str">
        <f t="shared" ca="1" si="16"/>
        <v>$AH$101</v>
      </c>
      <c r="AJ101" s="1657">
        <v>3</v>
      </c>
      <c r="AK101" s="1657" t="str">
        <f t="shared" si="17"/>
        <v>-</v>
      </c>
      <c r="AM101" s="1657" t="str">
        <f t="shared" ca="1" si="18"/>
        <v>$R$101</v>
      </c>
    </row>
    <row r="102" spans="16:39" ht="30.75" customHeight="1">
      <c r="P102" s="1657">
        <v>4</v>
      </c>
      <c r="Q102" s="1657" t="s">
        <v>61</v>
      </c>
      <c r="R102" s="1659"/>
      <c r="S102" s="1657" t="str">
        <f t="shared" ca="1" si="12"/>
        <v>$R$102</v>
      </c>
      <c r="T102" s="1657">
        <v>4</v>
      </c>
      <c r="U102" s="1657" t="s">
        <v>61</v>
      </c>
      <c r="V102" s="1659"/>
      <c r="W102" s="1657" t="str">
        <f t="shared" ca="1" si="13"/>
        <v>$V$102</v>
      </c>
      <c r="X102" s="1657">
        <v>4</v>
      </c>
      <c r="Y102" s="1657" t="s">
        <v>61</v>
      </c>
      <c r="Z102" s="1659"/>
      <c r="AA102" s="1657" t="str">
        <f t="shared" ca="1" si="14"/>
        <v>$Z$102</v>
      </c>
      <c r="AB102" s="1657">
        <v>4</v>
      </c>
      <c r="AC102" s="1657" t="s">
        <v>997</v>
      </c>
      <c r="AD102" s="1659"/>
      <c r="AE102" s="1657" t="str">
        <f t="shared" ca="1" si="15"/>
        <v>$AD$102</v>
      </c>
      <c r="AF102" s="1657">
        <v>4</v>
      </c>
      <c r="AG102" s="1657" t="s">
        <v>61</v>
      </c>
      <c r="AH102" s="1659"/>
      <c r="AI102" s="1657" t="str">
        <f t="shared" ca="1" si="16"/>
        <v>$AH$102</v>
      </c>
      <c r="AJ102" s="1657">
        <v>4</v>
      </c>
      <c r="AK102" s="1657" t="str">
        <f t="shared" si="17"/>
        <v>-</v>
      </c>
      <c r="AM102" s="1657" t="str">
        <f t="shared" ca="1" si="18"/>
        <v>$R$102</v>
      </c>
    </row>
    <row r="103" spans="16:39" ht="30.75" customHeight="1">
      <c r="P103" s="2649">
        <v>100</v>
      </c>
      <c r="Q103" s="2649"/>
      <c r="R103" s="2649"/>
      <c r="S103" s="2649"/>
      <c r="T103" s="2649">
        <v>200</v>
      </c>
      <c r="U103" s="2649"/>
      <c r="V103" s="2649"/>
      <c r="W103" s="2649"/>
      <c r="X103" s="2649">
        <v>300</v>
      </c>
      <c r="Y103" s="2649"/>
      <c r="Z103" s="2649"/>
      <c r="AA103" s="2649"/>
      <c r="AB103" s="2649">
        <v>400</v>
      </c>
      <c r="AC103" s="2649"/>
      <c r="AD103" s="2649"/>
      <c r="AE103" s="2649"/>
      <c r="AF103" s="2649">
        <v>500</v>
      </c>
      <c r="AG103" s="2649"/>
      <c r="AH103" s="2649"/>
      <c r="AI103" s="2649"/>
      <c r="AJ103" s="2649">
        <f>$AJ$97</f>
        <v>100</v>
      </c>
      <c r="AK103" s="2649"/>
      <c r="AL103" s="2649"/>
      <c r="AM103" s="2649"/>
    </row>
    <row r="104" spans="16:39" ht="30.75" customHeight="1">
      <c r="P104" s="2649" t="s">
        <v>969</v>
      </c>
      <c r="Q104" s="2649"/>
      <c r="R104" s="2649"/>
      <c r="S104" s="2649"/>
      <c r="T104" s="2649" t="s">
        <v>969</v>
      </c>
      <c r="U104" s="2649"/>
      <c r="V104" s="2649"/>
      <c r="W104" s="2649"/>
      <c r="X104" s="2649" t="s">
        <v>969</v>
      </c>
      <c r="Y104" s="2649"/>
      <c r="Z104" s="2649"/>
      <c r="AA104" s="2649"/>
      <c r="AB104" s="2649" t="s">
        <v>969</v>
      </c>
      <c r="AC104" s="2649"/>
      <c r="AD104" s="2649"/>
      <c r="AE104" s="2649"/>
      <c r="AF104" s="2649" t="s">
        <v>969</v>
      </c>
      <c r="AG104" s="2649"/>
      <c r="AH104" s="2649"/>
      <c r="AI104" s="2649"/>
      <c r="AJ104" s="2649" t="s">
        <v>969</v>
      </c>
      <c r="AK104" s="2649"/>
      <c r="AL104" s="2649"/>
      <c r="AM104" s="2649"/>
    </row>
    <row r="105" spans="16:39" ht="30.75" customHeight="1">
      <c r="P105" s="1657">
        <v>1</v>
      </c>
      <c r="Q105" s="1657" t="s">
        <v>61</v>
      </c>
      <c r="R105" s="1659"/>
      <c r="S105" s="1657" t="str">
        <f ca="1">CELL("adresse",R105)</f>
        <v>$R$105</v>
      </c>
      <c r="T105" s="1657">
        <v>1</v>
      </c>
      <c r="U105" s="1657" t="s">
        <v>61</v>
      </c>
      <c r="V105" s="1659"/>
      <c r="W105" s="1657" t="str">
        <f ca="1">CELL("adresse",V105)</f>
        <v>$V$105</v>
      </c>
      <c r="X105" s="1657">
        <v>1</v>
      </c>
      <c r="Y105" s="1657" t="s">
        <v>61</v>
      </c>
      <c r="Z105" s="1659"/>
      <c r="AA105" s="1657" t="str">
        <f ca="1">CELL("adresse",Z105)</f>
        <v>$Z$105</v>
      </c>
      <c r="AB105" s="1657">
        <v>1</v>
      </c>
      <c r="AC105" s="1657" t="s">
        <v>61</v>
      </c>
      <c r="AD105" s="1659"/>
      <c r="AE105" s="1657" t="str">
        <f ca="1">CELL("adresse",AD105)</f>
        <v>$AD$105</v>
      </c>
      <c r="AF105" s="1657">
        <v>1</v>
      </c>
      <c r="AG105" s="1657" t="s">
        <v>61</v>
      </c>
      <c r="AH105" s="1659"/>
      <c r="AI105" s="1657" t="str">
        <f ca="1">CELL("adresse",AH105)</f>
        <v>$AH$105</v>
      </c>
      <c r="AJ105" s="1657">
        <v>1</v>
      </c>
      <c r="AK105" s="1657" t="str">
        <f>IF($AJ$103=100,Q105,IF($AJ$103=200,U105,IF($AJ$103=300,Y105,IF(AJ103=400,AC105,AG105))))</f>
        <v>-</v>
      </c>
      <c r="AM105" s="1657" t="str">
        <f ca="1">IF($AJ$103=100,S105,IF($AJ$103=200,W105,IF($AJ$103=300,AA105,IF($AJ$103=400,AE105,AI105))))</f>
        <v>$R$105</v>
      </c>
    </row>
    <row r="106" spans="16:39" ht="30.75" customHeight="1">
      <c r="P106" s="1657">
        <v>2</v>
      </c>
      <c r="Q106" s="1657" t="s">
        <v>61</v>
      </c>
      <c r="R106" s="1659"/>
      <c r="S106" s="1657" t="str">
        <f t="shared" ref="S106:S108" ca="1" si="19">CELL("adresse",R106)</f>
        <v>$R$106</v>
      </c>
      <c r="T106" s="1657">
        <v>2</v>
      </c>
      <c r="U106" s="1657" t="s">
        <v>61</v>
      </c>
      <c r="V106" s="1659"/>
      <c r="W106" s="1657" t="str">
        <f t="shared" ref="W106:W108" ca="1" si="20">CELL("adresse",V106)</f>
        <v>$V$106</v>
      </c>
      <c r="X106" s="1657">
        <v>2</v>
      </c>
      <c r="Y106" s="1657" t="s">
        <v>61</v>
      </c>
      <c r="Z106" s="1659"/>
      <c r="AA106" s="1657" t="str">
        <f t="shared" ref="AA106:AA108" ca="1" si="21">CELL("adresse",Z106)</f>
        <v>$Z$106</v>
      </c>
      <c r="AB106" s="1657">
        <v>2</v>
      </c>
      <c r="AC106" s="1657" t="s">
        <v>1219</v>
      </c>
      <c r="AD106" s="1659"/>
      <c r="AE106" s="1657" t="str">
        <f t="shared" ref="AE106:AE108" ca="1" si="22">CELL("adresse",AD106)</f>
        <v>$AD$106</v>
      </c>
      <c r="AF106" s="1657">
        <v>2</v>
      </c>
      <c r="AG106" s="1824" t="s">
        <v>1174</v>
      </c>
      <c r="AH106" s="1659"/>
      <c r="AI106" s="1657" t="str">
        <f t="shared" ref="AI106:AI108" ca="1" si="23">CELL("adresse",AH106)</f>
        <v>$AH$106</v>
      </c>
      <c r="AJ106" s="1657">
        <v>2</v>
      </c>
      <c r="AK106" s="1657" t="str">
        <f t="shared" ref="AK106:AK108" si="24">IF($AJ$103=100,Q106,IF($AJ$103=200,U106,IF($AJ$103=300,Y106,IF(AJ104=400,AC106,AG106))))</f>
        <v>-</v>
      </c>
      <c r="AM106" s="1657" t="str">
        <f t="shared" ref="AM106:AM108" ca="1" si="25">IF($AJ$103=100,S106,IF($AJ$103=200,W106,IF($AJ$103=300,AA106,IF($AJ$103=400,AE106,AI106))))</f>
        <v>$R$106</v>
      </c>
    </row>
    <row r="107" spans="16:39" ht="30.75" customHeight="1">
      <c r="P107" s="1657">
        <v>3</v>
      </c>
      <c r="Q107" s="1657" t="s">
        <v>61</v>
      </c>
      <c r="R107" s="1659"/>
      <c r="S107" s="1657" t="str">
        <f t="shared" ca="1" si="19"/>
        <v>$R$107</v>
      </c>
      <c r="T107" s="1657">
        <v>3</v>
      </c>
      <c r="U107" s="1657" t="s">
        <v>61</v>
      </c>
      <c r="V107" s="1659"/>
      <c r="W107" s="1657" t="str">
        <f t="shared" ca="1" si="20"/>
        <v>$V$107</v>
      </c>
      <c r="X107" s="1657">
        <v>3</v>
      </c>
      <c r="Y107" s="1657" t="s">
        <v>61</v>
      </c>
      <c r="Z107" s="1659"/>
      <c r="AA107" s="1657" t="str">
        <f t="shared" ca="1" si="21"/>
        <v>$Z$107</v>
      </c>
      <c r="AB107" s="1657">
        <v>3</v>
      </c>
      <c r="AC107" s="1657" t="s">
        <v>1220</v>
      </c>
      <c r="AD107" s="1659"/>
      <c r="AE107" s="1657" t="str">
        <f t="shared" ca="1" si="22"/>
        <v>$AD$107</v>
      </c>
      <c r="AF107" s="1657">
        <v>3</v>
      </c>
      <c r="AG107" s="1824" t="s">
        <v>1224</v>
      </c>
      <c r="AH107" s="1659"/>
      <c r="AI107" s="1657" t="str">
        <f t="shared" ca="1" si="23"/>
        <v>$AH$107</v>
      </c>
      <c r="AJ107" s="1657">
        <v>3</v>
      </c>
      <c r="AK107" s="1657" t="str">
        <f t="shared" si="24"/>
        <v>-</v>
      </c>
      <c r="AM107" s="1657" t="str">
        <f t="shared" ca="1" si="25"/>
        <v>$R$107</v>
      </c>
    </row>
    <row r="108" spans="16:39" ht="30.75" customHeight="1">
      <c r="P108" s="1657">
        <v>4</v>
      </c>
      <c r="Q108" s="1657" t="s">
        <v>61</v>
      </c>
      <c r="R108" s="1659"/>
      <c r="S108" s="1657" t="str">
        <f t="shared" ca="1" si="19"/>
        <v>$R$108</v>
      </c>
      <c r="T108" s="1657">
        <v>4</v>
      </c>
      <c r="U108" s="1657" t="s">
        <v>61</v>
      </c>
      <c r="V108" s="1659"/>
      <c r="W108" s="1657" t="str">
        <f t="shared" ca="1" si="20"/>
        <v>$V$108</v>
      </c>
      <c r="X108" s="1657">
        <v>4</v>
      </c>
      <c r="Y108" s="1657" t="s">
        <v>61</v>
      </c>
      <c r="Z108" s="1659"/>
      <c r="AA108" s="1657" t="str">
        <f t="shared" ca="1" si="21"/>
        <v>$Z$108</v>
      </c>
      <c r="AB108" s="1657">
        <v>4</v>
      </c>
      <c r="AC108" s="1657" t="s">
        <v>61</v>
      </c>
      <c r="AD108" s="1659"/>
      <c r="AE108" s="1657" t="str">
        <f t="shared" ca="1" si="22"/>
        <v>$AD$108</v>
      </c>
      <c r="AF108" s="1657">
        <v>4</v>
      </c>
      <c r="AG108" s="1824" t="s">
        <v>1225</v>
      </c>
      <c r="AH108" s="1659"/>
      <c r="AI108" s="1657" t="str">
        <f t="shared" ca="1" si="23"/>
        <v>$AH$108</v>
      </c>
      <c r="AJ108" s="1657">
        <v>4</v>
      </c>
      <c r="AK108" s="1657" t="str">
        <f t="shared" si="24"/>
        <v>-</v>
      </c>
      <c r="AM108" s="1657" t="str">
        <f t="shared" ca="1" si="25"/>
        <v>$R$108</v>
      </c>
    </row>
    <row r="109" spans="16:39" ht="30.75" customHeight="1"/>
    <row r="110" spans="16:39" ht="30.75" customHeight="1"/>
    <row r="111" spans="16:39" ht="30.75" customHeight="1"/>
    <row r="112" spans="16:39" ht="30.75" customHeight="1"/>
    <row r="113" ht="30.75" customHeight="1"/>
    <row r="114" ht="30.75" customHeight="1"/>
    <row r="115" ht="30.75" customHeight="1"/>
    <row r="116" ht="30.75" customHeight="1"/>
    <row r="117" ht="30.75" customHeight="1"/>
    <row r="118" ht="30.75" customHeight="1"/>
    <row r="119" ht="30.75" customHeight="1"/>
    <row r="120" ht="30.75" customHeight="1"/>
    <row r="121" ht="30.75" customHeight="1"/>
    <row r="122" ht="30.75" customHeight="1"/>
    <row r="123" ht="30.75" customHeight="1"/>
    <row r="124" ht="30.75" customHeight="1"/>
    <row r="125" ht="30.75" customHeight="1"/>
    <row r="126" ht="30.75" customHeight="1"/>
    <row r="127" ht="30.75" customHeight="1"/>
    <row r="128" ht="30.75" customHeight="1"/>
    <row r="129" ht="30.75" customHeight="1"/>
    <row r="130" ht="30.75" customHeight="1"/>
    <row r="131" ht="30.75" customHeight="1"/>
    <row r="132" ht="30.75" customHeight="1"/>
    <row r="133" ht="30.75" customHeight="1"/>
    <row r="134" ht="30.75" customHeight="1"/>
    <row r="135" ht="30.75" customHeight="1"/>
    <row r="136" ht="30.75" customHeight="1"/>
    <row r="137" ht="30.75" customHeight="1"/>
    <row r="138" ht="30.75" customHeight="1"/>
    <row r="139" ht="30.75" customHeight="1"/>
    <row r="140" ht="30.75" customHeight="1"/>
    <row r="141" ht="30.75" customHeight="1"/>
    <row r="142" ht="30.75" customHeight="1"/>
    <row r="143" ht="30.75" customHeight="1"/>
    <row r="144" ht="30.75" customHeight="1"/>
    <row r="145" ht="30.75" customHeight="1"/>
    <row r="146" ht="30.75" customHeight="1"/>
    <row r="147" ht="30.75" customHeight="1"/>
    <row r="148" ht="30.75" customHeight="1"/>
    <row r="149" ht="30.75" customHeight="1"/>
    <row r="150" ht="30.75" customHeight="1"/>
    <row r="151" ht="30.75" customHeight="1"/>
    <row r="152" ht="30.75" customHeight="1"/>
    <row r="153" ht="30.75" customHeight="1"/>
    <row r="154" ht="30.75" customHeight="1"/>
    <row r="155" ht="30.75" customHeight="1"/>
    <row r="156" ht="30.75" customHeight="1"/>
    <row r="157" ht="30.75" customHeight="1"/>
    <row r="158" ht="30.75" customHeight="1"/>
    <row r="159" ht="30.75" customHeight="1"/>
    <row r="160" ht="30.75" customHeight="1"/>
    <row r="161" ht="24.95" customHeight="1"/>
    <row r="162" ht="24.95" customHeight="1"/>
    <row r="163" ht="24.95" customHeight="1"/>
    <row r="164" ht="24.95" customHeight="1"/>
    <row r="165" ht="24.95" customHeight="1"/>
    <row r="166" ht="24.95" customHeight="1"/>
    <row r="167" ht="24.95" customHeight="1"/>
    <row r="168" ht="24.95" customHeight="1"/>
    <row r="169" ht="24.95" customHeight="1"/>
    <row r="170" ht="24.95" customHeight="1"/>
    <row r="171" ht="24.95" customHeight="1"/>
    <row r="172" ht="24.95" customHeight="1"/>
    <row r="173" ht="24.95" customHeight="1"/>
    <row r="174" ht="24.95" customHeight="1"/>
    <row r="175" ht="24.95" customHeight="1"/>
    <row r="176" ht="24.95" customHeight="1"/>
    <row r="177" ht="24.95" customHeight="1"/>
    <row r="178" ht="24.95" customHeight="1"/>
    <row r="179" ht="24.95" customHeight="1"/>
    <row r="180" ht="24.95" customHeight="1"/>
    <row r="181" ht="24.95" customHeight="1"/>
    <row r="182" ht="24.95" customHeight="1"/>
    <row r="183" ht="24.95" customHeight="1"/>
    <row r="184" ht="24.95" customHeight="1"/>
    <row r="185" ht="24.95" customHeight="1"/>
    <row r="186" ht="24.95" customHeight="1"/>
    <row r="187" ht="24.95" customHeight="1"/>
    <row r="188" ht="24.95" customHeight="1"/>
    <row r="189" ht="24.95" customHeight="1"/>
    <row r="190" ht="24.95" customHeight="1"/>
    <row r="191" ht="24.95" customHeight="1"/>
    <row r="192" ht="24.95" customHeight="1"/>
    <row r="193" ht="24.95" customHeight="1"/>
    <row r="194" ht="24.95" customHeight="1"/>
    <row r="195" ht="24.95" customHeight="1"/>
    <row r="196" ht="24.95" customHeight="1"/>
    <row r="197" ht="24.95" customHeight="1"/>
    <row r="198" ht="24.95" customHeight="1"/>
    <row r="199" ht="24.95" customHeight="1"/>
    <row r="200" ht="24.95" customHeight="1"/>
    <row r="201" ht="24.95" customHeight="1"/>
    <row r="202" ht="24.95" customHeight="1"/>
    <row r="203" ht="24.95" customHeight="1"/>
    <row r="204" ht="24.95" customHeight="1"/>
    <row r="205" ht="24.95" customHeight="1"/>
    <row r="206" ht="24.95" customHeight="1"/>
    <row r="207" ht="24.95" customHeight="1"/>
    <row r="208" ht="24.95" customHeight="1"/>
    <row r="209" ht="24.95" customHeight="1"/>
    <row r="210" ht="24.95" customHeight="1"/>
    <row r="211" ht="24.95" customHeight="1"/>
    <row r="212" ht="24.95" customHeight="1"/>
    <row r="213" ht="24.95" customHeight="1"/>
    <row r="214" ht="24.95" customHeight="1"/>
    <row r="215" ht="24.95" customHeight="1"/>
    <row r="216" ht="24.95" customHeight="1"/>
    <row r="217" ht="24.95" customHeight="1"/>
    <row r="218" ht="24.95" customHeight="1"/>
    <row r="219" ht="24.95" customHeight="1"/>
    <row r="220" ht="24.95" customHeight="1"/>
    <row r="221" ht="24.95" customHeight="1"/>
    <row r="222" ht="24.95" customHeight="1"/>
    <row r="223" ht="24.95" customHeight="1"/>
    <row r="224" ht="24.95" customHeight="1"/>
    <row r="225" ht="24.95" customHeight="1"/>
    <row r="226" ht="24.95" customHeight="1"/>
    <row r="227" ht="24.95" customHeight="1"/>
    <row r="228" ht="24.95" customHeight="1"/>
    <row r="229" ht="24.95" customHeight="1"/>
    <row r="230" ht="24.95" customHeight="1"/>
    <row r="231" ht="24.95" customHeight="1"/>
    <row r="232" ht="24.95" customHeight="1"/>
    <row r="233" ht="24.95" customHeight="1"/>
    <row r="234" ht="24.95" customHeight="1"/>
    <row r="235" ht="24.95" customHeight="1"/>
    <row r="236" ht="24.95" customHeight="1"/>
    <row r="237" ht="24.95" customHeight="1"/>
    <row r="238" ht="24.95" customHeight="1"/>
    <row r="239" ht="24.95" customHeight="1"/>
    <row r="240" ht="24.95" customHeight="1"/>
    <row r="241" ht="24.95" customHeight="1"/>
    <row r="242" ht="24.95" customHeight="1"/>
    <row r="243" ht="24.95" customHeight="1"/>
    <row r="244" ht="24.95" customHeight="1"/>
    <row r="245" ht="24.95" customHeight="1"/>
    <row r="246" ht="24.95" customHeight="1"/>
    <row r="247" ht="24.95" customHeight="1"/>
    <row r="248" ht="24.95" customHeight="1"/>
    <row r="249" ht="24.95" customHeight="1"/>
    <row r="250" ht="24.95" customHeight="1"/>
    <row r="251" ht="24.95" customHeight="1"/>
    <row r="252" ht="24.95" customHeight="1"/>
    <row r="253" ht="24.95" customHeight="1"/>
    <row r="254" ht="24.95" customHeight="1"/>
    <row r="255" ht="24.95" customHeight="1"/>
    <row r="256" ht="24.95" customHeight="1"/>
    <row r="257" ht="24.95" customHeight="1"/>
    <row r="258" ht="24.95" customHeight="1"/>
    <row r="259" ht="24.95" customHeight="1"/>
    <row r="260" ht="24.95" customHeight="1"/>
    <row r="261" ht="24.95" customHeight="1"/>
    <row r="262" ht="24.95" customHeight="1"/>
    <row r="263" ht="24.95" customHeight="1"/>
    <row r="264" ht="24.95" customHeight="1"/>
    <row r="265" ht="24.95" customHeight="1"/>
    <row r="266" ht="24.95" customHeight="1"/>
    <row r="267" ht="24.95" customHeight="1"/>
    <row r="268" ht="24.95" customHeight="1"/>
  </sheetData>
  <sheetProtection password="B576" sheet="1" objects="1" scenarios="1" selectLockedCells="1"/>
  <mergeCells count="46">
    <mergeCell ref="D24:E24"/>
    <mergeCell ref="B29:B37"/>
    <mergeCell ref="AF75:AI75"/>
    <mergeCell ref="AB75:AE75"/>
    <mergeCell ref="X75:AA75"/>
    <mergeCell ref="B10:B21"/>
    <mergeCell ref="P76:S76"/>
    <mergeCell ref="L59:O59"/>
    <mergeCell ref="C11:C12"/>
    <mergeCell ref="T76:W76"/>
    <mergeCell ref="T75:W75"/>
    <mergeCell ref="P75:S75"/>
    <mergeCell ref="D11:E11"/>
    <mergeCell ref="C23:C24"/>
    <mergeCell ref="D23:E23"/>
    <mergeCell ref="D12:E12"/>
    <mergeCell ref="B22:B28"/>
    <mergeCell ref="C30:C31"/>
    <mergeCell ref="AJ97:AM97"/>
    <mergeCell ref="X76:AA76"/>
    <mergeCell ref="AB76:AE76"/>
    <mergeCell ref="AF76:AI76"/>
    <mergeCell ref="AJ76:AM76"/>
    <mergeCell ref="AB98:AE98"/>
    <mergeCell ref="AF98:AI98"/>
    <mergeCell ref="P97:S97"/>
    <mergeCell ref="T97:W97"/>
    <mergeCell ref="X97:AA97"/>
    <mergeCell ref="AB97:AE97"/>
    <mergeCell ref="AF97:AI97"/>
    <mergeCell ref="AJ98:AM98"/>
    <mergeCell ref="P103:S103"/>
    <mergeCell ref="P104:S104"/>
    <mergeCell ref="T104:W104"/>
    <mergeCell ref="T103:W103"/>
    <mergeCell ref="X104:AA104"/>
    <mergeCell ref="X103:AA103"/>
    <mergeCell ref="AB104:AE104"/>
    <mergeCell ref="AB103:AE103"/>
    <mergeCell ref="AJ104:AM104"/>
    <mergeCell ref="AJ103:AM103"/>
    <mergeCell ref="AF104:AI104"/>
    <mergeCell ref="AF103:AI103"/>
    <mergeCell ref="P98:S98"/>
    <mergeCell ref="T98:W98"/>
    <mergeCell ref="X98:AA98"/>
  </mergeCells>
  <pageMargins left="0.7" right="0.7" top="0.75" bottom="0.75" header="0.3" footer="0.3"/>
  <pageSetup paperSize="9" orientation="portrait" r:id="rId1"/>
  <ignoredErrors>
    <ignoredError sqref="F13:F21 F25:F28" evalError="1"/>
  </ignoredErrors>
  <drawing r:id="rId2"/>
  <legacyDrawing r:id="rId3"/>
</worksheet>
</file>

<file path=xl/worksheets/sheet2.xml><?xml version="1.0" encoding="utf-8"?>
<worksheet xmlns="http://schemas.openxmlformats.org/spreadsheetml/2006/main" xmlns:r="http://schemas.openxmlformats.org/officeDocument/2006/relationships">
  <sheetPr codeName="Feuil7"/>
  <dimension ref="A1:GM92"/>
  <sheetViews>
    <sheetView showGridLines="0" zoomScale="85" zoomScaleNormal="85" workbookViewId="0">
      <pane xSplit="3" ySplit="4" topLeftCell="D5" activePane="bottomRight" state="frozen"/>
      <selection pane="topRight" activeCell="D1" sqref="D1"/>
      <selection pane="bottomLeft" activeCell="A5" sqref="A5"/>
      <selection pane="bottomRight" activeCell="AA1" sqref="AA1:GN1048576"/>
    </sheetView>
  </sheetViews>
  <sheetFormatPr baseColWidth="10" defaultColWidth="13.7109375" defaultRowHeight="15" customHeight="1"/>
  <cols>
    <col min="1" max="1" width="13.7109375" style="1631"/>
    <col min="2" max="2" width="13.7109375" style="438"/>
    <col min="3" max="3" width="41.28515625" style="438" bestFit="1" customWidth="1"/>
    <col min="4" max="4" width="14.28515625" style="438" bestFit="1" customWidth="1"/>
    <col min="5" max="26" width="13.7109375" style="438"/>
    <col min="27" max="195" width="0" style="438" hidden="1" customWidth="1"/>
    <col min="196" max="196" width="0" style="367" hidden="1" customWidth="1"/>
    <col min="197" max="16384" width="13.7109375" style="367"/>
  </cols>
  <sheetData>
    <row r="1" spans="1:195" s="1631" customFormat="1" ht="15" customHeight="1">
      <c r="A1" s="1631">
        <v>1</v>
      </c>
      <c r="B1" s="1739">
        <v>2</v>
      </c>
      <c r="C1" s="1739">
        <v>3</v>
      </c>
      <c r="D1" s="1739">
        <v>4</v>
      </c>
      <c r="E1" s="1739">
        <v>5</v>
      </c>
      <c r="F1" s="1739">
        <v>6</v>
      </c>
      <c r="G1" s="1739">
        <v>7</v>
      </c>
      <c r="H1" s="1739">
        <v>8</v>
      </c>
      <c r="I1" s="1739">
        <v>9</v>
      </c>
      <c r="J1" s="1739">
        <v>10</v>
      </c>
      <c r="K1" s="1739">
        <v>11</v>
      </c>
      <c r="L1" s="1739">
        <v>12</v>
      </c>
      <c r="M1" s="1739">
        <v>13</v>
      </c>
      <c r="N1" s="1739">
        <v>14</v>
      </c>
      <c r="O1" s="1739">
        <v>15</v>
      </c>
      <c r="P1" s="1739">
        <v>16</v>
      </c>
      <c r="Q1" s="1739">
        <v>17</v>
      </c>
      <c r="R1" s="1739">
        <v>18</v>
      </c>
      <c r="S1" s="1739">
        <v>19</v>
      </c>
      <c r="T1" s="1739">
        <v>20</v>
      </c>
      <c r="U1" s="1739">
        <v>21</v>
      </c>
      <c r="V1" s="1739">
        <v>22</v>
      </c>
      <c r="W1" s="1739">
        <v>23</v>
      </c>
      <c r="X1" s="1739">
        <v>24</v>
      </c>
      <c r="Y1" s="1739">
        <v>25</v>
      </c>
      <c r="Z1" s="1739">
        <v>26</v>
      </c>
      <c r="AA1" s="1739"/>
      <c r="AB1" s="1739"/>
      <c r="AC1" s="1739"/>
      <c r="AD1" s="1739"/>
      <c r="AE1" s="1739"/>
      <c r="AF1" s="1739"/>
      <c r="AG1" s="1739"/>
      <c r="AH1" s="1739"/>
      <c r="AI1" s="1739"/>
      <c r="AJ1" s="1739"/>
      <c r="AK1" s="1739"/>
      <c r="AL1" s="1739"/>
      <c r="AM1" s="1739"/>
      <c r="AN1" s="1739"/>
      <c r="AO1" s="1739"/>
      <c r="AP1" s="1739"/>
      <c r="AQ1" s="1739"/>
      <c r="AR1" s="1739"/>
      <c r="AS1" s="1739"/>
      <c r="AT1" s="1739"/>
      <c r="AU1" s="1739"/>
      <c r="AV1" s="1739"/>
      <c r="AW1" s="1739"/>
      <c r="AX1" s="1739"/>
      <c r="AY1" s="1739"/>
      <c r="AZ1" s="1739"/>
      <c r="BA1" s="1739"/>
      <c r="BB1" s="1739"/>
      <c r="BC1" s="1739"/>
      <c r="BD1" s="1739"/>
      <c r="BE1" s="1739"/>
      <c r="BF1" s="1739"/>
      <c r="BG1" s="1739"/>
      <c r="BH1" s="1739"/>
      <c r="BI1" s="1739"/>
      <c r="BJ1" s="1739"/>
      <c r="BK1" s="1739"/>
      <c r="BL1" s="1739"/>
      <c r="BM1" s="1739"/>
      <c r="BN1" s="1739"/>
      <c r="BO1" s="1739"/>
      <c r="BP1" s="1739"/>
      <c r="BQ1" s="1739"/>
      <c r="BR1" s="1739"/>
      <c r="BS1" s="1739"/>
      <c r="BT1" s="1739"/>
      <c r="BU1" s="1739"/>
      <c r="BV1" s="1739"/>
      <c r="BW1" s="1739"/>
      <c r="BX1" s="1739"/>
      <c r="BY1" s="1739"/>
      <c r="BZ1" s="1739"/>
      <c r="CA1" s="1739"/>
      <c r="CB1" s="1739"/>
      <c r="CC1" s="1739"/>
      <c r="CD1" s="1739"/>
      <c r="CE1" s="1739"/>
      <c r="CF1" s="1739"/>
      <c r="CG1" s="1739"/>
      <c r="CH1" s="1739"/>
      <c r="CI1" s="1739"/>
      <c r="CJ1" s="1739"/>
      <c r="CK1" s="1739"/>
      <c r="CL1" s="1739"/>
      <c r="CM1" s="1739"/>
      <c r="CN1" s="1739"/>
      <c r="CO1" s="1739"/>
      <c r="CP1" s="1739"/>
      <c r="CQ1" s="1739"/>
      <c r="CR1" s="1739"/>
      <c r="CS1" s="1739"/>
      <c r="CT1" s="1739"/>
      <c r="CU1" s="1739"/>
      <c r="CV1" s="1739"/>
      <c r="CW1" s="1739"/>
      <c r="CX1" s="1739"/>
      <c r="CY1" s="1739"/>
      <c r="CZ1" s="1739"/>
      <c r="DA1" s="1739"/>
      <c r="DB1" s="1739"/>
      <c r="DC1" s="1739"/>
      <c r="DD1" s="1739"/>
      <c r="DE1" s="1739"/>
      <c r="DF1" s="1739"/>
      <c r="DG1" s="1739"/>
      <c r="DH1" s="1739"/>
      <c r="DI1" s="1739"/>
      <c r="DJ1" s="1739"/>
      <c r="DK1" s="1739"/>
      <c r="DL1" s="1739"/>
      <c r="DM1" s="1739"/>
      <c r="DN1" s="1739"/>
      <c r="DO1" s="1739"/>
      <c r="DP1" s="1739"/>
      <c r="DQ1" s="1739"/>
      <c r="DR1" s="1739"/>
      <c r="DS1" s="1739"/>
      <c r="DT1" s="1739"/>
      <c r="DU1" s="1739"/>
      <c r="DV1" s="1739"/>
      <c r="DW1" s="1739"/>
      <c r="DX1" s="1739"/>
      <c r="DY1" s="1739"/>
      <c r="DZ1" s="1739"/>
      <c r="EA1" s="1739"/>
      <c r="EB1" s="1739"/>
      <c r="EC1" s="1739"/>
      <c r="ED1" s="1739"/>
      <c r="EE1" s="1739"/>
      <c r="EF1" s="1739"/>
      <c r="EG1" s="1739"/>
      <c r="EH1" s="1739"/>
      <c r="EI1" s="1739"/>
      <c r="EJ1" s="1739"/>
      <c r="EK1" s="1739"/>
      <c r="EL1" s="1739"/>
      <c r="EM1" s="1739"/>
      <c r="EN1" s="1739"/>
      <c r="EO1" s="1739"/>
      <c r="EP1" s="1739"/>
      <c r="EQ1" s="1739"/>
      <c r="ER1" s="1739"/>
      <c r="ES1" s="1739"/>
      <c r="ET1" s="1739"/>
      <c r="EU1" s="1739"/>
      <c r="EV1" s="1739"/>
      <c r="EW1" s="1739"/>
      <c r="EX1" s="1739"/>
      <c r="EY1" s="1739"/>
      <c r="EZ1" s="1739"/>
      <c r="FA1" s="1739"/>
      <c r="FB1" s="1739"/>
      <c r="FC1" s="1739"/>
      <c r="FD1" s="1739"/>
      <c r="FE1" s="1739"/>
      <c r="FF1" s="1739"/>
      <c r="FG1" s="1739"/>
      <c r="FH1" s="1739"/>
      <c r="FI1" s="1739"/>
      <c r="FJ1" s="1739"/>
      <c r="FK1" s="1739"/>
      <c r="FL1" s="1739"/>
      <c r="FM1" s="1739"/>
      <c r="FN1" s="1739"/>
      <c r="FO1" s="1739"/>
      <c r="FP1" s="1739"/>
      <c r="FQ1" s="1739"/>
      <c r="FR1" s="1739"/>
      <c r="FS1" s="1739"/>
      <c r="FT1" s="1739"/>
      <c r="FU1" s="1739"/>
      <c r="FV1" s="1739"/>
      <c r="FW1" s="1739"/>
      <c r="FX1" s="1739"/>
      <c r="FY1" s="1739"/>
      <c r="FZ1" s="1739"/>
      <c r="GA1" s="1739"/>
      <c r="GB1" s="1739"/>
      <c r="GC1" s="1739"/>
      <c r="GD1" s="1739"/>
      <c r="GE1" s="1739"/>
      <c r="GF1" s="1739"/>
      <c r="GG1" s="1739"/>
      <c r="GH1" s="1739"/>
      <c r="GI1" s="1739"/>
      <c r="GJ1" s="1739"/>
      <c r="GK1" s="1739"/>
      <c r="GL1" s="1739"/>
      <c r="GM1" s="1739"/>
    </row>
    <row r="2" spans="1:195" ht="23.25">
      <c r="B2" s="1857" t="s">
        <v>277</v>
      </c>
      <c r="C2" s="1858"/>
      <c r="D2" s="1860" t="s">
        <v>68</v>
      </c>
      <c r="E2" s="1861"/>
      <c r="F2" s="1862" t="s">
        <v>114</v>
      </c>
      <c r="G2" s="1863"/>
      <c r="H2" s="1863"/>
      <c r="I2" s="1863"/>
      <c r="J2" s="1863"/>
      <c r="K2" s="1863"/>
      <c r="L2" s="1863"/>
      <c r="M2" s="1863"/>
      <c r="N2" s="1862"/>
      <c r="O2" s="1864">
        <v>1</v>
      </c>
      <c r="P2" s="1376">
        <v>14</v>
      </c>
      <c r="Q2" s="1377"/>
      <c r="R2" s="1377"/>
      <c r="S2" s="1377"/>
      <c r="T2" s="1377"/>
      <c r="U2" s="1377"/>
      <c r="V2" s="1866"/>
      <c r="W2" s="1866"/>
      <c r="X2" s="1101"/>
      <c r="Y2" s="1101"/>
      <c r="Z2" s="1101"/>
      <c r="BS2" s="435"/>
      <c r="CN2" s="435"/>
      <c r="DI2" s="435"/>
      <c r="ED2" s="435"/>
      <c r="EY2" s="435"/>
      <c r="GM2" s="367"/>
    </row>
    <row r="3" spans="1:195" ht="15.75" customHeight="1">
      <c r="B3" s="1859"/>
      <c r="C3" s="1858"/>
      <c r="D3" s="1860"/>
      <c r="E3" s="1861"/>
      <c r="F3" s="1863"/>
      <c r="G3" s="1863"/>
      <c r="H3" s="1863"/>
      <c r="I3" s="1863"/>
      <c r="J3" s="1863"/>
      <c r="K3" s="1863"/>
      <c r="L3" s="1863"/>
      <c r="M3" s="1863"/>
      <c r="N3" s="1862"/>
      <c r="O3" s="1865"/>
      <c r="P3" s="1378"/>
      <c r="Q3" s="1379"/>
      <c r="R3" s="1379"/>
      <c r="S3" s="1379"/>
      <c r="T3" s="1379"/>
      <c r="U3" s="1379"/>
      <c r="V3" s="1867"/>
      <c r="W3" s="1867"/>
      <c r="X3" s="1102"/>
      <c r="Y3" s="1102"/>
      <c r="Z3" s="1102"/>
      <c r="AB3" s="560"/>
      <c r="AY3" s="1848" t="s">
        <v>71</v>
      </c>
      <c r="AZ3" s="1848"/>
      <c r="BA3" s="1848"/>
      <c r="BB3" s="1848"/>
      <c r="BC3" s="1848"/>
      <c r="BD3" s="1848"/>
      <c r="BE3" s="1848"/>
      <c r="BF3" s="1848"/>
      <c r="BG3" s="1848"/>
      <c r="BH3" s="1848"/>
      <c r="BI3" s="1848"/>
      <c r="BJ3" s="1848"/>
      <c r="BK3" s="1848"/>
      <c r="BL3" s="1848"/>
      <c r="BM3" s="1848"/>
      <c r="BN3" s="1848"/>
      <c r="BO3" s="1848"/>
      <c r="BP3" s="1848"/>
      <c r="BQ3" s="1848"/>
      <c r="BS3" s="435"/>
      <c r="BT3" s="1848" t="s">
        <v>73</v>
      </c>
      <c r="BU3" s="1848"/>
      <c r="BV3" s="1848"/>
      <c r="BW3" s="1848"/>
      <c r="BX3" s="1848"/>
      <c r="BY3" s="1848"/>
      <c r="BZ3" s="1848"/>
      <c r="CA3" s="1848"/>
      <c r="CB3" s="1848"/>
      <c r="CC3" s="1848"/>
      <c r="CD3" s="1848"/>
      <c r="CE3" s="1848"/>
      <c r="CF3" s="1848"/>
      <c r="CG3" s="1848"/>
      <c r="CH3" s="1848"/>
      <c r="CI3" s="1848"/>
      <c r="CJ3" s="1848"/>
      <c r="CK3" s="1848"/>
      <c r="CL3" s="1848"/>
      <c r="CN3" s="435"/>
      <c r="CO3" s="1848" t="s">
        <v>74</v>
      </c>
      <c r="CP3" s="1848"/>
      <c r="CQ3" s="1848"/>
      <c r="CR3" s="1848"/>
      <c r="CS3" s="1848"/>
      <c r="CT3" s="1848"/>
      <c r="CU3" s="1848"/>
      <c r="CV3" s="1848"/>
      <c r="CW3" s="1848"/>
      <c r="CX3" s="1848"/>
      <c r="CY3" s="1848"/>
      <c r="CZ3" s="1848"/>
      <c r="DA3" s="1848"/>
      <c r="DB3" s="1848"/>
      <c r="DC3" s="1848"/>
      <c r="DD3" s="1848"/>
      <c r="DE3" s="1848"/>
      <c r="DF3" s="1848"/>
      <c r="DG3" s="1848"/>
      <c r="DI3" s="435"/>
      <c r="DJ3" s="1848" t="s">
        <v>75</v>
      </c>
      <c r="DK3" s="1848"/>
      <c r="DL3" s="1848"/>
      <c r="DM3" s="1848"/>
      <c r="DN3" s="1848"/>
      <c r="DO3" s="1848"/>
      <c r="DP3" s="1848"/>
      <c r="DQ3" s="1848"/>
      <c r="DR3" s="1848"/>
      <c r="DS3" s="1848"/>
      <c r="DT3" s="1848"/>
      <c r="DU3" s="1848"/>
      <c r="DV3" s="1848"/>
      <c r="DW3" s="1848"/>
      <c r="DX3" s="1848"/>
      <c r="DY3" s="1848"/>
      <c r="DZ3" s="1848"/>
      <c r="EA3" s="1848"/>
      <c r="EB3" s="1848"/>
      <c r="ED3" s="435"/>
      <c r="EE3" s="1848" t="s">
        <v>76</v>
      </c>
      <c r="EF3" s="1848"/>
      <c r="EG3" s="1848"/>
      <c r="EH3" s="1848"/>
      <c r="EI3" s="1848"/>
      <c r="EJ3" s="1848"/>
      <c r="EK3" s="1848"/>
      <c r="EL3" s="1848"/>
      <c r="EM3" s="1848"/>
      <c r="EN3" s="1848"/>
      <c r="EO3" s="1848"/>
      <c r="EP3" s="1848"/>
      <c r="EQ3" s="1848"/>
      <c r="ER3" s="1848"/>
      <c r="ES3" s="1848"/>
      <c r="ET3" s="1848"/>
      <c r="EU3" s="1848"/>
      <c r="EV3" s="1848"/>
      <c r="EW3" s="1848"/>
      <c r="EY3" s="435"/>
      <c r="EZ3" s="1848" t="s">
        <v>77</v>
      </c>
      <c r="FA3" s="1848"/>
      <c r="FB3" s="1848"/>
      <c r="FC3" s="1848"/>
      <c r="FD3" s="1848"/>
      <c r="FE3" s="1848"/>
      <c r="FF3" s="1848"/>
      <c r="FG3" s="1848"/>
      <c r="FH3" s="1848"/>
      <c r="FI3" s="1848"/>
      <c r="FJ3" s="1848"/>
      <c r="FK3" s="1848"/>
      <c r="FL3" s="1848"/>
      <c r="FM3" s="1848"/>
      <c r="FN3" s="1848"/>
      <c r="FO3" s="1848"/>
      <c r="FP3" s="1848"/>
      <c r="FQ3" s="1848"/>
      <c r="FR3" s="1848"/>
      <c r="FT3" s="1849" t="s">
        <v>78</v>
      </c>
      <c r="FU3" s="1849"/>
      <c r="FV3" s="1849"/>
      <c r="FW3" s="1849"/>
      <c r="FX3" s="1849"/>
      <c r="FY3" s="1849"/>
      <c r="FZ3" s="1849"/>
      <c r="GA3" s="1849"/>
      <c r="GB3" s="1849"/>
      <c r="GC3" s="1849"/>
      <c r="GD3" s="1849"/>
      <c r="GE3" s="1849"/>
      <c r="GF3" s="1849"/>
      <c r="GG3" s="1850">
        <f>$AC$4</f>
        <v>0</v>
      </c>
      <c r="GH3" s="1850"/>
      <c r="GI3" s="1850"/>
      <c r="GJ3" s="1850"/>
      <c r="GK3" s="1850"/>
      <c r="GL3" s="1850"/>
      <c r="GM3" s="367"/>
    </row>
    <row r="4" spans="1:195" ht="30.75" customHeight="1">
      <c r="B4" s="1859"/>
      <c r="C4" s="1858"/>
      <c r="D4" s="17" t="s">
        <v>278</v>
      </c>
      <c r="E4" s="56" t="s">
        <v>258</v>
      </c>
      <c r="F4" s="74" t="s">
        <v>279</v>
      </c>
      <c r="G4" s="74" t="s">
        <v>280</v>
      </c>
      <c r="H4" s="74" t="s">
        <v>51</v>
      </c>
      <c r="I4" s="74" t="s">
        <v>253</v>
      </c>
      <c r="J4" s="74" t="s">
        <v>207</v>
      </c>
      <c r="K4" s="74" t="s">
        <v>115</v>
      </c>
      <c r="L4" s="74" t="s">
        <v>55</v>
      </c>
      <c r="M4" s="74" t="s">
        <v>52</v>
      </c>
      <c r="N4" s="74" t="s">
        <v>66</v>
      </c>
      <c r="O4" s="74" t="s">
        <v>64</v>
      </c>
      <c r="P4" s="74" t="s">
        <v>65</v>
      </c>
      <c r="Q4" s="74" t="s">
        <v>159</v>
      </c>
      <c r="R4" s="74" t="s">
        <v>255</v>
      </c>
      <c r="S4" s="74" t="s">
        <v>262</v>
      </c>
      <c r="T4" s="74" t="s">
        <v>119</v>
      </c>
      <c r="U4" s="74" t="s">
        <v>72</v>
      </c>
      <c r="V4" s="233" t="s">
        <v>88</v>
      </c>
      <c r="W4" s="233" t="s">
        <v>48</v>
      </c>
      <c r="X4" s="455" t="s">
        <v>766</v>
      </c>
      <c r="Y4" s="455" t="s">
        <v>1059</v>
      </c>
      <c r="Z4" s="233"/>
      <c r="AA4" s="1380"/>
      <c r="AB4" s="435" t="s">
        <v>90</v>
      </c>
      <c r="AC4" s="435">
        <f>O2-1</f>
        <v>0</v>
      </c>
      <c r="AD4" s="435"/>
      <c r="AE4" s="1103" t="s">
        <v>79</v>
      </c>
      <c r="AF4" s="1103" t="s">
        <v>80</v>
      </c>
      <c r="AG4" s="1103" t="s">
        <v>281</v>
      </c>
      <c r="AH4" s="1103" t="s">
        <v>280</v>
      </c>
      <c r="AI4" s="1103" t="s">
        <v>51</v>
      </c>
      <c r="AJ4" s="1103" t="s">
        <v>253</v>
      </c>
      <c r="AK4" s="1103" t="s">
        <v>207</v>
      </c>
      <c r="AL4" s="1103" t="s">
        <v>115</v>
      </c>
      <c r="AM4" s="1103" t="s">
        <v>55</v>
      </c>
      <c r="AN4" s="1103" t="s">
        <v>52</v>
      </c>
      <c r="AO4" s="1103" t="s">
        <v>66</v>
      </c>
      <c r="AP4" s="1103" t="s">
        <v>64</v>
      </c>
      <c r="AQ4" s="1103" t="s">
        <v>65</v>
      </c>
      <c r="AR4" s="1103" t="s">
        <v>159</v>
      </c>
      <c r="AS4" s="1103" t="s">
        <v>255</v>
      </c>
      <c r="AT4" s="1103" t="s">
        <v>84</v>
      </c>
      <c r="AU4" s="1103" t="s">
        <v>119</v>
      </c>
      <c r="AV4" s="1103" t="s">
        <v>72</v>
      </c>
      <c r="AW4" s="1103" t="s">
        <v>88</v>
      </c>
      <c r="AX4" s="1103" t="s">
        <v>48</v>
      </c>
      <c r="AY4" s="435"/>
      <c r="AZ4" s="1103" t="s">
        <v>79</v>
      </c>
      <c r="BA4" s="1103" t="s">
        <v>80</v>
      </c>
      <c r="BB4" s="1103" t="s">
        <v>281</v>
      </c>
      <c r="BC4" s="1103" t="s">
        <v>280</v>
      </c>
      <c r="BD4" s="1103" t="s">
        <v>51</v>
      </c>
      <c r="BE4" s="1103" t="s">
        <v>253</v>
      </c>
      <c r="BF4" s="1103" t="s">
        <v>207</v>
      </c>
      <c r="BG4" s="1103" t="s">
        <v>115</v>
      </c>
      <c r="BH4" s="1103" t="s">
        <v>55</v>
      </c>
      <c r="BI4" s="1103" t="s">
        <v>52</v>
      </c>
      <c r="BJ4" s="1103" t="s">
        <v>66</v>
      </c>
      <c r="BK4" s="1103" t="s">
        <v>64</v>
      </c>
      <c r="BL4" s="1103" t="s">
        <v>65</v>
      </c>
      <c r="BM4" s="1103" t="s">
        <v>159</v>
      </c>
      <c r="BN4" s="1103" t="s">
        <v>84</v>
      </c>
      <c r="BO4" s="1103" t="s">
        <v>119</v>
      </c>
      <c r="BP4" s="1103" t="s">
        <v>72</v>
      </c>
      <c r="BQ4" s="1103" t="s">
        <v>88</v>
      </c>
      <c r="BR4" s="1103" t="s">
        <v>48</v>
      </c>
      <c r="BT4" s="1381" t="s">
        <v>72</v>
      </c>
      <c r="BU4" s="1103" t="s">
        <v>79</v>
      </c>
      <c r="BV4" s="1103" t="s">
        <v>80</v>
      </c>
      <c r="BW4" s="1103" t="s">
        <v>281</v>
      </c>
      <c r="BX4" s="1103" t="s">
        <v>280</v>
      </c>
      <c r="BY4" s="1103" t="s">
        <v>51</v>
      </c>
      <c r="BZ4" s="1103" t="s">
        <v>253</v>
      </c>
      <c r="CA4" s="1103" t="s">
        <v>207</v>
      </c>
      <c r="CB4" s="1103" t="s">
        <v>115</v>
      </c>
      <c r="CC4" s="1103" t="s">
        <v>55</v>
      </c>
      <c r="CD4" s="1103" t="s">
        <v>52</v>
      </c>
      <c r="CE4" s="1103" t="s">
        <v>66</v>
      </c>
      <c r="CF4" s="9" t="s">
        <v>64</v>
      </c>
      <c r="CG4" s="9" t="s">
        <v>65</v>
      </c>
      <c r="CH4" s="1103" t="s">
        <v>159</v>
      </c>
      <c r="CI4" s="1103" t="s">
        <v>84</v>
      </c>
      <c r="CJ4" s="1103" t="s">
        <v>119</v>
      </c>
      <c r="CK4" s="1103" t="s">
        <v>72</v>
      </c>
      <c r="CL4" s="1103" t="s">
        <v>88</v>
      </c>
      <c r="CM4" s="1103" t="s">
        <v>48</v>
      </c>
      <c r="CO4" s="1381" t="s">
        <v>72</v>
      </c>
      <c r="CP4" s="1103" t="s">
        <v>79</v>
      </c>
      <c r="CQ4" s="1103" t="s">
        <v>80</v>
      </c>
      <c r="CR4" s="1103" t="s">
        <v>281</v>
      </c>
      <c r="CS4" s="1103" t="s">
        <v>280</v>
      </c>
      <c r="CT4" s="1103" t="s">
        <v>51</v>
      </c>
      <c r="CU4" s="1103" t="s">
        <v>253</v>
      </c>
      <c r="CV4" s="1103" t="s">
        <v>207</v>
      </c>
      <c r="CW4" s="1103" t="s">
        <v>115</v>
      </c>
      <c r="CX4" s="1103" t="s">
        <v>55</v>
      </c>
      <c r="CY4" s="1103" t="s">
        <v>52</v>
      </c>
      <c r="CZ4" s="1103" t="s">
        <v>66</v>
      </c>
      <c r="DA4" s="1103" t="s">
        <v>64</v>
      </c>
      <c r="DB4" s="1103" t="s">
        <v>65</v>
      </c>
      <c r="DC4" s="1103" t="s">
        <v>159</v>
      </c>
      <c r="DD4" s="1103" t="s">
        <v>84</v>
      </c>
      <c r="DE4" s="1103" t="s">
        <v>119</v>
      </c>
      <c r="DF4" s="1103" t="s">
        <v>72</v>
      </c>
      <c r="DG4" s="1103" t="s">
        <v>88</v>
      </c>
      <c r="DH4" s="1103" t="s">
        <v>48</v>
      </c>
      <c r="DJ4" s="1381" t="s">
        <v>72</v>
      </c>
      <c r="DK4" s="1103" t="s">
        <v>79</v>
      </c>
      <c r="DL4" s="1103" t="s">
        <v>80</v>
      </c>
      <c r="DM4" s="1103" t="s">
        <v>281</v>
      </c>
      <c r="DN4" s="1103" t="s">
        <v>280</v>
      </c>
      <c r="DO4" s="1103" t="s">
        <v>51</v>
      </c>
      <c r="DP4" s="1103" t="s">
        <v>253</v>
      </c>
      <c r="DQ4" s="1103" t="s">
        <v>207</v>
      </c>
      <c r="DR4" s="1103" t="s">
        <v>115</v>
      </c>
      <c r="DS4" s="1103" t="s">
        <v>55</v>
      </c>
      <c r="DT4" s="1103" t="s">
        <v>52</v>
      </c>
      <c r="DU4" s="1103" t="s">
        <v>66</v>
      </c>
      <c r="DV4" s="1103" t="s">
        <v>64</v>
      </c>
      <c r="DW4" s="1103" t="s">
        <v>65</v>
      </c>
      <c r="DX4" s="1103" t="s">
        <v>159</v>
      </c>
      <c r="DY4" s="1103" t="s">
        <v>84</v>
      </c>
      <c r="DZ4" s="1103" t="s">
        <v>119</v>
      </c>
      <c r="EA4" s="1103" t="s">
        <v>72</v>
      </c>
      <c r="EB4" s="1103" t="s">
        <v>88</v>
      </c>
      <c r="EC4" s="1103" t="s">
        <v>48</v>
      </c>
      <c r="EE4" s="1381" t="s">
        <v>72</v>
      </c>
      <c r="EF4" s="1103" t="s">
        <v>79</v>
      </c>
      <c r="EG4" s="1103" t="s">
        <v>80</v>
      </c>
      <c r="EH4" s="1103" t="s">
        <v>281</v>
      </c>
      <c r="EI4" s="1103" t="s">
        <v>280</v>
      </c>
      <c r="EJ4" s="1103" t="s">
        <v>51</v>
      </c>
      <c r="EK4" s="1103" t="s">
        <v>253</v>
      </c>
      <c r="EL4" s="1103" t="s">
        <v>207</v>
      </c>
      <c r="EM4" s="1103" t="s">
        <v>115</v>
      </c>
      <c r="EN4" s="1103" t="s">
        <v>55</v>
      </c>
      <c r="EO4" s="1103" t="s">
        <v>52</v>
      </c>
      <c r="EP4" s="1103" t="s">
        <v>66</v>
      </c>
      <c r="EQ4" s="1103" t="s">
        <v>64</v>
      </c>
      <c r="ER4" s="1103" t="s">
        <v>65</v>
      </c>
      <c r="ES4" s="1103" t="s">
        <v>159</v>
      </c>
      <c r="ET4" s="1103" t="s">
        <v>84</v>
      </c>
      <c r="EU4" s="1103" t="s">
        <v>119</v>
      </c>
      <c r="EV4" s="1103" t="s">
        <v>72</v>
      </c>
      <c r="EW4" s="1103" t="s">
        <v>88</v>
      </c>
      <c r="EX4" s="1103" t="s">
        <v>48</v>
      </c>
      <c r="EZ4" s="1381" t="s">
        <v>72</v>
      </c>
      <c r="FA4" s="1103" t="s">
        <v>79</v>
      </c>
      <c r="FB4" s="1103" t="s">
        <v>80</v>
      </c>
      <c r="FC4" s="1103" t="s">
        <v>281</v>
      </c>
      <c r="FD4" s="1103" t="s">
        <v>280</v>
      </c>
      <c r="FE4" s="1103" t="s">
        <v>51</v>
      </c>
      <c r="FF4" s="1103" t="s">
        <v>253</v>
      </c>
      <c r="FG4" s="1103" t="s">
        <v>207</v>
      </c>
      <c r="FH4" s="1103" t="s">
        <v>115</v>
      </c>
      <c r="FI4" s="1103" t="s">
        <v>55</v>
      </c>
      <c r="FJ4" s="1103" t="s">
        <v>52</v>
      </c>
      <c r="FK4" s="1103" t="s">
        <v>66</v>
      </c>
      <c r="FL4" s="1103" t="s">
        <v>64</v>
      </c>
      <c r="FM4" s="1103" t="s">
        <v>65</v>
      </c>
      <c r="FN4" s="1103" t="s">
        <v>159</v>
      </c>
      <c r="FO4" s="1103" t="s">
        <v>84</v>
      </c>
      <c r="FP4" s="1103" t="s">
        <v>119</v>
      </c>
      <c r="FQ4" s="1103" t="s">
        <v>72</v>
      </c>
      <c r="FR4" s="1103" t="s">
        <v>88</v>
      </c>
      <c r="FS4" s="1103" t="s">
        <v>48</v>
      </c>
      <c r="FU4" s="1103" t="s">
        <v>79</v>
      </c>
      <c r="FV4" s="1103" t="s">
        <v>80</v>
      </c>
      <c r="FW4" s="1103" t="s">
        <v>281</v>
      </c>
      <c r="FX4" s="1103" t="s">
        <v>280</v>
      </c>
      <c r="FY4" s="1103" t="s">
        <v>51</v>
      </c>
      <c r="FZ4" s="1103" t="s">
        <v>253</v>
      </c>
      <c r="GA4" s="1103" t="s">
        <v>207</v>
      </c>
      <c r="GB4" s="1103" t="s">
        <v>115</v>
      </c>
      <c r="GC4" s="1103" t="s">
        <v>55</v>
      </c>
      <c r="GD4" s="1103" t="s">
        <v>52</v>
      </c>
      <c r="GE4" s="1103" t="s">
        <v>66</v>
      </c>
      <c r="GF4" s="1103" t="s">
        <v>64</v>
      </c>
      <c r="GG4" s="1103" t="s">
        <v>65</v>
      </c>
      <c r="GH4" s="1103" t="s">
        <v>159</v>
      </c>
      <c r="GI4" s="1103" t="s">
        <v>84</v>
      </c>
      <c r="GJ4" s="1103" t="s">
        <v>119</v>
      </c>
      <c r="GK4" s="1103" t="s">
        <v>72</v>
      </c>
      <c r="GL4" s="1103" t="s">
        <v>88</v>
      </c>
      <c r="GM4" s="1103" t="s">
        <v>48</v>
      </c>
    </row>
    <row r="5" spans="1:195" ht="33" customHeight="1">
      <c r="B5" s="1851"/>
      <c r="C5" s="1852"/>
      <c r="D5" s="1853" t="s">
        <v>92</v>
      </c>
      <c r="E5" s="1854"/>
      <c r="F5" s="1855"/>
      <c r="G5" s="1855"/>
      <c r="H5" s="1855"/>
      <c r="I5" s="1855"/>
      <c r="J5" s="1855"/>
      <c r="K5" s="1855"/>
      <c r="L5" s="1855"/>
      <c r="M5" s="1855"/>
      <c r="N5" s="1855"/>
      <c r="O5" s="1855"/>
      <c r="P5" s="1855"/>
      <c r="Q5" s="1855"/>
      <c r="R5" s="1855"/>
      <c r="S5" s="1855"/>
      <c r="T5" s="1856"/>
      <c r="U5" s="1856"/>
      <c r="V5" s="1855"/>
      <c r="W5" s="1855"/>
      <c r="X5" s="454"/>
      <c r="Y5" s="454"/>
      <c r="Z5" s="454"/>
      <c r="AA5" s="749"/>
      <c r="AB5" s="439"/>
      <c r="AC5" s="439"/>
      <c r="AD5" s="439"/>
      <c r="AE5" s="6"/>
      <c r="AF5" s="6"/>
      <c r="AG5" s="6"/>
      <c r="AH5" s="6"/>
      <c r="AI5" s="6"/>
      <c r="AJ5" s="6"/>
      <c r="AK5" s="6"/>
      <c r="AL5" s="6"/>
      <c r="AM5" s="6"/>
      <c r="AN5" s="6"/>
      <c r="AO5" s="6"/>
      <c r="AP5" s="6"/>
      <c r="AQ5" s="6"/>
      <c r="AR5" s="6"/>
      <c r="AS5" s="6"/>
      <c r="AT5" s="6"/>
      <c r="AU5" s="6"/>
      <c r="AV5" s="6"/>
      <c r="AW5" s="6"/>
      <c r="AX5" s="6"/>
      <c r="AY5" s="439"/>
      <c r="AZ5" s="1382"/>
      <c r="BA5" s="1382"/>
      <c r="BB5" s="1382"/>
      <c r="BC5" s="1382"/>
      <c r="BD5" s="1382"/>
      <c r="BE5" s="6"/>
      <c r="BF5" s="6"/>
      <c r="BG5" s="1382"/>
      <c r="BH5" s="1382"/>
      <c r="BI5" s="1382"/>
      <c r="BJ5" s="1382"/>
      <c r="BK5" s="1382"/>
      <c r="BL5" s="1383"/>
      <c r="BM5" s="1382"/>
      <c r="BN5" s="1382"/>
      <c r="BO5" s="1382"/>
      <c r="BP5" s="1382"/>
      <c r="BQ5" s="1382"/>
      <c r="BR5" s="1382"/>
      <c r="BU5" s="1382"/>
      <c r="BV5" s="1382"/>
      <c r="BW5" s="1382"/>
      <c r="BX5" s="1382"/>
      <c r="BY5" s="1382"/>
      <c r="BZ5" s="1382"/>
      <c r="CA5" s="1382"/>
      <c r="CB5" s="1382"/>
      <c r="CC5" s="1382"/>
      <c r="CD5" s="1382"/>
      <c r="CE5" s="1382"/>
      <c r="CF5" s="1384"/>
      <c r="CG5" s="1384"/>
      <c r="CH5" s="1382"/>
      <c r="CI5" s="1382"/>
      <c r="CJ5" s="1382"/>
      <c r="CK5" s="1382"/>
      <c r="CL5" s="1382"/>
      <c r="CM5" s="1382"/>
      <c r="CP5" s="1382"/>
      <c r="CQ5" s="1382"/>
      <c r="CR5" s="1382"/>
      <c r="CS5" s="1382"/>
      <c r="CT5" s="1382"/>
      <c r="CU5" s="1382"/>
      <c r="CV5" s="1382"/>
      <c r="CW5" s="1382"/>
      <c r="CX5" s="1382"/>
      <c r="CY5" s="1382"/>
      <c r="CZ5" s="1382"/>
      <c r="DA5" s="1382"/>
      <c r="DB5" s="1382"/>
      <c r="DC5" s="1382"/>
      <c r="DD5" s="1382"/>
      <c r="DE5" s="1382"/>
      <c r="DF5" s="1382"/>
      <c r="DG5" s="1382"/>
      <c r="DH5" s="1382"/>
      <c r="DK5" s="1382"/>
      <c r="DL5" s="1382"/>
      <c r="DM5" s="1382"/>
      <c r="DN5" s="1382"/>
      <c r="DO5" s="1382"/>
      <c r="DP5" s="1382"/>
      <c r="DQ5" s="1382"/>
      <c r="DR5" s="1382"/>
      <c r="DS5" s="1382"/>
      <c r="DT5" s="1382"/>
      <c r="DU5" s="1382"/>
      <c r="DV5" s="1382"/>
      <c r="DW5" s="1382"/>
      <c r="DX5" s="1382"/>
      <c r="DY5" s="1382"/>
      <c r="DZ5" s="1382"/>
      <c r="EA5" s="1382"/>
      <c r="EB5" s="1382"/>
      <c r="EC5" s="1382"/>
      <c r="EF5" s="1382"/>
      <c r="EG5" s="1382"/>
      <c r="EH5" s="1382"/>
      <c r="EI5" s="1382"/>
      <c r="EJ5" s="1382"/>
      <c r="EK5" s="1382"/>
      <c r="EL5" s="1382"/>
      <c r="EM5" s="1382"/>
      <c r="EN5" s="1382"/>
      <c r="EO5" s="1382"/>
      <c r="EP5" s="1382"/>
      <c r="EQ5" s="1382"/>
      <c r="ER5" s="1382"/>
      <c r="ES5" s="1382"/>
      <c r="ET5" s="1382"/>
      <c r="EU5" s="1382"/>
      <c r="EV5" s="1382"/>
      <c r="EW5" s="1382"/>
      <c r="EX5" s="1382"/>
      <c r="FA5" s="1382"/>
      <c r="FB5" s="1382"/>
      <c r="FC5" s="1382"/>
      <c r="FD5" s="1382"/>
      <c r="FE5" s="1382"/>
      <c r="FF5" s="1382"/>
      <c r="FG5" s="1382"/>
      <c r="FH5" s="1382"/>
      <c r="FI5" s="1382"/>
      <c r="FJ5" s="1382"/>
      <c r="FK5" s="1382"/>
      <c r="FL5" s="1382"/>
      <c r="FM5" s="1382"/>
      <c r="FN5" s="1382"/>
      <c r="FO5" s="1382"/>
      <c r="FP5" s="1382"/>
      <c r="FQ5" s="1382"/>
      <c r="FR5" s="1382"/>
      <c r="FS5" s="1382"/>
      <c r="FU5" s="1382"/>
      <c r="FV5" s="1382"/>
      <c r="FW5" s="1382"/>
      <c r="FX5" s="1382"/>
      <c r="FY5" s="1382"/>
      <c r="FZ5" s="1382"/>
      <c r="GA5" s="1382"/>
      <c r="GB5" s="1382"/>
      <c r="GC5" s="1382"/>
      <c r="GD5" s="1382"/>
      <c r="GE5" s="1382"/>
      <c r="GF5" s="1382"/>
      <c r="GG5" s="1382"/>
      <c r="GH5" s="1382"/>
      <c r="GI5" s="1382"/>
      <c r="GJ5" s="1382"/>
      <c r="GK5" s="1382"/>
      <c r="GL5" s="1382"/>
      <c r="GM5" s="1382"/>
    </row>
    <row r="6" spans="1:195" ht="16.5" customHeight="1">
      <c r="A6" s="1631">
        <v>101</v>
      </c>
      <c r="B6" s="1900" t="s">
        <v>1098</v>
      </c>
      <c r="C6" s="1385"/>
      <c r="D6" s="1385"/>
      <c r="E6" s="1385"/>
      <c r="F6" s="1385"/>
      <c r="G6" s="1385"/>
      <c r="H6" s="1385"/>
      <c r="I6" s="1385"/>
      <c r="J6" s="1385"/>
      <c r="K6" s="1385"/>
      <c r="L6" s="1385"/>
      <c r="M6" s="1385"/>
      <c r="N6" s="1385"/>
      <c r="O6" s="1385"/>
      <c r="P6" s="1385"/>
      <c r="Q6" s="1385"/>
      <c r="R6" s="1385"/>
      <c r="S6" s="1385"/>
      <c r="T6" s="1385"/>
      <c r="U6" s="1385"/>
      <c r="V6" s="1385"/>
      <c r="W6" s="1385"/>
      <c r="X6" s="1385"/>
      <c r="Y6" s="1385"/>
      <c r="Z6" s="1385"/>
      <c r="AA6" s="1324"/>
      <c r="AB6" s="1232"/>
      <c r="AC6" s="1232"/>
      <c r="AD6" s="1232"/>
      <c r="AE6" s="1375"/>
      <c r="AF6" s="1375"/>
      <c r="AG6" s="1375"/>
      <c r="AH6" s="1375"/>
      <c r="AI6" s="1375"/>
      <c r="AJ6" s="1375"/>
      <c r="AK6" s="1375"/>
      <c r="AL6" s="1375"/>
      <c r="AM6" s="1375"/>
      <c r="AN6" s="1375"/>
      <c r="AO6" s="1375"/>
      <c r="AP6" s="1375"/>
      <c r="AQ6" s="1375"/>
      <c r="AR6" s="1375"/>
      <c r="AS6" s="1375"/>
      <c r="AT6" s="1375"/>
      <c r="AU6" s="1375"/>
      <c r="AV6" s="1375"/>
      <c r="AW6" s="1375"/>
      <c r="AX6" s="1375"/>
      <c r="AY6" s="1232"/>
      <c r="AZ6" s="1386"/>
      <c r="BA6" s="1386"/>
      <c r="BB6" s="1386"/>
      <c r="BC6" s="1386"/>
      <c r="BD6" s="1386"/>
      <c r="BE6" s="1375"/>
      <c r="BF6" s="1375"/>
      <c r="BG6" s="1386"/>
      <c r="BH6" s="1386"/>
      <c r="BI6" s="1386"/>
      <c r="BJ6" s="1386"/>
      <c r="BK6" s="1386"/>
      <c r="BL6" s="1387"/>
      <c r="BM6" s="1386"/>
      <c r="BN6" s="1386"/>
      <c r="BO6" s="1386"/>
      <c r="BP6" s="1386"/>
      <c r="BQ6" s="1386"/>
      <c r="BR6" s="1386"/>
      <c r="BS6" s="1221"/>
      <c r="BT6" s="1221"/>
      <c r="BU6" s="1386"/>
      <c r="BV6" s="1386"/>
      <c r="BW6" s="1386"/>
      <c r="BX6" s="1386"/>
      <c r="BY6" s="1386"/>
      <c r="BZ6" s="1386"/>
      <c r="CA6" s="1386"/>
      <c r="CB6" s="1386"/>
      <c r="CC6" s="1386"/>
      <c r="CD6" s="1386"/>
      <c r="CE6" s="1386"/>
      <c r="CF6" s="1388"/>
      <c r="CG6" s="1388"/>
      <c r="CH6" s="1386"/>
      <c r="CI6" s="1386"/>
      <c r="CJ6" s="1386"/>
      <c r="CK6" s="1386"/>
      <c r="CL6" s="1386"/>
      <c r="CM6" s="1386"/>
      <c r="CN6" s="1221"/>
      <c r="CO6" s="1221"/>
      <c r="CP6" s="1386"/>
      <c r="CQ6" s="1386"/>
      <c r="CR6" s="1386"/>
      <c r="CS6" s="1386"/>
      <c r="CT6" s="1386"/>
      <c r="CU6" s="1386"/>
      <c r="CV6" s="1386"/>
      <c r="CW6" s="1386"/>
      <c r="CX6" s="1386"/>
      <c r="CY6" s="1386"/>
      <c r="CZ6" s="1386"/>
      <c r="DA6" s="1386"/>
      <c r="DB6" s="1386"/>
      <c r="DC6" s="1386"/>
      <c r="DD6" s="1386"/>
      <c r="DE6" s="1386"/>
      <c r="DF6" s="1386"/>
      <c r="DG6" s="1386"/>
      <c r="DH6" s="1386"/>
      <c r="DI6" s="1221"/>
      <c r="DJ6" s="1221"/>
      <c r="DK6" s="1386"/>
      <c r="DL6" s="1386"/>
      <c r="DM6" s="1386"/>
      <c r="DN6" s="1386"/>
      <c r="DO6" s="1386"/>
      <c r="DP6" s="1386"/>
      <c r="DQ6" s="1386"/>
      <c r="DR6" s="1386"/>
      <c r="DS6" s="1386"/>
      <c r="DT6" s="1386"/>
      <c r="DU6" s="1386"/>
      <c r="DV6" s="1386"/>
      <c r="DW6" s="1386"/>
      <c r="DX6" s="1386"/>
      <c r="DY6" s="1386"/>
      <c r="DZ6" s="1386"/>
      <c r="EA6" s="1386"/>
      <c r="EB6" s="1386"/>
      <c r="EC6" s="1386"/>
      <c r="ED6" s="1221"/>
      <c r="EE6" s="1221"/>
      <c r="EF6" s="1386"/>
      <c r="EG6" s="1386"/>
      <c r="EH6" s="1386"/>
      <c r="EI6" s="1386"/>
      <c r="EJ6" s="1386"/>
      <c r="EK6" s="1386"/>
      <c r="EL6" s="1386"/>
      <c r="EM6" s="1386"/>
      <c r="EN6" s="1386"/>
      <c r="EO6" s="1386"/>
      <c r="EP6" s="1386"/>
      <c r="EQ6" s="1386"/>
      <c r="ER6" s="1386"/>
      <c r="ES6" s="1386"/>
      <c r="ET6" s="1386"/>
      <c r="EU6" s="1386"/>
      <c r="EV6" s="1386"/>
      <c r="EW6" s="1386"/>
      <c r="EX6" s="1386"/>
      <c r="EY6" s="1221"/>
      <c r="EZ6" s="1221"/>
      <c r="FA6" s="1386"/>
      <c r="FB6" s="1386"/>
      <c r="FC6" s="1386"/>
      <c r="FD6" s="1386"/>
      <c r="FE6" s="1386"/>
      <c r="FF6" s="1386"/>
      <c r="FG6" s="1386"/>
      <c r="FH6" s="1386"/>
      <c r="FI6" s="1386"/>
      <c r="FJ6" s="1386"/>
      <c r="FK6" s="1386"/>
      <c r="FL6" s="1386"/>
      <c r="FM6" s="1386"/>
      <c r="FN6" s="1386"/>
      <c r="FO6" s="1386"/>
      <c r="FP6" s="1386"/>
      <c r="FQ6" s="1386"/>
      <c r="FR6" s="1386"/>
      <c r="FS6" s="1386"/>
      <c r="FT6" s="1221"/>
      <c r="FU6" s="1386"/>
      <c r="FV6" s="1386"/>
      <c r="FW6" s="1386"/>
      <c r="FX6" s="1386"/>
      <c r="FY6" s="1386"/>
      <c r="FZ6" s="1386"/>
      <c r="GA6" s="1386"/>
      <c r="GB6" s="1386"/>
      <c r="GC6" s="1386"/>
      <c r="GD6" s="1386"/>
      <c r="GE6" s="1386"/>
      <c r="GF6" s="1386"/>
      <c r="GG6" s="1386"/>
      <c r="GH6" s="1386"/>
      <c r="GI6" s="1386"/>
      <c r="GJ6" s="1386"/>
      <c r="GK6" s="1386"/>
      <c r="GL6" s="1386"/>
      <c r="GM6" s="1386"/>
    </row>
    <row r="7" spans="1:195" ht="16.5" customHeight="1">
      <c r="A7" s="1631">
        <v>102</v>
      </c>
      <c r="B7" s="1900"/>
      <c r="C7" s="1412" t="s">
        <v>282</v>
      </c>
      <c r="D7" s="1413"/>
      <c r="E7" s="1385"/>
      <c r="F7" s="1385"/>
      <c r="G7" s="1385"/>
      <c r="H7" s="1385"/>
      <c r="I7" s="1385"/>
      <c r="J7" s="1385"/>
      <c r="K7" s="1385"/>
      <c r="L7" s="1385"/>
      <c r="M7" s="1385"/>
      <c r="N7" s="1385">
        <f>IF((AC7&lt;10),SUM((AO7+(ROUNDUP((AC7*BJ7),2)))),SUM((AO7+(ROUNDUP(((9*BJ7)+GE7),2)))))</f>
        <v>250</v>
      </c>
      <c r="O7" s="1385"/>
      <c r="P7" s="1385"/>
      <c r="Q7" s="1385"/>
      <c r="R7" s="1414"/>
      <c r="S7" s="1385"/>
      <c r="T7" s="1414"/>
      <c r="U7" s="1414"/>
      <c r="V7" s="1385"/>
      <c r="W7" s="1385">
        <f t="shared" ref="W7:W25" si="0">IF((AC7&lt;10),SUM((AX7+(ROUNDUP((AC7*BR7),2)))),SUM((AX7+(ROUNDUP(((9*BR7)+GM7),2)))))</f>
        <v>2500</v>
      </c>
      <c r="X7" s="1385"/>
      <c r="Y7" s="1385"/>
      <c r="Z7" s="1385"/>
      <c r="AA7" s="1389"/>
      <c r="AB7" s="1232">
        <v>0</v>
      </c>
      <c r="AC7" s="1232">
        <f>$AC$4</f>
        <v>0</v>
      </c>
      <c r="AD7" s="1232"/>
      <c r="AE7" s="1390"/>
      <c r="AF7" s="1390"/>
      <c r="AG7" s="1390"/>
      <c r="AH7" s="1390"/>
      <c r="AI7" s="1390"/>
      <c r="AJ7" s="1390"/>
      <c r="AK7" s="1390"/>
      <c r="AL7" s="1390"/>
      <c r="AM7" s="1390"/>
      <c r="AN7" s="1390"/>
      <c r="AO7" s="1390">
        <v>250</v>
      </c>
      <c r="AP7" s="1390"/>
      <c r="AQ7" s="1390"/>
      <c r="AR7" s="1390"/>
      <c r="AS7" s="1391"/>
      <c r="AT7" s="1390"/>
      <c r="AU7" s="1390"/>
      <c r="AV7" s="1390"/>
      <c r="AW7" s="1390"/>
      <c r="AX7" s="1390">
        <v>2500</v>
      </c>
      <c r="AY7" s="1232"/>
      <c r="AZ7" s="1232"/>
      <c r="BA7" s="1232"/>
      <c r="BB7" s="1232"/>
      <c r="BC7" s="1232"/>
      <c r="BD7" s="1232"/>
      <c r="BE7" s="1390"/>
      <c r="BF7" s="1390"/>
      <c r="BG7" s="1232"/>
      <c r="BH7" s="1232"/>
      <c r="BI7" s="1232"/>
      <c r="BJ7" s="1232">
        <f>SUM((AO7/9))</f>
        <v>27.777777777777779</v>
      </c>
      <c r="BK7" s="1232"/>
      <c r="BL7" s="1221"/>
      <c r="BM7" s="1232"/>
      <c r="BN7" s="1232"/>
      <c r="BO7" s="1232"/>
      <c r="BP7" s="1232"/>
      <c r="BQ7" s="1232"/>
      <c r="BR7" s="1232">
        <f t="shared" ref="BR7:BR25" si="1">SUM((AX7/9))</f>
        <v>277.77777777777777</v>
      </c>
      <c r="BS7" s="1232"/>
      <c r="BT7" s="1221"/>
      <c r="BU7" s="1232">
        <f t="shared" ref="BU7:CD8" si="2">SUM(((AZ7*0.9)*1))</f>
        <v>0</v>
      </c>
      <c r="BV7" s="1232">
        <f t="shared" si="2"/>
        <v>0</v>
      </c>
      <c r="BW7" s="1232">
        <f t="shared" si="2"/>
        <v>0</v>
      </c>
      <c r="BX7" s="1232">
        <f t="shared" si="2"/>
        <v>0</v>
      </c>
      <c r="BY7" s="1232">
        <f t="shared" si="2"/>
        <v>0</v>
      </c>
      <c r="BZ7" s="1232">
        <f t="shared" si="2"/>
        <v>0</v>
      </c>
      <c r="CA7" s="1232">
        <f t="shared" si="2"/>
        <v>0</v>
      </c>
      <c r="CB7" s="1232">
        <f t="shared" si="2"/>
        <v>0</v>
      </c>
      <c r="CC7" s="1232">
        <f t="shared" si="2"/>
        <v>0</v>
      </c>
      <c r="CD7" s="1232">
        <f t="shared" si="2"/>
        <v>0</v>
      </c>
      <c r="CE7" s="1232">
        <f t="shared" ref="CE7:CM8" si="3">SUM(((BJ7*0.9)*1))</f>
        <v>25</v>
      </c>
      <c r="CF7" s="1232">
        <f t="shared" si="3"/>
        <v>0</v>
      </c>
      <c r="CG7" s="1232">
        <f t="shared" si="3"/>
        <v>0</v>
      </c>
      <c r="CH7" s="1232">
        <f t="shared" si="3"/>
        <v>0</v>
      </c>
      <c r="CI7" s="1232">
        <f t="shared" si="3"/>
        <v>0</v>
      </c>
      <c r="CJ7" s="1232">
        <f t="shared" si="3"/>
        <v>0</v>
      </c>
      <c r="CK7" s="1232">
        <f t="shared" si="3"/>
        <v>0</v>
      </c>
      <c r="CL7" s="1232">
        <f t="shared" si="3"/>
        <v>0</v>
      </c>
      <c r="CM7" s="1232">
        <f t="shared" si="3"/>
        <v>250</v>
      </c>
      <c r="CN7" s="1232"/>
      <c r="CO7" s="1221"/>
      <c r="CP7" s="1232">
        <f t="shared" ref="CP7:CY8" si="4">SUM(((AZ7*0.9)*0.9))</f>
        <v>0</v>
      </c>
      <c r="CQ7" s="1232">
        <f t="shared" si="4"/>
        <v>0</v>
      </c>
      <c r="CR7" s="1232">
        <f t="shared" si="4"/>
        <v>0</v>
      </c>
      <c r="CS7" s="1232">
        <f t="shared" si="4"/>
        <v>0</v>
      </c>
      <c r="CT7" s="1232">
        <f t="shared" si="4"/>
        <v>0</v>
      </c>
      <c r="CU7" s="1232">
        <f t="shared" si="4"/>
        <v>0</v>
      </c>
      <c r="CV7" s="1232">
        <f t="shared" si="4"/>
        <v>0</v>
      </c>
      <c r="CW7" s="1232">
        <f t="shared" si="4"/>
        <v>0</v>
      </c>
      <c r="CX7" s="1232">
        <f t="shared" si="4"/>
        <v>0</v>
      </c>
      <c r="CY7" s="1232">
        <f t="shared" si="4"/>
        <v>0</v>
      </c>
      <c r="CZ7" s="1232">
        <f t="shared" ref="CZ7:DH8" si="5">SUM(((BJ7*0.9)*0.9))</f>
        <v>22.5</v>
      </c>
      <c r="DA7" s="1232">
        <f t="shared" si="5"/>
        <v>0</v>
      </c>
      <c r="DB7" s="1232">
        <f t="shared" si="5"/>
        <v>0</v>
      </c>
      <c r="DC7" s="1232">
        <f t="shared" si="5"/>
        <v>0</v>
      </c>
      <c r="DD7" s="1232">
        <f t="shared" si="5"/>
        <v>0</v>
      </c>
      <c r="DE7" s="1232">
        <f t="shared" si="5"/>
        <v>0</v>
      </c>
      <c r="DF7" s="1232">
        <f t="shared" si="5"/>
        <v>0</v>
      </c>
      <c r="DG7" s="1232">
        <f t="shared" si="5"/>
        <v>0</v>
      </c>
      <c r="DH7" s="1232">
        <f t="shared" si="5"/>
        <v>225</v>
      </c>
      <c r="DI7" s="1232"/>
      <c r="DJ7" s="1221"/>
      <c r="DK7" s="1232">
        <f t="shared" ref="DK7:DT8" si="6">SUM(((AZ7*0.9)*0.8))</f>
        <v>0</v>
      </c>
      <c r="DL7" s="1232">
        <f t="shared" si="6"/>
        <v>0</v>
      </c>
      <c r="DM7" s="1232">
        <f t="shared" si="6"/>
        <v>0</v>
      </c>
      <c r="DN7" s="1232">
        <f t="shared" si="6"/>
        <v>0</v>
      </c>
      <c r="DO7" s="1232">
        <f t="shared" si="6"/>
        <v>0</v>
      </c>
      <c r="DP7" s="1232">
        <f t="shared" si="6"/>
        <v>0</v>
      </c>
      <c r="DQ7" s="1232">
        <f t="shared" si="6"/>
        <v>0</v>
      </c>
      <c r="DR7" s="1232">
        <f t="shared" si="6"/>
        <v>0</v>
      </c>
      <c r="DS7" s="1232">
        <f t="shared" si="6"/>
        <v>0</v>
      </c>
      <c r="DT7" s="1232">
        <f t="shared" si="6"/>
        <v>0</v>
      </c>
      <c r="DU7" s="1232">
        <f t="shared" ref="DU7:EC8" si="7">SUM(((BJ7*0.9)*0.8))</f>
        <v>20</v>
      </c>
      <c r="DV7" s="1232">
        <f t="shared" si="7"/>
        <v>0</v>
      </c>
      <c r="DW7" s="1232">
        <f t="shared" si="7"/>
        <v>0</v>
      </c>
      <c r="DX7" s="1232">
        <f t="shared" si="7"/>
        <v>0</v>
      </c>
      <c r="DY7" s="1232">
        <f t="shared" si="7"/>
        <v>0</v>
      </c>
      <c r="DZ7" s="1232">
        <f t="shared" si="7"/>
        <v>0</v>
      </c>
      <c r="EA7" s="1232">
        <f t="shared" si="7"/>
        <v>0</v>
      </c>
      <c r="EB7" s="1232">
        <f t="shared" si="7"/>
        <v>0</v>
      </c>
      <c r="EC7" s="1232">
        <f t="shared" si="7"/>
        <v>200</v>
      </c>
      <c r="ED7" s="1232"/>
      <c r="EE7" s="1221"/>
      <c r="EF7" s="1232">
        <f t="shared" ref="EF7:EO8" si="8">SUM(((AZ7*0.9)*0.7))</f>
        <v>0</v>
      </c>
      <c r="EG7" s="1232">
        <f t="shared" si="8"/>
        <v>0</v>
      </c>
      <c r="EH7" s="1232">
        <f t="shared" si="8"/>
        <v>0</v>
      </c>
      <c r="EI7" s="1232">
        <f t="shared" si="8"/>
        <v>0</v>
      </c>
      <c r="EJ7" s="1232">
        <f t="shared" si="8"/>
        <v>0</v>
      </c>
      <c r="EK7" s="1232">
        <f t="shared" si="8"/>
        <v>0</v>
      </c>
      <c r="EL7" s="1232">
        <f t="shared" si="8"/>
        <v>0</v>
      </c>
      <c r="EM7" s="1232">
        <f t="shared" si="8"/>
        <v>0</v>
      </c>
      <c r="EN7" s="1232">
        <f t="shared" si="8"/>
        <v>0</v>
      </c>
      <c r="EO7" s="1232">
        <f t="shared" si="8"/>
        <v>0</v>
      </c>
      <c r="EP7" s="1232">
        <f t="shared" ref="EP7:EX8" si="9">SUM(((BJ7*0.9)*0.7))</f>
        <v>17.5</v>
      </c>
      <c r="EQ7" s="1232">
        <f t="shared" si="9"/>
        <v>0</v>
      </c>
      <c r="ER7" s="1232">
        <f t="shared" si="9"/>
        <v>0</v>
      </c>
      <c r="ES7" s="1232">
        <f t="shared" si="9"/>
        <v>0</v>
      </c>
      <c r="ET7" s="1232">
        <f t="shared" si="9"/>
        <v>0</v>
      </c>
      <c r="EU7" s="1232">
        <f t="shared" si="9"/>
        <v>0</v>
      </c>
      <c r="EV7" s="1232">
        <f t="shared" si="9"/>
        <v>0</v>
      </c>
      <c r="EW7" s="1232">
        <f t="shared" si="9"/>
        <v>0</v>
      </c>
      <c r="EX7" s="1232">
        <f t="shared" si="9"/>
        <v>175</v>
      </c>
      <c r="EY7" s="1232"/>
      <c r="EZ7" s="1221"/>
      <c r="FA7" s="1232">
        <f t="shared" ref="FA7:FJ8" si="10">SUM(((AZ7*0.9)*0.6))</f>
        <v>0</v>
      </c>
      <c r="FB7" s="1232">
        <f t="shared" si="10"/>
        <v>0</v>
      </c>
      <c r="FC7" s="1232">
        <f t="shared" si="10"/>
        <v>0</v>
      </c>
      <c r="FD7" s="1232">
        <f t="shared" si="10"/>
        <v>0</v>
      </c>
      <c r="FE7" s="1232">
        <f t="shared" si="10"/>
        <v>0</v>
      </c>
      <c r="FF7" s="1232">
        <f t="shared" si="10"/>
        <v>0</v>
      </c>
      <c r="FG7" s="1232">
        <f t="shared" si="10"/>
        <v>0</v>
      </c>
      <c r="FH7" s="1232">
        <f t="shared" si="10"/>
        <v>0</v>
      </c>
      <c r="FI7" s="1232">
        <f t="shared" si="10"/>
        <v>0</v>
      </c>
      <c r="FJ7" s="1232">
        <f t="shared" si="10"/>
        <v>0</v>
      </c>
      <c r="FK7" s="1232">
        <f t="shared" ref="FK7:FS8" si="11">SUM(((BJ7*0.9)*0.6))</f>
        <v>15</v>
      </c>
      <c r="FL7" s="1232">
        <f t="shared" si="11"/>
        <v>0</v>
      </c>
      <c r="FM7" s="1232">
        <f t="shared" si="11"/>
        <v>0</v>
      </c>
      <c r="FN7" s="1232">
        <f t="shared" si="11"/>
        <v>0</v>
      </c>
      <c r="FO7" s="1232">
        <f t="shared" si="11"/>
        <v>0</v>
      </c>
      <c r="FP7" s="1232">
        <f t="shared" si="11"/>
        <v>0</v>
      </c>
      <c r="FQ7" s="1232">
        <f t="shared" si="11"/>
        <v>0</v>
      </c>
      <c r="FR7" s="1232">
        <f t="shared" si="11"/>
        <v>0</v>
      </c>
      <c r="FS7" s="1232">
        <f t="shared" si="11"/>
        <v>150</v>
      </c>
      <c r="FT7" s="1232"/>
      <c r="FU7" s="1232" t="e">
        <f t="shared" ref="FU7:FU25" si="12">CHOOSE((AC7-9),BU7,(BU7+CP7),((BU7+CP7)+DK7),(((BU7+CP7)+DK7)+EF7),((((BU7+CP7)+DK7)+EF7)+FA7),)</f>
        <v>#VALUE!</v>
      </c>
      <c r="FV7" s="1232" t="e">
        <f>CHOOSE((AC7-9),BV7,(BV7+CQ7),((BV7+CQ7)+DL7),(((BV7+CQ7)+DL7)+EG7),((((BV7+CQ7)+DL7)+EG7)+FB7),)</f>
        <v>#VALUE!</v>
      </c>
      <c r="FW7" s="1232" t="e">
        <f t="shared" ref="FW7:FW25" si="13">CHOOSE((AC7-9),BW7,(BW7+CR7),((BW7+CR7)+DM7),(((BW7+CR7)+DM7)+EH7),((((BW7+CR7)+DM7)+EH7)+FC7),)</f>
        <v>#VALUE!</v>
      </c>
      <c r="FX7" s="1232" t="e">
        <f t="shared" ref="FX7:FX25" si="14">CHOOSE((AC7-9),BX7,(BX7+CS7),((BX7+CS7)+DN7),(((BX7+CS7)+DN7)+EI7),((((BX7+CS7)+DN7)+EI7)+FD7),)</f>
        <v>#VALUE!</v>
      </c>
      <c r="FY7" s="1232" t="e">
        <f t="shared" ref="FY7:FY25" si="15">CHOOSE((AC7-9),BY7,(BY7+CT7),((BY7+CT7)+DO7),(((BY7+CT7)+DO7)+EJ7),((((BY7+CT7)+DO7)+EJ7)+FE7),)</f>
        <v>#VALUE!</v>
      </c>
      <c r="FZ7" s="1232" t="e">
        <f t="shared" ref="FZ7:FZ25" si="16">CHOOSE((AC7-9),BZ7,(BZ7+CU7),((BZ7+CU7)+DP7),(((BZ7+CU7)+DP7)+EK7),((((BZ7+CU7)+DP7)+EK7)+FF7),)</f>
        <v>#VALUE!</v>
      </c>
      <c r="GA7" s="1232" t="e">
        <f t="shared" ref="GA7:GA25" si="17">CHOOSE((AC7-9),CA7,(CA7+CV7),((CA7+CV7)+DQ7),(((CA7+CV7)+DQ7)+EL7),((((CA7+CV7)+DQ7)+EL7)+FG7),)</f>
        <v>#VALUE!</v>
      </c>
      <c r="GB7" s="1232" t="e">
        <f t="shared" ref="GB7:GB25" si="18">CHOOSE((AC7-9),CB7,(CB7+CW7),((CB7+CW7)+DR7),(((CB7+CW7)+DR7)+EM7),((((CB7+CW7)+DR7)+EM7)+FH7),)</f>
        <v>#VALUE!</v>
      </c>
      <c r="GC7" s="1232" t="e">
        <f t="shared" ref="GC7:GC25" si="19">CHOOSE((AC7-9),CC7,(CC7+CX7),((CC7+CX7)+DS7),(((CC7+CX7)+DS7)+EN7),((((CC7+CX7)+DS7)+EN7)+FI7),)</f>
        <v>#VALUE!</v>
      </c>
      <c r="GD7" s="1232" t="e">
        <f t="shared" ref="GD7:GD25" si="20">CHOOSE((AC7-9),CD7,(CD7+CY7),((CD7+CY7)+DT7),(((CD7+CY7)+DT7)+EO7),((((CD7+CY7)+DT7)+EO7)+FJ7),)</f>
        <v>#VALUE!</v>
      </c>
      <c r="GE7" s="1232" t="e">
        <f t="shared" ref="GE7:GE25" si="21">CHOOSE((AC7-9),CE7,(CE7+CZ7),((CE7+CZ7)+DU7),(((CE7+CZ7)+DU7)+EP7),((((CE7+CZ7)+DU7)+EP7)+FK7),)</f>
        <v>#VALUE!</v>
      </c>
      <c r="GF7" s="1232" t="e">
        <f t="shared" ref="GF7:GF25" si="22">CHOOSE((AC7-9),CF7,(CF7+DA7),((CF7+DA7)+DV7),(((CF7+DA7)+DV7)+EQ7),((((CF7+DA7)+DV7)+EQ7)+FL7),)</f>
        <v>#VALUE!</v>
      </c>
      <c r="GG7" s="1232" t="e">
        <f t="shared" ref="GG7:GG25" si="23">CHOOSE((AC7-9),CG7,(CG7+DB7),((CG7+DB7)+DW7),(((CG7+DB7)+DW7)+ER7),((((CG7+DB7)+DW7)+ER7)+FM7),)</f>
        <v>#VALUE!</v>
      </c>
      <c r="GH7" s="1232" t="e">
        <f t="shared" ref="GH7:GH25" si="24">CHOOSE((AC7-9),CH7,(CH7+DC7),((CH7+DC7)+DX7),(((CH7+DC7)+DX7)+ES7),((((CH7+DC7)+DX7)+ES7)+FN7),)</f>
        <v>#VALUE!</v>
      </c>
      <c r="GI7" s="1232" t="e">
        <f t="shared" ref="GI7:GI25" si="25">CHOOSE((AC7-9),CI7,(CI7+DD7),((CI7+DD7)+DY7),(((CI7+DD7)+DY7)+ET7),((((CI7+DD7)+DY7)+ET7)+FO7),)</f>
        <v>#VALUE!</v>
      </c>
      <c r="GJ7" s="1232" t="e">
        <f t="shared" ref="GJ7:GJ25" si="26">CHOOSE((AC7-9),CJ7,(CJ7+DE7),((CJ7+DE7)+DZ7),(((CJ7+DE7)+DZ7)+EU7),((((CJ7+DE7)+DZ7)+EU7)+FP7),)</f>
        <v>#VALUE!</v>
      </c>
      <c r="GK7" s="1232" t="e">
        <f t="shared" ref="GK7:GK25" si="27">CHOOSE((AC7-9),CK7,(CK7+DF7),((CK7+DF7)+EA7),(((CK7+DF7)+EA7)+EV7),((((CK7+DF7)+EA7)+EV7)+FQ7),)</f>
        <v>#VALUE!</v>
      </c>
      <c r="GL7" s="1232" t="e">
        <f t="shared" ref="GL7:GL25" si="28">CHOOSE((AC7-9),CL7,(CL7+DG7),((CL7+DG7)+EB7),(((CL7+DG7)+EB7)+EW7),((((CL7+DG7)+EB7)+EW7)+FR7),)</f>
        <v>#VALUE!</v>
      </c>
      <c r="GM7" s="1232" t="e">
        <f t="shared" ref="GM7:GM25" si="29">CHOOSE((AC7-9),CM7,(CM7+DH7),((CM7+DH7)+EC7),(((CM7+DH7)+EC7)+EX7),((((CM7+DH7)+EC7)+EX7)+FS7),)</f>
        <v>#VALUE!</v>
      </c>
    </row>
    <row r="8" spans="1:195" ht="16.5" customHeight="1">
      <c r="A8" s="1631">
        <v>103</v>
      </c>
      <c r="B8" s="1900"/>
      <c r="C8" s="1273" t="s">
        <v>1091</v>
      </c>
      <c r="D8" s="1415"/>
      <c r="E8" s="1392"/>
      <c r="F8" s="1392"/>
      <c r="G8" s="1392"/>
      <c r="H8" s="1392"/>
      <c r="I8" s="1392"/>
      <c r="J8" s="1392"/>
      <c r="K8" s="1392"/>
      <c r="L8" s="1392"/>
      <c r="M8" s="1392"/>
      <c r="N8" s="1392"/>
      <c r="O8" s="1392"/>
      <c r="P8" s="1392"/>
      <c r="Q8" s="1392"/>
      <c r="R8" s="1416"/>
      <c r="S8" s="1392"/>
      <c r="T8" s="1416"/>
      <c r="U8" s="1416">
        <f>IF((AC8&lt;10),SUM((AV8+(ROUNDUP((AC8*BP8),2)))),SUM((AV8+(ROUNDUP(((9*BP8)+GK8),2)))))</f>
        <v>10</v>
      </c>
      <c r="V8" s="1392">
        <f>IF((AC8&lt;10),SUM((AW8+(ROUNDUP((AC8*BQ8),2)))),SUM((AW8+(ROUNDUP(((9*BQ8)+GL8),2)))))</f>
        <v>25</v>
      </c>
      <c r="W8" s="1392">
        <f t="shared" si="0"/>
        <v>2500</v>
      </c>
      <c r="X8" s="1392"/>
      <c r="Y8" s="1392"/>
      <c r="Z8" s="1392"/>
      <c r="AA8" s="1389"/>
      <c r="AB8" s="1232">
        <v>1</v>
      </c>
      <c r="AC8" s="1232">
        <f t="shared" ref="AC8:AC72" si="30">$AC$4</f>
        <v>0</v>
      </c>
      <c r="AD8" s="1232"/>
      <c r="AE8" s="1390"/>
      <c r="AF8" s="1390"/>
      <c r="AG8" s="1390"/>
      <c r="AH8" s="1390"/>
      <c r="AI8" s="1390"/>
      <c r="AJ8" s="1390"/>
      <c r="AK8" s="1390"/>
      <c r="AL8" s="1390"/>
      <c r="AM8" s="1390"/>
      <c r="AN8" s="1390"/>
      <c r="AO8" s="1390"/>
      <c r="AP8" s="1390"/>
      <c r="AQ8" s="1390"/>
      <c r="AR8" s="1390"/>
      <c r="AS8" s="1391"/>
      <c r="AT8" s="1390"/>
      <c r="AU8" s="1390"/>
      <c r="AV8" s="1390">
        <v>10</v>
      </c>
      <c r="AW8" s="1390">
        <v>25</v>
      </c>
      <c r="AX8" s="1390">
        <v>2500</v>
      </c>
      <c r="AY8" s="1232"/>
      <c r="AZ8" s="1232"/>
      <c r="BA8" s="1232"/>
      <c r="BB8" s="1232"/>
      <c r="BC8" s="1232"/>
      <c r="BD8" s="1232"/>
      <c r="BE8" s="1390"/>
      <c r="BF8" s="1390"/>
      <c r="BG8" s="1232"/>
      <c r="BH8" s="1232"/>
      <c r="BI8" s="1232"/>
      <c r="BJ8" s="1232"/>
      <c r="BK8" s="1232"/>
      <c r="BL8" s="1232"/>
      <c r="BM8" s="1232"/>
      <c r="BN8" s="1232"/>
      <c r="BO8" s="1232"/>
      <c r="BP8" s="1232">
        <f>SUM((-AV8/18))</f>
        <v>-0.55555555555555558</v>
      </c>
      <c r="BQ8" s="1232"/>
      <c r="BR8" s="1232">
        <f t="shared" si="1"/>
        <v>277.77777777777777</v>
      </c>
      <c r="BS8" s="1232"/>
      <c r="BT8" s="1232"/>
      <c r="BU8" s="1232">
        <f t="shared" si="2"/>
        <v>0</v>
      </c>
      <c r="BV8" s="1232">
        <f t="shared" si="2"/>
        <v>0</v>
      </c>
      <c r="BW8" s="1232">
        <f t="shared" si="2"/>
        <v>0</v>
      </c>
      <c r="BX8" s="1232">
        <f t="shared" si="2"/>
        <v>0</v>
      </c>
      <c r="BY8" s="1232">
        <f t="shared" si="2"/>
        <v>0</v>
      </c>
      <c r="BZ8" s="1232">
        <f t="shared" si="2"/>
        <v>0</v>
      </c>
      <c r="CA8" s="1232">
        <f t="shared" si="2"/>
        <v>0</v>
      </c>
      <c r="CB8" s="1232">
        <f t="shared" si="2"/>
        <v>0</v>
      </c>
      <c r="CC8" s="1232">
        <f t="shared" si="2"/>
        <v>0</v>
      </c>
      <c r="CD8" s="1232">
        <f t="shared" si="2"/>
        <v>0</v>
      </c>
      <c r="CE8" s="1232">
        <f t="shared" si="3"/>
        <v>0</v>
      </c>
      <c r="CF8" s="1232">
        <f t="shared" si="3"/>
        <v>0</v>
      </c>
      <c r="CG8" s="1232">
        <f t="shared" si="3"/>
        <v>0</v>
      </c>
      <c r="CH8" s="1232">
        <f t="shared" si="3"/>
        <v>0</v>
      </c>
      <c r="CI8" s="1232">
        <f t="shared" si="3"/>
        <v>0</v>
      </c>
      <c r="CJ8" s="1232">
        <f t="shared" si="3"/>
        <v>0</v>
      </c>
      <c r="CK8" s="1232">
        <f t="shared" si="3"/>
        <v>-0.5</v>
      </c>
      <c r="CL8" s="1232">
        <f t="shared" si="3"/>
        <v>0</v>
      </c>
      <c r="CM8" s="1232">
        <f t="shared" si="3"/>
        <v>250</v>
      </c>
      <c r="CN8" s="1232"/>
      <c r="CO8" s="1232"/>
      <c r="CP8" s="1232">
        <f t="shared" si="4"/>
        <v>0</v>
      </c>
      <c r="CQ8" s="1232">
        <f t="shared" si="4"/>
        <v>0</v>
      </c>
      <c r="CR8" s="1232">
        <f t="shared" si="4"/>
        <v>0</v>
      </c>
      <c r="CS8" s="1232">
        <f t="shared" si="4"/>
        <v>0</v>
      </c>
      <c r="CT8" s="1232">
        <f t="shared" si="4"/>
        <v>0</v>
      </c>
      <c r="CU8" s="1232">
        <f t="shared" si="4"/>
        <v>0</v>
      </c>
      <c r="CV8" s="1232">
        <f t="shared" si="4"/>
        <v>0</v>
      </c>
      <c r="CW8" s="1232">
        <f t="shared" si="4"/>
        <v>0</v>
      </c>
      <c r="CX8" s="1232">
        <f t="shared" si="4"/>
        <v>0</v>
      </c>
      <c r="CY8" s="1232">
        <f t="shared" si="4"/>
        <v>0</v>
      </c>
      <c r="CZ8" s="1232">
        <f t="shared" si="5"/>
        <v>0</v>
      </c>
      <c r="DA8" s="1232">
        <f t="shared" si="5"/>
        <v>0</v>
      </c>
      <c r="DB8" s="1232">
        <f t="shared" si="5"/>
        <v>0</v>
      </c>
      <c r="DC8" s="1232">
        <f t="shared" si="5"/>
        <v>0</v>
      </c>
      <c r="DD8" s="1232">
        <f t="shared" si="5"/>
        <v>0</v>
      </c>
      <c r="DE8" s="1232">
        <f t="shared" si="5"/>
        <v>0</v>
      </c>
      <c r="DF8" s="1232">
        <f t="shared" si="5"/>
        <v>-0.45</v>
      </c>
      <c r="DG8" s="1232">
        <f t="shared" si="5"/>
        <v>0</v>
      </c>
      <c r="DH8" s="1232">
        <f t="shared" si="5"/>
        <v>225</v>
      </c>
      <c r="DI8" s="1232"/>
      <c r="DJ8" s="1221"/>
      <c r="DK8" s="1232">
        <f t="shared" si="6"/>
        <v>0</v>
      </c>
      <c r="DL8" s="1232">
        <f t="shared" si="6"/>
        <v>0</v>
      </c>
      <c r="DM8" s="1232">
        <f t="shared" si="6"/>
        <v>0</v>
      </c>
      <c r="DN8" s="1232">
        <f t="shared" si="6"/>
        <v>0</v>
      </c>
      <c r="DO8" s="1232">
        <f t="shared" si="6"/>
        <v>0</v>
      </c>
      <c r="DP8" s="1232">
        <f t="shared" si="6"/>
        <v>0</v>
      </c>
      <c r="DQ8" s="1232">
        <f t="shared" si="6"/>
        <v>0</v>
      </c>
      <c r="DR8" s="1232">
        <f t="shared" si="6"/>
        <v>0</v>
      </c>
      <c r="DS8" s="1232">
        <f t="shared" si="6"/>
        <v>0</v>
      </c>
      <c r="DT8" s="1232">
        <f t="shared" si="6"/>
        <v>0</v>
      </c>
      <c r="DU8" s="1232">
        <f t="shared" si="7"/>
        <v>0</v>
      </c>
      <c r="DV8" s="1232">
        <f t="shared" si="7"/>
        <v>0</v>
      </c>
      <c r="DW8" s="1232">
        <f t="shared" si="7"/>
        <v>0</v>
      </c>
      <c r="DX8" s="1232">
        <f t="shared" si="7"/>
        <v>0</v>
      </c>
      <c r="DY8" s="1232">
        <f t="shared" si="7"/>
        <v>0</v>
      </c>
      <c r="DZ8" s="1232">
        <f t="shared" si="7"/>
        <v>0</v>
      </c>
      <c r="EA8" s="1232">
        <f t="shared" si="7"/>
        <v>-0.4</v>
      </c>
      <c r="EB8" s="1232">
        <f t="shared" si="7"/>
        <v>0</v>
      </c>
      <c r="EC8" s="1232">
        <f t="shared" si="7"/>
        <v>200</v>
      </c>
      <c r="ED8" s="1232"/>
      <c r="EE8" s="1221"/>
      <c r="EF8" s="1232">
        <f t="shared" si="8"/>
        <v>0</v>
      </c>
      <c r="EG8" s="1232">
        <f t="shared" si="8"/>
        <v>0</v>
      </c>
      <c r="EH8" s="1232">
        <f t="shared" si="8"/>
        <v>0</v>
      </c>
      <c r="EI8" s="1232">
        <f t="shared" si="8"/>
        <v>0</v>
      </c>
      <c r="EJ8" s="1232">
        <f t="shared" si="8"/>
        <v>0</v>
      </c>
      <c r="EK8" s="1232">
        <f t="shared" si="8"/>
        <v>0</v>
      </c>
      <c r="EL8" s="1232">
        <f t="shared" si="8"/>
        <v>0</v>
      </c>
      <c r="EM8" s="1232">
        <f t="shared" si="8"/>
        <v>0</v>
      </c>
      <c r="EN8" s="1232">
        <f t="shared" si="8"/>
        <v>0</v>
      </c>
      <c r="EO8" s="1232">
        <f t="shared" si="8"/>
        <v>0</v>
      </c>
      <c r="EP8" s="1232">
        <f t="shared" si="9"/>
        <v>0</v>
      </c>
      <c r="EQ8" s="1232">
        <f t="shared" si="9"/>
        <v>0</v>
      </c>
      <c r="ER8" s="1232">
        <f t="shared" si="9"/>
        <v>0</v>
      </c>
      <c r="ES8" s="1232">
        <f t="shared" si="9"/>
        <v>0</v>
      </c>
      <c r="ET8" s="1232">
        <f t="shared" si="9"/>
        <v>0</v>
      </c>
      <c r="EU8" s="1232">
        <f t="shared" si="9"/>
        <v>0</v>
      </c>
      <c r="EV8" s="1232">
        <f t="shared" si="9"/>
        <v>-0.35</v>
      </c>
      <c r="EW8" s="1232">
        <f t="shared" si="9"/>
        <v>0</v>
      </c>
      <c r="EX8" s="1232">
        <f t="shared" si="9"/>
        <v>175</v>
      </c>
      <c r="EY8" s="1232"/>
      <c r="EZ8" s="1232"/>
      <c r="FA8" s="1232">
        <f t="shared" si="10"/>
        <v>0</v>
      </c>
      <c r="FB8" s="1232">
        <f t="shared" si="10"/>
        <v>0</v>
      </c>
      <c r="FC8" s="1232">
        <f t="shared" si="10"/>
        <v>0</v>
      </c>
      <c r="FD8" s="1232">
        <f t="shared" si="10"/>
        <v>0</v>
      </c>
      <c r="FE8" s="1232">
        <f t="shared" si="10"/>
        <v>0</v>
      </c>
      <c r="FF8" s="1232">
        <f t="shared" si="10"/>
        <v>0</v>
      </c>
      <c r="FG8" s="1232">
        <f t="shared" si="10"/>
        <v>0</v>
      </c>
      <c r="FH8" s="1232">
        <f t="shared" si="10"/>
        <v>0</v>
      </c>
      <c r="FI8" s="1232">
        <f t="shared" si="10"/>
        <v>0</v>
      </c>
      <c r="FJ8" s="1232">
        <f t="shared" si="10"/>
        <v>0</v>
      </c>
      <c r="FK8" s="1232">
        <f t="shared" si="11"/>
        <v>0</v>
      </c>
      <c r="FL8" s="1232">
        <f t="shared" si="11"/>
        <v>0</v>
      </c>
      <c r="FM8" s="1232">
        <f t="shared" si="11"/>
        <v>0</v>
      </c>
      <c r="FN8" s="1232">
        <f t="shared" si="11"/>
        <v>0</v>
      </c>
      <c r="FO8" s="1232">
        <f t="shared" si="11"/>
        <v>0</v>
      </c>
      <c r="FP8" s="1232">
        <f t="shared" si="11"/>
        <v>0</v>
      </c>
      <c r="FQ8" s="1232">
        <f t="shared" si="11"/>
        <v>-0.3</v>
      </c>
      <c r="FR8" s="1232">
        <f t="shared" si="11"/>
        <v>0</v>
      </c>
      <c r="FS8" s="1232">
        <f t="shared" si="11"/>
        <v>150</v>
      </c>
      <c r="FT8" s="1232"/>
      <c r="FU8" s="1232" t="e">
        <f t="shared" si="12"/>
        <v>#VALUE!</v>
      </c>
      <c r="FV8" s="1232" t="e">
        <f t="shared" ref="FV8:FV25" si="31">CHOOSE((AC8-9),BV8,(BV8+CQ8),((BV8+CQ8)+DL8),(((BV8+CQ8)+DL8)+EG8),((((BV8+CQ8)+DL8)+EG8)+FB8),)</f>
        <v>#VALUE!</v>
      </c>
      <c r="FW8" s="1232" t="e">
        <f t="shared" si="13"/>
        <v>#VALUE!</v>
      </c>
      <c r="FX8" s="1232" t="e">
        <f t="shared" si="14"/>
        <v>#VALUE!</v>
      </c>
      <c r="FY8" s="1232" t="e">
        <f t="shared" si="15"/>
        <v>#VALUE!</v>
      </c>
      <c r="FZ8" s="1232" t="e">
        <f t="shared" si="16"/>
        <v>#VALUE!</v>
      </c>
      <c r="GA8" s="1232" t="e">
        <f t="shared" si="17"/>
        <v>#VALUE!</v>
      </c>
      <c r="GB8" s="1232" t="e">
        <f t="shared" si="18"/>
        <v>#VALUE!</v>
      </c>
      <c r="GC8" s="1232" t="e">
        <f t="shared" si="19"/>
        <v>#VALUE!</v>
      </c>
      <c r="GD8" s="1232" t="e">
        <f t="shared" si="20"/>
        <v>#VALUE!</v>
      </c>
      <c r="GE8" s="1232" t="e">
        <f t="shared" si="21"/>
        <v>#VALUE!</v>
      </c>
      <c r="GF8" s="1232" t="e">
        <f t="shared" si="22"/>
        <v>#VALUE!</v>
      </c>
      <c r="GG8" s="1232" t="e">
        <f t="shared" si="23"/>
        <v>#VALUE!</v>
      </c>
      <c r="GH8" s="1232" t="e">
        <f t="shared" si="24"/>
        <v>#VALUE!</v>
      </c>
      <c r="GI8" s="1232" t="e">
        <f t="shared" si="25"/>
        <v>#VALUE!</v>
      </c>
      <c r="GJ8" s="1232" t="e">
        <f t="shared" si="26"/>
        <v>#VALUE!</v>
      </c>
      <c r="GK8" s="1232" t="e">
        <f t="shared" si="27"/>
        <v>#VALUE!</v>
      </c>
      <c r="GL8" s="1232" t="e">
        <f t="shared" si="28"/>
        <v>#VALUE!</v>
      </c>
      <c r="GM8" s="1232" t="e">
        <f t="shared" si="29"/>
        <v>#VALUE!</v>
      </c>
    </row>
    <row r="9" spans="1:195" ht="16.5" customHeight="1">
      <c r="A9" s="1631">
        <v>104</v>
      </c>
      <c r="B9" s="1900"/>
      <c r="C9" s="1273" t="s">
        <v>1090</v>
      </c>
      <c r="D9" s="1413"/>
      <c r="E9" s="1385"/>
      <c r="F9" s="1385"/>
      <c r="G9" s="1385"/>
      <c r="H9" s="1385"/>
      <c r="I9" s="1385"/>
      <c r="J9" s="1385"/>
      <c r="K9" s="1385"/>
      <c r="L9" s="1385"/>
      <c r="M9" s="1385"/>
      <c r="N9" s="1385"/>
      <c r="O9" s="1385"/>
      <c r="P9" s="1385"/>
      <c r="Q9" s="1385" t="str">
        <f>AR9</f>
        <v>Selected</v>
      </c>
      <c r="R9" s="1414"/>
      <c r="S9" s="1385">
        <f>IF((AC9&lt;10),SUM((AT9+(ROUNDUP((AC9*BN9),2)))),SUM((AT9+(ROUNDUP(((9*BN9)+GI9),2)))))</f>
        <v>2000</v>
      </c>
      <c r="T9" s="1414"/>
      <c r="U9" s="1414">
        <f>IF((AC9&lt;10),SUM((AV9+(ROUNDUP((AC9*BP9),2)))),SUM((AV9+(ROUNDUP(((9*BP9)+GK9),2)))))</f>
        <v>1</v>
      </c>
      <c r="V9" s="1385">
        <f>IF((AC9&lt;10),SUM((AW9+(ROUNDUP((AC9*BQ9),2)))),SUM((AW9+(ROUNDUP(((9*BQ9)+GL9),2)))))</f>
        <v>50</v>
      </c>
      <c r="W9" s="1385">
        <f t="shared" si="0"/>
        <v>2500</v>
      </c>
      <c r="X9" s="1385"/>
      <c r="Y9" s="1385"/>
      <c r="Z9" s="1385"/>
      <c r="AA9" s="1389"/>
      <c r="AB9" s="1232">
        <v>2</v>
      </c>
      <c r="AC9" s="1232">
        <f t="shared" si="30"/>
        <v>0</v>
      </c>
      <c r="AD9" s="1232"/>
      <c r="AE9" s="1390"/>
      <c r="AF9" s="1390"/>
      <c r="AG9" s="1390"/>
      <c r="AH9" s="1390"/>
      <c r="AI9" s="1390"/>
      <c r="AJ9" s="1390"/>
      <c r="AK9" s="1390"/>
      <c r="AL9" s="1390"/>
      <c r="AM9" s="1390"/>
      <c r="AN9" s="1390"/>
      <c r="AO9" s="1390"/>
      <c r="AP9" s="1390"/>
      <c r="AQ9" s="1390"/>
      <c r="AR9" s="1390" t="s">
        <v>283</v>
      </c>
      <c r="AS9" s="1391"/>
      <c r="AT9" s="1390">
        <v>2000</v>
      </c>
      <c r="AU9" s="1390"/>
      <c r="AV9" s="1390">
        <v>1</v>
      </c>
      <c r="AW9" s="1390">
        <v>50</v>
      </c>
      <c r="AX9" s="1390">
        <v>2500</v>
      </c>
      <c r="AY9" s="1232"/>
      <c r="AZ9" s="1232"/>
      <c r="BA9" s="1232"/>
      <c r="BB9" s="1232"/>
      <c r="BC9" s="1232"/>
      <c r="BD9" s="1232"/>
      <c r="BE9" s="1390"/>
      <c r="BF9" s="1390"/>
      <c r="BG9" s="1232"/>
      <c r="BH9" s="1232"/>
      <c r="BI9" s="1232"/>
      <c r="BJ9" s="1232"/>
      <c r="BK9" s="1232"/>
      <c r="BL9" s="1232"/>
      <c r="BM9" s="1232"/>
      <c r="BN9" s="1232"/>
      <c r="BO9" s="1232"/>
      <c r="BP9" s="1232"/>
      <c r="BQ9" s="1232">
        <f>SUM((-AW9/12))</f>
        <v>-4.166666666666667</v>
      </c>
      <c r="BR9" s="1232">
        <f t="shared" si="1"/>
        <v>277.77777777777777</v>
      </c>
      <c r="BS9" s="1232"/>
      <c r="BT9" s="1232"/>
      <c r="BU9" s="1232">
        <f t="shared" ref="BU9:CD11" si="32">SUM(((AZ9*0.9)*1))</f>
        <v>0</v>
      </c>
      <c r="BV9" s="1232">
        <f t="shared" si="32"/>
        <v>0</v>
      </c>
      <c r="BW9" s="1232">
        <f t="shared" si="32"/>
        <v>0</v>
      </c>
      <c r="BX9" s="1232">
        <f t="shared" si="32"/>
        <v>0</v>
      </c>
      <c r="BY9" s="1232">
        <f t="shared" si="32"/>
        <v>0</v>
      </c>
      <c r="BZ9" s="1232">
        <f t="shared" si="32"/>
        <v>0</v>
      </c>
      <c r="CA9" s="1232">
        <f t="shared" si="32"/>
        <v>0</v>
      </c>
      <c r="CB9" s="1232">
        <f t="shared" si="32"/>
        <v>0</v>
      </c>
      <c r="CC9" s="1232">
        <f t="shared" si="32"/>
        <v>0</v>
      </c>
      <c r="CD9" s="1232">
        <f t="shared" si="32"/>
        <v>0</v>
      </c>
      <c r="CE9" s="1232">
        <f t="shared" ref="CE9:CK11" si="33">SUM(((BJ9*0.9)*1))</f>
        <v>0</v>
      </c>
      <c r="CF9" s="1232">
        <f t="shared" si="33"/>
        <v>0</v>
      </c>
      <c r="CG9" s="1232">
        <f t="shared" si="33"/>
        <v>0</v>
      </c>
      <c r="CH9" s="1232">
        <f t="shared" si="33"/>
        <v>0</v>
      </c>
      <c r="CI9" s="1232">
        <f t="shared" si="33"/>
        <v>0</v>
      </c>
      <c r="CJ9" s="1232">
        <f t="shared" si="33"/>
        <v>0</v>
      </c>
      <c r="CK9" s="1232">
        <f t="shared" si="33"/>
        <v>0</v>
      </c>
      <c r="CL9" s="1232">
        <f>SUM(((-AW9/50)*CEILING((60/100),0.01)))</f>
        <v>-0.6</v>
      </c>
      <c r="CM9" s="1232">
        <f t="shared" ref="CM9:CM25" si="34">SUM(((BR9*0.9)*1))</f>
        <v>250</v>
      </c>
      <c r="CN9" s="1221"/>
      <c r="CO9" s="1232"/>
      <c r="CP9" s="1232">
        <f t="shared" ref="CP9:CY11" si="35">SUM(((AZ9*0.9)*0.9))</f>
        <v>0</v>
      </c>
      <c r="CQ9" s="1232">
        <f t="shared" si="35"/>
        <v>0</v>
      </c>
      <c r="CR9" s="1232">
        <f t="shared" si="35"/>
        <v>0</v>
      </c>
      <c r="CS9" s="1232">
        <f t="shared" si="35"/>
        <v>0</v>
      </c>
      <c r="CT9" s="1232">
        <f t="shared" si="35"/>
        <v>0</v>
      </c>
      <c r="CU9" s="1232">
        <f t="shared" si="35"/>
        <v>0</v>
      </c>
      <c r="CV9" s="1232">
        <f t="shared" si="35"/>
        <v>0</v>
      </c>
      <c r="CW9" s="1232">
        <f t="shared" si="35"/>
        <v>0</v>
      </c>
      <c r="CX9" s="1232">
        <f t="shared" si="35"/>
        <v>0</v>
      </c>
      <c r="CY9" s="1232">
        <f t="shared" si="35"/>
        <v>0</v>
      </c>
      <c r="CZ9" s="1232">
        <f t="shared" ref="CZ9:DF11" si="36">SUM(((BJ9*0.9)*0.9))</f>
        <v>0</v>
      </c>
      <c r="DA9" s="1232">
        <f t="shared" si="36"/>
        <v>0</v>
      </c>
      <c r="DB9" s="1232">
        <f t="shared" si="36"/>
        <v>0</v>
      </c>
      <c r="DC9" s="1232">
        <f t="shared" si="36"/>
        <v>0</v>
      </c>
      <c r="DD9" s="1232">
        <f t="shared" si="36"/>
        <v>0</v>
      </c>
      <c r="DE9" s="1232">
        <f t="shared" si="36"/>
        <v>0</v>
      </c>
      <c r="DF9" s="1232">
        <f t="shared" si="36"/>
        <v>0</v>
      </c>
      <c r="DG9" s="1232">
        <f>SUM(((-AW9/50)*CEILING((48/100),0.01)))</f>
        <v>-0.48</v>
      </c>
      <c r="DH9" s="1232">
        <f t="shared" ref="DH9:DH25" si="37">SUM(((BR9*0.9)*0.9))</f>
        <v>225</v>
      </c>
      <c r="DI9" s="1232"/>
      <c r="DJ9" s="1221"/>
      <c r="DK9" s="1232">
        <f t="shared" ref="DK9:DT11" si="38">SUM(((AZ9*0.9)*0.8))</f>
        <v>0</v>
      </c>
      <c r="DL9" s="1232">
        <f t="shared" si="38"/>
        <v>0</v>
      </c>
      <c r="DM9" s="1232">
        <f t="shared" si="38"/>
        <v>0</v>
      </c>
      <c r="DN9" s="1232">
        <f t="shared" si="38"/>
        <v>0</v>
      </c>
      <c r="DO9" s="1232">
        <f t="shared" si="38"/>
        <v>0</v>
      </c>
      <c r="DP9" s="1232">
        <f t="shared" si="38"/>
        <v>0</v>
      </c>
      <c r="DQ9" s="1232">
        <f t="shared" si="38"/>
        <v>0</v>
      </c>
      <c r="DR9" s="1232">
        <f t="shared" si="38"/>
        <v>0</v>
      </c>
      <c r="DS9" s="1232">
        <f t="shared" si="38"/>
        <v>0</v>
      </c>
      <c r="DT9" s="1232">
        <f t="shared" si="38"/>
        <v>0</v>
      </c>
      <c r="DU9" s="1232">
        <f t="shared" ref="DU9:EA11" si="39">SUM(((BJ9*0.9)*0.8))</f>
        <v>0</v>
      </c>
      <c r="DV9" s="1232">
        <f t="shared" si="39"/>
        <v>0</v>
      </c>
      <c r="DW9" s="1232">
        <f t="shared" si="39"/>
        <v>0</v>
      </c>
      <c r="DX9" s="1232">
        <f t="shared" si="39"/>
        <v>0</v>
      </c>
      <c r="DY9" s="1232">
        <f t="shared" si="39"/>
        <v>0</v>
      </c>
      <c r="DZ9" s="1232">
        <f t="shared" si="39"/>
        <v>0</v>
      </c>
      <c r="EA9" s="1232">
        <f t="shared" si="39"/>
        <v>0</v>
      </c>
      <c r="EB9" s="1232">
        <f>SUM(((-AW9/50)*CEILING((40.5/100),0.01)))</f>
        <v>-0.41000000000000003</v>
      </c>
      <c r="EC9" s="1232">
        <f t="shared" ref="EC9:EC25" si="40">SUM(((BR9*0.9)*0.8))</f>
        <v>200</v>
      </c>
      <c r="ED9" s="1232"/>
      <c r="EE9" s="1232"/>
      <c r="EF9" s="1232">
        <f t="shared" ref="EF9:EO11" si="41">SUM(((AZ9*0.9)*0.7))</f>
        <v>0</v>
      </c>
      <c r="EG9" s="1232">
        <f t="shared" si="41"/>
        <v>0</v>
      </c>
      <c r="EH9" s="1232">
        <f t="shared" si="41"/>
        <v>0</v>
      </c>
      <c r="EI9" s="1232">
        <f t="shared" si="41"/>
        <v>0</v>
      </c>
      <c r="EJ9" s="1232">
        <f t="shared" si="41"/>
        <v>0</v>
      </c>
      <c r="EK9" s="1232">
        <f t="shared" si="41"/>
        <v>0</v>
      </c>
      <c r="EL9" s="1232">
        <f t="shared" si="41"/>
        <v>0</v>
      </c>
      <c r="EM9" s="1232">
        <f t="shared" si="41"/>
        <v>0</v>
      </c>
      <c r="EN9" s="1232">
        <f t="shared" si="41"/>
        <v>0</v>
      </c>
      <c r="EO9" s="1232">
        <f t="shared" si="41"/>
        <v>0</v>
      </c>
      <c r="EP9" s="1232">
        <f t="shared" ref="EP9:EV11" si="42">SUM(((BJ9*0.9)*0.7))</f>
        <v>0</v>
      </c>
      <c r="EQ9" s="1232">
        <f t="shared" si="42"/>
        <v>0</v>
      </c>
      <c r="ER9" s="1232">
        <f t="shared" si="42"/>
        <v>0</v>
      </c>
      <c r="ES9" s="1232">
        <f t="shared" si="42"/>
        <v>0</v>
      </c>
      <c r="ET9" s="1232">
        <f t="shared" si="42"/>
        <v>0</v>
      </c>
      <c r="EU9" s="1232">
        <f t="shared" si="42"/>
        <v>0</v>
      </c>
      <c r="EV9" s="1232">
        <f t="shared" si="42"/>
        <v>0</v>
      </c>
      <c r="EW9" s="1232">
        <f>SUM(((-AW9/50)*CEILING((33/100),0.01)))</f>
        <v>-0.33</v>
      </c>
      <c r="EX9" s="1232">
        <f t="shared" ref="EX9:EX25" si="43">SUM(((BR9*0.9)*0.7))</f>
        <v>175</v>
      </c>
      <c r="EY9" s="1232"/>
      <c r="EZ9" s="1232"/>
      <c r="FA9" s="1232">
        <f t="shared" ref="FA9:FJ11" si="44">SUM(((AZ9*0.9)*0.6))</f>
        <v>0</v>
      </c>
      <c r="FB9" s="1232">
        <f t="shared" si="44"/>
        <v>0</v>
      </c>
      <c r="FC9" s="1232">
        <f t="shared" si="44"/>
        <v>0</v>
      </c>
      <c r="FD9" s="1232">
        <f t="shared" si="44"/>
        <v>0</v>
      </c>
      <c r="FE9" s="1232">
        <f t="shared" si="44"/>
        <v>0</v>
      </c>
      <c r="FF9" s="1232">
        <f t="shared" si="44"/>
        <v>0</v>
      </c>
      <c r="FG9" s="1232">
        <f t="shared" si="44"/>
        <v>0</v>
      </c>
      <c r="FH9" s="1232">
        <f t="shared" si="44"/>
        <v>0</v>
      </c>
      <c r="FI9" s="1232">
        <f t="shared" si="44"/>
        <v>0</v>
      </c>
      <c r="FJ9" s="1232">
        <f t="shared" si="44"/>
        <v>0</v>
      </c>
      <c r="FK9" s="1232">
        <f t="shared" ref="FK9:FQ11" si="45">SUM(((BJ9*0.9)*0.6))</f>
        <v>0</v>
      </c>
      <c r="FL9" s="1232">
        <f t="shared" si="45"/>
        <v>0</v>
      </c>
      <c r="FM9" s="1232">
        <f t="shared" si="45"/>
        <v>0</v>
      </c>
      <c r="FN9" s="1232">
        <f t="shared" si="45"/>
        <v>0</v>
      </c>
      <c r="FO9" s="1232">
        <f t="shared" si="45"/>
        <v>0</v>
      </c>
      <c r="FP9" s="1232">
        <f t="shared" si="45"/>
        <v>0</v>
      </c>
      <c r="FQ9" s="1232">
        <f t="shared" si="45"/>
        <v>0</v>
      </c>
      <c r="FR9" s="1232">
        <f>SUM(((-AW9/50)*CEILING((25.5/100),0.01)))</f>
        <v>-0.26</v>
      </c>
      <c r="FS9" s="1232">
        <f t="shared" ref="FS9:FS25" si="46">SUM(((BR9*0.9)*0.6))</f>
        <v>150</v>
      </c>
      <c r="FT9" s="1232"/>
      <c r="FU9" s="1232" t="e">
        <f t="shared" si="12"/>
        <v>#VALUE!</v>
      </c>
      <c r="FV9" s="1232" t="e">
        <f t="shared" si="31"/>
        <v>#VALUE!</v>
      </c>
      <c r="FW9" s="1232" t="e">
        <f t="shared" si="13"/>
        <v>#VALUE!</v>
      </c>
      <c r="FX9" s="1232" t="e">
        <f t="shared" si="14"/>
        <v>#VALUE!</v>
      </c>
      <c r="FY9" s="1232" t="e">
        <f t="shared" si="15"/>
        <v>#VALUE!</v>
      </c>
      <c r="FZ9" s="1232" t="e">
        <f t="shared" si="16"/>
        <v>#VALUE!</v>
      </c>
      <c r="GA9" s="1232" t="e">
        <f t="shared" si="17"/>
        <v>#VALUE!</v>
      </c>
      <c r="GB9" s="1232" t="e">
        <f t="shared" si="18"/>
        <v>#VALUE!</v>
      </c>
      <c r="GC9" s="1232" t="e">
        <f t="shared" si="19"/>
        <v>#VALUE!</v>
      </c>
      <c r="GD9" s="1232" t="e">
        <f t="shared" si="20"/>
        <v>#VALUE!</v>
      </c>
      <c r="GE9" s="1232" t="e">
        <f t="shared" si="21"/>
        <v>#VALUE!</v>
      </c>
      <c r="GF9" s="1232" t="e">
        <f t="shared" si="22"/>
        <v>#VALUE!</v>
      </c>
      <c r="GG9" s="1232" t="e">
        <f t="shared" si="23"/>
        <v>#VALUE!</v>
      </c>
      <c r="GH9" s="1232" t="e">
        <f t="shared" si="24"/>
        <v>#VALUE!</v>
      </c>
      <c r="GI9" s="1232" t="e">
        <f t="shared" si="25"/>
        <v>#VALUE!</v>
      </c>
      <c r="GJ9" s="1232" t="e">
        <f t="shared" si="26"/>
        <v>#VALUE!</v>
      </c>
      <c r="GK9" s="1232" t="e">
        <f t="shared" si="27"/>
        <v>#VALUE!</v>
      </c>
      <c r="GL9" s="1232" t="e">
        <f t="shared" si="28"/>
        <v>#VALUE!</v>
      </c>
      <c r="GM9" s="1232" t="e">
        <f t="shared" si="29"/>
        <v>#VALUE!</v>
      </c>
    </row>
    <row r="10" spans="1:195" ht="16.5" customHeight="1">
      <c r="A10" s="1631">
        <v>105</v>
      </c>
      <c r="B10" s="1900"/>
      <c r="C10" s="1273" t="s">
        <v>1092</v>
      </c>
      <c r="D10" s="1415"/>
      <c r="E10" s="1392"/>
      <c r="F10" s="1392"/>
      <c r="G10" s="1392"/>
      <c r="H10" s="1392"/>
      <c r="I10" s="1392"/>
      <c r="J10" s="1392"/>
      <c r="K10" s="1392"/>
      <c r="L10" s="1392"/>
      <c r="M10" s="1392"/>
      <c r="N10" s="1392"/>
      <c r="O10" s="1392"/>
      <c r="P10" s="1392"/>
      <c r="Q10" s="1392" t="str">
        <f>AR10</f>
        <v>Area</v>
      </c>
      <c r="R10" s="1416"/>
      <c r="S10" s="1392">
        <f>IF((AC10&lt;10),SUM((AT10+(ROUNDUP((AC10*BN10),2)))),SUM((AT10+(ROUNDUP(((9*BN10)+GI10),2)))))</f>
        <v>300</v>
      </c>
      <c r="T10" s="1416"/>
      <c r="U10" s="1416">
        <f>IF((AC10&lt;10),SUM((AV10+(ROUNDUP((AC10*BP10),2)))),SUM((AV10+(ROUNDUP(((9*BP10)+GK10),2)))))</f>
        <v>1</v>
      </c>
      <c r="V10" s="1392">
        <f>IF((AC10&lt;10),SUM((AW10+(ROUNDUP((AC10*BQ10),2)))),SUM((AW10+(ROUNDUP(((9*BQ10)+GL10),2)))))</f>
        <v>50</v>
      </c>
      <c r="W10" s="1392">
        <f t="shared" si="0"/>
        <v>2500</v>
      </c>
      <c r="X10" s="1392"/>
      <c r="Y10" s="1392"/>
      <c r="Z10" s="1392"/>
      <c r="AA10" s="1389"/>
      <c r="AB10" s="1232">
        <v>3</v>
      </c>
      <c r="AC10" s="1232">
        <f t="shared" si="30"/>
        <v>0</v>
      </c>
      <c r="AD10" s="1232"/>
      <c r="AE10" s="1390"/>
      <c r="AF10" s="1390"/>
      <c r="AG10" s="1390"/>
      <c r="AH10" s="1390"/>
      <c r="AI10" s="1390"/>
      <c r="AJ10" s="1390"/>
      <c r="AK10" s="1390"/>
      <c r="AL10" s="1390"/>
      <c r="AM10" s="1390"/>
      <c r="AN10" s="1390"/>
      <c r="AO10" s="1390"/>
      <c r="AP10" s="1390"/>
      <c r="AQ10" s="1390"/>
      <c r="AR10" s="1390" t="s">
        <v>284</v>
      </c>
      <c r="AS10" s="1391"/>
      <c r="AT10" s="1390">
        <v>300</v>
      </c>
      <c r="AU10" s="1390"/>
      <c r="AV10" s="1390">
        <v>1</v>
      </c>
      <c r="AW10" s="1390">
        <v>50</v>
      </c>
      <c r="AX10" s="1390">
        <v>2500</v>
      </c>
      <c r="AY10" s="1232"/>
      <c r="AZ10" s="1232"/>
      <c r="BA10" s="1232"/>
      <c r="BB10" s="1232"/>
      <c r="BC10" s="1232"/>
      <c r="BD10" s="1232"/>
      <c r="BE10" s="1390"/>
      <c r="BF10" s="1390"/>
      <c r="BG10" s="1232"/>
      <c r="BH10" s="1232"/>
      <c r="BI10" s="1232"/>
      <c r="BJ10" s="1232"/>
      <c r="BK10" s="1232"/>
      <c r="BL10" s="1232"/>
      <c r="BM10" s="1232"/>
      <c r="BN10" s="1232"/>
      <c r="BO10" s="1232"/>
      <c r="BP10" s="1232"/>
      <c r="BQ10" s="1232">
        <f>SUM((-AW10/12))</f>
        <v>-4.166666666666667</v>
      </c>
      <c r="BR10" s="1232">
        <f t="shared" si="1"/>
        <v>277.77777777777777</v>
      </c>
      <c r="BS10" s="1232"/>
      <c r="BT10" s="1232"/>
      <c r="BU10" s="1232">
        <f t="shared" si="32"/>
        <v>0</v>
      </c>
      <c r="BV10" s="1232">
        <f t="shared" si="32"/>
        <v>0</v>
      </c>
      <c r="BW10" s="1232">
        <f t="shared" si="32"/>
        <v>0</v>
      </c>
      <c r="BX10" s="1232">
        <f t="shared" si="32"/>
        <v>0</v>
      </c>
      <c r="BY10" s="1232">
        <f t="shared" si="32"/>
        <v>0</v>
      </c>
      <c r="BZ10" s="1232">
        <f t="shared" si="32"/>
        <v>0</v>
      </c>
      <c r="CA10" s="1232">
        <f t="shared" si="32"/>
        <v>0</v>
      </c>
      <c r="CB10" s="1232">
        <f t="shared" si="32"/>
        <v>0</v>
      </c>
      <c r="CC10" s="1232">
        <f t="shared" si="32"/>
        <v>0</v>
      </c>
      <c r="CD10" s="1232">
        <f t="shared" si="32"/>
        <v>0</v>
      </c>
      <c r="CE10" s="1232">
        <f t="shared" si="33"/>
        <v>0</v>
      </c>
      <c r="CF10" s="1232">
        <f t="shared" si="33"/>
        <v>0</v>
      </c>
      <c r="CG10" s="1232">
        <f t="shared" si="33"/>
        <v>0</v>
      </c>
      <c r="CH10" s="1232">
        <f t="shared" si="33"/>
        <v>0</v>
      </c>
      <c r="CI10" s="1232">
        <f t="shared" si="33"/>
        <v>0</v>
      </c>
      <c r="CJ10" s="1232">
        <f t="shared" si="33"/>
        <v>0</v>
      </c>
      <c r="CK10" s="1232">
        <f t="shared" si="33"/>
        <v>0</v>
      </c>
      <c r="CL10" s="1232">
        <f>SUM(((-AW10/50)*CEILING((60/100),0.01)))</f>
        <v>-0.6</v>
      </c>
      <c r="CM10" s="1232">
        <f t="shared" si="34"/>
        <v>250</v>
      </c>
      <c r="CN10" s="1221"/>
      <c r="CO10" s="1232"/>
      <c r="CP10" s="1232">
        <f t="shared" si="35"/>
        <v>0</v>
      </c>
      <c r="CQ10" s="1232">
        <f t="shared" si="35"/>
        <v>0</v>
      </c>
      <c r="CR10" s="1232">
        <f t="shared" si="35"/>
        <v>0</v>
      </c>
      <c r="CS10" s="1232">
        <f t="shared" si="35"/>
        <v>0</v>
      </c>
      <c r="CT10" s="1232">
        <f t="shared" si="35"/>
        <v>0</v>
      </c>
      <c r="CU10" s="1232">
        <f t="shared" si="35"/>
        <v>0</v>
      </c>
      <c r="CV10" s="1232">
        <f t="shared" si="35"/>
        <v>0</v>
      </c>
      <c r="CW10" s="1232">
        <f t="shared" si="35"/>
        <v>0</v>
      </c>
      <c r="CX10" s="1232">
        <f t="shared" si="35"/>
        <v>0</v>
      </c>
      <c r="CY10" s="1232">
        <f t="shared" si="35"/>
        <v>0</v>
      </c>
      <c r="CZ10" s="1232">
        <f t="shared" si="36"/>
        <v>0</v>
      </c>
      <c r="DA10" s="1232">
        <f t="shared" si="36"/>
        <v>0</v>
      </c>
      <c r="DB10" s="1232">
        <f t="shared" si="36"/>
        <v>0</v>
      </c>
      <c r="DC10" s="1232">
        <f t="shared" si="36"/>
        <v>0</v>
      </c>
      <c r="DD10" s="1232">
        <f t="shared" si="36"/>
        <v>0</v>
      </c>
      <c r="DE10" s="1232">
        <f t="shared" si="36"/>
        <v>0</v>
      </c>
      <c r="DF10" s="1232">
        <f t="shared" si="36"/>
        <v>0</v>
      </c>
      <c r="DG10" s="1232">
        <f>SUM(((-AW10/50)*CEILING((48/100),0.01)))</f>
        <v>-0.48</v>
      </c>
      <c r="DH10" s="1232">
        <f t="shared" si="37"/>
        <v>225</v>
      </c>
      <c r="DI10" s="1232"/>
      <c r="DJ10" s="1232"/>
      <c r="DK10" s="1232">
        <f t="shared" si="38"/>
        <v>0</v>
      </c>
      <c r="DL10" s="1232">
        <f t="shared" si="38"/>
        <v>0</v>
      </c>
      <c r="DM10" s="1232">
        <f t="shared" si="38"/>
        <v>0</v>
      </c>
      <c r="DN10" s="1232">
        <f t="shared" si="38"/>
        <v>0</v>
      </c>
      <c r="DO10" s="1232">
        <f t="shared" si="38"/>
        <v>0</v>
      </c>
      <c r="DP10" s="1232">
        <f t="shared" si="38"/>
        <v>0</v>
      </c>
      <c r="DQ10" s="1232">
        <f t="shared" si="38"/>
        <v>0</v>
      </c>
      <c r="DR10" s="1232">
        <f t="shared" si="38"/>
        <v>0</v>
      </c>
      <c r="DS10" s="1232">
        <f t="shared" si="38"/>
        <v>0</v>
      </c>
      <c r="DT10" s="1232">
        <f t="shared" si="38"/>
        <v>0</v>
      </c>
      <c r="DU10" s="1232">
        <f t="shared" si="39"/>
        <v>0</v>
      </c>
      <c r="DV10" s="1232">
        <f t="shared" si="39"/>
        <v>0</v>
      </c>
      <c r="DW10" s="1232">
        <f t="shared" si="39"/>
        <v>0</v>
      </c>
      <c r="DX10" s="1232">
        <f t="shared" si="39"/>
        <v>0</v>
      </c>
      <c r="DY10" s="1232">
        <f t="shared" si="39"/>
        <v>0</v>
      </c>
      <c r="DZ10" s="1232">
        <f t="shared" si="39"/>
        <v>0</v>
      </c>
      <c r="EA10" s="1232">
        <f t="shared" si="39"/>
        <v>0</v>
      </c>
      <c r="EB10" s="1232">
        <f>SUM(((-AW10/50)*CEILING((40.5/100),0.01)))</f>
        <v>-0.41000000000000003</v>
      </c>
      <c r="EC10" s="1232">
        <f t="shared" si="40"/>
        <v>200</v>
      </c>
      <c r="ED10" s="1232"/>
      <c r="EE10" s="1232"/>
      <c r="EF10" s="1232">
        <f t="shared" si="41"/>
        <v>0</v>
      </c>
      <c r="EG10" s="1232">
        <f t="shared" si="41"/>
        <v>0</v>
      </c>
      <c r="EH10" s="1232">
        <f t="shared" si="41"/>
        <v>0</v>
      </c>
      <c r="EI10" s="1232">
        <f t="shared" si="41"/>
        <v>0</v>
      </c>
      <c r="EJ10" s="1232">
        <f t="shared" si="41"/>
        <v>0</v>
      </c>
      <c r="EK10" s="1232">
        <f t="shared" si="41"/>
        <v>0</v>
      </c>
      <c r="EL10" s="1232">
        <f t="shared" si="41"/>
        <v>0</v>
      </c>
      <c r="EM10" s="1232">
        <f t="shared" si="41"/>
        <v>0</v>
      </c>
      <c r="EN10" s="1232">
        <f t="shared" si="41"/>
        <v>0</v>
      </c>
      <c r="EO10" s="1232">
        <f t="shared" si="41"/>
        <v>0</v>
      </c>
      <c r="EP10" s="1232">
        <f t="shared" si="42"/>
        <v>0</v>
      </c>
      <c r="EQ10" s="1232">
        <f t="shared" si="42"/>
        <v>0</v>
      </c>
      <c r="ER10" s="1232">
        <f t="shared" si="42"/>
        <v>0</v>
      </c>
      <c r="ES10" s="1232">
        <f t="shared" si="42"/>
        <v>0</v>
      </c>
      <c r="ET10" s="1232">
        <f t="shared" si="42"/>
        <v>0</v>
      </c>
      <c r="EU10" s="1232">
        <f t="shared" si="42"/>
        <v>0</v>
      </c>
      <c r="EV10" s="1232">
        <f t="shared" si="42"/>
        <v>0</v>
      </c>
      <c r="EW10" s="1232">
        <f>SUM(((-AW10/50)*CEILING((33/100),0.01)))</f>
        <v>-0.33</v>
      </c>
      <c r="EX10" s="1232">
        <f t="shared" si="43"/>
        <v>175</v>
      </c>
      <c r="EY10" s="1232"/>
      <c r="EZ10" s="1232"/>
      <c r="FA10" s="1232">
        <f t="shared" si="44"/>
        <v>0</v>
      </c>
      <c r="FB10" s="1232">
        <f t="shared" si="44"/>
        <v>0</v>
      </c>
      <c r="FC10" s="1232">
        <f t="shared" si="44"/>
        <v>0</v>
      </c>
      <c r="FD10" s="1232">
        <f t="shared" si="44"/>
        <v>0</v>
      </c>
      <c r="FE10" s="1232">
        <f t="shared" si="44"/>
        <v>0</v>
      </c>
      <c r="FF10" s="1232">
        <f t="shared" si="44"/>
        <v>0</v>
      </c>
      <c r="FG10" s="1232">
        <f t="shared" si="44"/>
        <v>0</v>
      </c>
      <c r="FH10" s="1232">
        <f t="shared" si="44"/>
        <v>0</v>
      </c>
      <c r="FI10" s="1232">
        <f t="shared" si="44"/>
        <v>0</v>
      </c>
      <c r="FJ10" s="1232">
        <f t="shared" si="44"/>
        <v>0</v>
      </c>
      <c r="FK10" s="1232">
        <f t="shared" si="45"/>
        <v>0</v>
      </c>
      <c r="FL10" s="1232">
        <f t="shared" si="45"/>
        <v>0</v>
      </c>
      <c r="FM10" s="1232">
        <f t="shared" si="45"/>
        <v>0</v>
      </c>
      <c r="FN10" s="1232">
        <f t="shared" si="45"/>
        <v>0</v>
      </c>
      <c r="FO10" s="1232">
        <f t="shared" si="45"/>
        <v>0</v>
      </c>
      <c r="FP10" s="1232">
        <f t="shared" si="45"/>
        <v>0</v>
      </c>
      <c r="FQ10" s="1232">
        <f t="shared" si="45"/>
        <v>0</v>
      </c>
      <c r="FR10" s="1232">
        <f>SUM(((-AW10/50)*CEILING((25.5/100),0.01)))</f>
        <v>-0.26</v>
      </c>
      <c r="FS10" s="1232">
        <f t="shared" si="46"/>
        <v>150</v>
      </c>
      <c r="FT10" s="1232"/>
      <c r="FU10" s="1232" t="e">
        <f t="shared" si="12"/>
        <v>#VALUE!</v>
      </c>
      <c r="FV10" s="1232" t="e">
        <f t="shared" si="31"/>
        <v>#VALUE!</v>
      </c>
      <c r="FW10" s="1232" t="e">
        <f t="shared" si="13"/>
        <v>#VALUE!</v>
      </c>
      <c r="FX10" s="1232" t="e">
        <f t="shared" si="14"/>
        <v>#VALUE!</v>
      </c>
      <c r="FY10" s="1232" t="e">
        <f t="shared" si="15"/>
        <v>#VALUE!</v>
      </c>
      <c r="FZ10" s="1232" t="e">
        <f t="shared" si="16"/>
        <v>#VALUE!</v>
      </c>
      <c r="GA10" s="1232" t="e">
        <f t="shared" si="17"/>
        <v>#VALUE!</v>
      </c>
      <c r="GB10" s="1232" t="e">
        <f t="shared" si="18"/>
        <v>#VALUE!</v>
      </c>
      <c r="GC10" s="1232" t="e">
        <f t="shared" si="19"/>
        <v>#VALUE!</v>
      </c>
      <c r="GD10" s="1232" t="e">
        <f t="shared" si="20"/>
        <v>#VALUE!</v>
      </c>
      <c r="GE10" s="1232" t="e">
        <f t="shared" si="21"/>
        <v>#VALUE!</v>
      </c>
      <c r="GF10" s="1232" t="e">
        <f t="shared" si="22"/>
        <v>#VALUE!</v>
      </c>
      <c r="GG10" s="1232" t="e">
        <f t="shared" si="23"/>
        <v>#VALUE!</v>
      </c>
      <c r="GH10" s="1232" t="e">
        <f t="shared" si="24"/>
        <v>#VALUE!</v>
      </c>
      <c r="GI10" s="1232" t="e">
        <f t="shared" si="25"/>
        <v>#VALUE!</v>
      </c>
      <c r="GJ10" s="1232" t="e">
        <f t="shared" si="26"/>
        <v>#VALUE!</v>
      </c>
      <c r="GK10" s="1232" t="e">
        <f t="shared" si="27"/>
        <v>#VALUE!</v>
      </c>
      <c r="GL10" s="1232" t="e">
        <f t="shared" si="28"/>
        <v>#VALUE!</v>
      </c>
      <c r="GM10" s="1232" t="e">
        <f t="shared" si="29"/>
        <v>#VALUE!</v>
      </c>
    </row>
    <row r="11" spans="1:195" ht="16.5" customHeight="1">
      <c r="A11" s="1631">
        <v>106</v>
      </c>
      <c r="B11" s="1900"/>
      <c r="C11" s="1273" t="s">
        <v>1093</v>
      </c>
      <c r="D11" s="1413"/>
      <c r="E11" s="1385"/>
      <c r="F11" s="1385">
        <f>IF((AC11&lt;10),SUM((AG11+(ROUNDUP((AC11*BB11),2)))),SUM((AG11+(ROUNDUP(((9*BB11)+FW11),2)))))</f>
        <v>5</v>
      </c>
      <c r="G11" s="1385"/>
      <c r="H11" s="1385"/>
      <c r="I11" s="1385"/>
      <c r="J11" s="1385"/>
      <c r="K11" s="1385"/>
      <c r="L11" s="1385"/>
      <c r="M11" s="1385"/>
      <c r="N11" s="1385"/>
      <c r="O11" s="1385"/>
      <c r="P11" s="1385"/>
      <c r="Q11" s="1385"/>
      <c r="R11" s="1414"/>
      <c r="S11" s="1385"/>
      <c r="T11" s="1414"/>
      <c r="U11" s="1414"/>
      <c r="V11" s="1385"/>
      <c r="W11" s="1385">
        <f t="shared" si="0"/>
        <v>2500</v>
      </c>
      <c r="X11" s="1385"/>
      <c r="Y11" s="1385"/>
      <c r="Z11" s="1385"/>
      <c r="AA11" s="1389"/>
      <c r="AB11" s="1232">
        <v>4</v>
      </c>
      <c r="AC11" s="1232">
        <f t="shared" si="30"/>
        <v>0</v>
      </c>
      <c r="AD11" s="1232"/>
      <c r="AE11" s="1390"/>
      <c r="AF11" s="1390"/>
      <c r="AG11" s="1390">
        <v>5</v>
      </c>
      <c r="AH11" s="1390"/>
      <c r="AI11" s="1390"/>
      <c r="AJ11" s="1390"/>
      <c r="AK11" s="1390"/>
      <c r="AL11" s="1390"/>
      <c r="AM11" s="1390"/>
      <c r="AN11" s="1390"/>
      <c r="AO11" s="1390"/>
      <c r="AP11" s="1390"/>
      <c r="AQ11" s="1390"/>
      <c r="AR11" s="1390"/>
      <c r="AS11" s="1391"/>
      <c r="AT11" s="1390"/>
      <c r="AU11" s="1390"/>
      <c r="AV11" s="1390"/>
      <c r="AW11" s="1390"/>
      <c r="AX11" s="1390">
        <v>2500</v>
      </c>
      <c r="AY11" s="1232"/>
      <c r="AZ11" s="1232"/>
      <c r="BA11" s="1232"/>
      <c r="BB11" s="1232">
        <f>SUM((AG11/9))</f>
        <v>0.55555555555555558</v>
      </c>
      <c r="BC11" s="1232"/>
      <c r="BD11" s="1232"/>
      <c r="BE11" s="1390"/>
      <c r="BF11" s="1390"/>
      <c r="BG11" s="1232"/>
      <c r="BH11" s="1232"/>
      <c r="BI11" s="1232"/>
      <c r="BJ11" s="1232"/>
      <c r="BK11" s="1232"/>
      <c r="BL11" s="1232"/>
      <c r="BM11" s="1232"/>
      <c r="BN11" s="1232"/>
      <c r="BO11" s="1232"/>
      <c r="BP11" s="1232"/>
      <c r="BQ11" s="1232"/>
      <c r="BR11" s="1232">
        <f t="shared" si="1"/>
        <v>277.77777777777777</v>
      </c>
      <c r="BS11" s="1232"/>
      <c r="BT11" s="1232"/>
      <c r="BU11" s="1232">
        <f t="shared" si="32"/>
        <v>0</v>
      </c>
      <c r="BV11" s="1232">
        <f t="shared" si="32"/>
        <v>0</v>
      </c>
      <c r="BW11" s="1232">
        <f t="shared" si="32"/>
        <v>0.5</v>
      </c>
      <c r="BX11" s="1232">
        <f t="shared" si="32"/>
        <v>0</v>
      </c>
      <c r="BY11" s="1232">
        <f t="shared" si="32"/>
        <v>0</v>
      </c>
      <c r="BZ11" s="1232">
        <f t="shared" si="32"/>
        <v>0</v>
      </c>
      <c r="CA11" s="1232">
        <f t="shared" si="32"/>
        <v>0</v>
      </c>
      <c r="CB11" s="1232">
        <f t="shared" si="32"/>
        <v>0</v>
      </c>
      <c r="CC11" s="1232">
        <f t="shared" si="32"/>
        <v>0</v>
      </c>
      <c r="CD11" s="1232">
        <f t="shared" si="32"/>
        <v>0</v>
      </c>
      <c r="CE11" s="1232">
        <f t="shared" si="33"/>
        <v>0</v>
      </c>
      <c r="CF11" s="1232">
        <f t="shared" si="33"/>
        <v>0</v>
      </c>
      <c r="CG11" s="1232">
        <f t="shared" si="33"/>
        <v>0</v>
      </c>
      <c r="CH11" s="1232">
        <f t="shared" si="33"/>
        <v>0</v>
      </c>
      <c r="CI11" s="1232">
        <f t="shared" si="33"/>
        <v>0</v>
      </c>
      <c r="CJ11" s="1232">
        <f t="shared" si="33"/>
        <v>0</v>
      </c>
      <c r="CK11" s="1232">
        <f t="shared" si="33"/>
        <v>0</v>
      </c>
      <c r="CL11" s="1232">
        <f t="shared" ref="CL11:CL25" si="47">SUM(((BQ11*0.9)*1))</f>
        <v>0</v>
      </c>
      <c r="CM11" s="1232">
        <f t="shared" si="34"/>
        <v>250</v>
      </c>
      <c r="CN11" s="1232"/>
      <c r="CO11" s="1232"/>
      <c r="CP11" s="1232">
        <f t="shared" si="35"/>
        <v>0</v>
      </c>
      <c r="CQ11" s="1232">
        <f t="shared" si="35"/>
        <v>0</v>
      </c>
      <c r="CR11" s="1232">
        <f t="shared" si="35"/>
        <v>0.45</v>
      </c>
      <c r="CS11" s="1232">
        <f t="shared" si="35"/>
        <v>0</v>
      </c>
      <c r="CT11" s="1232">
        <f t="shared" si="35"/>
        <v>0</v>
      </c>
      <c r="CU11" s="1232">
        <f t="shared" si="35"/>
        <v>0</v>
      </c>
      <c r="CV11" s="1232">
        <f t="shared" si="35"/>
        <v>0</v>
      </c>
      <c r="CW11" s="1232">
        <f t="shared" si="35"/>
        <v>0</v>
      </c>
      <c r="CX11" s="1232">
        <f t="shared" si="35"/>
        <v>0</v>
      </c>
      <c r="CY11" s="1232">
        <f t="shared" si="35"/>
        <v>0</v>
      </c>
      <c r="CZ11" s="1232">
        <f t="shared" si="36"/>
        <v>0</v>
      </c>
      <c r="DA11" s="1232">
        <f t="shared" si="36"/>
        <v>0</v>
      </c>
      <c r="DB11" s="1232">
        <f t="shared" si="36"/>
        <v>0</v>
      </c>
      <c r="DC11" s="1232">
        <f t="shared" si="36"/>
        <v>0</v>
      </c>
      <c r="DD11" s="1232">
        <f t="shared" si="36"/>
        <v>0</v>
      </c>
      <c r="DE11" s="1232">
        <f t="shared" si="36"/>
        <v>0</v>
      </c>
      <c r="DF11" s="1232">
        <f t="shared" si="36"/>
        <v>0</v>
      </c>
      <c r="DG11" s="1232">
        <f t="shared" ref="DG11:DG25" si="48">SUM(((BQ11*0.9)*0.9))</f>
        <v>0</v>
      </c>
      <c r="DH11" s="1232">
        <f t="shared" si="37"/>
        <v>225</v>
      </c>
      <c r="DI11" s="1232"/>
      <c r="DJ11" s="1232"/>
      <c r="DK11" s="1232">
        <f t="shared" si="38"/>
        <v>0</v>
      </c>
      <c r="DL11" s="1232">
        <f t="shared" si="38"/>
        <v>0</v>
      </c>
      <c r="DM11" s="1232">
        <f t="shared" si="38"/>
        <v>0.4</v>
      </c>
      <c r="DN11" s="1232">
        <f t="shared" si="38"/>
        <v>0</v>
      </c>
      <c r="DO11" s="1232">
        <f t="shared" si="38"/>
        <v>0</v>
      </c>
      <c r="DP11" s="1232">
        <f t="shared" si="38"/>
        <v>0</v>
      </c>
      <c r="DQ11" s="1232">
        <f t="shared" si="38"/>
        <v>0</v>
      </c>
      <c r="DR11" s="1232">
        <f t="shared" si="38"/>
        <v>0</v>
      </c>
      <c r="DS11" s="1232">
        <f t="shared" si="38"/>
        <v>0</v>
      </c>
      <c r="DT11" s="1232">
        <f t="shared" si="38"/>
        <v>0</v>
      </c>
      <c r="DU11" s="1232">
        <f t="shared" si="39"/>
        <v>0</v>
      </c>
      <c r="DV11" s="1232">
        <f t="shared" si="39"/>
        <v>0</v>
      </c>
      <c r="DW11" s="1232">
        <f t="shared" si="39"/>
        <v>0</v>
      </c>
      <c r="DX11" s="1232">
        <f t="shared" si="39"/>
        <v>0</v>
      </c>
      <c r="DY11" s="1232">
        <f t="shared" si="39"/>
        <v>0</v>
      </c>
      <c r="DZ11" s="1232">
        <f t="shared" si="39"/>
        <v>0</v>
      </c>
      <c r="EA11" s="1232">
        <f t="shared" si="39"/>
        <v>0</v>
      </c>
      <c r="EB11" s="1232">
        <f t="shared" ref="EB11:EB25" si="49">SUM(((BQ11*0.9)*0.8))</f>
        <v>0</v>
      </c>
      <c r="EC11" s="1232">
        <f t="shared" si="40"/>
        <v>200</v>
      </c>
      <c r="ED11" s="1232"/>
      <c r="EE11" s="1232"/>
      <c r="EF11" s="1232">
        <f t="shared" si="41"/>
        <v>0</v>
      </c>
      <c r="EG11" s="1232">
        <f t="shared" si="41"/>
        <v>0</v>
      </c>
      <c r="EH11" s="1232">
        <f t="shared" si="41"/>
        <v>0.35</v>
      </c>
      <c r="EI11" s="1232">
        <f t="shared" si="41"/>
        <v>0</v>
      </c>
      <c r="EJ11" s="1232">
        <f t="shared" si="41"/>
        <v>0</v>
      </c>
      <c r="EK11" s="1232">
        <f t="shared" si="41"/>
        <v>0</v>
      </c>
      <c r="EL11" s="1232">
        <f t="shared" si="41"/>
        <v>0</v>
      </c>
      <c r="EM11" s="1232">
        <f t="shared" si="41"/>
        <v>0</v>
      </c>
      <c r="EN11" s="1232">
        <f t="shared" si="41"/>
        <v>0</v>
      </c>
      <c r="EO11" s="1232">
        <f t="shared" si="41"/>
        <v>0</v>
      </c>
      <c r="EP11" s="1232">
        <f t="shared" si="42"/>
        <v>0</v>
      </c>
      <c r="EQ11" s="1232">
        <f t="shared" si="42"/>
        <v>0</v>
      </c>
      <c r="ER11" s="1232">
        <f t="shared" si="42"/>
        <v>0</v>
      </c>
      <c r="ES11" s="1232">
        <f t="shared" si="42"/>
        <v>0</v>
      </c>
      <c r="ET11" s="1232">
        <f t="shared" si="42"/>
        <v>0</v>
      </c>
      <c r="EU11" s="1232">
        <f t="shared" si="42"/>
        <v>0</v>
      </c>
      <c r="EV11" s="1232">
        <f t="shared" si="42"/>
        <v>0</v>
      </c>
      <c r="EW11" s="1232">
        <f t="shared" ref="EW11:EW25" si="50">SUM(((BQ11*0.9)*0.7))</f>
        <v>0</v>
      </c>
      <c r="EX11" s="1232">
        <f t="shared" si="43"/>
        <v>175</v>
      </c>
      <c r="EY11" s="1232"/>
      <c r="EZ11" s="1232"/>
      <c r="FA11" s="1232">
        <f t="shared" si="44"/>
        <v>0</v>
      </c>
      <c r="FB11" s="1232">
        <f t="shared" si="44"/>
        <v>0</v>
      </c>
      <c r="FC11" s="1232">
        <f t="shared" si="44"/>
        <v>0.3</v>
      </c>
      <c r="FD11" s="1232">
        <f t="shared" si="44"/>
        <v>0</v>
      </c>
      <c r="FE11" s="1232">
        <f t="shared" si="44"/>
        <v>0</v>
      </c>
      <c r="FF11" s="1232">
        <f t="shared" si="44"/>
        <v>0</v>
      </c>
      <c r="FG11" s="1232">
        <f t="shared" si="44"/>
        <v>0</v>
      </c>
      <c r="FH11" s="1232">
        <f t="shared" si="44"/>
        <v>0</v>
      </c>
      <c r="FI11" s="1232">
        <f t="shared" si="44"/>
        <v>0</v>
      </c>
      <c r="FJ11" s="1232">
        <f t="shared" si="44"/>
        <v>0</v>
      </c>
      <c r="FK11" s="1232">
        <f t="shared" si="45"/>
        <v>0</v>
      </c>
      <c r="FL11" s="1232">
        <f t="shared" si="45"/>
        <v>0</v>
      </c>
      <c r="FM11" s="1232">
        <f t="shared" si="45"/>
        <v>0</v>
      </c>
      <c r="FN11" s="1232">
        <f t="shared" si="45"/>
        <v>0</v>
      </c>
      <c r="FO11" s="1232">
        <f t="shared" si="45"/>
        <v>0</v>
      </c>
      <c r="FP11" s="1232">
        <f t="shared" si="45"/>
        <v>0</v>
      </c>
      <c r="FQ11" s="1232">
        <f t="shared" si="45"/>
        <v>0</v>
      </c>
      <c r="FR11" s="1232">
        <f t="shared" ref="FR11:FR25" si="51">SUM(((BQ11*0.9)*0.6))</f>
        <v>0</v>
      </c>
      <c r="FS11" s="1232">
        <f t="shared" si="46"/>
        <v>150</v>
      </c>
      <c r="FT11" s="1232"/>
      <c r="FU11" s="1232" t="e">
        <f t="shared" si="12"/>
        <v>#VALUE!</v>
      </c>
      <c r="FV11" s="1232" t="e">
        <f t="shared" si="31"/>
        <v>#VALUE!</v>
      </c>
      <c r="FW11" s="1232" t="e">
        <f t="shared" si="13"/>
        <v>#VALUE!</v>
      </c>
      <c r="FX11" s="1232" t="e">
        <f t="shared" si="14"/>
        <v>#VALUE!</v>
      </c>
      <c r="FY11" s="1232" t="e">
        <f t="shared" si="15"/>
        <v>#VALUE!</v>
      </c>
      <c r="FZ11" s="1232" t="e">
        <f t="shared" si="16"/>
        <v>#VALUE!</v>
      </c>
      <c r="GA11" s="1232" t="e">
        <f t="shared" si="17"/>
        <v>#VALUE!</v>
      </c>
      <c r="GB11" s="1232" t="e">
        <f t="shared" si="18"/>
        <v>#VALUE!</v>
      </c>
      <c r="GC11" s="1232" t="e">
        <f t="shared" si="19"/>
        <v>#VALUE!</v>
      </c>
      <c r="GD11" s="1232" t="e">
        <f t="shared" si="20"/>
        <v>#VALUE!</v>
      </c>
      <c r="GE11" s="1232" t="e">
        <f t="shared" si="21"/>
        <v>#VALUE!</v>
      </c>
      <c r="GF11" s="1232" t="e">
        <f t="shared" si="22"/>
        <v>#VALUE!</v>
      </c>
      <c r="GG11" s="1232" t="e">
        <f t="shared" si="23"/>
        <v>#VALUE!</v>
      </c>
      <c r="GH11" s="1232" t="e">
        <f t="shared" si="24"/>
        <v>#VALUE!</v>
      </c>
      <c r="GI11" s="1232" t="e">
        <f t="shared" si="25"/>
        <v>#VALUE!</v>
      </c>
      <c r="GJ11" s="1232" t="e">
        <f t="shared" si="26"/>
        <v>#VALUE!</v>
      </c>
      <c r="GK11" s="1232" t="e">
        <f t="shared" si="27"/>
        <v>#VALUE!</v>
      </c>
      <c r="GL11" s="1232" t="e">
        <f t="shared" si="28"/>
        <v>#VALUE!</v>
      </c>
      <c r="GM11" s="1232" t="e">
        <f t="shared" si="29"/>
        <v>#VALUE!</v>
      </c>
    </row>
    <row r="12" spans="1:195" ht="16.5" customHeight="1">
      <c r="A12" s="1631">
        <v>107</v>
      </c>
      <c r="B12" s="1900"/>
      <c r="C12" s="1273" t="s">
        <v>1094</v>
      </c>
      <c r="D12" s="1415"/>
      <c r="E12" s="1392"/>
      <c r="F12" s="1392"/>
      <c r="G12" s="1392"/>
      <c r="H12" s="1392"/>
      <c r="I12" s="1392"/>
      <c r="J12" s="1392"/>
      <c r="K12" s="1392"/>
      <c r="L12" s="1392"/>
      <c r="M12" s="1392"/>
      <c r="N12" s="1392"/>
      <c r="O12" s="1392"/>
      <c r="P12" s="1392"/>
      <c r="Q12" s="1392" t="str">
        <f>AR12</f>
        <v>Ignore</v>
      </c>
      <c r="R12" s="1416"/>
      <c r="S12" s="1392"/>
      <c r="T12" s="1416"/>
      <c r="U12" s="1416">
        <f>IF((AC12&lt;10),SUM((AV12+(ROUNDUP((AC12*BP12),2)))),SUM((AV12+(ROUNDUP(((9*BP12)+GK12),2)))))</f>
        <v>120</v>
      </c>
      <c r="V12" s="1392">
        <f>IF((AC12&lt;10),SUM((AW12+(ROUNDUP((AC12*BQ12),2)))),SUM((AW12+(ROUNDUP(((9*BQ12)+GL12),2)))))</f>
        <v>100</v>
      </c>
      <c r="W12" s="1392">
        <f t="shared" si="0"/>
        <v>2500</v>
      </c>
      <c r="X12" s="1392"/>
      <c r="Y12" s="1392"/>
      <c r="Z12" s="1392"/>
      <c r="AA12" s="1389"/>
      <c r="AB12" s="1232">
        <v>5</v>
      </c>
      <c r="AC12" s="1232">
        <f t="shared" si="30"/>
        <v>0</v>
      </c>
      <c r="AD12" s="1232"/>
      <c r="AE12" s="1390"/>
      <c r="AF12" s="1390"/>
      <c r="AG12" s="1390"/>
      <c r="AH12" s="1390"/>
      <c r="AI12" s="1390"/>
      <c r="AJ12" s="1390"/>
      <c r="AK12" s="1390"/>
      <c r="AL12" s="1390"/>
      <c r="AM12" s="1390"/>
      <c r="AN12" s="1390"/>
      <c r="AO12" s="1390"/>
      <c r="AP12" s="1390"/>
      <c r="AQ12" s="1390"/>
      <c r="AR12" s="1390" t="s">
        <v>285</v>
      </c>
      <c r="AS12" s="1391"/>
      <c r="AT12" s="1390"/>
      <c r="AU12" s="1390"/>
      <c r="AV12" s="1390">
        <v>120</v>
      </c>
      <c r="AW12" s="1390">
        <v>100</v>
      </c>
      <c r="AX12" s="1390">
        <v>2500</v>
      </c>
      <c r="AY12" s="1221"/>
      <c r="AZ12" s="1232"/>
      <c r="BA12" s="1232"/>
      <c r="BB12" s="1232"/>
      <c r="BC12" s="1232"/>
      <c r="BD12" s="1232"/>
      <c r="BE12" s="1390"/>
      <c r="BF12" s="1390"/>
      <c r="BG12" s="1232"/>
      <c r="BH12" s="1232"/>
      <c r="BI12" s="1232"/>
      <c r="BJ12" s="1232"/>
      <c r="BK12" s="1232"/>
      <c r="BL12" s="1232"/>
      <c r="BM12" s="1232"/>
      <c r="BN12" s="1232"/>
      <c r="BO12" s="1232"/>
      <c r="BP12" s="1232">
        <f>SUM((-AV12/18))</f>
        <v>-6.666666666666667</v>
      </c>
      <c r="BQ12" s="1232"/>
      <c r="BR12" s="1232">
        <f t="shared" si="1"/>
        <v>277.77777777777777</v>
      </c>
      <c r="BS12" s="1232"/>
      <c r="BT12" s="1393">
        <v>2.33</v>
      </c>
      <c r="BU12" s="1232">
        <f t="shared" ref="BU12:BU25" si="52">SUM(((AZ12*0.9)*1))</f>
        <v>0</v>
      </c>
      <c r="BV12" s="1232">
        <f t="shared" ref="BV12:BV25" si="53">SUM(((BA12*0.9)*1))</f>
        <v>0</v>
      </c>
      <c r="BW12" s="1232">
        <f t="shared" ref="BW12:BW25" si="54">SUM(((BB12*0.9)*1))</f>
        <v>0</v>
      </c>
      <c r="BX12" s="1232">
        <f t="shared" ref="BX12:BX25" si="55">SUM(((BC12*0.9)*1))</f>
        <v>0</v>
      </c>
      <c r="BY12" s="1232">
        <f t="shared" ref="BY12:BY25" si="56">SUM(((BD12*0.9)*1))</f>
        <v>0</v>
      </c>
      <c r="BZ12" s="1232">
        <f t="shared" ref="BZ12:BZ25" si="57">SUM(((BE12*0.9)*1))</f>
        <v>0</v>
      </c>
      <c r="CA12" s="1232">
        <f t="shared" ref="CA12:CA25" si="58">SUM(((BF12*0.9)*1))</f>
        <v>0</v>
      </c>
      <c r="CB12" s="1232">
        <f t="shared" ref="CB12:CB25" si="59">SUM(((BG12*0.9)*1))</f>
        <v>0</v>
      </c>
      <c r="CC12" s="1232">
        <f t="shared" ref="CC12:CC25" si="60">SUM(((BH12*0.9)*1))</f>
        <v>0</v>
      </c>
      <c r="CD12" s="1232">
        <f t="shared" ref="CD12:CD25" si="61">SUM(((BI12*0.9)*1))</f>
        <v>0</v>
      </c>
      <c r="CE12" s="1232">
        <f t="shared" ref="CE12:CE25" si="62">SUM(((BJ12*0.9)*1))</f>
        <v>0</v>
      </c>
      <c r="CF12" s="1232">
        <f t="shared" ref="CF12:CF25" si="63">SUM(((BK12*0.9)*1))</f>
        <v>0</v>
      </c>
      <c r="CG12" s="1232">
        <f t="shared" ref="CG12:CG25" si="64">SUM(((BL12*0.9)*1))</f>
        <v>0</v>
      </c>
      <c r="CH12" s="1232">
        <f t="shared" ref="CH12:CH25" si="65">SUM(((BM12*0.9)*1))</f>
        <v>0</v>
      </c>
      <c r="CI12" s="1232">
        <f t="shared" ref="CI12:CI25" si="66">SUM(((BN12*0.9)*1))</f>
        <v>0</v>
      </c>
      <c r="CJ12" s="1232">
        <f t="shared" ref="CJ12:CJ25" si="67">SUM(((BO12*0.9)*1))</f>
        <v>0</v>
      </c>
      <c r="CK12" s="1393">
        <f>SUM(ROUND((BP12/BT12),2))</f>
        <v>-2.86</v>
      </c>
      <c r="CL12" s="1232">
        <f t="shared" si="47"/>
        <v>0</v>
      </c>
      <c r="CM12" s="1232">
        <f t="shared" si="34"/>
        <v>250</v>
      </c>
      <c r="CN12" s="1232"/>
      <c r="CO12" s="1393">
        <v>2.84</v>
      </c>
      <c r="CP12" s="1232">
        <f t="shared" ref="CP12:CP25" si="68">SUM(((AZ12*0.9)*0.9))</f>
        <v>0</v>
      </c>
      <c r="CQ12" s="1232">
        <f t="shared" ref="CQ12:CQ25" si="69">SUM(((BA12*0.9)*0.9))</f>
        <v>0</v>
      </c>
      <c r="CR12" s="1232">
        <f t="shared" ref="CR12:CR25" si="70">SUM(((BB12*0.9)*0.9))</f>
        <v>0</v>
      </c>
      <c r="CS12" s="1232">
        <f t="shared" ref="CS12:CS25" si="71">SUM(((BC12*0.9)*0.9))</f>
        <v>0</v>
      </c>
      <c r="CT12" s="1232">
        <f t="shared" ref="CT12:CT25" si="72">SUM(((BD12*0.9)*0.9))</f>
        <v>0</v>
      </c>
      <c r="CU12" s="1232">
        <f t="shared" ref="CU12:CU25" si="73">SUM(((BE12*0.9)*0.9))</f>
        <v>0</v>
      </c>
      <c r="CV12" s="1232">
        <f t="shared" ref="CV12:CV25" si="74">SUM(((BF12*0.9)*0.9))</f>
        <v>0</v>
      </c>
      <c r="CW12" s="1232">
        <f t="shared" ref="CW12:CW25" si="75">SUM(((BG12*0.9)*0.9))</f>
        <v>0</v>
      </c>
      <c r="CX12" s="1232">
        <f t="shared" ref="CX12:CX25" si="76">SUM(((BH12*0.9)*0.9))</f>
        <v>0</v>
      </c>
      <c r="CY12" s="1232">
        <f t="shared" ref="CY12:CY25" si="77">SUM(((BI12*0.9)*0.9))</f>
        <v>0</v>
      </c>
      <c r="CZ12" s="1232">
        <f t="shared" ref="CZ12:CZ25" si="78">SUM(((BJ12*0.9)*0.9))</f>
        <v>0</v>
      </c>
      <c r="DA12" s="1232">
        <f t="shared" ref="DA12:DA25" si="79">SUM(((BK12*0.9)*0.9))</f>
        <v>0</v>
      </c>
      <c r="DB12" s="1232">
        <f t="shared" ref="DB12:DB25" si="80">SUM(((BL12*0.9)*0.9))</f>
        <v>0</v>
      </c>
      <c r="DC12" s="1232">
        <f t="shared" ref="DC12:DC25" si="81">SUM(((BM12*0.9)*0.9))</f>
        <v>0</v>
      </c>
      <c r="DD12" s="1232">
        <f t="shared" ref="DD12:DD25" si="82">SUM(((BN12*0.9)*0.9))</f>
        <v>0</v>
      </c>
      <c r="DE12" s="1232">
        <f t="shared" ref="DE12:DE25" si="83">SUM(((BO12*0.9)*0.9))</f>
        <v>0</v>
      </c>
      <c r="DF12" s="1393">
        <f>SUM(ROUND((BP12/CO12),2))</f>
        <v>-2.35</v>
      </c>
      <c r="DG12" s="1232">
        <f t="shared" si="48"/>
        <v>0</v>
      </c>
      <c r="DH12" s="1232">
        <f t="shared" si="37"/>
        <v>225</v>
      </c>
      <c r="DI12" s="1232"/>
      <c r="DJ12" s="1393">
        <v>3.45</v>
      </c>
      <c r="DK12" s="1232">
        <f t="shared" ref="DK12:DK25" si="84">SUM(((AZ12*0.9)*0.8))</f>
        <v>0</v>
      </c>
      <c r="DL12" s="1232">
        <f t="shared" ref="DL12:DL25" si="85">SUM(((BA12*0.9)*0.8))</f>
        <v>0</v>
      </c>
      <c r="DM12" s="1232">
        <f t="shared" ref="DM12:DM25" si="86">SUM(((BB12*0.9)*0.8))</f>
        <v>0</v>
      </c>
      <c r="DN12" s="1232">
        <f t="shared" ref="DN12:DN25" si="87">SUM(((BC12*0.9)*0.8))</f>
        <v>0</v>
      </c>
      <c r="DO12" s="1232">
        <f t="shared" ref="DO12:DO25" si="88">SUM(((BD12*0.9)*0.8))</f>
        <v>0</v>
      </c>
      <c r="DP12" s="1232">
        <f t="shared" ref="DP12:DP25" si="89">SUM(((BE12*0.9)*0.8))</f>
        <v>0</v>
      </c>
      <c r="DQ12" s="1232">
        <f t="shared" ref="DQ12:DQ25" si="90">SUM(((BF12*0.9)*0.8))</f>
        <v>0</v>
      </c>
      <c r="DR12" s="1232">
        <f t="shared" ref="DR12:DR25" si="91">SUM(((BG12*0.9)*0.8))</f>
        <v>0</v>
      </c>
      <c r="DS12" s="1232">
        <f t="shared" ref="DS12:DS25" si="92">SUM(((BH12*0.9)*0.8))</f>
        <v>0</v>
      </c>
      <c r="DT12" s="1232">
        <f t="shared" ref="DT12:DT25" si="93">SUM(((BI12*0.9)*0.8))</f>
        <v>0</v>
      </c>
      <c r="DU12" s="1232">
        <f t="shared" ref="DU12:DU25" si="94">SUM(((BJ12*0.9)*0.8))</f>
        <v>0</v>
      </c>
      <c r="DV12" s="1232">
        <f t="shared" ref="DV12:DV25" si="95">SUM(((BK12*0.9)*0.8))</f>
        <v>0</v>
      </c>
      <c r="DW12" s="1232">
        <f t="shared" ref="DW12:DW25" si="96">SUM(((BL12*0.9)*0.8))</f>
        <v>0</v>
      </c>
      <c r="DX12" s="1232">
        <f t="shared" ref="DX12:DX25" si="97">SUM(((BM12*0.9)*0.8))</f>
        <v>0</v>
      </c>
      <c r="DY12" s="1232">
        <f t="shared" ref="DY12:DY25" si="98">SUM(((BN12*0.9)*0.8))</f>
        <v>0</v>
      </c>
      <c r="DZ12" s="1232">
        <f t="shared" ref="DZ12:DZ25" si="99">SUM(((BO12*0.9)*0.8))</f>
        <v>0</v>
      </c>
      <c r="EA12" s="1393">
        <f>SUM(ROUND((BP12/DJ12),2))</f>
        <v>-1.93</v>
      </c>
      <c r="EB12" s="1232">
        <f t="shared" si="49"/>
        <v>0</v>
      </c>
      <c r="EC12" s="1232">
        <f t="shared" si="40"/>
        <v>200</v>
      </c>
      <c r="ED12" s="1232"/>
      <c r="EE12" s="1393">
        <v>4.2300000000000004</v>
      </c>
      <c r="EF12" s="1232">
        <f t="shared" ref="EF12:EF25" si="100">SUM(((AZ12*0.9)*0.7))</f>
        <v>0</v>
      </c>
      <c r="EG12" s="1232">
        <f t="shared" ref="EG12:EG25" si="101">SUM(((BA12*0.9)*0.7))</f>
        <v>0</v>
      </c>
      <c r="EH12" s="1232">
        <f t="shared" ref="EH12:EH25" si="102">SUM(((BB12*0.9)*0.7))</f>
        <v>0</v>
      </c>
      <c r="EI12" s="1232">
        <f t="shared" ref="EI12:EI25" si="103">SUM(((BC12*0.9)*0.7))</f>
        <v>0</v>
      </c>
      <c r="EJ12" s="1232">
        <f t="shared" ref="EJ12:EJ25" si="104">SUM(((BD12*0.9)*0.7))</f>
        <v>0</v>
      </c>
      <c r="EK12" s="1232">
        <f t="shared" ref="EK12:EK25" si="105">SUM(((BE12*0.9)*0.7))</f>
        <v>0</v>
      </c>
      <c r="EL12" s="1232">
        <f t="shared" ref="EL12:EL25" si="106">SUM(((BF12*0.9)*0.7))</f>
        <v>0</v>
      </c>
      <c r="EM12" s="1232">
        <f t="shared" ref="EM12:EM25" si="107">SUM(((BG12*0.9)*0.7))</f>
        <v>0</v>
      </c>
      <c r="EN12" s="1232">
        <f t="shared" ref="EN12:EN25" si="108">SUM(((BH12*0.9)*0.7))</f>
        <v>0</v>
      </c>
      <c r="EO12" s="1232">
        <f t="shared" ref="EO12:EO25" si="109">SUM(((BI12*0.9)*0.7))</f>
        <v>0</v>
      </c>
      <c r="EP12" s="1232">
        <f t="shared" ref="EP12:EP25" si="110">SUM(((BJ12*0.9)*0.7))</f>
        <v>0</v>
      </c>
      <c r="EQ12" s="1232">
        <f t="shared" ref="EQ12:EQ25" si="111">SUM(((BK12*0.9)*0.7))</f>
        <v>0</v>
      </c>
      <c r="ER12" s="1232">
        <f t="shared" ref="ER12:ER25" si="112">SUM(((BL12*0.9)*0.7))</f>
        <v>0</v>
      </c>
      <c r="ES12" s="1232">
        <f t="shared" ref="ES12:ES25" si="113">SUM(((BM12*0.9)*0.7))</f>
        <v>0</v>
      </c>
      <c r="ET12" s="1232">
        <f t="shared" ref="ET12:ET25" si="114">SUM(((BN12*0.9)*0.7))</f>
        <v>0</v>
      </c>
      <c r="EU12" s="1232">
        <f t="shared" ref="EU12:EU25" si="115">SUM(((BO12*0.9)*0.7))</f>
        <v>0</v>
      </c>
      <c r="EV12" s="1393">
        <f>SUM(ROUND((BP12/EE12),2))</f>
        <v>-1.58</v>
      </c>
      <c r="EW12" s="1232">
        <f t="shared" si="50"/>
        <v>0</v>
      </c>
      <c r="EX12" s="1232">
        <f t="shared" si="43"/>
        <v>175</v>
      </c>
      <c r="EY12" s="1232"/>
      <c r="EZ12" s="1393">
        <v>5.2</v>
      </c>
      <c r="FA12" s="1232">
        <f t="shared" ref="FA12:FA25" si="116">SUM(((AZ12*0.9)*0.6))</f>
        <v>0</v>
      </c>
      <c r="FB12" s="1232">
        <f t="shared" ref="FB12:FB25" si="117">SUM(((BA12*0.9)*0.6))</f>
        <v>0</v>
      </c>
      <c r="FC12" s="1232">
        <f t="shared" ref="FC12:FC25" si="118">SUM(((BB12*0.9)*0.6))</f>
        <v>0</v>
      </c>
      <c r="FD12" s="1232">
        <f t="shared" ref="FD12:FD25" si="119">SUM(((BC12*0.9)*0.6))</f>
        <v>0</v>
      </c>
      <c r="FE12" s="1232">
        <f t="shared" ref="FE12:FE25" si="120">SUM(((BD12*0.9)*0.6))</f>
        <v>0</v>
      </c>
      <c r="FF12" s="1232">
        <f t="shared" ref="FF12:FF25" si="121">SUM(((BE12*0.9)*0.6))</f>
        <v>0</v>
      </c>
      <c r="FG12" s="1232">
        <f t="shared" ref="FG12:FG25" si="122">SUM(((BF12*0.9)*0.6))</f>
        <v>0</v>
      </c>
      <c r="FH12" s="1232">
        <f t="shared" ref="FH12:FH25" si="123">SUM(((BG12*0.9)*0.6))</f>
        <v>0</v>
      </c>
      <c r="FI12" s="1232">
        <f t="shared" ref="FI12:FI25" si="124">SUM(((BH12*0.9)*0.6))</f>
        <v>0</v>
      </c>
      <c r="FJ12" s="1232">
        <f t="shared" ref="FJ12:FJ25" si="125">SUM(((BI12*0.9)*0.6))</f>
        <v>0</v>
      </c>
      <c r="FK12" s="1232">
        <f t="shared" ref="FK12:FK25" si="126">SUM(((BJ12*0.9)*0.6))</f>
        <v>0</v>
      </c>
      <c r="FL12" s="1232">
        <f t="shared" ref="FL12:FL25" si="127">SUM(((BK12*0.9)*0.6))</f>
        <v>0</v>
      </c>
      <c r="FM12" s="1232">
        <f t="shared" ref="FM12:FM25" si="128">SUM(((BL12*0.9)*0.6))</f>
        <v>0</v>
      </c>
      <c r="FN12" s="1232">
        <f t="shared" ref="FN12:FN25" si="129">SUM(((BM12*0.9)*0.6))</f>
        <v>0</v>
      </c>
      <c r="FO12" s="1232">
        <f t="shared" ref="FO12:FO25" si="130">SUM(((BN12*0.9)*0.6))</f>
        <v>0</v>
      </c>
      <c r="FP12" s="1232">
        <f t="shared" ref="FP12:FP25" si="131">SUM(((BO12*0.9)*0.6))</f>
        <v>0</v>
      </c>
      <c r="FQ12" s="1393">
        <f>SUM(ROUND((BP12/EZ12),2))</f>
        <v>-1.28</v>
      </c>
      <c r="FR12" s="1232">
        <f t="shared" si="51"/>
        <v>0</v>
      </c>
      <c r="FS12" s="1232">
        <f t="shared" si="46"/>
        <v>150</v>
      </c>
      <c r="FT12" s="1232"/>
      <c r="FU12" s="1232" t="e">
        <f t="shared" si="12"/>
        <v>#VALUE!</v>
      </c>
      <c r="FV12" s="1232" t="e">
        <f t="shared" si="31"/>
        <v>#VALUE!</v>
      </c>
      <c r="FW12" s="1232" t="e">
        <f t="shared" si="13"/>
        <v>#VALUE!</v>
      </c>
      <c r="FX12" s="1232" t="e">
        <f t="shared" si="14"/>
        <v>#VALUE!</v>
      </c>
      <c r="FY12" s="1232" t="e">
        <f t="shared" si="15"/>
        <v>#VALUE!</v>
      </c>
      <c r="FZ12" s="1232" t="e">
        <f t="shared" si="16"/>
        <v>#VALUE!</v>
      </c>
      <c r="GA12" s="1232" t="e">
        <f t="shared" si="17"/>
        <v>#VALUE!</v>
      </c>
      <c r="GB12" s="1232" t="e">
        <f t="shared" si="18"/>
        <v>#VALUE!</v>
      </c>
      <c r="GC12" s="1232" t="e">
        <f t="shared" si="19"/>
        <v>#VALUE!</v>
      </c>
      <c r="GD12" s="1232" t="e">
        <f t="shared" si="20"/>
        <v>#VALUE!</v>
      </c>
      <c r="GE12" s="1232" t="e">
        <f t="shared" si="21"/>
        <v>#VALUE!</v>
      </c>
      <c r="GF12" s="1232" t="e">
        <f t="shared" si="22"/>
        <v>#VALUE!</v>
      </c>
      <c r="GG12" s="1232" t="e">
        <f t="shared" si="23"/>
        <v>#VALUE!</v>
      </c>
      <c r="GH12" s="1232" t="e">
        <f t="shared" si="24"/>
        <v>#VALUE!</v>
      </c>
      <c r="GI12" s="1232" t="e">
        <f t="shared" si="25"/>
        <v>#VALUE!</v>
      </c>
      <c r="GJ12" s="1232" t="e">
        <f t="shared" si="26"/>
        <v>#VALUE!</v>
      </c>
      <c r="GK12" s="1232" t="e">
        <f t="shared" si="27"/>
        <v>#VALUE!</v>
      </c>
      <c r="GL12" s="1232" t="e">
        <f t="shared" si="28"/>
        <v>#VALUE!</v>
      </c>
      <c r="GM12" s="1232" t="e">
        <f t="shared" si="29"/>
        <v>#VALUE!</v>
      </c>
    </row>
    <row r="13" spans="1:195" ht="16.5" customHeight="1">
      <c r="A13" s="1631">
        <v>108</v>
      </c>
      <c r="B13" s="1900"/>
      <c r="C13" s="1273" t="s">
        <v>1095</v>
      </c>
      <c r="D13" s="1413"/>
      <c r="E13" s="1385"/>
      <c r="F13" s="1385"/>
      <c r="G13" s="1385">
        <f>IF((AC13&lt;10),SUM((AH13+(ROUNDUP((AC13*BC13),2)))),SUM((AH13+(ROUNDUP(((9*BC13)+FX13),2)))))</f>
        <v>25</v>
      </c>
      <c r="H13" s="1385"/>
      <c r="I13" s="1385"/>
      <c r="J13" s="1385"/>
      <c r="K13" s="1385"/>
      <c r="L13" s="1385"/>
      <c r="M13" s="1385"/>
      <c r="N13" s="1385"/>
      <c r="O13" s="1385"/>
      <c r="P13" s="1385"/>
      <c r="Q13" s="1385"/>
      <c r="R13" s="1414"/>
      <c r="S13" s="1385"/>
      <c r="T13" s="1414"/>
      <c r="U13" s="1414">
        <f>IF((AC13&lt;10),SUM((AV13+(ROUNDUP((AC13*BP13),2)))),SUM((AV13+(ROUNDUP(((9*BP13)+GK13),2)))))</f>
        <v>60</v>
      </c>
      <c r="V13" s="1385">
        <f>IF((AC13&lt;10),SUM((AW13+(ROUNDUP((AC13*BQ13),2)))),SUM((AW13+(ROUNDUP(((9*BQ13)+GL13),2)))))</f>
        <v>5</v>
      </c>
      <c r="W13" s="1385">
        <f t="shared" si="0"/>
        <v>2500</v>
      </c>
      <c r="X13" s="1385"/>
      <c r="Y13" s="1385"/>
      <c r="Z13" s="1385"/>
      <c r="AA13" s="1389"/>
      <c r="AB13" s="1232">
        <v>6</v>
      </c>
      <c r="AC13" s="1232">
        <f t="shared" si="30"/>
        <v>0</v>
      </c>
      <c r="AD13" s="1232"/>
      <c r="AE13" s="1390"/>
      <c r="AF13" s="1390"/>
      <c r="AG13" s="1390"/>
      <c r="AH13" s="1390">
        <v>25</v>
      </c>
      <c r="AI13" s="1390"/>
      <c r="AJ13" s="1390"/>
      <c r="AK13" s="1390"/>
      <c r="AL13" s="1390"/>
      <c r="AM13" s="1390"/>
      <c r="AN13" s="1390"/>
      <c r="AO13" s="1390"/>
      <c r="AP13" s="1390"/>
      <c r="AQ13" s="1390"/>
      <c r="AR13" s="1390"/>
      <c r="AS13" s="1391"/>
      <c r="AT13" s="1390"/>
      <c r="AU13" s="1390"/>
      <c r="AV13" s="1390">
        <v>60</v>
      </c>
      <c r="AW13" s="1390">
        <v>5</v>
      </c>
      <c r="AX13" s="1390">
        <v>2500</v>
      </c>
      <c r="AY13" s="1232"/>
      <c r="AZ13" s="1232"/>
      <c r="BA13" s="1232"/>
      <c r="BB13" s="1232"/>
      <c r="BC13" s="1232"/>
      <c r="BD13" s="1232"/>
      <c r="BE13" s="1390"/>
      <c r="BF13" s="1390"/>
      <c r="BG13" s="1232"/>
      <c r="BH13" s="1232"/>
      <c r="BI13" s="1232"/>
      <c r="BJ13" s="1232"/>
      <c r="BK13" s="1232"/>
      <c r="BL13" s="1232"/>
      <c r="BM13" s="1232"/>
      <c r="BN13" s="1232"/>
      <c r="BO13" s="1232"/>
      <c r="BP13" s="1232">
        <f>SUM((-AV13/18))</f>
        <v>-3.3333333333333335</v>
      </c>
      <c r="BQ13" s="1232"/>
      <c r="BR13" s="1232">
        <f t="shared" si="1"/>
        <v>277.77777777777777</v>
      </c>
      <c r="BS13" s="1232"/>
      <c r="BT13" s="1393">
        <v>2.33</v>
      </c>
      <c r="BU13" s="1232">
        <f t="shared" si="52"/>
        <v>0</v>
      </c>
      <c r="BV13" s="1232">
        <f t="shared" si="53"/>
        <v>0</v>
      </c>
      <c r="BW13" s="1232">
        <f t="shared" si="54"/>
        <v>0</v>
      </c>
      <c r="BX13" s="1232">
        <f t="shared" si="55"/>
        <v>0</v>
      </c>
      <c r="BY13" s="1232">
        <f t="shared" si="56"/>
        <v>0</v>
      </c>
      <c r="BZ13" s="1232">
        <f t="shared" si="57"/>
        <v>0</v>
      </c>
      <c r="CA13" s="1232">
        <f t="shared" si="58"/>
        <v>0</v>
      </c>
      <c r="CB13" s="1232">
        <f t="shared" si="59"/>
        <v>0</v>
      </c>
      <c r="CC13" s="1232">
        <f t="shared" si="60"/>
        <v>0</v>
      </c>
      <c r="CD13" s="1232">
        <f t="shared" si="61"/>
        <v>0</v>
      </c>
      <c r="CE13" s="1232">
        <f t="shared" si="62"/>
        <v>0</v>
      </c>
      <c r="CF13" s="1232">
        <f t="shared" si="63"/>
        <v>0</v>
      </c>
      <c r="CG13" s="1232">
        <f t="shared" si="64"/>
        <v>0</v>
      </c>
      <c r="CH13" s="1232">
        <f t="shared" si="65"/>
        <v>0</v>
      </c>
      <c r="CI13" s="1232">
        <f t="shared" si="66"/>
        <v>0</v>
      </c>
      <c r="CJ13" s="1232">
        <f t="shared" si="67"/>
        <v>0</v>
      </c>
      <c r="CK13" s="1393">
        <f>SUM(ROUND((BP13/BT13),2))</f>
        <v>-1.43</v>
      </c>
      <c r="CL13" s="1232">
        <f t="shared" si="47"/>
        <v>0</v>
      </c>
      <c r="CM13" s="1232">
        <f t="shared" si="34"/>
        <v>250</v>
      </c>
      <c r="CN13" s="1232"/>
      <c r="CO13" s="1393">
        <v>2.84</v>
      </c>
      <c r="CP13" s="1232">
        <f t="shared" si="68"/>
        <v>0</v>
      </c>
      <c r="CQ13" s="1232">
        <f t="shared" si="69"/>
        <v>0</v>
      </c>
      <c r="CR13" s="1232">
        <f t="shared" si="70"/>
        <v>0</v>
      </c>
      <c r="CS13" s="1232">
        <f t="shared" si="71"/>
        <v>0</v>
      </c>
      <c r="CT13" s="1232">
        <f t="shared" si="72"/>
        <v>0</v>
      </c>
      <c r="CU13" s="1232">
        <f t="shared" si="73"/>
        <v>0</v>
      </c>
      <c r="CV13" s="1232">
        <f t="shared" si="74"/>
        <v>0</v>
      </c>
      <c r="CW13" s="1232">
        <f t="shared" si="75"/>
        <v>0</v>
      </c>
      <c r="CX13" s="1232">
        <f t="shared" si="76"/>
        <v>0</v>
      </c>
      <c r="CY13" s="1232">
        <f t="shared" si="77"/>
        <v>0</v>
      </c>
      <c r="CZ13" s="1232">
        <f t="shared" si="78"/>
        <v>0</v>
      </c>
      <c r="DA13" s="1232">
        <f t="shared" si="79"/>
        <v>0</v>
      </c>
      <c r="DB13" s="1232">
        <f t="shared" si="80"/>
        <v>0</v>
      </c>
      <c r="DC13" s="1232">
        <f t="shared" si="81"/>
        <v>0</v>
      </c>
      <c r="DD13" s="1232">
        <f t="shared" si="82"/>
        <v>0</v>
      </c>
      <c r="DE13" s="1232">
        <f t="shared" si="83"/>
        <v>0</v>
      </c>
      <c r="DF13" s="1393">
        <f>SUM(ROUND((BP13/CO13),2))</f>
        <v>-1.17</v>
      </c>
      <c r="DG13" s="1232">
        <f t="shared" si="48"/>
        <v>0</v>
      </c>
      <c r="DH13" s="1232">
        <f t="shared" si="37"/>
        <v>225</v>
      </c>
      <c r="DI13" s="1232"/>
      <c r="DJ13" s="1393">
        <v>3.45</v>
      </c>
      <c r="DK13" s="1232">
        <f t="shared" si="84"/>
        <v>0</v>
      </c>
      <c r="DL13" s="1232">
        <f t="shared" si="85"/>
        <v>0</v>
      </c>
      <c r="DM13" s="1232">
        <f t="shared" si="86"/>
        <v>0</v>
      </c>
      <c r="DN13" s="1232">
        <f t="shared" si="87"/>
        <v>0</v>
      </c>
      <c r="DO13" s="1232">
        <f t="shared" si="88"/>
        <v>0</v>
      </c>
      <c r="DP13" s="1232">
        <f t="shared" si="89"/>
        <v>0</v>
      </c>
      <c r="DQ13" s="1232">
        <f t="shared" si="90"/>
        <v>0</v>
      </c>
      <c r="DR13" s="1232">
        <f t="shared" si="91"/>
        <v>0</v>
      </c>
      <c r="DS13" s="1232">
        <f t="shared" si="92"/>
        <v>0</v>
      </c>
      <c r="DT13" s="1232">
        <f t="shared" si="93"/>
        <v>0</v>
      </c>
      <c r="DU13" s="1232">
        <f t="shared" si="94"/>
        <v>0</v>
      </c>
      <c r="DV13" s="1232">
        <f t="shared" si="95"/>
        <v>0</v>
      </c>
      <c r="DW13" s="1232">
        <f t="shared" si="96"/>
        <v>0</v>
      </c>
      <c r="DX13" s="1232">
        <f t="shared" si="97"/>
        <v>0</v>
      </c>
      <c r="DY13" s="1232">
        <f t="shared" si="98"/>
        <v>0</v>
      </c>
      <c r="DZ13" s="1232">
        <f t="shared" si="99"/>
        <v>0</v>
      </c>
      <c r="EA13" s="1393">
        <f>SUM(ROUND((BP13/DJ13),2))</f>
        <v>-0.97</v>
      </c>
      <c r="EB13" s="1232">
        <f t="shared" si="49"/>
        <v>0</v>
      </c>
      <c r="EC13" s="1232">
        <f t="shared" si="40"/>
        <v>200</v>
      </c>
      <c r="ED13" s="1232"/>
      <c r="EE13" s="1393">
        <v>4.2300000000000004</v>
      </c>
      <c r="EF13" s="1232">
        <f t="shared" si="100"/>
        <v>0</v>
      </c>
      <c r="EG13" s="1232">
        <f t="shared" si="101"/>
        <v>0</v>
      </c>
      <c r="EH13" s="1232">
        <f t="shared" si="102"/>
        <v>0</v>
      </c>
      <c r="EI13" s="1232">
        <f t="shared" si="103"/>
        <v>0</v>
      </c>
      <c r="EJ13" s="1232">
        <f t="shared" si="104"/>
        <v>0</v>
      </c>
      <c r="EK13" s="1232">
        <f t="shared" si="105"/>
        <v>0</v>
      </c>
      <c r="EL13" s="1232">
        <f t="shared" si="106"/>
        <v>0</v>
      </c>
      <c r="EM13" s="1232">
        <f t="shared" si="107"/>
        <v>0</v>
      </c>
      <c r="EN13" s="1232">
        <f t="shared" si="108"/>
        <v>0</v>
      </c>
      <c r="EO13" s="1232">
        <f t="shared" si="109"/>
        <v>0</v>
      </c>
      <c r="EP13" s="1232">
        <f t="shared" si="110"/>
        <v>0</v>
      </c>
      <c r="EQ13" s="1232">
        <f t="shared" si="111"/>
        <v>0</v>
      </c>
      <c r="ER13" s="1232">
        <f t="shared" si="112"/>
        <v>0</v>
      </c>
      <c r="ES13" s="1232">
        <f t="shared" si="113"/>
        <v>0</v>
      </c>
      <c r="ET13" s="1232">
        <f t="shared" si="114"/>
        <v>0</v>
      </c>
      <c r="EU13" s="1232">
        <f t="shared" si="115"/>
        <v>0</v>
      </c>
      <c r="EV13" s="1393">
        <f>SUM(ROUND((BP13/EE13),2))</f>
        <v>-0.79</v>
      </c>
      <c r="EW13" s="1232">
        <f t="shared" si="50"/>
        <v>0</v>
      </c>
      <c r="EX13" s="1232">
        <f t="shared" si="43"/>
        <v>175</v>
      </c>
      <c r="EY13" s="1232"/>
      <c r="EZ13" s="1393">
        <v>5.2</v>
      </c>
      <c r="FA13" s="1232">
        <f t="shared" si="116"/>
        <v>0</v>
      </c>
      <c r="FB13" s="1232">
        <f t="shared" si="117"/>
        <v>0</v>
      </c>
      <c r="FC13" s="1232">
        <f t="shared" si="118"/>
        <v>0</v>
      </c>
      <c r="FD13" s="1232">
        <f t="shared" si="119"/>
        <v>0</v>
      </c>
      <c r="FE13" s="1232">
        <f t="shared" si="120"/>
        <v>0</v>
      </c>
      <c r="FF13" s="1232">
        <f t="shared" si="121"/>
        <v>0</v>
      </c>
      <c r="FG13" s="1232">
        <f t="shared" si="122"/>
        <v>0</v>
      </c>
      <c r="FH13" s="1232">
        <f t="shared" si="123"/>
        <v>0</v>
      </c>
      <c r="FI13" s="1232">
        <f t="shared" si="124"/>
        <v>0</v>
      </c>
      <c r="FJ13" s="1232">
        <f t="shared" si="125"/>
        <v>0</v>
      </c>
      <c r="FK13" s="1232">
        <f t="shared" si="126"/>
        <v>0</v>
      </c>
      <c r="FL13" s="1232">
        <f t="shared" si="127"/>
        <v>0</v>
      </c>
      <c r="FM13" s="1232">
        <f t="shared" si="128"/>
        <v>0</v>
      </c>
      <c r="FN13" s="1232">
        <f t="shared" si="129"/>
        <v>0</v>
      </c>
      <c r="FO13" s="1232">
        <f t="shared" si="130"/>
        <v>0</v>
      </c>
      <c r="FP13" s="1232">
        <f t="shared" si="131"/>
        <v>0</v>
      </c>
      <c r="FQ13" s="1393">
        <f>SUM(ROUND((BP13/EZ13),2))</f>
        <v>-0.64</v>
      </c>
      <c r="FR13" s="1232">
        <f t="shared" si="51"/>
        <v>0</v>
      </c>
      <c r="FS13" s="1232">
        <f t="shared" si="46"/>
        <v>150</v>
      </c>
      <c r="FT13" s="1232"/>
      <c r="FU13" s="1232" t="e">
        <f t="shared" si="12"/>
        <v>#VALUE!</v>
      </c>
      <c r="FV13" s="1232" t="e">
        <f t="shared" si="31"/>
        <v>#VALUE!</v>
      </c>
      <c r="FW13" s="1232" t="e">
        <f t="shared" si="13"/>
        <v>#VALUE!</v>
      </c>
      <c r="FX13" s="1232" t="e">
        <f t="shared" si="14"/>
        <v>#VALUE!</v>
      </c>
      <c r="FY13" s="1232" t="e">
        <f t="shared" si="15"/>
        <v>#VALUE!</v>
      </c>
      <c r="FZ13" s="1232" t="e">
        <f t="shared" si="16"/>
        <v>#VALUE!</v>
      </c>
      <c r="GA13" s="1232" t="e">
        <f t="shared" si="17"/>
        <v>#VALUE!</v>
      </c>
      <c r="GB13" s="1232" t="e">
        <f t="shared" si="18"/>
        <v>#VALUE!</v>
      </c>
      <c r="GC13" s="1232" t="e">
        <f t="shared" si="19"/>
        <v>#VALUE!</v>
      </c>
      <c r="GD13" s="1232" t="e">
        <f t="shared" si="20"/>
        <v>#VALUE!</v>
      </c>
      <c r="GE13" s="1232" t="e">
        <f t="shared" si="21"/>
        <v>#VALUE!</v>
      </c>
      <c r="GF13" s="1232" t="e">
        <f t="shared" si="22"/>
        <v>#VALUE!</v>
      </c>
      <c r="GG13" s="1232" t="e">
        <f t="shared" si="23"/>
        <v>#VALUE!</v>
      </c>
      <c r="GH13" s="1232" t="e">
        <f t="shared" si="24"/>
        <v>#VALUE!</v>
      </c>
      <c r="GI13" s="1232" t="e">
        <f t="shared" si="25"/>
        <v>#VALUE!</v>
      </c>
      <c r="GJ13" s="1232" t="e">
        <f t="shared" si="26"/>
        <v>#VALUE!</v>
      </c>
      <c r="GK13" s="1232" t="e">
        <f t="shared" si="27"/>
        <v>#VALUE!</v>
      </c>
      <c r="GL13" s="1232" t="e">
        <f t="shared" si="28"/>
        <v>#VALUE!</v>
      </c>
      <c r="GM13" s="1232" t="e">
        <f t="shared" si="29"/>
        <v>#VALUE!</v>
      </c>
    </row>
    <row r="14" spans="1:195" ht="16.5" customHeight="1">
      <c r="A14" s="1631">
        <v>109</v>
      </c>
      <c r="B14" s="1900"/>
      <c r="C14" s="1273" t="s">
        <v>667</v>
      </c>
      <c r="D14" s="1415"/>
      <c r="E14" s="1392"/>
      <c r="F14" s="1392"/>
      <c r="G14" s="1392"/>
      <c r="H14" s="1392"/>
      <c r="I14" s="1392"/>
      <c r="J14" s="1392"/>
      <c r="K14" s="1392"/>
      <c r="L14" s="1392"/>
      <c r="M14" s="1392"/>
      <c r="N14" s="1392"/>
      <c r="O14" s="1392">
        <f>IF((AC14&lt;10),SUM((AP14+(ROUNDUP((AC14*BK14),2)))),SUM((AP14+(ROUNDUP(((9*BK14)+GF14),2)))))</f>
        <v>25</v>
      </c>
      <c r="P14" s="1392"/>
      <c r="Q14" s="1392"/>
      <c r="R14" s="1416"/>
      <c r="S14" s="1392"/>
      <c r="T14" s="1416"/>
      <c r="U14" s="1416"/>
      <c r="V14" s="1392"/>
      <c r="W14" s="1392">
        <f t="shared" si="0"/>
        <v>2500</v>
      </c>
      <c r="X14" s="1392"/>
      <c r="Y14" s="1392"/>
      <c r="Z14" s="1392"/>
      <c r="AA14" s="1389"/>
      <c r="AB14" s="1232">
        <v>7</v>
      </c>
      <c r="AC14" s="1232">
        <f t="shared" si="30"/>
        <v>0</v>
      </c>
      <c r="AD14" s="1232"/>
      <c r="AE14" s="1390"/>
      <c r="AF14" s="1390"/>
      <c r="AG14" s="1390"/>
      <c r="AH14" s="1390"/>
      <c r="AI14" s="1390"/>
      <c r="AJ14" s="1390"/>
      <c r="AK14" s="1390"/>
      <c r="AL14" s="1390"/>
      <c r="AM14" s="1390"/>
      <c r="AN14" s="1390"/>
      <c r="AO14" s="1390"/>
      <c r="AP14" s="1390">
        <v>25</v>
      </c>
      <c r="AQ14" s="1390"/>
      <c r="AR14" s="1390"/>
      <c r="AS14" s="1391"/>
      <c r="AT14" s="1390"/>
      <c r="AU14" s="1390"/>
      <c r="AV14" s="1390"/>
      <c r="AW14" s="1390"/>
      <c r="AX14" s="1390">
        <v>2500</v>
      </c>
      <c r="AY14" s="1232"/>
      <c r="AZ14" s="1232"/>
      <c r="BA14" s="1232"/>
      <c r="BB14" s="1232"/>
      <c r="BC14" s="1232"/>
      <c r="BD14" s="1232"/>
      <c r="BE14" s="1390"/>
      <c r="BF14" s="1390"/>
      <c r="BG14" s="1232"/>
      <c r="BH14" s="1232"/>
      <c r="BI14" s="1232"/>
      <c r="BJ14" s="1232"/>
      <c r="BK14" s="1232">
        <f>SUM((AP14/9))</f>
        <v>2.7777777777777777</v>
      </c>
      <c r="BL14" s="1232"/>
      <c r="BM14" s="1232"/>
      <c r="BN14" s="1232"/>
      <c r="BO14" s="1232"/>
      <c r="BP14" s="1232"/>
      <c r="BQ14" s="1232"/>
      <c r="BR14" s="1232">
        <f t="shared" si="1"/>
        <v>277.77777777777777</v>
      </c>
      <c r="BS14" s="1232"/>
      <c r="BT14" s="1232"/>
      <c r="BU14" s="1232">
        <f t="shared" si="52"/>
        <v>0</v>
      </c>
      <c r="BV14" s="1232">
        <f t="shared" si="53"/>
        <v>0</v>
      </c>
      <c r="BW14" s="1232">
        <f t="shared" si="54"/>
        <v>0</v>
      </c>
      <c r="BX14" s="1232">
        <f t="shared" si="55"/>
        <v>0</v>
      </c>
      <c r="BY14" s="1232">
        <f t="shared" si="56"/>
        <v>0</v>
      </c>
      <c r="BZ14" s="1232">
        <f t="shared" si="57"/>
        <v>0</v>
      </c>
      <c r="CA14" s="1232">
        <f t="shared" si="58"/>
        <v>0</v>
      </c>
      <c r="CB14" s="1232">
        <f t="shared" si="59"/>
        <v>0</v>
      </c>
      <c r="CC14" s="1232">
        <f t="shared" si="60"/>
        <v>0</v>
      </c>
      <c r="CD14" s="1232">
        <f t="shared" si="61"/>
        <v>0</v>
      </c>
      <c r="CE14" s="1232">
        <f t="shared" si="62"/>
        <v>0</v>
      </c>
      <c r="CF14" s="1232">
        <f t="shared" si="63"/>
        <v>2.5</v>
      </c>
      <c r="CG14" s="1232">
        <f t="shared" si="64"/>
        <v>0</v>
      </c>
      <c r="CH14" s="1232">
        <f t="shared" si="65"/>
        <v>0</v>
      </c>
      <c r="CI14" s="1232">
        <f t="shared" si="66"/>
        <v>0</v>
      </c>
      <c r="CJ14" s="1232">
        <f t="shared" si="67"/>
        <v>0</v>
      </c>
      <c r="CK14" s="1232">
        <f>SUM(((BP14*0.9)*1))</f>
        <v>0</v>
      </c>
      <c r="CL14" s="1232">
        <f t="shared" si="47"/>
        <v>0</v>
      </c>
      <c r="CM14" s="1232">
        <f t="shared" si="34"/>
        <v>250</v>
      </c>
      <c r="CN14" s="1232"/>
      <c r="CO14" s="1232"/>
      <c r="CP14" s="1232">
        <f t="shared" si="68"/>
        <v>0</v>
      </c>
      <c r="CQ14" s="1232">
        <f t="shared" si="69"/>
        <v>0</v>
      </c>
      <c r="CR14" s="1232">
        <f t="shared" si="70"/>
        <v>0</v>
      </c>
      <c r="CS14" s="1232">
        <f t="shared" si="71"/>
        <v>0</v>
      </c>
      <c r="CT14" s="1232">
        <f t="shared" si="72"/>
        <v>0</v>
      </c>
      <c r="CU14" s="1232">
        <f t="shared" si="73"/>
        <v>0</v>
      </c>
      <c r="CV14" s="1232">
        <f t="shared" si="74"/>
        <v>0</v>
      </c>
      <c r="CW14" s="1232">
        <f t="shared" si="75"/>
        <v>0</v>
      </c>
      <c r="CX14" s="1232">
        <f t="shared" si="76"/>
        <v>0</v>
      </c>
      <c r="CY14" s="1232">
        <f t="shared" si="77"/>
        <v>0</v>
      </c>
      <c r="CZ14" s="1232">
        <f t="shared" si="78"/>
        <v>0</v>
      </c>
      <c r="DA14" s="1232">
        <f t="shared" si="79"/>
        <v>2.25</v>
      </c>
      <c r="DB14" s="1232">
        <f t="shared" si="80"/>
        <v>0</v>
      </c>
      <c r="DC14" s="1232">
        <f t="shared" si="81"/>
        <v>0</v>
      </c>
      <c r="DD14" s="1232">
        <f t="shared" si="82"/>
        <v>0</v>
      </c>
      <c r="DE14" s="1232">
        <f t="shared" si="83"/>
        <v>0</v>
      </c>
      <c r="DF14" s="1232">
        <f>SUM(((BP14*0.9)*0.9))</f>
        <v>0</v>
      </c>
      <c r="DG14" s="1232">
        <f t="shared" si="48"/>
        <v>0</v>
      </c>
      <c r="DH14" s="1232">
        <f t="shared" si="37"/>
        <v>225</v>
      </c>
      <c r="DI14" s="1232"/>
      <c r="DJ14" s="1232"/>
      <c r="DK14" s="1232">
        <f t="shared" si="84"/>
        <v>0</v>
      </c>
      <c r="DL14" s="1232">
        <f t="shared" si="85"/>
        <v>0</v>
      </c>
      <c r="DM14" s="1232">
        <f t="shared" si="86"/>
        <v>0</v>
      </c>
      <c r="DN14" s="1232">
        <f t="shared" si="87"/>
        <v>0</v>
      </c>
      <c r="DO14" s="1232">
        <f t="shared" si="88"/>
        <v>0</v>
      </c>
      <c r="DP14" s="1232">
        <f t="shared" si="89"/>
        <v>0</v>
      </c>
      <c r="DQ14" s="1232">
        <f t="shared" si="90"/>
        <v>0</v>
      </c>
      <c r="DR14" s="1232">
        <f t="shared" si="91"/>
        <v>0</v>
      </c>
      <c r="DS14" s="1232">
        <f t="shared" si="92"/>
        <v>0</v>
      </c>
      <c r="DT14" s="1232">
        <f t="shared" si="93"/>
        <v>0</v>
      </c>
      <c r="DU14" s="1232">
        <f t="shared" si="94"/>
        <v>0</v>
      </c>
      <c r="DV14" s="1232">
        <f t="shared" si="95"/>
        <v>2</v>
      </c>
      <c r="DW14" s="1232">
        <f t="shared" si="96"/>
        <v>0</v>
      </c>
      <c r="DX14" s="1232">
        <f t="shared" si="97"/>
        <v>0</v>
      </c>
      <c r="DY14" s="1232">
        <f t="shared" si="98"/>
        <v>0</v>
      </c>
      <c r="DZ14" s="1232">
        <f t="shared" si="99"/>
        <v>0</v>
      </c>
      <c r="EA14" s="1232">
        <f>SUM(((BP14*0.9)*0.8))</f>
        <v>0</v>
      </c>
      <c r="EB14" s="1232">
        <f t="shared" si="49"/>
        <v>0</v>
      </c>
      <c r="EC14" s="1232">
        <f t="shared" si="40"/>
        <v>200</v>
      </c>
      <c r="ED14" s="1232"/>
      <c r="EE14" s="1232"/>
      <c r="EF14" s="1232">
        <f t="shared" si="100"/>
        <v>0</v>
      </c>
      <c r="EG14" s="1232">
        <f t="shared" si="101"/>
        <v>0</v>
      </c>
      <c r="EH14" s="1232">
        <f t="shared" si="102"/>
        <v>0</v>
      </c>
      <c r="EI14" s="1232">
        <f t="shared" si="103"/>
        <v>0</v>
      </c>
      <c r="EJ14" s="1232">
        <f t="shared" si="104"/>
        <v>0</v>
      </c>
      <c r="EK14" s="1232">
        <f t="shared" si="105"/>
        <v>0</v>
      </c>
      <c r="EL14" s="1232">
        <f t="shared" si="106"/>
        <v>0</v>
      </c>
      <c r="EM14" s="1232">
        <f t="shared" si="107"/>
        <v>0</v>
      </c>
      <c r="EN14" s="1232">
        <f t="shared" si="108"/>
        <v>0</v>
      </c>
      <c r="EO14" s="1232">
        <f t="shared" si="109"/>
        <v>0</v>
      </c>
      <c r="EP14" s="1232">
        <f t="shared" si="110"/>
        <v>0</v>
      </c>
      <c r="EQ14" s="1232">
        <f t="shared" si="111"/>
        <v>1.75</v>
      </c>
      <c r="ER14" s="1232">
        <f t="shared" si="112"/>
        <v>0</v>
      </c>
      <c r="ES14" s="1232">
        <f t="shared" si="113"/>
        <v>0</v>
      </c>
      <c r="ET14" s="1232">
        <f t="shared" si="114"/>
        <v>0</v>
      </c>
      <c r="EU14" s="1232">
        <f t="shared" si="115"/>
        <v>0</v>
      </c>
      <c r="EV14" s="1232">
        <f>SUM(((BP14*0.9)*0.7))</f>
        <v>0</v>
      </c>
      <c r="EW14" s="1232">
        <f t="shared" si="50"/>
        <v>0</v>
      </c>
      <c r="EX14" s="1232">
        <f t="shared" si="43"/>
        <v>175</v>
      </c>
      <c r="EY14" s="1232"/>
      <c r="EZ14" s="1232"/>
      <c r="FA14" s="1232">
        <f t="shared" si="116"/>
        <v>0</v>
      </c>
      <c r="FB14" s="1232">
        <f t="shared" si="117"/>
        <v>0</v>
      </c>
      <c r="FC14" s="1232">
        <f t="shared" si="118"/>
        <v>0</v>
      </c>
      <c r="FD14" s="1232">
        <f t="shared" si="119"/>
        <v>0</v>
      </c>
      <c r="FE14" s="1232">
        <f t="shared" si="120"/>
        <v>0</v>
      </c>
      <c r="FF14" s="1232">
        <f t="shared" si="121"/>
        <v>0</v>
      </c>
      <c r="FG14" s="1232">
        <f t="shared" si="122"/>
        <v>0</v>
      </c>
      <c r="FH14" s="1232">
        <f t="shared" si="123"/>
        <v>0</v>
      </c>
      <c r="FI14" s="1232">
        <f t="shared" si="124"/>
        <v>0</v>
      </c>
      <c r="FJ14" s="1232">
        <f t="shared" si="125"/>
        <v>0</v>
      </c>
      <c r="FK14" s="1232">
        <f t="shared" si="126"/>
        <v>0</v>
      </c>
      <c r="FL14" s="1232">
        <f t="shared" si="127"/>
        <v>1.5</v>
      </c>
      <c r="FM14" s="1232">
        <f t="shared" si="128"/>
        <v>0</v>
      </c>
      <c r="FN14" s="1232">
        <f t="shared" si="129"/>
        <v>0</v>
      </c>
      <c r="FO14" s="1232">
        <f t="shared" si="130"/>
        <v>0</v>
      </c>
      <c r="FP14" s="1232">
        <f t="shared" si="131"/>
        <v>0</v>
      </c>
      <c r="FQ14" s="1232">
        <f>SUM(((BP14*0.9)*0.6))</f>
        <v>0</v>
      </c>
      <c r="FR14" s="1232">
        <f t="shared" si="51"/>
        <v>0</v>
      </c>
      <c r="FS14" s="1232">
        <f t="shared" si="46"/>
        <v>150</v>
      </c>
      <c r="FT14" s="1232"/>
      <c r="FU14" s="1232" t="e">
        <f t="shared" si="12"/>
        <v>#VALUE!</v>
      </c>
      <c r="FV14" s="1232" t="e">
        <f t="shared" si="31"/>
        <v>#VALUE!</v>
      </c>
      <c r="FW14" s="1232" t="e">
        <f t="shared" si="13"/>
        <v>#VALUE!</v>
      </c>
      <c r="FX14" s="1232" t="e">
        <f t="shared" si="14"/>
        <v>#VALUE!</v>
      </c>
      <c r="FY14" s="1232" t="e">
        <f t="shared" si="15"/>
        <v>#VALUE!</v>
      </c>
      <c r="FZ14" s="1232" t="e">
        <f t="shared" si="16"/>
        <v>#VALUE!</v>
      </c>
      <c r="GA14" s="1232" t="e">
        <f t="shared" si="17"/>
        <v>#VALUE!</v>
      </c>
      <c r="GB14" s="1232" t="e">
        <f t="shared" si="18"/>
        <v>#VALUE!</v>
      </c>
      <c r="GC14" s="1232" t="e">
        <f t="shared" si="19"/>
        <v>#VALUE!</v>
      </c>
      <c r="GD14" s="1232" t="e">
        <f t="shared" si="20"/>
        <v>#VALUE!</v>
      </c>
      <c r="GE14" s="1232" t="e">
        <f t="shared" si="21"/>
        <v>#VALUE!</v>
      </c>
      <c r="GF14" s="1232" t="e">
        <f t="shared" si="22"/>
        <v>#VALUE!</v>
      </c>
      <c r="GG14" s="1232" t="e">
        <f t="shared" si="23"/>
        <v>#VALUE!</v>
      </c>
      <c r="GH14" s="1232" t="e">
        <f t="shared" si="24"/>
        <v>#VALUE!</v>
      </c>
      <c r="GI14" s="1232" t="e">
        <f t="shared" si="25"/>
        <v>#VALUE!</v>
      </c>
      <c r="GJ14" s="1232" t="e">
        <f t="shared" si="26"/>
        <v>#VALUE!</v>
      </c>
      <c r="GK14" s="1232" t="e">
        <f t="shared" si="27"/>
        <v>#VALUE!</v>
      </c>
      <c r="GL14" s="1232" t="e">
        <f t="shared" si="28"/>
        <v>#VALUE!</v>
      </c>
      <c r="GM14" s="1232" t="e">
        <f t="shared" si="29"/>
        <v>#VALUE!</v>
      </c>
    </row>
    <row r="15" spans="1:195" ht="16.5" customHeight="1">
      <c r="A15" s="1631">
        <v>110</v>
      </c>
      <c r="B15" s="1900"/>
      <c r="C15" s="1273" t="s">
        <v>1096</v>
      </c>
      <c r="D15" s="1413"/>
      <c r="E15" s="1385"/>
      <c r="F15" s="1385"/>
      <c r="G15" s="1385"/>
      <c r="H15" s="1385"/>
      <c r="I15" s="1385"/>
      <c r="J15" s="1385"/>
      <c r="K15" s="1385"/>
      <c r="L15" s="1385"/>
      <c r="M15" s="1385"/>
      <c r="N15" s="1385"/>
      <c r="O15" s="1385"/>
      <c r="P15" s="1385">
        <f>IF((AC15&lt;10),SUM((AQ15+(ROUNDUP((AC15*BL15),2)))),SUM((AQ15+(ROUNDUP(((9*BL15)+GG15),2)))))</f>
        <v>25</v>
      </c>
      <c r="Q15" s="1385"/>
      <c r="R15" s="1414"/>
      <c r="S15" s="1385"/>
      <c r="T15" s="1414"/>
      <c r="U15" s="1414"/>
      <c r="V15" s="1385"/>
      <c r="W15" s="1385">
        <f t="shared" si="0"/>
        <v>2500</v>
      </c>
      <c r="X15" s="1385"/>
      <c r="Y15" s="1385"/>
      <c r="Z15" s="1385"/>
      <c r="AA15" s="1389"/>
      <c r="AB15" s="1232">
        <v>8</v>
      </c>
      <c r="AC15" s="1232">
        <f t="shared" si="30"/>
        <v>0</v>
      </c>
      <c r="AD15" s="1232"/>
      <c r="AE15" s="1390"/>
      <c r="AF15" s="1390"/>
      <c r="AG15" s="1390"/>
      <c r="AH15" s="1390"/>
      <c r="AI15" s="1390"/>
      <c r="AJ15" s="1390"/>
      <c r="AK15" s="1390"/>
      <c r="AL15" s="1390"/>
      <c r="AM15" s="1390"/>
      <c r="AN15" s="1390"/>
      <c r="AO15" s="1390"/>
      <c r="AP15" s="1390"/>
      <c r="AQ15" s="1390">
        <v>25</v>
      </c>
      <c r="AR15" s="1390"/>
      <c r="AS15" s="1391"/>
      <c r="AT15" s="1390"/>
      <c r="AU15" s="1390"/>
      <c r="AV15" s="1390"/>
      <c r="AW15" s="1390"/>
      <c r="AX15" s="1390">
        <v>2500</v>
      </c>
      <c r="AY15" s="1232"/>
      <c r="AZ15" s="1232"/>
      <c r="BA15" s="1232"/>
      <c r="BB15" s="1232"/>
      <c r="BC15" s="1232"/>
      <c r="BD15" s="1232"/>
      <c r="BE15" s="1390"/>
      <c r="BF15" s="1390"/>
      <c r="BG15" s="1232"/>
      <c r="BH15" s="1232"/>
      <c r="BI15" s="1232"/>
      <c r="BJ15" s="1232"/>
      <c r="BK15" s="1232"/>
      <c r="BL15" s="1232">
        <f>SUM((AQ15/9))</f>
        <v>2.7777777777777777</v>
      </c>
      <c r="BM15" s="1232"/>
      <c r="BN15" s="1232"/>
      <c r="BO15" s="1232"/>
      <c r="BP15" s="1232"/>
      <c r="BQ15" s="1232"/>
      <c r="BR15" s="1232">
        <f t="shared" si="1"/>
        <v>277.77777777777777</v>
      </c>
      <c r="BS15" s="1232"/>
      <c r="BT15" s="1221"/>
      <c r="BU15" s="1232">
        <f t="shared" si="52"/>
        <v>0</v>
      </c>
      <c r="BV15" s="1232">
        <f t="shared" si="53"/>
        <v>0</v>
      </c>
      <c r="BW15" s="1232">
        <f t="shared" si="54"/>
        <v>0</v>
      </c>
      <c r="BX15" s="1232">
        <f t="shared" si="55"/>
        <v>0</v>
      </c>
      <c r="BY15" s="1232">
        <f t="shared" si="56"/>
        <v>0</v>
      </c>
      <c r="BZ15" s="1232">
        <f t="shared" si="57"/>
        <v>0</v>
      </c>
      <c r="CA15" s="1232">
        <f t="shared" si="58"/>
        <v>0</v>
      </c>
      <c r="CB15" s="1232">
        <f t="shared" si="59"/>
        <v>0</v>
      </c>
      <c r="CC15" s="1232">
        <f t="shared" si="60"/>
        <v>0</v>
      </c>
      <c r="CD15" s="1232">
        <f t="shared" si="61"/>
        <v>0</v>
      </c>
      <c r="CE15" s="1232">
        <f t="shared" si="62"/>
        <v>0</v>
      </c>
      <c r="CF15" s="1232">
        <f t="shared" si="63"/>
        <v>0</v>
      </c>
      <c r="CG15" s="1232">
        <f t="shared" si="64"/>
        <v>2.5</v>
      </c>
      <c r="CH15" s="1232">
        <f t="shared" si="65"/>
        <v>0</v>
      </c>
      <c r="CI15" s="1232">
        <f t="shared" si="66"/>
        <v>0</v>
      </c>
      <c r="CJ15" s="1232">
        <f t="shared" si="67"/>
        <v>0</v>
      </c>
      <c r="CK15" s="1232">
        <f>SUM(((BP15*0.9)*1))</f>
        <v>0</v>
      </c>
      <c r="CL15" s="1232">
        <f t="shared" si="47"/>
        <v>0</v>
      </c>
      <c r="CM15" s="1232">
        <f t="shared" si="34"/>
        <v>250</v>
      </c>
      <c r="CN15" s="1232"/>
      <c r="CO15" s="1221"/>
      <c r="CP15" s="1232">
        <f t="shared" si="68"/>
        <v>0</v>
      </c>
      <c r="CQ15" s="1232">
        <f t="shared" si="69"/>
        <v>0</v>
      </c>
      <c r="CR15" s="1232">
        <f t="shared" si="70"/>
        <v>0</v>
      </c>
      <c r="CS15" s="1232">
        <f t="shared" si="71"/>
        <v>0</v>
      </c>
      <c r="CT15" s="1232">
        <f t="shared" si="72"/>
        <v>0</v>
      </c>
      <c r="CU15" s="1232">
        <f t="shared" si="73"/>
        <v>0</v>
      </c>
      <c r="CV15" s="1232">
        <f t="shared" si="74"/>
        <v>0</v>
      </c>
      <c r="CW15" s="1232">
        <f t="shared" si="75"/>
        <v>0</v>
      </c>
      <c r="CX15" s="1232">
        <f t="shared" si="76"/>
        <v>0</v>
      </c>
      <c r="CY15" s="1232">
        <f t="shared" si="77"/>
        <v>0</v>
      </c>
      <c r="CZ15" s="1232">
        <f t="shared" si="78"/>
        <v>0</v>
      </c>
      <c r="DA15" s="1232">
        <f t="shared" si="79"/>
        <v>0</v>
      </c>
      <c r="DB15" s="1232">
        <f t="shared" si="80"/>
        <v>2.25</v>
      </c>
      <c r="DC15" s="1232">
        <f t="shared" si="81"/>
        <v>0</v>
      </c>
      <c r="DD15" s="1232">
        <f t="shared" si="82"/>
        <v>0</v>
      </c>
      <c r="DE15" s="1232">
        <f t="shared" si="83"/>
        <v>0</v>
      </c>
      <c r="DF15" s="1232">
        <f>SUM(((BP15*0.9)*0.9))</f>
        <v>0</v>
      </c>
      <c r="DG15" s="1232">
        <f t="shared" si="48"/>
        <v>0</v>
      </c>
      <c r="DH15" s="1232">
        <f t="shared" si="37"/>
        <v>225</v>
      </c>
      <c r="DI15" s="1232"/>
      <c r="DJ15" s="1221"/>
      <c r="DK15" s="1232">
        <f t="shared" si="84"/>
        <v>0</v>
      </c>
      <c r="DL15" s="1232">
        <f t="shared" si="85"/>
        <v>0</v>
      </c>
      <c r="DM15" s="1232">
        <f t="shared" si="86"/>
        <v>0</v>
      </c>
      <c r="DN15" s="1232">
        <f t="shared" si="87"/>
        <v>0</v>
      </c>
      <c r="DO15" s="1232">
        <f t="shared" si="88"/>
        <v>0</v>
      </c>
      <c r="DP15" s="1232">
        <f t="shared" si="89"/>
        <v>0</v>
      </c>
      <c r="DQ15" s="1232">
        <f t="shared" si="90"/>
        <v>0</v>
      </c>
      <c r="DR15" s="1232">
        <f t="shared" si="91"/>
        <v>0</v>
      </c>
      <c r="DS15" s="1232">
        <f t="shared" si="92"/>
        <v>0</v>
      </c>
      <c r="DT15" s="1232">
        <f t="shared" si="93"/>
        <v>0</v>
      </c>
      <c r="DU15" s="1232">
        <f t="shared" si="94"/>
        <v>0</v>
      </c>
      <c r="DV15" s="1232">
        <f t="shared" si="95"/>
        <v>0</v>
      </c>
      <c r="DW15" s="1232">
        <f t="shared" si="96"/>
        <v>2</v>
      </c>
      <c r="DX15" s="1232">
        <f t="shared" si="97"/>
        <v>0</v>
      </c>
      <c r="DY15" s="1232">
        <f t="shared" si="98"/>
        <v>0</v>
      </c>
      <c r="DZ15" s="1232">
        <f t="shared" si="99"/>
        <v>0</v>
      </c>
      <c r="EA15" s="1232">
        <f>SUM(((BP15*0.9)*0.8))</f>
        <v>0</v>
      </c>
      <c r="EB15" s="1232">
        <f t="shared" si="49"/>
        <v>0</v>
      </c>
      <c r="EC15" s="1232">
        <f t="shared" si="40"/>
        <v>200</v>
      </c>
      <c r="ED15" s="1232"/>
      <c r="EE15" s="1232"/>
      <c r="EF15" s="1232">
        <f t="shared" si="100"/>
        <v>0</v>
      </c>
      <c r="EG15" s="1232">
        <f t="shared" si="101"/>
        <v>0</v>
      </c>
      <c r="EH15" s="1232">
        <f t="shared" si="102"/>
        <v>0</v>
      </c>
      <c r="EI15" s="1232">
        <f t="shared" si="103"/>
        <v>0</v>
      </c>
      <c r="EJ15" s="1232">
        <f t="shared" si="104"/>
        <v>0</v>
      </c>
      <c r="EK15" s="1232">
        <f t="shared" si="105"/>
        <v>0</v>
      </c>
      <c r="EL15" s="1232">
        <f t="shared" si="106"/>
        <v>0</v>
      </c>
      <c r="EM15" s="1232">
        <f t="shared" si="107"/>
        <v>0</v>
      </c>
      <c r="EN15" s="1232">
        <f t="shared" si="108"/>
        <v>0</v>
      </c>
      <c r="EO15" s="1232">
        <f t="shared" si="109"/>
        <v>0</v>
      </c>
      <c r="EP15" s="1232">
        <f t="shared" si="110"/>
        <v>0</v>
      </c>
      <c r="EQ15" s="1232">
        <f t="shared" si="111"/>
        <v>0</v>
      </c>
      <c r="ER15" s="1232">
        <f t="shared" si="112"/>
        <v>1.75</v>
      </c>
      <c r="ES15" s="1232">
        <f t="shared" si="113"/>
        <v>0</v>
      </c>
      <c r="ET15" s="1232">
        <f t="shared" si="114"/>
        <v>0</v>
      </c>
      <c r="EU15" s="1232">
        <f t="shared" si="115"/>
        <v>0</v>
      </c>
      <c r="EV15" s="1232">
        <f>SUM(((BP15*0.9)*0.7))</f>
        <v>0</v>
      </c>
      <c r="EW15" s="1232">
        <f t="shared" si="50"/>
        <v>0</v>
      </c>
      <c r="EX15" s="1232">
        <f t="shared" si="43"/>
        <v>175</v>
      </c>
      <c r="EY15" s="1232"/>
      <c r="EZ15" s="1221"/>
      <c r="FA15" s="1232">
        <f t="shared" si="116"/>
        <v>0</v>
      </c>
      <c r="FB15" s="1232">
        <f t="shared" si="117"/>
        <v>0</v>
      </c>
      <c r="FC15" s="1232">
        <f t="shared" si="118"/>
        <v>0</v>
      </c>
      <c r="FD15" s="1232">
        <f t="shared" si="119"/>
        <v>0</v>
      </c>
      <c r="FE15" s="1232">
        <f t="shared" si="120"/>
        <v>0</v>
      </c>
      <c r="FF15" s="1232">
        <f t="shared" si="121"/>
        <v>0</v>
      </c>
      <c r="FG15" s="1232">
        <f t="shared" si="122"/>
        <v>0</v>
      </c>
      <c r="FH15" s="1232">
        <f t="shared" si="123"/>
        <v>0</v>
      </c>
      <c r="FI15" s="1232">
        <f t="shared" si="124"/>
        <v>0</v>
      </c>
      <c r="FJ15" s="1232">
        <f t="shared" si="125"/>
        <v>0</v>
      </c>
      <c r="FK15" s="1232">
        <f t="shared" si="126"/>
        <v>0</v>
      </c>
      <c r="FL15" s="1232">
        <f t="shared" si="127"/>
        <v>0</v>
      </c>
      <c r="FM15" s="1232">
        <f t="shared" si="128"/>
        <v>1.5</v>
      </c>
      <c r="FN15" s="1232">
        <f t="shared" si="129"/>
        <v>0</v>
      </c>
      <c r="FO15" s="1232">
        <f t="shared" si="130"/>
        <v>0</v>
      </c>
      <c r="FP15" s="1232">
        <f t="shared" si="131"/>
        <v>0</v>
      </c>
      <c r="FQ15" s="1232">
        <f>SUM(((BP15*0.9)*0.6))</f>
        <v>0</v>
      </c>
      <c r="FR15" s="1232">
        <f t="shared" si="51"/>
        <v>0</v>
      </c>
      <c r="FS15" s="1232">
        <f t="shared" si="46"/>
        <v>150</v>
      </c>
      <c r="FT15" s="1232"/>
      <c r="FU15" s="1232" t="e">
        <f t="shared" si="12"/>
        <v>#VALUE!</v>
      </c>
      <c r="FV15" s="1232" t="e">
        <f t="shared" si="31"/>
        <v>#VALUE!</v>
      </c>
      <c r="FW15" s="1232" t="e">
        <f t="shared" si="13"/>
        <v>#VALUE!</v>
      </c>
      <c r="FX15" s="1232" t="e">
        <f t="shared" si="14"/>
        <v>#VALUE!</v>
      </c>
      <c r="FY15" s="1232" t="e">
        <f t="shared" si="15"/>
        <v>#VALUE!</v>
      </c>
      <c r="FZ15" s="1232" t="e">
        <f t="shared" si="16"/>
        <v>#VALUE!</v>
      </c>
      <c r="GA15" s="1232" t="e">
        <f t="shared" si="17"/>
        <v>#VALUE!</v>
      </c>
      <c r="GB15" s="1232" t="e">
        <f t="shared" si="18"/>
        <v>#VALUE!</v>
      </c>
      <c r="GC15" s="1232" t="e">
        <f t="shared" si="19"/>
        <v>#VALUE!</v>
      </c>
      <c r="GD15" s="1232" t="e">
        <f t="shared" si="20"/>
        <v>#VALUE!</v>
      </c>
      <c r="GE15" s="1232" t="e">
        <f t="shared" si="21"/>
        <v>#VALUE!</v>
      </c>
      <c r="GF15" s="1232" t="e">
        <f t="shared" si="22"/>
        <v>#VALUE!</v>
      </c>
      <c r="GG15" s="1232" t="e">
        <f t="shared" si="23"/>
        <v>#VALUE!</v>
      </c>
      <c r="GH15" s="1232" t="e">
        <f t="shared" si="24"/>
        <v>#VALUE!</v>
      </c>
      <c r="GI15" s="1232" t="e">
        <f t="shared" si="25"/>
        <v>#VALUE!</v>
      </c>
      <c r="GJ15" s="1232" t="e">
        <f t="shared" si="26"/>
        <v>#VALUE!</v>
      </c>
      <c r="GK15" s="1232" t="e">
        <f t="shared" si="27"/>
        <v>#VALUE!</v>
      </c>
      <c r="GL15" s="1232" t="e">
        <f t="shared" si="28"/>
        <v>#VALUE!</v>
      </c>
      <c r="GM15" s="1232" t="e">
        <f t="shared" si="29"/>
        <v>#VALUE!</v>
      </c>
    </row>
    <row r="16" spans="1:195" ht="16.5" customHeight="1">
      <c r="A16" s="1631">
        <v>111</v>
      </c>
      <c r="B16" s="1900"/>
      <c r="C16" s="1273" t="s">
        <v>1097</v>
      </c>
      <c r="D16" s="1417"/>
      <c r="E16" s="1394"/>
      <c r="F16" s="1394"/>
      <c r="G16" s="1394"/>
      <c r="H16" s="1394"/>
      <c r="I16" s="1394"/>
      <c r="J16" s="1394"/>
      <c r="K16" s="1394"/>
      <c r="L16" s="1394"/>
      <c r="M16" s="1394"/>
      <c r="N16" s="1394"/>
      <c r="O16" s="1394">
        <f>IF((AC16&lt;10),SUM((AP16+(ROUNDUP((AC16*BK16),2)))),SUM((AP16+(ROUNDUP(((9*BK16)+GF16),2)))))</f>
        <v>12.5</v>
      </c>
      <c r="P16" s="1394">
        <f>IF((AC16&lt;10),SUM((AQ16+(ROUNDUP((AC16*BL16),2)))),SUM((AQ16+(ROUNDUP(((9*BL16)+GG16),2)))))</f>
        <v>12.5</v>
      </c>
      <c r="Q16" s="1394"/>
      <c r="R16" s="1418"/>
      <c r="S16" s="1394"/>
      <c r="T16" s="1418"/>
      <c r="U16" s="1418"/>
      <c r="V16" s="1394"/>
      <c r="W16" s="1394">
        <f t="shared" si="0"/>
        <v>2500</v>
      </c>
      <c r="X16" s="1394"/>
      <c r="Y16" s="1394"/>
      <c r="Z16" s="1394"/>
      <c r="AA16" s="1389"/>
      <c r="AB16" s="1232">
        <v>9</v>
      </c>
      <c r="AC16" s="1232">
        <f t="shared" si="30"/>
        <v>0</v>
      </c>
      <c r="AD16" s="1232"/>
      <c r="AE16" s="1390"/>
      <c r="AF16" s="1390"/>
      <c r="AG16" s="1390"/>
      <c r="AH16" s="1390"/>
      <c r="AI16" s="1390"/>
      <c r="AJ16" s="1390"/>
      <c r="AK16" s="1390"/>
      <c r="AL16" s="1390"/>
      <c r="AM16" s="1390"/>
      <c r="AN16" s="1390"/>
      <c r="AO16" s="1390"/>
      <c r="AP16" s="1390">
        <v>12.5</v>
      </c>
      <c r="AQ16" s="1390">
        <v>12.5</v>
      </c>
      <c r="AR16" s="1390"/>
      <c r="AS16" s="1391"/>
      <c r="AT16" s="1390"/>
      <c r="AU16" s="1390"/>
      <c r="AV16" s="1390"/>
      <c r="AW16" s="1390"/>
      <c r="AX16" s="1390">
        <v>2500</v>
      </c>
      <c r="AY16" s="1221"/>
      <c r="AZ16" s="1232"/>
      <c r="BA16" s="1232"/>
      <c r="BB16" s="1232"/>
      <c r="BC16" s="1232"/>
      <c r="BD16" s="1232"/>
      <c r="BE16" s="1390"/>
      <c r="BF16" s="1390"/>
      <c r="BG16" s="1232"/>
      <c r="BH16" s="1232"/>
      <c r="BI16" s="1232"/>
      <c r="BJ16" s="1232"/>
      <c r="BK16" s="1232">
        <f>SUM((AP16/9))</f>
        <v>1.3888888888888888</v>
      </c>
      <c r="BL16" s="1232">
        <f>SUM((AQ16/9))</f>
        <v>1.3888888888888888</v>
      </c>
      <c r="BM16" s="1232"/>
      <c r="BN16" s="1232"/>
      <c r="BO16" s="1232"/>
      <c r="BP16" s="1232"/>
      <c r="BQ16" s="1232"/>
      <c r="BR16" s="1232">
        <f t="shared" si="1"/>
        <v>277.77777777777777</v>
      </c>
      <c r="BS16" s="1232"/>
      <c r="BT16" s="1221"/>
      <c r="BU16" s="1232">
        <f t="shared" si="52"/>
        <v>0</v>
      </c>
      <c r="BV16" s="1232">
        <f t="shared" si="53"/>
        <v>0</v>
      </c>
      <c r="BW16" s="1232">
        <f t="shared" si="54"/>
        <v>0</v>
      </c>
      <c r="BX16" s="1232">
        <f t="shared" si="55"/>
        <v>0</v>
      </c>
      <c r="BY16" s="1232">
        <f t="shared" si="56"/>
        <v>0</v>
      </c>
      <c r="BZ16" s="1232">
        <f t="shared" si="57"/>
        <v>0</v>
      </c>
      <c r="CA16" s="1232">
        <f t="shared" si="58"/>
        <v>0</v>
      </c>
      <c r="CB16" s="1232">
        <f t="shared" si="59"/>
        <v>0</v>
      </c>
      <c r="CC16" s="1232">
        <f t="shared" si="60"/>
        <v>0</v>
      </c>
      <c r="CD16" s="1232">
        <f t="shared" si="61"/>
        <v>0</v>
      </c>
      <c r="CE16" s="1232">
        <f t="shared" si="62"/>
        <v>0</v>
      </c>
      <c r="CF16" s="1232">
        <f t="shared" si="63"/>
        <v>1.25</v>
      </c>
      <c r="CG16" s="1232">
        <f t="shared" si="64"/>
        <v>1.25</v>
      </c>
      <c r="CH16" s="1232">
        <f t="shared" si="65"/>
        <v>0</v>
      </c>
      <c r="CI16" s="1232">
        <f t="shared" si="66"/>
        <v>0</v>
      </c>
      <c r="CJ16" s="1232">
        <f t="shared" si="67"/>
        <v>0</v>
      </c>
      <c r="CK16" s="1232">
        <f>SUM(((BP16*0.9)*1))</f>
        <v>0</v>
      </c>
      <c r="CL16" s="1232">
        <f t="shared" si="47"/>
        <v>0</v>
      </c>
      <c r="CM16" s="1232">
        <f t="shared" si="34"/>
        <v>250</v>
      </c>
      <c r="CN16" s="1232"/>
      <c r="CO16" s="1221"/>
      <c r="CP16" s="1232">
        <f t="shared" si="68"/>
        <v>0</v>
      </c>
      <c r="CQ16" s="1232">
        <f t="shared" si="69"/>
        <v>0</v>
      </c>
      <c r="CR16" s="1232">
        <f t="shared" si="70"/>
        <v>0</v>
      </c>
      <c r="CS16" s="1232">
        <f t="shared" si="71"/>
        <v>0</v>
      </c>
      <c r="CT16" s="1232">
        <f t="shared" si="72"/>
        <v>0</v>
      </c>
      <c r="CU16" s="1232">
        <f t="shared" si="73"/>
        <v>0</v>
      </c>
      <c r="CV16" s="1232">
        <f t="shared" si="74"/>
        <v>0</v>
      </c>
      <c r="CW16" s="1232">
        <f t="shared" si="75"/>
        <v>0</v>
      </c>
      <c r="CX16" s="1232">
        <f t="shared" si="76"/>
        <v>0</v>
      </c>
      <c r="CY16" s="1232">
        <f t="shared" si="77"/>
        <v>0</v>
      </c>
      <c r="CZ16" s="1232">
        <f t="shared" si="78"/>
        <v>0</v>
      </c>
      <c r="DA16" s="1232">
        <f t="shared" si="79"/>
        <v>1.125</v>
      </c>
      <c r="DB16" s="1232">
        <f t="shared" si="80"/>
        <v>1.125</v>
      </c>
      <c r="DC16" s="1232">
        <f t="shared" si="81"/>
        <v>0</v>
      </c>
      <c r="DD16" s="1232">
        <f t="shared" si="82"/>
        <v>0</v>
      </c>
      <c r="DE16" s="1232">
        <f t="shared" si="83"/>
        <v>0</v>
      </c>
      <c r="DF16" s="1232">
        <f>SUM(((BP16*0.9)*0.9))</f>
        <v>0</v>
      </c>
      <c r="DG16" s="1232">
        <f t="shared" si="48"/>
        <v>0</v>
      </c>
      <c r="DH16" s="1232">
        <f t="shared" si="37"/>
        <v>225</v>
      </c>
      <c r="DI16" s="1232"/>
      <c r="DJ16" s="1221"/>
      <c r="DK16" s="1232">
        <f t="shared" si="84"/>
        <v>0</v>
      </c>
      <c r="DL16" s="1232">
        <f t="shared" si="85"/>
        <v>0</v>
      </c>
      <c r="DM16" s="1232">
        <f t="shared" si="86"/>
        <v>0</v>
      </c>
      <c r="DN16" s="1232">
        <f t="shared" si="87"/>
        <v>0</v>
      </c>
      <c r="DO16" s="1232">
        <f t="shared" si="88"/>
        <v>0</v>
      </c>
      <c r="DP16" s="1232">
        <f t="shared" si="89"/>
        <v>0</v>
      </c>
      <c r="DQ16" s="1232">
        <f t="shared" si="90"/>
        <v>0</v>
      </c>
      <c r="DR16" s="1232">
        <f t="shared" si="91"/>
        <v>0</v>
      </c>
      <c r="DS16" s="1232">
        <f t="shared" si="92"/>
        <v>0</v>
      </c>
      <c r="DT16" s="1232">
        <f t="shared" si="93"/>
        <v>0</v>
      </c>
      <c r="DU16" s="1232">
        <f t="shared" si="94"/>
        <v>0</v>
      </c>
      <c r="DV16" s="1232">
        <f t="shared" si="95"/>
        <v>1</v>
      </c>
      <c r="DW16" s="1232">
        <f t="shared" si="96"/>
        <v>1</v>
      </c>
      <c r="DX16" s="1232">
        <f t="shared" si="97"/>
        <v>0</v>
      </c>
      <c r="DY16" s="1232">
        <f t="shared" si="98"/>
        <v>0</v>
      </c>
      <c r="DZ16" s="1232">
        <f t="shared" si="99"/>
        <v>0</v>
      </c>
      <c r="EA16" s="1232">
        <f>SUM(((BP16*0.9)*0.8))</f>
        <v>0</v>
      </c>
      <c r="EB16" s="1232">
        <f t="shared" si="49"/>
        <v>0</v>
      </c>
      <c r="EC16" s="1232">
        <f t="shared" si="40"/>
        <v>200</v>
      </c>
      <c r="ED16" s="1232"/>
      <c r="EE16" s="1232"/>
      <c r="EF16" s="1232">
        <f t="shared" si="100"/>
        <v>0</v>
      </c>
      <c r="EG16" s="1232">
        <f t="shared" si="101"/>
        <v>0</v>
      </c>
      <c r="EH16" s="1232">
        <f t="shared" si="102"/>
        <v>0</v>
      </c>
      <c r="EI16" s="1232">
        <f t="shared" si="103"/>
        <v>0</v>
      </c>
      <c r="EJ16" s="1232">
        <f t="shared" si="104"/>
        <v>0</v>
      </c>
      <c r="EK16" s="1232">
        <f t="shared" si="105"/>
        <v>0</v>
      </c>
      <c r="EL16" s="1232">
        <f t="shared" si="106"/>
        <v>0</v>
      </c>
      <c r="EM16" s="1232">
        <f t="shared" si="107"/>
        <v>0</v>
      </c>
      <c r="EN16" s="1232">
        <f t="shared" si="108"/>
        <v>0</v>
      </c>
      <c r="EO16" s="1232">
        <f t="shared" si="109"/>
        <v>0</v>
      </c>
      <c r="EP16" s="1232">
        <f t="shared" si="110"/>
        <v>0</v>
      </c>
      <c r="EQ16" s="1232">
        <f t="shared" si="111"/>
        <v>0.875</v>
      </c>
      <c r="ER16" s="1232">
        <f t="shared" si="112"/>
        <v>0.875</v>
      </c>
      <c r="ES16" s="1232">
        <f t="shared" si="113"/>
        <v>0</v>
      </c>
      <c r="ET16" s="1232">
        <f t="shared" si="114"/>
        <v>0</v>
      </c>
      <c r="EU16" s="1232">
        <f t="shared" si="115"/>
        <v>0</v>
      </c>
      <c r="EV16" s="1232">
        <f>SUM(((BP16*0.9)*0.7))</f>
        <v>0</v>
      </c>
      <c r="EW16" s="1232">
        <f t="shared" si="50"/>
        <v>0</v>
      </c>
      <c r="EX16" s="1232">
        <f t="shared" si="43"/>
        <v>175</v>
      </c>
      <c r="EY16" s="1232"/>
      <c r="EZ16" s="1221"/>
      <c r="FA16" s="1232">
        <f t="shared" si="116"/>
        <v>0</v>
      </c>
      <c r="FB16" s="1232">
        <f t="shared" si="117"/>
        <v>0</v>
      </c>
      <c r="FC16" s="1232">
        <f t="shared" si="118"/>
        <v>0</v>
      </c>
      <c r="FD16" s="1232">
        <f t="shared" si="119"/>
        <v>0</v>
      </c>
      <c r="FE16" s="1232">
        <f t="shared" si="120"/>
        <v>0</v>
      </c>
      <c r="FF16" s="1232">
        <f t="shared" si="121"/>
        <v>0</v>
      </c>
      <c r="FG16" s="1232">
        <f t="shared" si="122"/>
        <v>0</v>
      </c>
      <c r="FH16" s="1232">
        <f t="shared" si="123"/>
        <v>0</v>
      </c>
      <c r="FI16" s="1232">
        <f t="shared" si="124"/>
        <v>0</v>
      </c>
      <c r="FJ16" s="1232">
        <f t="shared" si="125"/>
        <v>0</v>
      </c>
      <c r="FK16" s="1232">
        <f t="shared" si="126"/>
        <v>0</v>
      </c>
      <c r="FL16" s="1232">
        <f t="shared" si="127"/>
        <v>0.75</v>
      </c>
      <c r="FM16" s="1232">
        <f t="shared" si="128"/>
        <v>0.75</v>
      </c>
      <c r="FN16" s="1232">
        <f t="shared" si="129"/>
        <v>0</v>
      </c>
      <c r="FO16" s="1232">
        <f t="shared" si="130"/>
        <v>0</v>
      </c>
      <c r="FP16" s="1232">
        <f t="shared" si="131"/>
        <v>0</v>
      </c>
      <c r="FQ16" s="1232">
        <f>SUM(((BP16*0.9)*0.6))</f>
        <v>0</v>
      </c>
      <c r="FR16" s="1232">
        <f t="shared" si="51"/>
        <v>0</v>
      </c>
      <c r="FS16" s="1232">
        <f t="shared" si="46"/>
        <v>150</v>
      </c>
      <c r="FT16" s="1232"/>
      <c r="FU16" s="1232" t="e">
        <f t="shared" si="12"/>
        <v>#VALUE!</v>
      </c>
      <c r="FV16" s="1232" t="e">
        <f t="shared" si="31"/>
        <v>#VALUE!</v>
      </c>
      <c r="FW16" s="1232" t="e">
        <f t="shared" si="13"/>
        <v>#VALUE!</v>
      </c>
      <c r="FX16" s="1232" t="e">
        <f t="shared" si="14"/>
        <v>#VALUE!</v>
      </c>
      <c r="FY16" s="1232" t="e">
        <f t="shared" si="15"/>
        <v>#VALUE!</v>
      </c>
      <c r="FZ16" s="1232" t="e">
        <f t="shared" si="16"/>
        <v>#VALUE!</v>
      </c>
      <c r="GA16" s="1232" t="e">
        <f t="shared" si="17"/>
        <v>#VALUE!</v>
      </c>
      <c r="GB16" s="1232" t="e">
        <f t="shared" si="18"/>
        <v>#VALUE!</v>
      </c>
      <c r="GC16" s="1232" t="e">
        <f t="shared" si="19"/>
        <v>#VALUE!</v>
      </c>
      <c r="GD16" s="1232" t="e">
        <f t="shared" si="20"/>
        <v>#VALUE!</v>
      </c>
      <c r="GE16" s="1232" t="e">
        <f t="shared" si="21"/>
        <v>#VALUE!</v>
      </c>
      <c r="GF16" s="1232" t="e">
        <f t="shared" si="22"/>
        <v>#VALUE!</v>
      </c>
      <c r="GG16" s="1232" t="e">
        <f t="shared" si="23"/>
        <v>#VALUE!</v>
      </c>
      <c r="GH16" s="1232" t="e">
        <f t="shared" si="24"/>
        <v>#VALUE!</v>
      </c>
      <c r="GI16" s="1232" t="e">
        <f t="shared" si="25"/>
        <v>#VALUE!</v>
      </c>
      <c r="GJ16" s="1232" t="e">
        <f t="shared" si="26"/>
        <v>#VALUE!</v>
      </c>
      <c r="GK16" s="1232" t="e">
        <f t="shared" si="27"/>
        <v>#VALUE!</v>
      </c>
      <c r="GL16" s="1232" t="e">
        <f t="shared" si="28"/>
        <v>#VALUE!</v>
      </c>
      <c r="GM16" s="1232" t="e">
        <f t="shared" si="29"/>
        <v>#VALUE!</v>
      </c>
    </row>
    <row r="17" spans="1:195" ht="16.5" customHeight="1">
      <c r="A17" s="1631">
        <v>112</v>
      </c>
      <c r="B17" s="1873" t="s">
        <v>286</v>
      </c>
      <c r="C17" s="1419" t="s">
        <v>287</v>
      </c>
      <c r="D17" s="1420">
        <f>IF(($AC17&lt;10),SUM(((AE17+(ROUNDUP(($AC17*AZ17),2)))/100)),SUM(((AE17+(ROUNDUP(((9*AZ17)+FU17),2)))/100)))</f>
        <v>0.45</v>
      </c>
      <c r="E17" s="1421">
        <f>IF(($AC17&lt;10),SUM(((AF17+(ROUNDUP(($AC17*BA17),2)))/100)),SUM(((AF17+(ROUNDUP(((9*BA17)+FV17),2)))/100)))</f>
        <v>0.45</v>
      </c>
      <c r="F17" s="1422"/>
      <c r="G17" s="1422"/>
      <c r="H17" s="1423"/>
      <c r="I17" s="1422"/>
      <c r="J17" s="1422"/>
      <c r="K17" s="1422"/>
      <c r="L17" s="1422"/>
      <c r="M17" s="1422"/>
      <c r="N17" s="1422"/>
      <c r="O17" s="1422"/>
      <c r="P17" s="1422"/>
      <c r="Q17" s="1395" t="str">
        <f t="shared" ref="Q17:Q25" si="132">AR17</f>
        <v>Area</v>
      </c>
      <c r="R17" s="1424"/>
      <c r="S17" s="1395">
        <f t="shared" ref="S17:S25" si="133">IF((AC17&lt;10),SUM((AT17+(ROUNDUP((AC17*BN17),2)))),SUM((AT17+(ROUNDUP(((9*BN17)+GI17),2)))))</f>
        <v>250</v>
      </c>
      <c r="T17" s="1424">
        <f t="shared" ref="T17:T25" si="134">IF((AC17&lt;10),SUM((AU17+(ROUNDUP((AC17*BO17),2)))),SUM((AU17+(ROUNDUP(((9*BO17)+GJ17),2)))))</f>
        <v>5</v>
      </c>
      <c r="U17" s="1424">
        <f t="shared" ref="U17:U25" si="135">IF((AC17&lt;10),SUM((AV17+(ROUNDUP((AC17*BP17),2)))),SUM((AV17+(ROUNDUP(((9*BP17)+GK17),2)))))</f>
        <v>60</v>
      </c>
      <c r="V17" s="1395">
        <f t="shared" ref="V17:V25" si="136">IF((AC17&lt;10),SUM((AW17+(ROUNDUP((AC17*BQ17),2)))),SUM((AW17+(ROUNDUP(((9*BQ17)+GL17),2)))))</f>
        <v>20</v>
      </c>
      <c r="W17" s="1395">
        <f t="shared" si="0"/>
        <v>2500</v>
      </c>
      <c r="X17" s="1395"/>
      <c r="Y17" s="1395"/>
      <c r="Z17" s="1395"/>
      <c r="AA17" s="1396"/>
      <c r="AB17" s="1256">
        <v>10</v>
      </c>
      <c r="AC17" s="1232">
        <f t="shared" si="30"/>
        <v>0</v>
      </c>
      <c r="AD17" s="1256"/>
      <c r="AE17" s="1397">
        <v>45</v>
      </c>
      <c r="AF17" s="1397">
        <v>45</v>
      </c>
      <c r="AG17" s="1397"/>
      <c r="AH17" s="1397"/>
      <c r="AI17" s="1397"/>
      <c r="AJ17" s="1397"/>
      <c r="AK17" s="1397"/>
      <c r="AL17" s="1397"/>
      <c r="AM17" s="1397"/>
      <c r="AN17" s="1397"/>
      <c r="AO17" s="1397"/>
      <c r="AP17" s="1397"/>
      <c r="AQ17" s="1397"/>
      <c r="AR17" s="1397" t="s">
        <v>284</v>
      </c>
      <c r="AS17" s="1398"/>
      <c r="AT17" s="1397">
        <v>250</v>
      </c>
      <c r="AU17" s="1397">
        <v>5</v>
      </c>
      <c r="AV17" s="1397">
        <v>60</v>
      </c>
      <c r="AW17" s="1397">
        <v>20</v>
      </c>
      <c r="AX17" s="1397">
        <v>2500</v>
      </c>
      <c r="AY17" s="1256"/>
      <c r="AZ17" s="1256">
        <f>SUM((AE17/27))</f>
        <v>1.6666666666666667</v>
      </c>
      <c r="BA17" s="1256">
        <f>SUM((AF17/27))</f>
        <v>1.6666666666666667</v>
      </c>
      <c r="BB17" s="1256"/>
      <c r="BC17" s="1256"/>
      <c r="BD17" s="1256"/>
      <c r="BE17" s="1397"/>
      <c r="BF17" s="1397"/>
      <c r="BG17" s="1256"/>
      <c r="BH17" s="1256"/>
      <c r="BI17" s="1256"/>
      <c r="BJ17" s="1256"/>
      <c r="BK17" s="1256"/>
      <c r="BL17" s="1256"/>
      <c r="BM17" s="1256"/>
      <c r="BN17" s="1256"/>
      <c r="BO17" s="1256"/>
      <c r="BP17" s="1256">
        <f t="shared" ref="BP17:BP25" si="137">SUM((-AV17/18))</f>
        <v>-3.3333333333333335</v>
      </c>
      <c r="BQ17" s="1256"/>
      <c r="BR17" s="1256">
        <f t="shared" si="1"/>
        <v>277.77777777777777</v>
      </c>
      <c r="BS17" s="1256"/>
      <c r="BT17" s="1257"/>
      <c r="BU17" s="1256">
        <f t="shared" si="52"/>
        <v>1.5</v>
      </c>
      <c r="BV17" s="1256">
        <f t="shared" si="53"/>
        <v>1.5</v>
      </c>
      <c r="BW17" s="1256">
        <f t="shared" si="54"/>
        <v>0</v>
      </c>
      <c r="BX17" s="1256">
        <f t="shared" si="55"/>
        <v>0</v>
      </c>
      <c r="BY17" s="1256">
        <f t="shared" si="56"/>
        <v>0</v>
      </c>
      <c r="BZ17" s="1256">
        <f t="shared" si="57"/>
        <v>0</v>
      </c>
      <c r="CA17" s="1256">
        <f t="shared" si="58"/>
        <v>0</v>
      </c>
      <c r="CB17" s="1256">
        <f t="shared" si="59"/>
        <v>0</v>
      </c>
      <c r="CC17" s="1256">
        <f t="shared" si="60"/>
        <v>0</v>
      </c>
      <c r="CD17" s="1256">
        <f t="shared" si="61"/>
        <v>0</v>
      </c>
      <c r="CE17" s="1256">
        <f t="shared" si="62"/>
        <v>0</v>
      </c>
      <c r="CF17" s="1256">
        <f t="shared" si="63"/>
        <v>0</v>
      </c>
      <c r="CG17" s="1256">
        <f t="shared" si="64"/>
        <v>0</v>
      </c>
      <c r="CH17" s="1256">
        <f t="shared" si="65"/>
        <v>0</v>
      </c>
      <c r="CI17" s="1256">
        <f t="shared" si="66"/>
        <v>0</v>
      </c>
      <c r="CJ17" s="1256">
        <f t="shared" si="67"/>
        <v>0</v>
      </c>
      <c r="CK17" s="1399">
        <f>SUM(ROUND((BP17/BT12),2))</f>
        <v>-1.43</v>
      </c>
      <c r="CL17" s="1256">
        <f t="shared" si="47"/>
        <v>0</v>
      </c>
      <c r="CM17" s="1256">
        <f t="shared" si="34"/>
        <v>250</v>
      </c>
      <c r="CN17" s="1256"/>
      <c r="CO17" s="1399">
        <v>2.84</v>
      </c>
      <c r="CP17" s="1256">
        <f t="shared" si="68"/>
        <v>1.35</v>
      </c>
      <c r="CQ17" s="1256">
        <f t="shared" si="69"/>
        <v>1.35</v>
      </c>
      <c r="CR17" s="1256">
        <f t="shared" si="70"/>
        <v>0</v>
      </c>
      <c r="CS17" s="1256">
        <f t="shared" si="71"/>
        <v>0</v>
      </c>
      <c r="CT17" s="1256">
        <f t="shared" si="72"/>
        <v>0</v>
      </c>
      <c r="CU17" s="1256">
        <f t="shared" si="73"/>
        <v>0</v>
      </c>
      <c r="CV17" s="1256">
        <f t="shared" si="74"/>
        <v>0</v>
      </c>
      <c r="CW17" s="1256">
        <f t="shared" si="75"/>
        <v>0</v>
      </c>
      <c r="CX17" s="1256">
        <f t="shared" si="76"/>
        <v>0</v>
      </c>
      <c r="CY17" s="1256">
        <f t="shared" si="77"/>
        <v>0</v>
      </c>
      <c r="CZ17" s="1256">
        <f t="shared" si="78"/>
        <v>0</v>
      </c>
      <c r="DA17" s="1256">
        <f t="shared" si="79"/>
        <v>0</v>
      </c>
      <c r="DB17" s="1256">
        <f t="shared" si="80"/>
        <v>0</v>
      </c>
      <c r="DC17" s="1256">
        <f t="shared" si="81"/>
        <v>0</v>
      </c>
      <c r="DD17" s="1256">
        <f t="shared" si="82"/>
        <v>0</v>
      </c>
      <c r="DE17" s="1256">
        <f t="shared" si="83"/>
        <v>0</v>
      </c>
      <c r="DF17" s="1399">
        <f t="shared" ref="DF17:DF25" si="138">SUM(ROUND((BP17/CO17),2))</f>
        <v>-1.17</v>
      </c>
      <c r="DG17" s="1256">
        <f t="shared" si="48"/>
        <v>0</v>
      </c>
      <c r="DH17" s="1256">
        <f t="shared" si="37"/>
        <v>225</v>
      </c>
      <c r="DI17" s="1256"/>
      <c r="DJ17" s="1399">
        <v>3.45</v>
      </c>
      <c r="DK17" s="1256">
        <f t="shared" si="84"/>
        <v>1.2000000000000002</v>
      </c>
      <c r="DL17" s="1256">
        <f t="shared" si="85"/>
        <v>1.2000000000000002</v>
      </c>
      <c r="DM17" s="1256">
        <f t="shared" si="86"/>
        <v>0</v>
      </c>
      <c r="DN17" s="1256">
        <f t="shared" si="87"/>
        <v>0</v>
      </c>
      <c r="DO17" s="1256">
        <f t="shared" si="88"/>
        <v>0</v>
      </c>
      <c r="DP17" s="1256">
        <f t="shared" si="89"/>
        <v>0</v>
      </c>
      <c r="DQ17" s="1256">
        <f t="shared" si="90"/>
        <v>0</v>
      </c>
      <c r="DR17" s="1256">
        <f t="shared" si="91"/>
        <v>0</v>
      </c>
      <c r="DS17" s="1256">
        <f t="shared" si="92"/>
        <v>0</v>
      </c>
      <c r="DT17" s="1256">
        <f t="shared" si="93"/>
        <v>0</v>
      </c>
      <c r="DU17" s="1256">
        <f t="shared" si="94"/>
        <v>0</v>
      </c>
      <c r="DV17" s="1256">
        <f t="shared" si="95"/>
        <v>0</v>
      </c>
      <c r="DW17" s="1256">
        <f t="shared" si="96"/>
        <v>0</v>
      </c>
      <c r="DX17" s="1256">
        <f t="shared" si="97"/>
        <v>0</v>
      </c>
      <c r="DY17" s="1256">
        <f t="shared" si="98"/>
        <v>0</v>
      </c>
      <c r="DZ17" s="1256">
        <f t="shared" si="99"/>
        <v>0</v>
      </c>
      <c r="EA17" s="1399">
        <f t="shared" ref="EA17:EA25" si="139">SUM(ROUND((BP17/DJ17),2))</f>
        <v>-0.97</v>
      </c>
      <c r="EB17" s="1256">
        <f t="shared" si="49"/>
        <v>0</v>
      </c>
      <c r="EC17" s="1256">
        <f t="shared" si="40"/>
        <v>200</v>
      </c>
      <c r="ED17" s="1256"/>
      <c r="EE17" s="1399">
        <v>4.2300000000000004</v>
      </c>
      <c r="EF17" s="1256">
        <f t="shared" si="100"/>
        <v>1.0499999999999998</v>
      </c>
      <c r="EG17" s="1256">
        <f t="shared" si="101"/>
        <v>1.0499999999999998</v>
      </c>
      <c r="EH17" s="1256">
        <f t="shared" si="102"/>
        <v>0</v>
      </c>
      <c r="EI17" s="1256">
        <f t="shared" si="103"/>
        <v>0</v>
      </c>
      <c r="EJ17" s="1256">
        <f t="shared" si="104"/>
        <v>0</v>
      </c>
      <c r="EK17" s="1256">
        <f t="shared" si="105"/>
        <v>0</v>
      </c>
      <c r="EL17" s="1256">
        <f t="shared" si="106"/>
        <v>0</v>
      </c>
      <c r="EM17" s="1256">
        <f t="shared" si="107"/>
        <v>0</v>
      </c>
      <c r="EN17" s="1256">
        <f t="shared" si="108"/>
        <v>0</v>
      </c>
      <c r="EO17" s="1256">
        <f t="shared" si="109"/>
        <v>0</v>
      </c>
      <c r="EP17" s="1256">
        <f t="shared" si="110"/>
        <v>0</v>
      </c>
      <c r="EQ17" s="1256">
        <f t="shared" si="111"/>
        <v>0</v>
      </c>
      <c r="ER17" s="1256">
        <f t="shared" si="112"/>
        <v>0</v>
      </c>
      <c r="ES17" s="1256">
        <f t="shared" si="113"/>
        <v>0</v>
      </c>
      <c r="ET17" s="1256">
        <f t="shared" si="114"/>
        <v>0</v>
      </c>
      <c r="EU17" s="1256">
        <f t="shared" si="115"/>
        <v>0</v>
      </c>
      <c r="EV17" s="1399">
        <f t="shared" ref="EV17:EV25" si="140">SUM(ROUND((BP17/EE17),2))</f>
        <v>-0.79</v>
      </c>
      <c r="EW17" s="1256">
        <f t="shared" si="50"/>
        <v>0</v>
      </c>
      <c r="EX17" s="1256">
        <f t="shared" si="43"/>
        <v>175</v>
      </c>
      <c r="EY17" s="1256"/>
      <c r="EZ17" s="1399">
        <v>5.2</v>
      </c>
      <c r="FA17" s="1256">
        <f t="shared" si="116"/>
        <v>0.89999999999999991</v>
      </c>
      <c r="FB17" s="1256">
        <f t="shared" si="117"/>
        <v>0.89999999999999991</v>
      </c>
      <c r="FC17" s="1256">
        <f t="shared" si="118"/>
        <v>0</v>
      </c>
      <c r="FD17" s="1256">
        <f t="shared" si="119"/>
        <v>0</v>
      </c>
      <c r="FE17" s="1256">
        <f t="shared" si="120"/>
        <v>0</v>
      </c>
      <c r="FF17" s="1256">
        <f t="shared" si="121"/>
        <v>0</v>
      </c>
      <c r="FG17" s="1256">
        <f t="shared" si="122"/>
        <v>0</v>
      </c>
      <c r="FH17" s="1256">
        <f t="shared" si="123"/>
        <v>0</v>
      </c>
      <c r="FI17" s="1256">
        <f t="shared" si="124"/>
        <v>0</v>
      </c>
      <c r="FJ17" s="1256">
        <f t="shared" si="125"/>
        <v>0</v>
      </c>
      <c r="FK17" s="1256">
        <f t="shared" si="126"/>
        <v>0</v>
      </c>
      <c r="FL17" s="1256">
        <f t="shared" si="127"/>
        <v>0</v>
      </c>
      <c r="FM17" s="1256">
        <f t="shared" si="128"/>
        <v>0</v>
      </c>
      <c r="FN17" s="1256">
        <f t="shared" si="129"/>
        <v>0</v>
      </c>
      <c r="FO17" s="1256">
        <f t="shared" si="130"/>
        <v>0</v>
      </c>
      <c r="FP17" s="1256">
        <f t="shared" si="131"/>
        <v>0</v>
      </c>
      <c r="FQ17" s="1399">
        <f t="shared" ref="FQ17:FQ25" si="141">SUM(ROUND((BP17/EZ17),2))</f>
        <v>-0.64</v>
      </c>
      <c r="FR17" s="1256">
        <f t="shared" si="51"/>
        <v>0</v>
      </c>
      <c r="FS17" s="1256">
        <f t="shared" si="46"/>
        <v>150</v>
      </c>
      <c r="FT17" s="1256"/>
      <c r="FU17" s="1256" t="e">
        <f t="shared" si="12"/>
        <v>#VALUE!</v>
      </c>
      <c r="FV17" s="1256" t="e">
        <f t="shared" si="31"/>
        <v>#VALUE!</v>
      </c>
      <c r="FW17" s="1256" t="e">
        <f t="shared" si="13"/>
        <v>#VALUE!</v>
      </c>
      <c r="FX17" s="1256" t="e">
        <f t="shared" si="14"/>
        <v>#VALUE!</v>
      </c>
      <c r="FY17" s="1256" t="e">
        <f t="shared" si="15"/>
        <v>#VALUE!</v>
      </c>
      <c r="FZ17" s="1256" t="e">
        <f t="shared" si="16"/>
        <v>#VALUE!</v>
      </c>
      <c r="GA17" s="1256" t="e">
        <f t="shared" si="17"/>
        <v>#VALUE!</v>
      </c>
      <c r="GB17" s="1256" t="e">
        <f t="shared" si="18"/>
        <v>#VALUE!</v>
      </c>
      <c r="GC17" s="1256" t="e">
        <f t="shared" si="19"/>
        <v>#VALUE!</v>
      </c>
      <c r="GD17" s="1256" t="e">
        <f t="shared" si="20"/>
        <v>#VALUE!</v>
      </c>
      <c r="GE17" s="1256" t="e">
        <f t="shared" si="21"/>
        <v>#VALUE!</v>
      </c>
      <c r="GF17" s="1256" t="e">
        <f t="shared" si="22"/>
        <v>#VALUE!</v>
      </c>
      <c r="GG17" s="1256" t="e">
        <f t="shared" si="23"/>
        <v>#VALUE!</v>
      </c>
      <c r="GH17" s="1256" t="e">
        <f t="shared" si="24"/>
        <v>#VALUE!</v>
      </c>
      <c r="GI17" s="1256" t="e">
        <f t="shared" si="25"/>
        <v>#VALUE!</v>
      </c>
      <c r="GJ17" s="1256" t="e">
        <f t="shared" si="26"/>
        <v>#VALUE!</v>
      </c>
      <c r="GK17" s="1256" t="e">
        <f t="shared" si="27"/>
        <v>#VALUE!</v>
      </c>
      <c r="GL17" s="1256" t="e">
        <f t="shared" si="28"/>
        <v>#VALUE!</v>
      </c>
      <c r="GM17" s="1256" t="e">
        <f t="shared" si="29"/>
        <v>#VALUE!</v>
      </c>
    </row>
    <row r="18" spans="1:195" ht="16.5" customHeight="1">
      <c r="A18" s="1631">
        <v>113</v>
      </c>
      <c r="B18" s="1873"/>
      <c r="C18" s="1425" t="s">
        <v>288</v>
      </c>
      <c r="D18" s="1426">
        <f>IF(($AC18&lt;10),SUM(((AE18+(ROUNDUP(($AC18*AZ18),2)))/100)),SUM(((AE18+(ROUNDUP(((9*AZ18)+FU18),2)))/100)))</f>
        <v>0.22500000000000001</v>
      </c>
      <c r="E18" s="1427">
        <f>IF(($AC18&lt;10),SUM(((AF18+(ROUNDUP(($AC18*BA18),2)))/100)),SUM(((AF18+(ROUNDUP(((9*BA18)+FV18),2)))/100)))</f>
        <v>0.22500000000000001</v>
      </c>
      <c r="F18" s="1428"/>
      <c r="G18" s="1429"/>
      <c r="H18" s="1430">
        <f>IF(($AC18&lt;10),SUM(((AI18+(ROUNDUP(($AC18*BD18),2)))/100)),SUM(((AI18+(ROUNDUP(((9*BD18)+FY18),2)))/100)))</f>
        <v>0.1125</v>
      </c>
      <c r="I18" s="1428"/>
      <c r="J18" s="1428"/>
      <c r="K18" s="1428"/>
      <c r="L18" s="1428"/>
      <c r="M18" s="1428"/>
      <c r="N18" s="1428"/>
      <c r="O18" s="1428"/>
      <c r="P18" s="1428"/>
      <c r="Q18" s="1400" t="str">
        <f t="shared" si="132"/>
        <v>Area</v>
      </c>
      <c r="R18" s="1431"/>
      <c r="S18" s="1400">
        <f t="shared" si="133"/>
        <v>250</v>
      </c>
      <c r="T18" s="1431">
        <f t="shared" si="134"/>
        <v>5</v>
      </c>
      <c r="U18" s="1431">
        <f t="shared" si="135"/>
        <v>60</v>
      </c>
      <c r="V18" s="1400">
        <f t="shared" si="136"/>
        <v>20</v>
      </c>
      <c r="W18" s="1400">
        <f t="shared" si="0"/>
        <v>2500</v>
      </c>
      <c r="X18" s="1400"/>
      <c r="Y18" s="1400"/>
      <c r="Z18" s="1400"/>
      <c r="AA18" s="1396"/>
      <c r="AB18" s="1256">
        <v>11</v>
      </c>
      <c r="AC18" s="1232">
        <f t="shared" si="30"/>
        <v>0</v>
      </c>
      <c r="AD18" s="1256"/>
      <c r="AE18" s="1397">
        <f>SUM(ROUNDDOWN((AE17/2),2))</f>
        <v>22.5</v>
      </c>
      <c r="AF18" s="1397">
        <f>SUM(ROUNDDOWN((AF17/2),2))</f>
        <v>22.5</v>
      </c>
      <c r="AG18" s="1397"/>
      <c r="AH18" s="1397"/>
      <c r="AI18" s="1397">
        <f>SUM(ROUNDDOWN((AI19/2),2))</f>
        <v>11.25</v>
      </c>
      <c r="AJ18" s="1397"/>
      <c r="AK18" s="1397"/>
      <c r="AL18" s="1397"/>
      <c r="AM18" s="1397"/>
      <c r="AN18" s="1397"/>
      <c r="AO18" s="1397"/>
      <c r="AP18" s="1397"/>
      <c r="AQ18" s="1397"/>
      <c r="AR18" s="1397" t="s">
        <v>284</v>
      </c>
      <c r="AS18" s="1398"/>
      <c r="AT18" s="1397">
        <v>250</v>
      </c>
      <c r="AU18" s="1397">
        <v>5</v>
      </c>
      <c r="AV18" s="1397">
        <v>60</v>
      </c>
      <c r="AW18" s="1397">
        <v>20</v>
      </c>
      <c r="AX18" s="1397">
        <v>2500</v>
      </c>
      <c r="AY18" s="1256"/>
      <c r="AZ18" s="1256">
        <f>SUM((AE18/27))</f>
        <v>0.83333333333333337</v>
      </c>
      <c r="BA18" s="1256">
        <f>SUM((AF18/27))</f>
        <v>0.83333333333333337</v>
      </c>
      <c r="BB18" s="1256"/>
      <c r="BC18" s="1256"/>
      <c r="BD18" s="1256">
        <f>SUM((AI18/27))</f>
        <v>0.41666666666666669</v>
      </c>
      <c r="BE18" s="1397"/>
      <c r="BF18" s="1397"/>
      <c r="BG18" s="1256"/>
      <c r="BH18" s="1256"/>
      <c r="BI18" s="1256"/>
      <c r="BJ18" s="1256"/>
      <c r="BK18" s="1256"/>
      <c r="BL18" s="1256"/>
      <c r="BM18" s="1256"/>
      <c r="BN18" s="1256"/>
      <c r="BO18" s="1256"/>
      <c r="BP18" s="1256">
        <f t="shared" si="137"/>
        <v>-3.3333333333333335</v>
      </c>
      <c r="BQ18" s="1256"/>
      <c r="BR18" s="1256">
        <f t="shared" si="1"/>
        <v>277.77777777777777</v>
      </c>
      <c r="BS18" s="1256"/>
      <c r="BT18" s="1257"/>
      <c r="BU18" s="1256">
        <f t="shared" si="52"/>
        <v>0.75</v>
      </c>
      <c r="BV18" s="1256">
        <f t="shared" si="53"/>
        <v>0.75</v>
      </c>
      <c r="BW18" s="1256">
        <f t="shared" si="54"/>
        <v>0</v>
      </c>
      <c r="BX18" s="1256">
        <f t="shared" si="55"/>
        <v>0</v>
      </c>
      <c r="BY18" s="1256">
        <f t="shared" si="56"/>
        <v>0.375</v>
      </c>
      <c r="BZ18" s="1256">
        <f t="shared" si="57"/>
        <v>0</v>
      </c>
      <c r="CA18" s="1256">
        <f t="shared" si="58"/>
        <v>0</v>
      </c>
      <c r="CB18" s="1256">
        <f t="shared" si="59"/>
        <v>0</v>
      </c>
      <c r="CC18" s="1256">
        <f t="shared" si="60"/>
        <v>0</v>
      </c>
      <c r="CD18" s="1256">
        <f t="shared" si="61"/>
        <v>0</v>
      </c>
      <c r="CE18" s="1256">
        <f t="shared" si="62"/>
        <v>0</v>
      </c>
      <c r="CF18" s="1256">
        <f t="shared" si="63"/>
        <v>0</v>
      </c>
      <c r="CG18" s="1256">
        <f t="shared" si="64"/>
        <v>0</v>
      </c>
      <c r="CH18" s="1256">
        <f t="shared" si="65"/>
        <v>0</v>
      </c>
      <c r="CI18" s="1256">
        <f t="shared" si="66"/>
        <v>0</v>
      </c>
      <c r="CJ18" s="1256">
        <f t="shared" si="67"/>
        <v>0</v>
      </c>
      <c r="CK18" s="1399">
        <f>SUM(ROUND((BP18/BT13),2))</f>
        <v>-1.43</v>
      </c>
      <c r="CL18" s="1256">
        <f t="shared" si="47"/>
        <v>0</v>
      </c>
      <c r="CM18" s="1256">
        <f t="shared" si="34"/>
        <v>250</v>
      </c>
      <c r="CN18" s="1256"/>
      <c r="CO18" s="1399">
        <v>2.84</v>
      </c>
      <c r="CP18" s="1256">
        <f t="shared" si="68"/>
        <v>0.67500000000000004</v>
      </c>
      <c r="CQ18" s="1256">
        <f t="shared" si="69"/>
        <v>0.67500000000000004</v>
      </c>
      <c r="CR18" s="1256">
        <f t="shared" si="70"/>
        <v>0</v>
      </c>
      <c r="CS18" s="1256">
        <f t="shared" si="71"/>
        <v>0</v>
      </c>
      <c r="CT18" s="1256">
        <f t="shared" si="72"/>
        <v>0.33750000000000002</v>
      </c>
      <c r="CU18" s="1256">
        <f t="shared" si="73"/>
        <v>0</v>
      </c>
      <c r="CV18" s="1256">
        <f t="shared" si="74"/>
        <v>0</v>
      </c>
      <c r="CW18" s="1256">
        <f t="shared" si="75"/>
        <v>0</v>
      </c>
      <c r="CX18" s="1256">
        <f t="shared" si="76"/>
        <v>0</v>
      </c>
      <c r="CY18" s="1256">
        <f t="shared" si="77"/>
        <v>0</v>
      </c>
      <c r="CZ18" s="1256">
        <f t="shared" si="78"/>
        <v>0</v>
      </c>
      <c r="DA18" s="1256">
        <f t="shared" si="79"/>
        <v>0</v>
      </c>
      <c r="DB18" s="1256">
        <f t="shared" si="80"/>
        <v>0</v>
      </c>
      <c r="DC18" s="1256">
        <f t="shared" si="81"/>
        <v>0</v>
      </c>
      <c r="DD18" s="1256">
        <f t="shared" si="82"/>
        <v>0</v>
      </c>
      <c r="DE18" s="1256">
        <f t="shared" si="83"/>
        <v>0</v>
      </c>
      <c r="DF18" s="1399">
        <f t="shared" si="138"/>
        <v>-1.17</v>
      </c>
      <c r="DG18" s="1256">
        <f t="shared" si="48"/>
        <v>0</v>
      </c>
      <c r="DH18" s="1256">
        <f t="shared" si="37"/>
        <v>225</v>
      </c>
      <c r="DI18" s="1256"/>
      <c r="DJ18" s="1399">
        <v>3.45</v>
      </c>
      <c r="DK18" s="1256">
        <f t="shared" si="84"/>
        <v>0.60000000000000009</v>
      </c>
      <c r="DL18" s="1256">
        <f t="shared" si="85"/>
        <v>0.60000000000000009</v>
      </c>
      <c r="DM18" s="1256">
        <f t="shared" si="86"/>
        <v>0</v>
      </c>
      <c r="DN18" s="1256">
        <f t="shared" si="87"/>
        <v>0</v>
      </c>
      <c r="DO18" s="1256">
        <f t="shared" si="88"/>
        <v>0.30000000000000004</v>
      </c>
      <c r="DP18" s="1256">
        <f t="shared" si="89"/>
        <v>0</v>
      </c>
      <c r="DQ18" s="1256">
        <f t="shared" si="90"/>
        <v>0</v>
      </c>
      <c r="DR18" s="1256">
        <f t="shared" si="91"/>
        <v>0</v>
      </c>
      <c r="DS18" s="1256">
        <f t="shared" si="92"/>
        <v>0</v>
      </c>
      <c r="DT18" s="1256">
        <f t="shared" si="93"/>
        <v>0</v>
      </c>
      <c r="DU18" s="1256">
        <f t="shared" si="94"/>
        <v>0</v>
      </c>
      <c r="DV18" s="1256">
        <f t="shared" si="95"/>
        <v>0</v>
      </c>
      <c r="DW18" s="1256">
        <f t="shared" si="96"/>
        <v>0</v>
      </c>
      <c r="DX18" s="1256">
        <f t="shared" si="97"/>
        <v>0</v>
      </c>
      <c r="DY18" s="1256">
        <f t="shared" si="98"/>
        <v>0</v>
      </c>
      <c r="DZ18" s="1256">
        <f t="shared" si="99"/>
        <v>0</v>
      </c>
      <c r="EA18" s="1399">
        <f t="shared" si="139"/>
        <v>-0.97</v>
      </c>
      <c r="EB18" s="1256">
        <f t="shared" si="49"/>
        <v>0</v>
      </c>
      <c r="EC18" s="1256">
        <f t="shared" si="40"/>
        <v>200</v>
      </c>
      <c r="ED18" s="1256"/>
      <c r="EE18" s="1399">
        <v>4.2300000000000004</v>
      </c>
      <c r="EF18" s="1256">
        <f t="shared" si="100"/>
        <v>0.52499999999999991</v>
      </c>
      <c r="EG18" s="1256">
        <f t="shared" si="101"/>
        <v>0.52499999999999991</v>
      </c>
      <c r="EH18" s="1256">
        <f t="shared" si="102"/>
        <v>0</v>
      </c>
      <c r="EI18" s="1256">
        <f t="shared" si="103"/>
        <v>0</v>
      </c>
      <c r="EJ18" s="1256">
        <f t="shared" si="104"/>
        <v>0.26249999999999996</v>
      </c>
      <c r="EK18" s="1256">
        <f t="shared" si="105"/>
        <v>0</v>
      </c>
      <c r="EL18" s="1256">
        <f t="shared" si="106"/>
        <v>0</v>
      </c>
      <c r="EM18" s="1256">
        <f t="shared" si="107"/>
        <v>0</v>
      </c>
      <c r="EN18" s="1256">
        <f t="shared" si="108"/>
        <v>0</v>
      </c>
      <c r="EO18" s="1256">
        <f t="shared" si="109"/>
        <v>0</v>
      </c>
      <c r="EP18" s="1256">
        <f t="shared" si="110"/>
        <v>0</v>
      </c>
      <c r="EQ18" s="1256">
        <f t="shared" si="111"/>
        <v>0</v>
      </c>
      <c r="ER18" s="1256">
        <f t="shared" si="112"/>
        <v>0</v>
      </c>
      <c r="ES18" s="1256">
        <f t="shared" si="113"/>
        <v>0</v>
      </c>
      <c r="ET18" s="1256">
        <f t="shared" si="114"/>
        <v>0</v>
      </c>
      <c r="EU18" s="1256">
        <f t="shared" si="115"/>
        <v>0</v>
      </c>
      <c r="EV18" s="1399">
        <f t="shared" si="140"/>
        <v>-0.79</v>
      </c>
      <c r="EW18" s="1256">
        <f t="shared" si="50"/>
        <v>0</v>
      </c>
      <c r="EX18" s="1256">
        <f t="shared" si="43"/>
        <v>175</v>
      </c>
      <c r="EY18" s="1256"/>
      <c r="EZ18" s="1399">
        <v>5.2</v>
      </c>
      <c r="FA18" s="1256">
        <f t="shared" si="116"/>
        <v>0.44999999999999996</v>
      </c>
      <c r="FB18" s="1256">
        <f t="shared" si="117"/>
        <v>0.44999999999999996</v>
      </c>
      <c r="FC18" s="1256">
        <f t="shared" si="118"/>
        <v>0</v>
      </c>
      <c r="FD18" s="1256">
        <f t="shared" si="119"/>
        <v>0</v>
      </c>
      <c r="FE18" s="1256">
        <f t="shared" si="120"/>
        <v>0.22499999999999998</v>
      </c>
      <c r="FF18" s="1256">
        <f t="shared" si="121"/>
        <v>0</v>
      </c>
      <c r="FG18" s="1256">
        <f t="shared" si="122"/>
        <v>0</v>
      </c>
      <c r="FH18" s="1256">
        <f t="shared" si="123"/>
        <v>0</v>
      </c>
      <c r="FI18" s="1256">
        <f t="shared" si="124"/>
        <v>0</v>
      </c>
      <c r="FJ18" s="1256">
        <f t="shared" si="125"/>
        <v>0</v>
      </c>
      <c r="FK18" s="1256">
        <f t="shared" si="126"/>
        <v>0</v>
      </c>
      <c r="FL18" s="1256">
        <f t="shared" si="127"/>
        <v>0</v>
      </c>
      <c r="FM18" s="1256">
        <f t="shared" si="128"/>
        <v>0</v>
      </c>
      <c r="FN18" s="1256">
        <f t="shared" si="129"/>
        <v>0</v>
      </c>
      <c r="FO18" s="1256">
        <f t="shared" si="130"/>
        <v>0</v>
      </c>
      <c r="FP18" s="1256">
        <f t="shared" si="131"/>
        <v>0</v>
      </c>
      <c r="FQ18" s="1399">
        <f t="shared" si="141"/>
        <v>-0.64</v>
      </c>
      <c r="FR18" s="1256">
        <f t="shared" si="51"/>
        <v>0</v>
      </c>
      <c r="FS18" s="1256">
        <f t="shared" si="46"/>
        <v>150</v>
      </c>
      <c r="FT18" s="1256"/>
      <c r="FU18" s="1256" t="e">
        <f t="shared" si="12"/>
        <v>#VALUE!</v>
      </c>
      <c r="FV18" s="1256" t="e">
        <f t="shared" si="31"/>
        <v>#VALUE!</v>
      </c>
      <c r="FW18" s="1256" t="e">
        <f t="shared" si="13"/>
        <v>#VALUE!</v>
      </c>
      <c r="FX18" s="1256" t="e">
        <f t="shared" si="14"/>
        <v>#VALUE!</v>
      </c>
      <c r="FY18" s="1256" t="e">
        <f t="shared" si="15"/>
        <v>#VALUE!</v>
      </c>
      <c r="FZ18" s="1256" t="e">
        <f t="shared" si="16"/>
        <v>#VALUE!</v>
      </c>
      <c r="GA18" s="1256" t="e">
        <f t="shared" si="17"/>
        <v>#VALUE!</v>
      </c>
      <c r="GB18" s="1256" t="e">
        <f t="shared" si="18"/>
        <v>#VALUE!</v>
      </c>
      <c r="GC18" s="1256" t="e">
        <f t="shared" si="19"/>
        <v>#VALUE!</v>
      </c>
      <c r="GD18" s="1256" t="e">
        <f t="shared" si="20"/>
        <v>#VALUE!</v>
      </c>
      <c r="GE18" s="1256" t="e">
        <f t="shared" si="21"/>
        <v>#VALUE!</v>
      </c>
      <c r="GF18" s="1256" t="e">
        <f t="shared" si="22"/>
        <v>#VALUE!</v>
      </c>
      <c r="GG18" s="1256" t="e">
        <f t="shared" si="23"/>
        <v>#VALUE!</v>
      </c>
      <c r="GH18" s="1256" t="e">
        <f t="shared" si="24"/>
        <v>#VALUE!</v>
      </c>
      <c r="GI18" s="1256" t="e">
        <f t="shared" si="25"/>
        <v>#VALUE!</v>
      </c>
      <c r="GJ18" s="1256" t="e">
        <f t="shared" si="26"/>
        <v>#VALUE!</v>
      </c>
      <c r="GK18" s="1256" t="e">
        <f t="shared" si="27"/>
        <v>#VALUE!</v>
      </c>
      <c r="GL18" s="1256" t="e">
        <f t="shared" si="28"/>
        <v>#VALUE!</v>
      </c>
      <c r="GM18" s="1256" t="e">
        <f t="shared" si="29"/>
        <v>#VALUE!</v>
      </c>
    </row>
    <row r="19" spans="1:195" ht="16.5" customHeight="1">
      <c r="A19" s="1631">
        <v>114</v>
      </c>
      <c r="B19" s="1873"/>
      <c r="C19" s="1432" t="s">
        <v>289</v>
      </c>
      <c r="D19" s="1433"/>
      <c r="E19" s="1434"/>
      <c r="F19" s="1434"/>
      <c r="G19" s="1435"/>
      <c r="H19" s="1421">
        <f>IF(($AC19&lt;10),SUM(((AI19+(ROUNDUP(($AC19*BD19),2)))/100)),SUM(((AI19+(ROUNDUP(((9*BD19)+FY19),2)))/100)))</f>
        <v>0.22500000000000001</v>
      </c>
      <c r="I19" s="1434"/>
      <c r="J19" s="1434"/>
      <c r="K19" s="1436"/>
      <c r="L19" s="1436"/>
      <c r="M19" s="1436"/>
      <c r="N19" s="1434"/>
      <c r="O19" s="1434"/>
      <c r="P19" s="1434"/>
      <c r="Q19" s="1401" t="str">
        <f t="shared" si="132"/>
        <v>Area</v>
      </c>
      <c r="R19" s="1437"/>
      <c r="S19" s="1401">
        <f t="shared" si="133"/>
        <v>250</v>
      </c>
      <c r="T19" s="1437">
        <f t="shared" si="134"/>
        <v>5</v>
      </c>
      <c r="U19" s="1437">
        <f t="shared" si="135"/>
        <v>60</v>
      </c>
      <c r="V19" s="1401">
        <f t="shared" si="136"/>
        <v>20</v>
      </c>
      <c r="W19" s="1401">
        <f t="shared" si="0"/>
        <v>2500</v>
      </c>
      <c r="X19" s="1401"/>
      <c r="Y19" s="1401"/>
      <c r="Z19" s="1401"/>
      <c r="AA19" s="1396"/>
      <c r="AB19" s="1256">
        <v>12</v>
      </c>
      <c r="AC19" s="1232">
        <f t="shared" si="30"/>
        <v>0</v>
      </c>
      <c r="AD19" s="1256"/>
      <c r="AE19" s="1397"/>
      <c r="AF19" s="1397"/>
      <c r="AG19" s="1397"/>
      <c r="AH19" s="1397"/>
      <c r="AI19" s="1397">
        <v>22.5</v>
      </c>
      <c r="AJ19" s="1397"/>
      <c r="AK19" s="1397"/>
      <c r="AL19" s="1402"/>
      <c r="AM19" s="1402"/>
      <c r="AN19" s="1402"/>
      <c r="AO19" s="1397"/>
      <c r="AP19" s="1397"/>
      <c r="AQ19" s="1397"/>
      <c r="AR19" s="1397" t="s">
        <v>284</v>
      </c>
      <c r="AS19" s="1398"/>
      <c r="AT19" s="1397">
        <v>250</v>
      </c>
      <c r="AU19" s="1397">
        <v>5</v>
      </c>
      <c r="AV19" s="1397">
        <v>60</v>
      </c>
      <c r="AW19" s="1397">
        <v>20</v>
      </c>
      <c r="AX19" s="1397">
        <v>2500</v>
      </c>
      <c r="AY19" s="1256"/>
      <c r="AZ19" s="1256"/>
      <c r="BA19" s="1256"/>
      <c r="BB19" s="1256"/>
      <c r="BC19" s="1256"/>
      <c r="BD19" s="1256">
        <f>SUM((AI19/27))</f>
        <v>0.83333333333333337</v>
      </c>
      <c r="BE19" s="1397"/>
      <c r="BF19" s="1397"/>
      <c r="BG19" s="1256"/>
      <c r="BH19" s="1256"/>
      <c r="BI19" s="1256"/>
      <c r="BJ19" s="1256"/>
      <c r="BK19" s="1256"/>
      <c r="BL19" s="1256"/>
      <c r="BM19" s="1256"/>
      <c r="BN19" s="1256"/>
      <c r="BO19" s="1256"/>
      <c r="BP19" s="1256">
        <f t="shared" si="137"/>
        <v>-3.3333333333333335</v>
      </c>
      <c r="BQ19" s="1256"/>
      <c r="BR19" s="1256">
        <f t="shared" si="1"/>
        <v>277.77777777777777</v>
      </c>
      <c r="BS19" s="1256"/>
      <c r="BT19" s="1257"/>
      <c r="BU19" s="1256">
        <f t="shared" si="52"/>
        <v>0</v>
      </c>
      <c r="BV19" s="1256">
        <f t="shared" si="53"/>
        <v>0</v>
      </c>
      <c r="BW19" s="1256">
        <f t="shared" si="54"/>
        <v>0</v>
      </c>
      <c r="BX19" s="1256">
        <f t="shared" si="55"/>
        <v>0</v>
      </c>
      <c r="BY19" s="1256">
        <f t="shared" si="56"/>
        <v>0.75</v>
      </c>
      <c r="BZ19" s="1256">
        <f t="shared" si="57"/>
        <v>0</v>
      </c>
      <c r="CA19" s="1256">
        <f t="shared" si="58"/>
        <v>0</v>
      </c>
      <c r="CB19" s="1256">
        <f t="shared" si="59"/>
        <v>0</v>
      </c>
      <c r="CC19" s="1256">
        <f t="shared" si="60"/>
        <v>0</v>
      </c>
      <c r="CD19" s="1256">
        <f t="shared" si="61"/>
        <v>0</v>
      </c>
      <c r="CE19" s="1256">
        <f t="shared" si="62"/>
        <v>0</v>
      </c>
      <c r="CF19" s="1256">
        <f t="shared" si="63"/>
        <v>0</v>
      </c>
      <c r="CG19" s="1256">
        <f t="shared" si="64"/>
        <v>0</v>
      </c>
      <c r="CH19" s="1256">
        <f t="shared" si="65"/>
        <v>0</v>
      </c>
      <c r="CI19" s="1256">
        <f t="shared" si="66"/>
        <v>0</v>
      </c>
      <c r="CJ19" s="1256">
        <f t="shared" si="67"/>
        <v>0</v>
      </c>
      <c r="CK19" s="1399">
        <f>SUM(ROUND((BP19/BT13),2))</f>
        <v>-1.43</v>
      </c>
      <c r="CL19" s="1256">
        <f t="shared" si="47"/>
        <v>0</v>
      </c>
      <c r="CM19" s="1256">
        <f t="shared" si="34"/>
        <v>250</v>
      </c>
      <c r="CN19" s="1256"/>
      <c r="CO19" s="1399">
        <v>2.84</v>
      </c>
      <c r="CP19" s="1256">
        <f t="shared" si="68"/>
        <v>0</v>
      </c>
      <c r="CQ19" s="1256">
        <f t="shared" si="69"/>
        <v>0</v>
      </c>
      <c r="CR19" s="1256">
        <f t="shared" si="70"/>
        <v>0</v>
      </c>
      <c r="CS19" s="1256">
        <f t="shared" si="71"/>
        <v>0</v>
      </c>
      <c r="CT19" s="1256">
        <f t="shared" si="72"/>
        <v>0.67500000000000004</v>
      </c>
      <c r="CU19" s="1256">
        <f t="shared" si="73"/>
        <v>0</v>
      </c>
      <c r="CV19" s="1256">
        <f t="shared" si="74"/>
        <v>0</v>
      </c>
      <c r="CW19" s="1256">
        <f t="shared" si="75"/>
        <v>0</v>
      </c>
      <c r="CX19" s="1256">
        <f t="shared" si="76"/>
        <v>0</v>
      </c>
      <c r="CY19" s="1256">
        <f t="shared" si="77"/>
        <v>0</v>
      </c>
      <c r="CZ19" s="1256">
        <f t="shared" si="78"/>
        <v>0</v>
      </c>
      <c r="DA19" s="1256">
        <f t="shared" si="79"/>
        <v>0</v>
      </c>
      <c r="DB19" s="1256">
        <f t="shared" si="80"/>
        <v>0</v>
      </c>
      <c r="DC19" s="1256">
        <f t="shared" si="81"/>
        <v>0</v>
      </c>
      <c r="DD19" s="1256">
        <f t="shared" si="82"/>
        <v>0</v>
      </c>
      <c r="DE19" s="1256">
        <f t="shared" si="83"/>
        <v>0</v>
      </c>
      <c r="DF19" s="1399">
        <f t="shared" si="138"/>
        <v>-1.17</v>
      </c>
      <c r="DG19" s="1256">
        <f t="shared" si="48"/>
        <v>0</v>
      </c>
      <c r="DH19" s="1256">
        <f t="shared" si="37"/>
        <v>225</v>
      </c>
      <c r="DI19" s="1256"/>
      <c r="DJ19" s="1399">
        <v>3.45</v>
      </c>
      <c r="DK19" s="1256">
        <f t="shared" si="84"/>
        <v>0</v>
      </c>
      <c r="DL19" s="1256">
        <f t="shared" si="85"/>
        <v>0</v>
      </c>
      <c r="DM19" s="1256">
        <f t="shared" si="86"/>
        <v>0</v>
      </c>
      <c r="DN19" s="1256">
        <f t="shared" si="87"/>
        <v>0</v>
      </c>
      <c r="DO19" s="1256">
        <f t="shared" si="88"/>
        <v>0.60000000000000009</v>
      </c>
      <c r="DP19" s="1256">
        <f t="shared" si="89"/>
        <v>0</v>
      </c>
      <c r="DQ19" s="1256">
        <f t="shared" si="90"/>
        <v>0</v>
      </c>
      <c r="DR19" s="1256">
        <f t="shared" si="91"/>
        <v>0</v>
      </c>
      <c r="DS19" s="1256">
        <f t="shared" si="92"/>
        <v>0</v>
      </c>
      <c r="DT19" s="1256">
        <f t="shared" si="93"/>
        <v>0</v>
      </c>
      <c r="DU19" s="1256">
        <f t="shared" si="94"/>
        <v>0</v>
      </c>
      <c r="DV19" s="1256">
        <f t="shared" si="95"/>
        <v>0</v>
      </c>
      <c r="DW19" s="1256">
        <f t="shared" si="96"/>
        <v>0</v>
      </c>
      <c r="DX19" s="1256">
        <f t="shared" si="97"/>
        <v>0</v>
      </c>
      <c r="DY19" s="1256">
        <f t="shared" si="98"/>
        <v>0</v>
      </c>
      <c r="DZ19" s="1256">
        <f t="shared" si="99"/>
        <v>0</v>
      </c>
      <c r="EA19" s="1399">
        <f t="shared" si="139"/>
        <v>-0.97</v>
      </c>
      <c r="EB19" s="1256">
        <f t="shared" si="49"/>
        <v>0</v>
      </c>
      <c r="EC19" s="1256">
        <f t="shared" si="40"/>
        <v>200</v>
      </c>
      <c r="ED19" s="1256"/>
      <c r="EE19" s="1399">
        <v>4.2300000000000004</v>
      </c>
      <c r="EF19" s="1256">
        <f t="shared" si="100"/>
        <v>0</v>
      </c>
      <c r="EG19" s="1256">
        <f t="shared" si="101"/>
        <v>0</v>
      </c>
      <c r="EH19" s="1256">
        <f t="shared" si="102"/>
        <v>0</v>
      </c>
      <c r="EI19" s="1256">
        <f t="shared" si="103"/>
        <v>0</v>
      </c>
      <c r="EJ19" s="1256">
        <f t="shared" si="104"/>
        <v>0.52499999999999991</v>
      </c>
      <c r="EK19" s="1256">
        <f t="shared" si="105"/>
        <v>0</v>
      </c>
      <c r="EL19" s="1256">
        <f t="shared" si="106"/>
        <v>0</v>
      </c>
      <c r="EM19" s="1256">
        <f t="shared" si="107"/>
        <v>0</v>
      </c>
      <c r="EN19" s="1256">
        <f t="shared" si="108"/>
        <v>0</v>
      </c>
      <c r="EO19" s="1256">
        <f t="shared" si="109"/>
        <v>0</v>
      </c>
      <c r="EP19" s="1256">
        <f t="shared" si="110"/>
        <v>0</v>
      </c>
      <c r="EQ19" s="1256">
        <f t="shared" si="111"/>
        <v>0</v>
      </c>
      <c r="ER19" s="1256">
        <f t="shared" si="112"/>
        <v>0</v>
      </c>
      <c r="ES19" s="1256">
        <f t="shared" si="113"/>
        <v>0</v>
      </c>
      <c r="ET19" s="1256">
        <f t="shared" si="114"/>
        <v>0</v>
      </c>
      <c r="EU19" s="1256">
        <f t="shared" si="115"/>
        <v>0</v>
      </c>
      <c r="EV19" s="1399">
        <f t="shared" si="140"/>
        <v>-0.79</v>
      </c>
      <c r="EW19" s="1256">
        <f t="shared" si="50"/>
        <v>0</v>
      </c>
      <c r="EX19" s="1256">
        <f t="shared" si="43"/>
        <v>175</v>
      </c>
      <c r="EY19" s="1256"/>
      <c r="EZ19" s="1399">
        <v>5.2</v>
      </c>
      <c r="FA19" s="1256">
        <f t="shared" si="116"/>
        <v>0</v>
      </c>
      <c r="FB19" s="1256">
        <f t="shared" si="117"/>
        <v>0</v>
      </c>
      <c r="FC19" s="1256">
        <f t="shared" si="118"/>
        <v>0</v>
      </c>
      <c r="FD19" s="1256">
        <f t="shared" si="119"/>
        <v>0</v>
      </c>
      <c r="FE19" s="1256">
        <f t="shared" si="120"/>
        <v>0.44999999999999996</v>
      </c>
      <c r="FF19" s="1256">
        <f t="shared" si="121"/>
        <v>0</v>
      </c>
      <c r="FG19" s="1256">
        <f t="shared" si="122"/>
        <v>0</v>
      </c>
      <c r="FH19" s="1256">
        <f t="shared" si="123"/>
        <v>0</v>
      </c>
      <c r="FI19" s="1256">
        <f t="shared" si="124"/>
        <v>0</v>
      </c>
      <c r="FJ19" s="1256">
        <f t="shared" si="125"/>
        <v>0</v>
      </c>
      <c r="FK19" s="1256">
        <f t="shared" si="126"/>
        <v>0</v>
      </c>
      <c r="FL19" s="1256">
        <f t="shared" si="127"/>
        <v>0</v>
      </c>
      <c r="FM19" s="1256">
        <f t="shared" si="128"/>
        <v>0</v>
      </c>
      <c r="FN19" s="1256">
        <f t="shared" si="129"/>
        <v>0</v>
      </c>
      <c r="FO19" s="1256">
        <f t="shared" si="130"/>
        <v>0</v>
      </c>
      <c r="FP19" s="1256">
        <f t="shared" si="131"/>
        <v>0</v>
      </c>
      <c r="FQ19" s="1399">
        <f t="shared" si="141"/>
        <v>-0.64</v>
      </c>
      <c r="FR19" s="1256">
        <f t="shared" si="51"/>
        <v>0</v>
      </c>
      <c r="FS19" s="1256">
        <f t="shared" si="46"/>
        <v>150</v>
      </c>
      <c r="FT19" s="1256"/>
      <c r="FU19" s="1256" t="e">
        <f t="shared" si="12"/>
        <v>#VALUE!</v>
      </c>
      <c r="FV19" s="1256" t="e">
        <f t="shared" si="31"/>
        <v>#VALUE!</v>
      </c>
      <c r="FW19" s="1256" t="e">
        <f t="shared" si="13"/>
        <v>#VALUE!</v>
      </c>
      <c r="FX19" s="1256" t="e">
        <f t="shared" si="14"/>
        <v>#VALUE!</v>
      </c>
      <c r="FY19" s="1256" t="e">
        <f t="shared" si="15"/>
        <v>#VALUE!</v>
      </c>
      <c r="FZ19" s="1256" t="e">
        <f t="shared" si="16"/>
        <v>#VALUE!</v>
      </c>
      <c r="GA19" s="1256" t="e">
        <f t="shared" si="17"/>
        <v>#VALUE!</v>
      </c>
      <c r="GB19" s="1256" t="e">
        <f t="shared" si="18"/>
        <v>#VALUE!</v>
      </c>
      <c r="GC19" s="1256" t="e">
        <f t="shared" si="19"/>
        <v>#VALUE!</v>
      </c>
      <c r="GD19" s="1256" t="e">
        <f t="shared" si="20"/>
        <v>#VALUE!</v>
      </c>
      <c r="GE19" s="1256" t="e">
        <f t="shared" si="21"/>
        <v>#VALUE!</v>
      </c>
      <c r="GF19" s="1256" t="e">
        <f t="shared" si="22"/>
        <v>#VALUE!</v>
      </c>
      <c r="GG19" s="1256" t="e">
        <f t="shared" si="23"/>
        <v>#VALUE!</v>
      </c>
      <c r="GH19" s="1256" t="e">
        <f t="shared" si="24"/>
        <v>#VALUE!</v>
      </c>
      <c r="GI19" s="1256" t="e">
        <f t="shared" si="25"/>
        <v>#VALUE!</v>
      </c>
      <c r="GJ19" s="1256" t="e">
        <f t="shared" si="26"/>
        <v>#VALUE!</v>
      </c>
      <c r="GK19" s="1256" t="e">
        <f t="shared" si="27"/>
        <v>#VALUE!</v>
      </c>
      <c r="GL19" s="1256" t="e">
        <f t="shared" si="28"/>
        <v>#VALUE!</v>
      </c>
      <c r="GM19" s="1256" t="e">
        <f t="shared" si="29"/>
        <v>#VALUE!</v>
      </c>
    </row>
    <row r="20" spans="1:195" ht="16.5" customHeight="1">
      <c r="A20" s="1631">
        <v>115</v>
      </c>
      <c r="B20" s="1873"/>
      <c r="C20" s="1425" t="s">
        <v>290</v>
      </c>
      <c r="D20" s="1438"/>
      <c r="E20" s="1428"/>
      <c r="F20" s="1428"/>
      <c r="G20" s="1428"/>
      <c r="H20" s="1439"/>
      <c r="I20" s="1428"/>
      <c r="J20" s="1429"/>
      <c r="K20" s="1426">
        <f>IF(($AC20&lt;10),SUM(((AL20+(ROUNDUP(($AC20*BG20),2)))/100)),SUM(((AL20+(ROUNDUP(((9*BG20)+GB20),2)))/100)))</f>
        <v>0.45</v>
      </c>
      <c r="L20" s="1426">
        <f>IF(($AC20&lt;10),SUM(((AM20+(ROUNDUP(($AC20*BH20),2)))/100)),SUM(((AM20+(ROUNDUP(((9*BH20)+GC20),2)))/100)))</f>
        <v>0.22500000000000001</v>
      </c>
      <c r="M20" s="1427">
        <f>IF(($AC20&lt;10),SUM(((AN20+(ROUNDUP(($AC20*BI20),2)))/100)),SUM(((AN20+(ROUNDUP(((9*BI20)+GD20),2)))/100)))</f>
        <v>0.45</v>
      </c>
      <c r="N20" s="1440"/>
      <c r="O20" s="1440"/>
      <c r="P20" s="1440"/>
      <c r="Q20" s="1400" t="str">
        <f t="shared" si="132"/>
        <v>Area</v>
      </c>
      <c r="R20" s="1431"/>
      <c r="S20" s="1400">
        <f t="shared" si="133"/>
        <v>250</v>
      </c>
      <c r="T20" s="1431">
        <f t="shared" si="134"/>
        <v>5</v>
      </c>
      <c r="U20" s="1431">
        <f t="shared" si="135"/>
        <v>60</v>
      </c>
      <c r="V20" s="1400">
        <f t="shared" si="136"/>
        <v>20</v>
      </c>
      <c r="W20" s="1400">
        <f t="shared" si="0"/>
        <v>2500</v>
      </c>
      <c r="X20" s="1400"/>
      <c r="Y20" s="1400"/>
      <c r="Z20" s="1400"/>
      <c r="AA20" s="1396"/>
      <c r="AB20" s="1256">
        <v>13</v>
      </c>
      <c r="AC20" s="1232">
        <f t="shared" si="30"/>
        <v>0</v>
      </c>
      <c r="AD20" s="1256"/>
      <c r="AE20" s="1397"/>
      <c r="AF20" s="1397"/>
      <c r="AG20" s="1397"/>
      <c r="AH20" s="1397"/>
      <c r="AI20" s="1397"/>
      <c r="AJ20" s="1397"/>
      <c r="AK20" s="1397"/>
      <c r="AL20" s="1402">
        <v>45</v>
      </c>
      <c r="AM20" s="1402">
        <v>22.5</v>
      </c>
      <c r="AN20" s="1402">
        <v>45</v>
      </c>
      <c r="AO20" s="1397"/>
      <c r="AP20" s="1397"/>
      <c r="AQ20" s="1397"/>
      <c r="AR20" s="1397" t="s">
        <v>284</v>
      </c>
      <c r="AS20" s="1398"/>
      <c r="AT20" s="1397">
        <v>250</v>
      </c>
      <c r="AU20" s="1397">
        <v>5</v>
      </c>
      <c r="AV20" s="1397">
        <v>60</v>
      </c>
      <c r="AW20" s="1397">
        <v>20</v>
      </c>
      <c r="AX20" s="1397">
        <v>2500</v>
      </c>
      <c r="AY20" s="1256"/>
      <c r="AZ20" s="1256"/>
      <c r="BA20" s="1256"/>
      <c r="BB20" s="1256"/>
      <c r="BC20" s="1256"/>
      <c r="BD20" s="1256"/>
      <c r="BE20" s="1397"/>
      <c r="BF20" s="1397"/>
      <c r="BG20" s="1256">
        <f>SUM((AL20/27))</f>
        <v>1.6666666666666667</v>
      </c>
      <c r="BH20" s="1256">
        <f>SUM((AM20/27))</f>
        <v>0.83333333333333337</v>
      </c>
      <c r="BI20" s="1256">
        <f>SUM((AN20/27))</f>
        <v>1.6666666666666667</v>
      </c>
      <c r="BJ20" s="1256"/>
      <c r="BK20" s="1256"/>
      <c r="BL20" s="1256"/>
      <c r="BM20" s="1256"/>
      <c r="BN20" s="1256"/>
      <c r="BO20" s="1256"/>
      <c r="BP20" s="1256">
        <f t="shared" si="137"/>
        <v>-3.3333333333333335</v>
      </c>
      <c r="BQ20" s="1256"/>
      <c r="BR20" s="1256">
        <f t="shared" si="1"/>
        <v>277.77777777777777</v>
      </c>
      <c r="BS20" s="1256"/>
      <c r="BT20" s="1399">
        <v>2.33</v>
      </c>
      <c r="BU20" s="1256">
        <f t="shared" si="52"/>
        <v>0</v>
      </c>
      <c r="BV20" s="1256">
        <f t="shared" si="53"/>
        <v>0</v>
      </c>
      <c r="BW20" s="1256">
        <f t="shared" si="54"/>
        <v>0</v>
      </c>
      <c r="BX20" s="1256">
        <f t="shared" si="55"/>
        <v>0</v>
      </c>
      <c r="BY20" s="1256">
        <f t="shared" si="56"/>
        <v>0</v>
      </c>
      <c r="BZ20" s="1256">
        <f t="shared" si="57"/>
        <v>0</v>
      </c>
      <c r="CA20" s="1256">
        <f t="shared" si="58"/>
        <v>0</v>
      </c>
      <c r="CB20" s="1256">
        <f t="shared" si="59"/>
        <v>1.5</v>
      </c>
      <c r="CC20" s="1256">
        <f t="shared" si="60"/>
        <v>0.75</v>
      </c>
      <c r="CD20" s="1256">
        <f t="shared" si="61"/>
        <v>1.5</v>
      </c>
      <c r="CE20" s="1256">
        <f t="shared" si="62"/>
        <v>0</v>
      </c>
      <c r="CF20" s="1256">
        <f t="shared" si="63"/>
        <v>0</v>
      </c>
      <c r="CG20" s="1256">
        <f t="shared" si="64"/>
        <v>0</v>
      </c>
      <c r="CH20" s="1256">
        <f t="shared" si="65"/>
        <v>0</v>
      </c>
      <c r="CI20" s="1256">
        <f t="shared" si="66"/>
        <v>0</v>
      </c>
      <c r="CJ20" s="1256">
        <f t="shared" si="67"/>
        <v>0</v>
      </c>
      <c r="CK20" s="1399">
        <f t="shared" ref="CK20:CK25" si="142">SUM(ROUND((BP20/BT20),2))</f>
        <v>-1.43</v>
      </c>
      <c r="CL20" s="1256">
        <f t="shared" si="47"/>
        <v>0</v>
      </c>
      <c r="CM20" s="1256">
        <f t="shared" si="34"/>
        <v>250</v>
      </c>
      <c r="CN20" s="1256"/>
      <c r="CO20" s="1399">
        <v>2.84</v>
      </c>
      <c r="CP20" s="1256">
        <f t="shared" si="68"/>
        <v>0</v>
      </c>
      <c r="CQ20" s="1256">
        <f t="shared" si="69"/>
        <v>0</v>
      </c>
      <c r="CR20" s="1256">
        <f t="shared" si="70"/>
        <v>0</v>
      </c>
      <c r="CS20" s="1256">
        <f t="shared" si="71"/>
        <v>0</v>
      </c>
      <c r="CT20" s="1256">
        <f t="shared" si="72"/>
        <v>0</v>
      </c>
      <c r="CU20" s="1256">
        <f t="shared" si="73"/>
        <v>0</v>
      </c>
      <c r="CV20" s="1256">
        <f t="shared" si="74"/>
        <v>0</v>
      </c>
      <c r="CW20" s="1256">
        <f t="shared" si="75"/>
        <v>1.35</v>
      </c>
      <c r="CX20" s="1256">
        <f t="shared" si="76"/>
        <v>0.67500000000000004</v>
      </c>
      <c r="CY20" s="1256">
        <f t="shared" si="77"/>
        <v>1.35</v>
      </c>
      <c r="CZ20" s="1256">
        <f t="shared" si="78"/>
        <v>0</v>
      </c>
      <c r="DA20" s="1256">
        <f t="shared" si="79"/>
        <v>0</v>
      </c>
      <c r="DB20" s="1256">
        <f t="shared" si="80"/>
        <v>0</v>
      </c>
      <c r="DC20" s="1256">
        <f t="shared" si="81"/>
        <v>0</v>
      </c>
      <c r="DD20" s="1256">
        <f t="shared" si="82"/>
        <v>0</v>
      </c>
      <c r="DE20" s="1256">
        <f t="shared" si="83"/>
        <v>0</v>
      </c>
      <c r="DF20" s="1399">
        <f t="shared" si="138"/>
        <v>-1.17</v>
      </c>
      <c r="DG20" s="1256">
        <f t="shared" si="48"/>
        <v>0</v>
      </c>
      <c r="DH20" s="1256">
        <f t="shared" si="37"/>
        <v>225</v>
      </c>
      <c r="DI20" s="1256"/>
      <c r="DJ20" s="1399">
        <v>3.45</v>
      </c>
      <c r="DK20" s="1256">
        <f t="shared" si="84"/>
        <v>0</v>
      </c>
      <c r="DL20" s="1256">
        <f t="shared" si="85"/>
        <v>0</v>
      </c>
      <c r="DM20" s="1256">
        <f t="shared" si="86"/>
        <v>0</v>
      </c>
      <c r="DN20" s="1256">
        <f t="shared" si="87"/>
        <v>0</v>
      </c>
      <c r="DO20" s="1256">
        <f t="shared" si="88"/>
        <v>0</v>
      </c>
      <c r="DP20" s="1256">
        <f t="shared" si="89"/>
        <v>0</v>
      </c>
      <c r="DQ20" s="1256">
        <f t="shared" si="90"/>
        <v>0</v>
      </c>
      <c r="DR20" s="1256">
        <f t="shared" si="91"/>
        <v>1.2000000000000002</v>
      </c>
      <c r="DS20" s="1256">
        <f t="shared" si="92"/>
        <v>0.60000000000000009</v>
      </c>
      <c r="DT20" s="1256">
        <f t="shared" si="93"/>
        <v>1.2000000000000002</v>
      </c>
      <c r="DU20" s="1256">
        <f t="shared" si="94"/>
        <v>0</v>
      </c>
      <c r="DV20" s="1256">
        <f t="shared" si="95"/>
        <v>0</v>
      </c>
      <c r="DW20" s="1256">
        <f t="shared" si="96"/>
        <v>0</v>
      </c>
      <c r="DX20" s="1256">
        <f t="shared" si="97"/>
        <v>0</v>
      </c>
      <c r="DY20" s="1256">
        <f t="shared" si="98"/>
        <v>0</v>
      </c>
      <c r="DZ20" s="1256">
        <f t="shared" si="99"/>
        <v>0</v>
      </c>
      <c r="EA20" s="1399">
        <f t="shared" si="139"/>
        <v>-0.97</v>
      </c>
      <c r="EB20" s="1256">
        <f t="shared" si="49"/>
        <v>0</v>
      </c>
      <c r="EC20" s="1256">
        <f t="shared" si="40"/>
        <v>200</v>
      </c>
      <c r="ED20" s="1256"/>
      <c r="EE20" s="1399">
        <v>4.2300000000000004</v>
      </c>
      <c r="EF20" s="1256">
        <f t="shared" si="100"/>
        <v>0</v>
      </c>
      <c r="EG20" s="1256">
        <f t="shared" si="101"/>
        <v>0</v>
      </c>
      <c r="EH20" s="1256">
        <f t="shared" si="102"/>
        <v>0</v>
      </c>
      <c r="EI20" s="1256">
        <f t="shared" si="103"/>
        <v>0</v>
      </c>
      <c r="EJ20" s="1256">
        <f t="shared" si="104"/>
        <v>0</v>
      </c>
      <c r="EK20" s="1256">
        <f t="shared" si="105"/>
        <v>0</v>
      </c>
      <c r="EL20" s="1256">
        <f t="shared" si="106"/>
        <v>0</v>
      </c>
      <c r="EM20" s="1256">
        <f t="shared" si="107"/>
        <v>1.0499999999999998</v>
      </c>
      <c r="EN20" s="1256">
        <f t="shared" si="108"/>
        <v>0.52499999999999991</v>
      </c>
      <c r="EO20" s="1256">
        <f t="shared" si="109"/>
        <v>1.0499999999999998</v>
      </c>
      <c r="EP20" s="1256">
        <f t="shared" si="110"/>
        <v>0</v>
      </c>
      <c r="EQ20" s="1256">
        <f t="shared" si="111"/>
        <v>0</v>
      </c>
      <c r="ER20" s="1256">
        <f t="shared" si="112"/>
        <v>0</v>
      </c>
      <c r="ES20" s="1256">
        <f t="shared" si="113"/>
        <v>0</v>
      </c>
      <c r="ET20" s="1256">
        <f t="shared" si="114"/>
        <v>0</v>
      </c>
      <c r="EU20" s="1256">
        <f t="shared" si="115"/>
        <v>0</v>
      </c>
      <c r="EV20" s="1399">
        <f t="shared" si="140"/>
        <v>-0.79</v>
      </c>
      <c r="EW20" s="1256">
        <f t="shared" si="50"/>
        <v>0</v>
      </c>
      <c r="EX20" s="1256">
        <f t="shared" si="43"/>
        <v>175</v>
      </c>
      <c r="EY20" s="1256"/>
      <c r="EZ20" s="1399">
        <v>5.2</v>
      </c>
      <c r="FA20" s="1256">
        <f t="shared" si="116"/>
        <v>0</v>
      </c>
      <c r="FB20" s="1256">
        <f t="shared" si="117"/>
        <v>0</v>
      </c>
      <c r="FC20" s="1256">
        <f t="shared" si="118"/>
        <v>0</v>
      </c>
      <c r="FD20" s="1256">
        <f t="shared" si="119"/>
        <v>0</v>
      </c>
      <c r="FE20" s="1256">
        <f t="shared" si="120"/>
        <v>0</v>
      </c>
      <c r="FF20" s="1256">
        <f t="shared" si="121"/>
        <v>0</v>
      </c>
      <c r="FG20" s="1256">
        <f t="shared" si="122"/>
        <v>0</v>
      </c>
      <c r="FH20" s="1256">
        <f t="shared" si="123"/>
        <v>0.89999999999999991</v>
      </c>
      <c r="FI20" s="1256">
        <f t="shared" si="124"/>
        <v>0.44999999999999996</v>
      </c>
      <c r="FJ20" s="1256">
        <f t="shared" si="125"/>
        <v>0.89999999999999991</v>
      </c>
      <c r="FK20" s="1256">
        <f t="shared" si="126"/>
        <v>0</v>
      </c>
      <c r="FL20" s="1256">
        <f t="shared" si="127"/>
        <v>0</v>
      </c>
      <c r="FM20" s="1256">
        <f t="shared" si="128"/>
        <v>0</v>
      </c>
      <c r="FN20" s="1256">
        <f t="shared" si="129"/>
        <v>0</v>
      </c>
      <c r="FO20" s="1256">
        <f t="shared" si="130"/>
        <v>0</v>
      </c>
      <c r="FP20" s="1256">
        <f t="shared" si="131"/>
        <v>0</v>
      </c>
      <c r="FQ20" s="1399">
        <f t="shared" si="141"/>
        <v>-0.64</v>
      </c>
      <c r="FR20" s="1256">
        <f t="shared" si="51"/>
        <v>0</v>
      </c>
      <c r="FS20" s="1256">
        <f t="shared" si="46"/>
        <v>150</v>
      </c>
      <c r="FT20" s="1256"/>
      <c r="FU20" s="1256" t="e">
        <f t="shared" si="12"/>
        <v>#VALUE!</v>
      </c>
      <c r="FV20" s="1256" t="e">
        <f t="shared" si="31"/>
        <v>#VALUE!</v>
      </c>
      <c r="FW20" s="1256" t="e">
        <f t="shared" si="13"/>
        <v>#VALUE!</v>
      </c>
      <c r="FX20" s="1256" t="e">
        <f t="shared" si="14"/>
        <v>#VALUE!</v>
      </c>
      <c r="FY20" s="1256" t="e">
        <f t="shared" si="15"/>
        <v>#VALUE!</v>
      </c>
      <c r="FZ20" s="1256" t="e">
        <f t="shared" si="16"/>
        <v>#VALUE!</v>
      </c>
      <c r="GA20" s="1256" t="e">
        <f t="shared" si="17"/>
        <v>#VALUE!</v>
      </c>
      <c r="GB20" s="1256" t="e">
        <f t="shared" si="18"/>
        <v>#VALUE!</v>
      </c>
      <c r="GC20" s="1256" t="e">
        <f t="shared" si="19"/>
        <v>#VALUE!</v>
      </c>
      <c r="GD20" s="1256" t="e">
        <f t="shared" si="20"/>
        <v>#VALUE!</v>
      </c>
      <c r="GE20" s="1256" t="e">
        <f t="shared" si="21"/>
        <v>#VALUE!</v>
      </c>
      <c r="GF20" s="1256" t="e">
        <f t="shared" si="22"/>
        <v>#VALUE!</v>
      </c>
      <c r="GG20" s="1256" t="e">
        <f t="shared" si="23"/>
        <v>#VALUE!</v>
      </c>
      <c r="GH20" s="1256" t="e">
        <f t="shared" si="24"/>
        <v>#VALUE!</v>
      </c>
      <c r="GI20" s="1256" t="e">
        <f t="shared" si="25"/>
        <v>#VALUE!</v>
      </c>
      <c r="GJ20" s="1256" t="e">
        <f t="shared" si="26"/>
        <v>#VALUE!</v>
      </c>
      <c r="GK20" s="1256" t="e">
        <f t="shared" si="27"/>
        <v>#VALUE!</v>
      </c>
      <c r="GL20" s="1256" t="e">
        <f t="shared" si="28"/>
        <v>#VALUE!</v>
      </c>
      <c r="GM20" s="1256" t="e">
        <f t="shared" si="29"/>
        <v>#VALUE!</v>
      </c>
    </row>
    <row r="21" spans="1:195" ht="16.5" customHeight="1">
      <c r="A21" s="1631">
        <v>116</v>
      </c>
      <c r="B21" s="1873"/>
      <c r="C21" s="1441" t="s">
        <v>291</v>
      </c>
      <c r="D21" s="1442"/>
      <c r="E21" s="1436"/>
      <c r="F21" s="1436"/>
      <c r="G21" s="1436"/>
      <c r="H21" s="1436"/>
      <c r="I21" s="1436"/>
      <c r="J21" s="1436"/>
      <c r="K21" s="1436"/>
      <c r="L21" s="1436"/>
      <c r="M21" s="1443"/>
      <c r="N21" s="1420">
        <f>IF(($AC21&lt;10),SUM(((AO21+(ROUNDUP(($AC21*BJ21),2)))/100)),SUM(((AO21+(ROUNDUP(((9*BJ21)+GE21),2)))/100)))</f>
        <v>0.45</v>
      </c>
      <c r="O21" s="1420">
        <f>IF(($AC21&lt;10),SUM(((AP21+(ROUNDUP(($AC21*BK21),2)))/100)),SUM(((AP21+(ROUNDUP(((9*BK21)+GF21),2)))/100)))</f>
        <v>0.45</v>
      </c>
      <c r="P21" s="1421">
        <f>IF(($AC21&lt;10),SUM(((AQ21+(ROUNDUP(($AC21*BL21),2)))/100)),SUM(((AQ21+(ROUNDUP(((9*BL21)+GG21),2)))/100)))</f>
        <v>0.45</v>
      </c>
      <c r="Q21" s="1403" t="str">
        <f t="shared" si="132"/>
        <v>Area</v>
      </c>
      <c r="R21" s="1444"/>
      <c r="S21" s="1403">
        <f t="shared" si="133"/>
        <v>250</v>
      </c>
      <c r="T21" s="1444">
        <f t="shared" si="134"/>
        <v>5</v>
      </c>
      <c r="U21" s="1444">
        <f t="shared" si="135"/>
        <v>60</v>
      </c>
      <c r="V21" s="1403">
        <f t="shared" si="136"/>
        <v>20</v>
      </c>
      <c r="W21" s="1403">
        <f t="shared" si="0"/>
        <v>2500</v>
      </c>
      <c r="X21" s="1403"/>
      <c r="Y21" s="1403"/>
      <c r="Z21" s="1403"/>
      <c r="AA21" s="1396"/>
      <c r="AB21" s="1256">
        <v>14</v>
      </c>
      <c r="AC21" s="1232">
        <f t="shared" si="30"/>
        <v>0</v>
      </c>
      <c r="AD21" s="1256"/>
      <c r="AE21" s="1397"/>
      <c r="AF21" s="1397"/>
      <c r="AG21" s="1397"/>
      <c r="AH21" s="1397"/>
      <c r="AI21" s="1397"/>
      <c r="AJ21" s="1397"/>
      <c r="AK21" s="1397"/>
      <c r="AL21" s="1397"/>
      <c r="AM21" s="1397"/>
      <c r="AN21" s="1397"/>
      <c r="AO21" s="1397">
        <v>45</v>
      </c>
      <c r="AP21" s="1397">
        <v>45</v>
      </c>
      <c r="AQ21" s="1397">
        <v>45</v>
      </c>
      <c r="AR21" s="1397" t="s">
        <v>284</v>
      </c>
      <c r="AS21" s="1398"/>
      <c r="AT21" s="1397">
        <v>250</v>
      </c>
      <c r="AU21" s="1397">
        <v>5</v>
      </c>
      <c r="AV21" s="1397">
        <v>60</v>
      </c>
      <c r="AW21" s="1397">
        <v>20</v>
      </c>
      <c r="AX21" s="1397">
        <v>2500</v>
      </c>
      <c r="AY21" s="1256"/>
      <c r="AZ21" s="1256"/>
      <c r="BA21" s="1256"/>
      <c r="BB21" s="1256"/>
      <c r="BC21" s="1256"/>
      <c r="BD21" s="1256"/>
      <c r="BE21" s="1397"/>
      <c r="BF21" s="1397"/>
      <c r="BG21" s="1256"/>
      <c r="BH21" s="1256"/>
      <c r="BI21" s="1256"/>
      <c r="BJ21" s="1256">
        <f>SUM((AO21/27))</f>
        <v>1.6666666666666667</v>
      </c>
      <c r="BK21" s="1256">
        <f>SUM((AP21/27))</f>
        <v>1.6666666666666667</v>
      </c>
      <c r="BL21" s="1256">
        <f>SUM((AQ21/27))</f>
        <v>1.6666666666666667</v>
      </c>
      <c r="BM21" s="1256"/>
      <c r="BN21" s="1256"/>
      <c r="BO21" s="1256"/>
      <c r="BP21" s="1256">
        <f t="shared" si="137"/>
        <v>-3.3333333333333335</v>
      </c>
      <c r="BQ21" s="1256"/>
      <c r="BR21" s="1256">
        <f t="shared" si="1"/>
        <v>277.77777777777777</v>
      </c>
      <c r="BS21" s="1256"/>
      <c r="BT21" s="1399">
        <v>2.33</v>
      </c>
      <c r="BU21" s="1256">
        <f t="shared" si="52"/>
        <v>0</v>
      </c>
      <c r="BV21" s="1256">
        <f t="shared" si="53"/>
        <v>0</v>
      </c>
      <c r="BW21" s="1256">
        <f t="shared" si="54"/>
        <v>0</v>
      </c>
      <c r="BX21" s="1256">
        <f t="shared" si="55"/>
        <v>0</v>
      </c>
      <c r="BY21" s="1256">
        <f t="shared" si="56"/>
        <v>0</v>
      </c>
      <c r="BZ21" s="1256">
        <f t="shared" si="57"/>
        <v>0</v>
      </c>
      <c r="CA21" s="1256">
        <f t="shared" si="58"/>
        <v>0</v>
      </c>
      <c r="CB21" s="1256">
        <f t="shared" si="59"/>
        <v>0</v>
      </c>
      <c r="CC21" s="1256">
        <f t="shared" si="60"/>
        <v>0</v>
      </c>
      <c r="CD21" s="1256">
        <f t="shared" si="61"/>
        <v>0</v>
      </c>
      <c r="CE21" s="1256">
        <f t="shared" si="62"/>
        <v>1.5</v>
      </c>
      <c r="CF21" s="1256">
        <f t="shared" si="63"/>
        <v>1.5</v>
      </c>
      <c r="CG21" s="1256">
        <f t="shared" si="64"/>
        <v>1.5</v>
      </c>
      <c r="CH21" s="1256">
        <f t="shared" si="65"/>
        <v>0</v>
      </c>
      <c r="CI21" s="1256">
        <f t="shared" si="66"/>
        <v>0</v>
      </c>
      <c r="CJ21" s="1256">
        <f t="shared" si="67"/>
        <v>0</v>
      </c>
      <c r="CK21" s="1399">
        <f t="shared" si="142"/>
        <v>-1.43</v>
      </c>
      <c r="CL21" s="1256">
        <f t="shared" si="47"/>
        <v>0</v>
      </c>
      <c r="CM21" s="1256">
        <f t="shared" si="34"/>
        <v>250</v>
      </c>
      <c r="CN21" s="1256"/>
      <c r="CO21" s="1399">
        <v>2.84</v>
      </c>
      <c r="CP21" s="1256">
        <f t="shared" si="68"/>
        <v>0</v>
      </c>
      <c r="CQ21" s="1256">
        <f t="shared" si="69"/>
        <v>0</v>
      </c>
      <c r="CR21" s="1256">
        <f t="shared" si="70"/>
        <v>0</v>
      </c>
      <c r="CS21" s="1256">
        <f t="shared" si="71"/>
        <v>0</v>
      </c>
      <c r="CT21" s="1256">
        <f t="shared" si="72"/>
        <v>0</v>
      </c>
      <c r="CU21" s="1256">
        <f t="shared" si="73"/>
        <v>0</v>
      </c>
      <c r="CV21" s="1256">
        <f t="shared" si="74"/>
        <v>0</v>
      </c>
      <c r="CW21" s="1256">
        <f t="shared" si="75"/>
        <v>0</v>
      </c>
      <c r="CX21" s="1256">
        <f t="shared" si="76"/>
        <v>0</v>
      </c>
      <c r="CY21" s="1256">
        <f t="shared" si="77"/>
        <v>0</v>
      </c>
      <c r="CZ21" s="1256">
        <f t="shared" si="78"/>
        <v>1.35</v>
      </c>
      <c r="DA21" s="1256">
        <f t="shared" si="79"/>
        <v>1.35</v>
      </c>
      <c r="DB21" s="1256">
        <f t="shared" si="80"/>
        <v>1.35</v>
      </c>
      <c r="DC21" s="1256">
        <f t="shared" si="81"/>
        <v>0</v>
      </c>
      <c r="DD21" s="1256">
        <f t="shared" si="82"/>
        <v>0</v>
      </c>
      <c r="DE21" s="1256">
        <f t="shared" si="83"/>
        <v>0</v>
      </c>
      <c r="DF21" s="1399">
        <f t="shared" si="138"/>
        <v>-1.17</v>
      </c>
      <c r="DG21" s="1256">
        <f t="shared" si="48"/>
        <v>0</v>
      </c>
      <c r="DH21" s="1256">
        <f t="shared" si="37"/>
        <v>225</v>
      </c>
      <c r="DI21" s="1256"/>
      <c r="DJ21" s="1399">
        <v>3.45</v>
      </c>
      <c r="DK21" s="1256">
        <f t="shared" si="84"/>
        <v>0</v>
      </c>
      <c r="DL21" s="1256">
        <f t="shared" si="85"/>
        <v>0</v>
      </c>
      <c r="DM21" s="1256">
        <f t="shared" si="86"/>
        <v>0</v>
      </c>
      <c r="DN21" s="1256">
        <f t="shared" si="87"/>
        <v>0</v>
      </c>
      <c r="DO21" s="1256">
        <f t="shared" si="88"/>
        <v>0</v>
      </c>
      <c r="DP21" s="1256">
        <f t="shared" si="89"/>
        <v>0</v>
      </c>
      <c r="DQ21" s="1256">
        <f t="shared" si="90"/>
        <v>0</v>
      </c>
      <c r="DR21" s="1256">
        <f t="shared" si="91"/>
        <v>0</v>
      </c>
      <c r="DS21" s="1256">
        <f t="shared" si="92"/>
        <v>0</v>
      </c>
      <c r="DT21" s="1256">
        <f t="shared" si="93"/>
        <v>0</v>
      </c>
      <c r="DU21" s="1256">
        <f t="shared" si="94"/>
        <v>1.2000000000000002</v>
      </c>
      <c r="DV21" s="1256">
        <f t="shared" si="95"/>
        <v>1.2000000000000002</v>
      </c>
      <c r="DW21" s="1256">
        <f t="shared" si="96"/>
        <v>1.2000000000000002</v>
      </c>
      <c r="DX21" s="1256">
        <f t="shared" si="97"/>
        <v>0</v>
      </c>
      <c r="DY21" s="1256">
        <f t="shared" si="98"/>
        <v>0</v>
      </c>
      <c r="DZ21" s="1256">
        <f t="shared" si="99"/>
        <v>0</v>
      </c>
      <c r="EA21" s="1399">
        <f t="shared" si="139"/>
        <v>-0.97</v>
      </c>
      <c r="EB21" s="1256">
        <f t="shared" si="49"/>
        <v>0</v>
      </c>
      <c r="EC21" s="1256">
        <f t="shared" si="40"/>
        <v>200</v>
      </c>
      <c r="ED21" s="1256"/>
      <c r="EE21" s="1399">
        <v>4.2300000000000004</v>
      </c>
      <c r="EF21" s="1256">
        <f t="shared" si="100"/>
        <v>0</v>
      </c>
      <c r="EG21" s="1256">
        <f t="shared" si="101"/>
        <v>0</v>
      </c>
      <c r="EH21" s="1256">
        <f t="shared" si="102"/>
        <v>0</v>
      </c>
      <c r="EI21" s="1256">
        <f t="shared" si="103"/>
        <v>0</v>
      </c>
      <c r="EJ21" s="1256">
        <f t="shared" si="104"/>
        <v>0</v>
      </c>
      <c r="EK21" s="1256">
        <f t="shared" si="105"/>
        <v>0</v>
      </c>
      <c r="EL21" s="1256">
        <f t="shared" si="106"/>
        <v>0</v>
      </c>
      <c r="EM21" s="1256">
        <f t="shared" si="107"/>
        <v>0</v>
      </c>
      <c r="EN21" s="1256">
        <f t="shared" si="108"/>
        <v>0</v>
      </c>
      <c r="EO21" s="1256">
        <f t="shared" si="109"/>
        <v>0</v>
      </c>
      <c r="EP21" s="1256">
        <f t="shared" si="110"/>
        <v>1.0499999999999998</v>
      </c>
      <c r="EQ21" s="1256">
        <f t="shared" si="111"/>
        <v>1.0499999999999998</v>
      </c>
      <c r="ER21" s="1256">
        <f t="shared" si="112"/>
        <v>1.0499999999999998</v>
      </c>
      <c r="ES21" s="1256">
        <f t="shared" si="113"/>
        <v>0</v>
      </c>
      <c r="ET21" s="1256">
        <f t="shared" si="114"/>
        <v>0</v>
      </c>
      <c r="EU21" s="1256">
        <f t="shared" si="115"/>
        <v>0</v>
      </c>
      <c r="EV21" s="1399">
        <f t="shared" si="140"/>
        <v>-0.79</v>
      </c>
      <c r="EW21" s="1256">
        <f t="shared" si="50"/>
        <v>0</v>
      </c>
      <c r="EX21" s="1256">
        <f t="shared" si="43"/>
        <v>175</v>
      </c>
      <c r="EY21" s="1256"/>
      <c r="EZ21" s="1399">
        <v>5.2</v>
      </c>
      <c r="FA21" s="1256">
        <f t="shared" si="116"/>
        <v>0</v>
      </c>
      <c r="FB21" s="1256">
        <f t="shared" si="117"/>
        <v>0</v>
      </c>
      <c r="FC21" s="1256">
        <f t="shared" si="118"/>
        <v>0</v>
      </c>
      <c r="FD21" s="1256">
        <f t="shared" si="119"/>
        <v>0</v>
      </c>
      <c r="FE21" s="1256">
        <f t="shared" si="120"/>
        <v>0</v>
      </c>
      <c r="FF21" s="1256">
        <f t="shared" si="121"/>
        <v>0</v>
      </c>
      <c r="FG21" s="1256">
        <f t="shared" si="122"/>
        <v>0</v>
      </c>
      <c r="FH21" s="1256">
        <f t="shared" si="123"/>
        <v>0</v>
      </c>
      <c r="FI21" s="1256">
        <f t="shared" si="124"/>
        <v>0</v>
      </c>
      <c r="FJ21" s="1256">
        <f t="shared" si="125"/>
        <v>0</v>
      </c>
      <c r="FK21" s="1256">
        <f t="shared" si="126"/>
        <v>0.89999999999999991</v>
      </c>
      <c r="FL21" s="1256">
        <f t="shared" si="127"/>
        <v>0.89999999999999991</v>
      </c>
      <c r="FM21" s="1256">
        <f t="shared" si="128"/>
        <v>0.89999999999999991</v>
      </c>
      <c r="FN21" s="1256">
        <f t="shared" si="129"/>
        <v>0</v>
      </c>
      <c r="FO21" s="1256">
        <f t="shared" si="130"/>
        <v>0</v>
      </c>
      <c r="FP21" s="1256">
        <f t="shared" si="131"/>
        <v>0</v>
      </c>
      <c r="FQ21" s="1399">
        <f t="shared" si="141"/>
        <v>-0.64</v>
      </c>
      <c r="FR21" s="1256">
        <f t="shared" si="51"/>
        <v>0</v>
      </c>
      <c r="FS21" s="1256">
        <f t="shared" si="46"/>
        <v>150</v>
      </c>
      <c r="FT21" s="1256"/>
      <c r="FU21" s="1256" t="e">
        <f t="shared" si="12"/>
        <v>#VALUE!</v>
      </c>
      <c r="FV21" s="1256" t="e">
        <f t="shared" si="31"/>
        <v>#VALUE!</v>
      </c>
      <c r="FW21" s="1256" t="e">
        <f t="shared" si="13"/>
        <v>#VALUE!</v>
      </c>
      <c r="FX21" s="1256" t="e">
        <f t="shared" si="14"/>
        <v>#VALUE!</v>
      </c>
      <c r="FY21" s="1256" t="e">
        <f t="shared" si="15"/>
        <v>#VALUE!</v>
      </c>
      <c r="FZ21" s="1256" t="e">
        <f t="shared" si="16"/>
        <v>#VALUE!</v>
      </c>
      <c r="GA21" s="1256" t="e">
        <f t="shared" si="17"/>
        <v>#VALUE!</v>
      </c>
      <c r="GB21" s="1256" t="e">
        <f t="shared" si="18"/>
        <v>#VALUE!</v>
      </c>
      <c r="GC21" s="1256" t="e">
        <f t="shared" si="19"/>
        <v>#VALUE!</v>
      </c>
      <c r="GD21" s="1256" t="e">
        <f t="shared" si="20"/>
        <v>#VALUE!</v>
      </c>
      <c r="GE21" s="1256" t="e">
        <f t="shared" si="21"/>
        <v>#VALUE!</v>
      </c>
      <c r="GF21" s="1256" t="e">
        <f t="shared" si="22"/>
        <v>#VALUE!</v>
      </c>
      <c r="GG21" s="1256" t="e">
        <f t="shared" si="23"/>
        <v>#VALUE!</v>
      </c>
      <c r="GH21" s="1256" t="e">
        <f t="shared" si="24"/>
        <v>#VALUE!</v>
      </c>
      <c r="GI21" s="1256" t="e">
        <f t="shared" si="25"/>
        <v>#VALUE!</v>
      </c>
      <c r="GJ21" s="1256" t="e">
        <f t="shared" si="26"/>
        <v>#VALUE!</v>
      </c>
      <c r="GK21" s="1256" t="e">
        <f t="shared" si="27"/>
        <v>#VALUE!</v>
      </c>
      <c r="GL21" s="1256" t="e">
        <f t="shared" si="28"/>
        <v>#VALUE!</v>
      </c>
      <c r="GM21" s="1256" t="e">
        <f t="shared" si="29"/>
        <v>#VALUE!</v>
      </c>
    </row>
    <row r="22" spans="1:195" ht="16.5" customHeight="1">
      <c r="A22" s="1631">
        <v>117</v>
      </c>
      <c r="B22" s="1901" t="s">
        <v>292</v>
      </c>
      <c r="C22" s="1445" t="s">
        <v>293</v>
      </c>
      <c r="D22" s="1446">
        <f>IF(($AC22&lt;10),SUM(((AE22+(ROUNDUP(($AC22*AZ22),2)))/100)),SUM(((AE22+(ROUNDUP(((9*AZ22)+FU22),2)))/100)))</f>
        <v>-0.45</v>
      </c>
      <c r="E22" s="1447">
        <f>IF(($AC22&lt;10),SUM(((AF22+(ROUNDUP(($AC22*BA22),2)))/100)),SUM(((AF22+(ROUNDUP(((9*BA22)+FV22),2)))/100)))</f>
        <v>-0.45</v>
      </c>
      <c r="F22" s="1448"/>
      <c r="G22" s="1448"/>
      <c r="H22" s="1448"/>
      <c r="I22" s="1448"/>
      <c r="J22" s="1448"/>
      <c r="K22" s="1448"/>
      <c r="L22" s="1448"/>
      <c r="M22" s="1448"/>
      <c r="N22" s="1448"/>
      <c r="O22" s="1448"/>
      <c r="P22" s="1448"/>
      <c r="Q22" s="1404" t="str">
        <f t="shared" si="132"/>
        <v>Selected</v>
      </c>
      <c r="R22" s="1449"/>
      <c r="S22" s="1404">
        <f t="shared" si="133"/>
        <v>1000</v>
      </c>
      <c r="T22" s="1449">
        <f t="shared" si="134"/>
        <v>5</v>
      </c>
      <c r="U22" s="1449">
        <f t="shared" si="135"/>
        <v>60</v>
      </c>
      <c r="V22" s="1404">
        <f t="shared" si="136"/>
        <v>20</v>
      </c>
      <c r="W22" s="1404">
        <f t="shared" si="0"/>
        <v>2500</v>
      </c>
      <c r="X22" s="1404"/>
      <c r="Y22" s="1404"/>
      <c r="Z22" s="1404"/>
      <c r="AA22" s="1405"/>
      <c r="AB22" s="1218">
        <v>15</v>
      </c>
      <c r="AC22" s="1232">
        <f t="shared" si="30"/>
        <v>0</v>
      </c>
      <c r="AD22" s="1218"/>
      <c r="AE22" s="1406">
        <v>-45</v>
      </c>
      <c r="AF22" s="1406">
        <v>-45</v>
      </c>
      <c r="AG22" s="1406"/>
      <c r="AH22" s="1406"/>
      <c r="AI22" s="1406"/>
      <c r="AJ22" s="1406"/>
      <c r="AK22" s="1406"/>
      <c r="AL22" s="1406"/>
      <c r="AM22" s="1406"/>
      <c r="AN22" s="1406"/>
      <c r="AO22" s="1406"/>
      <c r="AP22" s="1406"/>
      <c r="AQ22" s="1406"/>
      <c r="AR22" s="1406" t="s">
        <v>283</v>
      </c>
      <c r="AS22" s="1407"/>
      <c r="AT22" s="1406">
        <v>1000</v>
      </c>
      <c r="AU22" s="1406">
        <v>5</v>
      </c>
      <c r="AV22" s="1406">
        <v>60</v>
      </c>
      <c r="AW22" s="1406">
        <v>20</v>
      </c>
      <c r="AX22" s="1406">
        <v>2500</v>
      </c>
      <c r="AY22" s="1218"/>
      <c r="AZ22" s="1218">
        <f>SUM((AE22/27))</f>
        <v>-1.6666666666666667</v>
      </c>
      <c r="BA22" s="1218">
        <f>SUM((AF22/27))</f>
        <v>-1.6666666666666667</v>
      </c>
      <c r="BB22" s="1218"/>
      <c r="BC22" s="1218"/>
      <c r="BD22" s="1218"/>
      <c r="BE22" s="1406"/>
      <c r="BF22" s="1406"/>
      <c r="BG22" s="1218"/>
      <c r="BH22" s="1218"/>
      <c r="BI22" s="1218"/>
      <c r="BJ22" s="1218"/>
      <c r="BK22" s="1218"/>
      <c r="BL22" s="1218"/>
      <c r="BM22" s="1218"/>
      <c r="BN22" s="1218"/>
      <c r="BO22" s="1218"/>
      <c r="BP22" s="1218">
        <f t="shared" si="137"/>
        <v>-3.3333333333333335</v>
      </c>
      <c r="BQ22" s="1218"/>
      <c r="BR22" s="1218">
        <f t="shared" si="1"/>
        <v>277.77777777777777</v>
      </c>
      <c r="BS22" s="1218"/>
      <c r="BT22" s="1408">
        <v>2.33</v>
      </c>
      <c r="BU22" s="1218">
        <f t="shared" si="52"/>
        <v>-1.5</v>
      </c>
      <c r="BV22" s="1218">
        <f t="shared" si="53"/>
        <v>-1.5</v>
      </c>
      <c r="BW22" s="1218">
        <f t="shared" si="54"/>
        <v>0</v>
      </c>
      <c r="BX22" s="1218">
        <f t="shared" si="55"/>
        <v>0</v>
      </c>
      <c r="BY22" s="1218">
        <f t="shared" si="56"/>
        <v>0</v>
      </c>
      <c r="BZ22" s="1218">
        <f t="shared" si="57"/>
        <v>0</v>
      </c>
      <c r="CA22" s="1218">
        <f t="shared" si="58"/>
        <v>0</v>
      </c>
      <c r="CB22" s="1218">
        <f t="shared" si="59"/>
        <v>0</v>
      </c>
      <c r="CC22" s="1218">
        <f t="shared" si="60"/>
        <v>0</v>
      </c>
      <c r="CD22" s="1218">
        <f t="shared" si="61"/>
        <v>0</v>
      </c>
      <c r="CE22" s="1218">
        <f t="shared" si="62"/>
        <v>0</v>
      </c>
      <c r="CF22" s="1218">
        <f t="shared" si="63"/>
        <v>0</v>
      </c>
      <c r="CG22" s="1218">
        <f t="shared" si="64"/>
        <v>0</v>
      </c>
      <c r="CH22" s="1218">
        <f t="shared" si="65"/>
        <v>0</v>
      </c>
      <c r="CI22" s="1218">
        <f t="shared" si="66"/>
        <v>0</v>
      </c>
      <c r="CJ22" s="1218">
        <f t="shared" si="67"/>
        <v>0</v>
      </c>
      <c r="CK22" s="1408">
        <f t="shared" si="142"/>
        <v>-1.43</v>
      </c>
      <c r="CL22" s="1218">
        <f t="shared" si="47"/>
        <v>0</v>
      </c>
      <c r="CM22" s="1218">
        <f t="shared" si="34"/>
        <v>250</v>
      </c>
      <c r="CN22" s="1218"/>
      <c r="CO22" s="1408">
        <v>2.84</v>
      </c>
      <c r="CP22" s="1218">
        <f t="shared" si="68"/>
        <v>-1.35</v>
      </c>
      <c r="CQ22" s="1218">
        <f t="shared" si="69"/>
        <v>-1.35</v>
      </c>
      <c r="CR22" s="1218">
        <f t="shared" si="70"/>
        <v>0</v>
      </c>
      <c r="CS22" s="1218">
        <f t="shared" si="71"/>
        <v>0</v>
      </c>
      <c r="CT22" s="1218">
        <f t="shared" si="72"/>
        <v>0</v>
      </c>
      <c r="CU22" s="1218">
        <f t="shared" si="73"/>
        <v>0</v>
      </c>
      <c r="CV22" s="1218">
        <f t="shared" si="74"/>
        <v>0</v>
      </c>
      <c r="CW22" s="1218">
        <f t="shared" si="75"/>
        <v>0</v>
      </c>
      <c r="CX22" s="1218">
        <f t="shared" si="76"/>
        <v>0</v>
      </c>
      <c r="CY22" s="1218">
        <f t="shared" si="77"/>
        <v>0</v>
      </c>
      <c r="CZ22" s="1218">
        <f t="shared" si="78"/>
        <v>0</v>
      </c>
      <c r="DA22" s="1218">
        <f t="shared" si="79"/>
        <v>0</v>
      </c>
      <c r="DB22" s="1218">
        <f t="shared" si="80"/>
        <v>0</v>
      </c>
      <c r="DC22" s="1218">
        <f t="shared" si="81"/>
        <v>0</v>
      </c>
      <c r="DD22" s="1218">
        <f t="shared" si="82"/>
        <v>0</v>
      </c>
      <c r="DE22" s="1218">
        <f t="shared" si="83"/>
        <v>0</v>
      </c>
      <c r="DF22" s="1408">
        <f t="shared" si="138"/>
        <v>-1.17</v>
      </c>
      <c r="DG22" s="1218">
        <f t="shared" si="48"/>
        <v>0</v>
      </c>
      <c r="DH22" s="1218">
        <f t="shared" si="37"/>
        <v>225</v>
      </c>
      <c r="DI22" s="1218"/>
      <c r="DJ22" s="1408">
        <v>3.45</v>
      </c>
      <c r="DK22" s="1218">
        <f t="shared" si="84"/>
        <v>-1.2000000000000002</v>
      </c>
      <c r="DL22" s="1218">
        <f t="shared" si="85"/>
        <v>-1.2000000000000002</v>
      </c>
      <c r="DM22" s="1218">
        <f t="shared" si="86"/>
        <v>0</v>
      </c>
      <c r="DN22" s="1218">
        <f t="shared" si="87"/>
        <v>0</v>
      </c>
      <c r="DO22" s="1218">
        <f t="shared" si="88"/>
        <v>0</v>
      </c>
      <c r="DP22" s="1218">
        <f t="shared" si="89"/>
        <v>0</v>
      </c>
      <c r="DQ22" s="1218">
        <f t="shared" si="90"/>
        <v>0</v>
      </c>
      <c r="DR22" s="1218">
        <f t="shared" si="91"/>
        <v>0</v>
      </c>
      <c r="DS22" s="1218">
        <f t="shared" si="92"/>
        <v>0</v>
      </c>
      <c r="DT22" s="1218">
        <f t="shared" si="93"/>
        <v>0</v>
      </c>
      <c r="DU22" s="1218">
        <f t="shared" si="94"/>
        <v>0</v>
      </c>
      <c r="DV22" s="1218">
        <f t="shared" si="95"/>
        <v>0</v>
      </c>
      <c r="DW22" s="1218">
        <f t="shared" si="96"/>
        <v>0</v>
      </c>
      <c r="DX22" s="1218">
        <f t="shared" si="97"/>
        <v>0</v>
      </c>
      <c r="DY22" s="1218">
        <f t="shared" si="98"/>
        <v>0</v>
      </c>
      <c r="DZ22" s="1218">
        <f t="shared" si="99"/>
        <v>0</v>
      </c>
      <c r="EA22" s="1408">
        <f t="shared" si="139"/>
        <v>-0.97</v>
      </c>
      <c r="EB22" s="1218">
        <f t="shared" si="49"/>
        <v>0</v>
      </c>
      <c r="EC22" s="1218">
        <f t="shared" si="40"/>
        <v>200</v>
      </c>
      <c r="ED22" s="1218"/>
      <c r="EE22" s="1408">
        <v>4.2300000000000004</v>
      </c>
      <c r="EF22" s="1218">
        <f t="shared" si="100"/>
        <v>-1.0499999999999998</v>
      </c>
      <c r="EG22" s="1218">
        <f t="shared" si="101"/>
        <v>-1.0499999999999998</v>
      </c>
      <c r="EH22" s="1218">
        <f t="shared" si="102"/>
        <v>0</v>
      </c>
      <c r="EI22" s="1218">
        <f t="shared" si="103"/>
        <v>0</v>
      </c>
      <c r="EJ22" s="1218">
        <f t="shared" si="104"/>
        <v>0</v>
      </c>
      <c r="EK22" s="1218">
        <f t="shared" si="105"/>
        <v>0</v>
      </c>
      <c r="EL22" s="1218">
        <f t="shared" si="106"/>
        <v>0</v>
      </c>
      <c r="EM22" s="1218">
        <f t="shared" si="107"/>
        <v>0</v>
      </c>
      <c r="EN22" s="1218">
        <f t="shared" si="108"/>
        <v>0</v>
      </c>
      <c r="EO22" s="1218">
        <f t="shared" si="109"/>
        <v>0</v>
      </c>
      <c r="EP22" s="1218">
        <f t="shared" si="110"/>
        <v>0</v>
      </c>
      <c r="EQ22" s="1218">
        <f t="shared" si="111"/>
        <v>0</v>
      </c>
      <c r="ER22" s="1218">
        <f t="shared" si="112"/>
        <v>0</v>
      </c>
      <c r="ES22" s="1218">
        <f t="shared" si="113"/>
        <v>0</v>
      </c>
      <c r="ET22" s="1218">
        <f t="shared" si="114"/>
        <v>0</v>
      </c>
      <c r="EU22" s="1218">
        <f t="shared" si="115"/>
        <v>0</v>
      </c>
      <c r="EV22" s="1408">
        <f t="shared" si="140"/>
        <v>-0.79</v>
      </c>
      <c r="EW22" s="1218">
        <f t="shared" si="50"/>
        <v>0</v>
      </c>
      <c r="EX22" s="1218">
        <f t="shared" si="43"/>
        <v>175</v>
      </c>
      <c r="EY22" s="1218"/>
      <c r="EZ22" s="1408">
        <v>5.2</v>
      </c>
      <c r="FA22" s="1218">
        <f t="shared" si="116"/>
        <v>-0.89999999999999991</v>
      </c>
      <c r="FB22" s="1218">
        <f t="shared" si="117"/>
        <v>-0.89999999999999991</v>
      </c>
      <c r="FC22" s="1218">
        <f t="shared" si="118"/>
        <v>0</v>
      </c>
      <c r="FD22" s="1218">
        <f t="shared" si="119"/>
        <v>0</v>
      </c>
      <c r="FE22" s="1218">
        <f t="shared" si="120"/>
        <v>0</v>
      </c>
      <c r="FF22" s="1218">
        <f t="shared" si="121"/>
        <v>0</v>
      </c>
      <c r="FG22" s="1218">
        <f t="shared" si="122"/>
        <v>0</v>
      </c>
      <c r="FH22" s="1218">
        <f t="shared" si="123"/>
        <v>0</v>
      </c>
      <c r="FI22" s="1218">
        <f t="shared" si="124"/>
        <v>0</v>
      </c>
      <c r="FJ22" s="1218">
        <f t="shared" si="125"/>
        <v>0</v>
      </c>
      <c r="FK22" s="1218">
        <f t="shared" si="126"/>
        <v>0</v>
      </c>
      <c r="FL22" s="1218">
        <f t="shared" si="127"/>
        <v>0</v>
      </c>
      <c r="FM22" s="1218">
        <f t="shared" si="128"/>
        <v>0</v>
      </c>
      <c r="FN22" s="1218">
        <f t="shared" si="129"/>
        <v>0</v>
      </c>
      <c r="FO22" s="1218">
        <f t="shared" si="130"/>
        <v>0</v>
      </c>
      <c r="FP22" s="1218">
        <f t="shared" si="131"/>
        <v>0</v>
      </c>
      <c r="FQ22" s="1408">
        <f t="shared" si="141"/>
        <v>-0.64</v>
      </c>
      <c r="FR22" s="1218">
        <f t="shared" si="51"/>
        <v>0</v>
      </c>
      <c r="FS22" s="1218">
        <f t="shared" si="46"/>
        <v>150</v>
      </c>
      <c r="FT22" s="1218"/>
      <c r="FU22" s="1218" t="e">
        <f t="shared" si="12"/>
        <v>#VALUE!</v>
      </c>
      <c r="FV22" s="1218" t="e">
        <f t="shared" si="31"/>
        <v>#VALUE!</v>
      </c>
      <c r="FW22" s="1218" t="e">
        <f t="shared" si="13"/>
        <v>#VALUE!</v>
      </c>
      <c r="FX22" s="1218" t="e">
        <f t="shared" si="14"/>
        <v>#VALUE!</v>
      </c>
      <c r="FY22" s="1218" t="e">
        <f t="shared" si="15"/>
        <v>#VALUE!</v>
      </c>
      <c r="FZ22" s="1218" t="e">
        <f t="shared" si="16"/>
        <v>#VALUE!</v>
      </c>
      <c r="GA22" s="1218" t="e">
        <f t="shared" si="17"/>
        <v>#VALUE!</v>
      </c>
      <c r="GB22" s="1218" t="e">
        <f t="shared" si="18"/>
        <v>#VALUE!</v>
      </c>
      <c r="GC22" s="1218" t="e">
        <f t="shared" si="19"/>
        <v>#VALUE!</v>
      </c>
      <c r="GD22" s="1218" t="e">
        <f t="shared" si="20"/>
        <v>#VALUE!</v>
      </c>
      <c r="GE22" s="1218" t="e">
        <f t="shared" si="21"/>
        <v>#VALUE!</v>
      </c>
      <c r="GF22" s="1218" t="e">
        <f t="shared" si="22"/>
        <v>#VALUE!</v>
      </c>
      <c r="GG22" s="1218" t="e">
        <f t="shared" si="23"/>
        <v>#VALUE!</v>
      </c>
      <c r="GH22" s="1218" t="e">
        <f t="shared" si="24"/>
        <v>#VALUE!</v>
      </c>
      <c r="GI22" s="1218" t="e">
        <f t="shared" si="25"/>
        <v>#VALUE!</v>
      </c>
      <c r="GJ22" s="1218" t="e">
        <f t="shared" si="26"/>
        <v>#VALUE!</v>
      </c>
      <c r="GK22" s="1218" t="e">
        <f t="shared" si="27"/>
        <v>#VALUE!</v>
      </c>
      <c r="GL22" s="1218" t="e">
        <f t="shared" si="28"/>
        <v>#VALUE!</v>
      </c>
      <c r="GM22" s="1218" t="e">
        <f t="shared" si="29"/>
        <v>#VALUE!</v>
      </c>
    </row>
    <row r="23" spans="1:195" ht="16.5" customHeight="1">
      <c r="A23" s="1631">
        <v>118</v>
      </c>
      <c r="B23" s="1901"/>
      <c r="C23" s="1450" t="s">
        <v>294</v>
      </c>
      <c r="D23" s="1451"/>
      <c r="E23" s="1452"/>
      <c r="F23" s="1452"/>
      <c r="G23" s="1452"/>
      <c r="H23" s="1452">
        <f>IF(($AC23&lt;10),SUM(((AI23+(ROUNDUP(($AC23*BD23),2)))/100)),SUM(((AI23+(ROUNDUP(((9*BD23)+FY23),2)))/100)))</f>
        <v>-0.22500000000000001</v>
      </c>
      <c r="I23" s="1452"/>
      <c r="J23" s="1452"/>
      <c r="K23" s="1453"/>
      <c r="L23" s="1453"/>
      <c r="M23" s="1453"/>
      <c r="N23" s="1452"/>
      <c r="O23" s="1452"/>
      <c r="P23" s="1452"/>
      <c r="Q23" s="1409" t="str">
        <f t="shared" si="132"/>
        <v>Selected</v>
      </c>
      <c r="R23" s="1454"/>
      <c r="S23" s="1409">
        <f t="shared" si="133"/>
        <v>1000</v>
      </c>
      <c r="T23" s="1454">
        <f t="shared" si="134"/>
        <v>5</v>
      </c>
      <c r="U23" s="1454">
        <f t="shared" si="135"/>
        <v>60</v>
      </c>
      <c r="V23" s="1409">
        <f t="shared" si="136"/>
        <v>20</v>
      </c>
      <c r="W23" s="1409">
        <f t="shared" si="0"/>
        <v>2500</v>
      </c>
      <c r="X23" s="1409"/>
      <c r="Y23" s="1409"/>
      <c r="Z23" s="1409"/>
      <c r="AA23" s="1405"/>
      <c r="AB23" s="1217"/>
      <c r="AC23" s="1232">
        <f t="shared" si="30"/>
        <v>0</v>
      </c>
      <c r="AD23" s="1218"/>
      <c r="AE23" s="1406"/>
      <c r="AF23" s="1406"/>
      <c r="AG23" s="1406"/>
      <c r="AH23" s="1406"/>
      <c r="AI23" s="1406">
        <v>-22.5</v>
      </c>
      <c r="AJ23" s="1406"/>
      <c r="AK23" s="1406"/>
      <c r="AL23" s="1406"/>
      <c r="AM23" s="1406"/>
      <c r="AN23" s="1406"/>
      <c r="AO23" s="1406"/>
      <c r="AP23" s="1406"/>
      <c r="AQ23" s="1406"/>
      <c r="AR23" s="1406" t="s">
        <v>283</v>
      </c>
      <c r="AS23" s="1407"/>
      <c r="AT23" s="1406">
        <v>1000</v>
      </c>
      <c r="AU23" s="1406">
        <v>5</v>
      </c>
      <c r="AV23" s="1406">
        <v>60</v>
      </c>
      <c r="AW23" s="1406">
        <v>20</v>
      </c>
      <c r="AX23" s="1406">
        <v>2500</v>
      </c>
      <c r="AY23" s="1217"/>
      <c r="AZ23" s="1218"/>
      <c r="BA23" s="1218"/>
      <c r="BB23" s="1218"/>
      <c r="BC23" s="1218"/>
      <c r="BD23" s="1218">
        <f>SUM((AI23/27))</f>
        <v>-0.83333333333333337</v>
      </c>
      <c r="BE23" s="1406"/>
      <c r="BF23" s="1406"/>
      <c r="BG23" s="1218"/>
      <c r="BH23" s="1218"/>
      <c r="BI23" s="1218"/>
      <c r="BJ23" s="1218"/>
      <c r="BK23" s="1218"/>
      <c r="BL23" s="1218"/>
      <c r="BM23" s="1218"/>
      <c r="BN23" s="1218"/>
      <c r="BO23" s="1218"/>
      <c r="BP23" s="1218">
        <f t="shared" si="137"/>
        <v>-3.3333333333333335</v>
      </c>
      <c r="BQ23" s="1218"/>
      <c r="BR23" s="1218">
        <f t="shared" si="1"/>
        <v>277.77777777777777</v>
      </c>
      <c r="BS23" s="1218"/>
      <c r="BT23" s="1408">
        <v>2.33</v>
      </c>
      <c r="BU23" s="1218">
        <f t="shared" si="52"/>
        <v>0</v>
      </c>
      <c r="BV23" s="1218">
        <f t="shared" si="53"/>
        <v>0</v>
      </c>
      <c r="BW23" s="1218">
        <f t="shared" si="54"/>
        <v>0</v>
      </c>
      <c r="BX23" s="1218">
        <f t="shared" si="55"/>
        <v>0</v>
      </c>
      <c r="BY23" s="1218">
        <f t="shared" si="56"/>
        <v>-0.75</v>
      </c>
      <c r="BZ23" s="1218">
        <f t="shared" si="57"/>
        <v>0</v>
      </c>
      <c r="CA23" s="1218">
        <f t="shared" si="58"/>
        <v>0</v>
      </c>
      <c r="CB23" s="1218">
        <f t="shared" si="59"/>
        <v>0</v>
      </c>
      <c r="CC23" s="1218">
        <f t="shared" si="60"/>
        <v>0</v>
      </c>
      <c r="CD23" s="1218">
        <f t="shared" si="61"/>
        <v>0</v>
      </c>
      <c r="CE23" s="1218">
        <f t="shared" si="62"/>
        <v>0</v>
      </c>
      <c r="CF23" s="1218">
        <f t="shared" si="63"/>
        <v>0</v>
      </c>
      <c r="CG23" s="1218">
        <f t="shared" si="64"/>
        <v>0</v>
      </c>
      <c r="CH23" s="1218">
        <f t="shared" si="65"/>
        <v>0</v>
      </c>
      <c r="CI23" s="1218">
        <f t="shared" si="66"/>
        <v>0</v>
      </c>
      <c r="CJ23" s="1218">
        <f t="shared" si="67"/>
        <v>0</v>
      </c>
      <c r="CK23" s="1408">
        <f t="shared" si="142"/>
        <v>-1.43</v>
      </c>
      <c r="CL23" s="1218">
        <f t="shared" si="47"/>
        <v>0</v>
      </c>
      <c r="CM23" s="1218">
        <f t="shared" si="34"/>
        <v>250</v>
      </c>
      <c r="CN23" s="1218"/>
      <c r="CO23" s="1408">
        <v>2.84</v>
      </c>
      <c r="CP23" s="1218">
        <f t="shared" si="68"/>
        <v>0</v>
      </c>
      <c r="CQ23" s="1218">
        <f t="shared" si="69"/>
        <v>0</v>
      </c>
      <c r="CR23" s="1218">
        <f t="shared" si="70"/>
        <v>0</v>
      </c>
      <c r="CS23" s="1218">
        <f t="shared" si="71"/>
        <v>0</v>
      </c>
      <c r="CT23" s="1218">
        <f t="shared" si="72"/>
        <v>-0.67500000000000004</v>
      </c>
      <c r="CU23" s="1218">
        <f t="shared" si="73"/>
        <v>0</v>
      </c>
      <c r="CV23" s="1218">
        <f t="shared" si="74"/>
        <v>0</v>
      </c>
      <c r="CW23" s="1218">
        <f t="shared" si="75"/>
        <v>0</v>
      </c>
      <c r="CX23" s="1218">
        <f t="shared" si="76"/>
        <v>0</v>
      </c>
      <c r="CY23" s="1218">
        <f t="shared" si="77"/>
        <v>0</v>
      </c>
      <c r="CZ23" s="1218">
        <f t="shared" si="78"/>
        <v>0</v>
      </c>
      <c r="DA23" s="1218">
        <f t="shared" si="79"/>
        <v>0</v>
      </c>
      <c r="DB23" s="1218">
        <f t="shared" si="80"/>
        <v>0</v>
      </c>
      <c r="DC23" s="1218">
        <f t="shared" si="81"/>
        <v>0</v>
      </c>
      <c r="DD23" s="1218">
        <f t="shared" si="82"/>
        <v>0</v>
      </c>
      <c r="DE23" s="1218">
        <f t="shared" si="83"/>
        <v>0</v>
      </c>
      <c r="DF23" s="1408">
        <f t="shared" si="138"/>
        <v>-1.17</v>
      </c>
      <c r="DG23" s="1218">
        <f t="shared" si="48"/>
        <v>0</v>
      </c>
      <c r="DH23" s="1218">
        <f t="shared" si="37"/>
        <v>225</v>
      </c>
      <c r="DI23" s="1218"/>
      <c r="DJ23" s="1408">
        <v>3.45</v>
      </c>
      <c r="DK23" s="1218">
        <f t="shared" si="84"/>
        <v>0</v>
      </c>
      <c r="DL23" s="1218">
        <f t="shared" si="85"/>
        <v>0</v>
      </c>
      <c r="DM23" s="1218">
        <f t="shared" si="86"/>
        <v>0</v>
      </c>
      <c r="DN23" s="1218">
        <f t="shared" si="87"/>
        <v>0</v>
      </c>
      <c r="DO23" s="1218">
        <f t="shared" si="88"/>
        <v>-0.60000000000000009</v>
      </c>
      <c r="DP23" s="1218">
        <f t="shared" si="89"/>
        <v>0</v>
      </c>
      <c r="DQ23" s="1218">
        <f t="shared" si="90"/>
        <v>0</v>
      </c>
      <c r="DR23" s="1218">
        <f t="shared" si="91"/>
        <v>0</v>
      </c>
      <c r="DS23" s="1218">
        <f t="shared" si="92"/>
        <v>0</v>
      </c>
      <c r="DT23" s="1218">
        <f t="shared" si="93"/>
        <v>0</v>
      </c>
      <c r="DU23" s="1218">
        <f t="shared" si="94"/>
        <v>0</v>
      </c>
      <c r="DV23" s="1218">
        <f t="shared" si="95"/>
        <v>0</v>
      </c>
      <c r="DW23" s="1218">
        <f t="shared" si="96"/>
        <v>0</v>
      </c>
      <c r="DX23" s="1218">
        <f t="shared" si="97"/>
        <v>0</v>
      </c>
      <c r="DY23" s="1218">
        <f t="shared" si="98"/>
        <v>0</v>
      </c>
      <c r="DZ23" s="1218">
        <f t="shared" si="99"/>
        <v>0</v>
      </c>
      <c r="EA23" s="1408">
        <f t="shared" si="139"/>
        <v>-0.97</v>
      </c>
      <c r="EB23" s="1218">
        <f t="shared" si="49"/>
        <v>0</v>
      </c>
      <c r="EC23" s="1218">
        <f t="shared" si="40"/>
        <v>200</v>
      </c>
      <c r="ED23" s="1218"/>
      <c r="EE23" s="1408">
        <v>4.2300000000000004</v>
      </c>
      <c r="EF23" s="1218">
        <f t="shared" si="100"/>
        <v>0</v>
      </c>
      <c r="EG23" s="1218">
        <f t="shared" si="101"/>
        <v>0</v>
      </c>
      <c r="EH23" s="1218">
        <f t="shared" si="102"/>
        <v>0</v>
      </c>
      <c r="EI23" s="1218">
        <f t="shared" si="103"/>
        <v>0</v>
      </c>
      <c r="EJ23" s="1218">
        <f t="shared" si="104"/>
        <v>-0.52499999999999991</v>
      </c>
      <c r="EK23" s="1218">
        <f t="shared" si="105"/>
        <v>0</v>
      </c>
      <c r="EL23" s="1218">
        <f t="shared" si="106"/>
        <v>0</v>
      </c>
      <c r="EM23" s="1218">
        <f t="shared" si="107"/>
        <v>0</v>
      </c>
      <c r="EN23" s="1218">
        <f t="shared" si="108"/>
        <v>0</v>
      </c>
      <c r="EO23" s="1218">
        <f t="shared" si="109"/>
        <v>0</v>
      </c>
      <c r="EP23" s="1218">
        <f t="shared" si="110"/>
        <v>0</v>
      </c>
      <c r="EQ23" s="1218">
        <f t="shared" si="111"/>
        <v>0</v>
      </c>
      <c r="ER23" s="1218">
        <f t="shared" si="112"/>
        <v>0</v>
      </c>
      <c r="ES23" s="1218">
        <f t="shared" si="113"/>
        <v>0</v>
      </c>
      <c r="ET23" s="1218">
        <f t="shared" si="114"/>
        <v>0</v>
      </c>
      <c r="EU23" s="1218">
        <f t="shared" si="115"/>
        <v>0</v>
      </c>
      <c r="EV23" s="1408">
        <f t="shared" si="140"/>
        <v>-0.79</v>
      </c>
      <c r="EW23" s="1218">
        <f t="shared" si="50"/>
        <v>0</v>
      </c>
      <c r="EX23" s="1218">
        <f t="shared" si="43"/>
        <v>175</v>
      </c>
      <c r="EY23" s="1218"/>
      <c r="EZ23" s="1408">
        <v>5.2</v>
      </c>
      <c r="FA23" s="1218">
        <f t="shared" si="116"/>
        <v>0</v>
      </c>
      <c r="FB23" s="1218">
        <f t="shared" si="117"/>
        <v>0</v>
      </c>
      <c r="FC23" s="1218">
        <f t="shared" si="118"/>
        <v>0</v>
      </c>
      <c r="FD23" s="1218">
        <f t="shared" si="119"/>
        <v>0</v>
      </c>
      <c r="FE23" s="1218">
        <f t="shared" si="120"/>
        <v>-0.44999999999999996</v>
      </c>
      <c r="FF23" s="1218">
        <f t="shared" si="121"/>
        <v>0</v>
      </c>
      <c r="FG23" s="1218">
        <f t="shared" si="122"/>
        <v>0</v>
      </c>
      <c r="FH23" s="1218">
        <f t="shared" si="123"/>
        <v>0</v>
      </c>
      <c r="FI23" s="1218">
        <f t="shared" si="124"/>
        <v>0</v>
      </c>
      <c r="FJ23" s="1218">
        <f t="shared" si="125"/>
        <v>0</v>
      </c>
      <c r="FK23" s="1218">
        <f t="shared" si="126"/>
        <v>0</v>
      </c>
      <c r="FL23" s="1218">
        <f t="shared" si="127"/>
        <v>0</v>
      </c>
      <c r="FM23" s="1218">
        <f t="shared" si="128"/>
        <v>0</v>
      </c>
      <c r="FN23" s="1218">
        <f t="shared" si="129"/>
        <v>0</v>
      </c>
      <c r="FO23" s="1218">
        <f t="shared" si="130"/>
        <v>0</v>
      </c>
      <c r="FP23" s="1218">
        <f t="shared" si="131"/>
        <v>0</v>
      </c>
      <c r="FQ23" s="1408">
        <f t="shared" si="141"/>
        <v>-0.64</v>
      </c>
      <c r="FR23" s="1218">
        <f t="shared" si="51"/>
        <v>0</v>
      </c>
      <c r="FS23" s="1218">
        <f t="shared" si="46"/>
        <v>150</v>
      </c>
      <c r="FT23" s="1218"/>
      <c r="FU23" s="1218" t="e">
        <f t="shared" si="12"/>
        <v>#VALUE!</v>
      </c>
      <c r="FV23" s="1218" t="e">
        <f t="shared" si="31"/>
        <v>#VALUE!</v>
      </c>
      <c r="FW23" s="1218" t="e">
        <f t="shared" si="13"/>
        <v>#VALUE!</v>
      </c>
      <c r="FX23" s="1218" t="e">
        <f t="shared" si="14"/>
        <v>#VALUE!</v>
      </c>
      <c r="FY23" s="1218" t="e">
        <f t="shared" si="15"/>
        <v>#VALUE!</v>
      </c>
      <c r="FZ23" s="1218" t="e">
        <f t="shared" si="16"/>
        <v>#VALUE!</v>
      </c>
      <c r="GA23" s="1218" t="e">
        <f t="shared" si="17"/>
        <v>#VALUE!</v>
      </c>
      <c r="GB23" s="1218" t="e">
        <f t="shared" si="18"/>
        <v>#VALUE!</v>
      </c>
      <c r="GC23" s="1218" t="e">
        <f t="shared" si="19"/>
        <v>#VALUE!</v>
      </c>
      <c r="GD23" s="1218" t="e">
        <f t="shared" si="20"/>
        <v>#VALUE!</v>
      </c>
      <c r="GE23" s="1218" t="e">
        <f t="shared" si="21"/>
        <v>#VALUE!</v>
      </c>
      <c r="GF23" s="1218" t="e">
        <f t="shared" si="22"/>
        <v>#VALUE!</v>
      </c>
      <c r="GG23" s="1218" t="e">
        <f t="shared" si="23"/>
        <v>#VALUE!</v>
      </c>
      <c r="GH23" s="1218" t="e">
        <f t="shared" si="24"/>
        <v>#VALUE!</v>
      </c>
      <c r="GI23" s="1218" t="e">
        <f t="shared" si="25"/>
        <v>#VALUE!</v>
      </c>
      <c r="GJ23" s="1218" t="e">
        <f t="shared" si="26"/>
        <v>#VALUE!</v>
      </c>
      <c r="GK23" s="1218" t="e">
        <f t="shared" si="27"/>
        <v>#VALUE!</v>
      </c>
      <c r="GL23" s="1218" t="e">
        <f t="shared" si="28"/>
        <v>#VALUE!</v>
      </c>
      <c r="GM23" s="1218" t="e">
        <f t="shared" si="29"/>
        <v>#VALUE!</v>
      </c>
    </row>
    <row r="24" spans="1:195" ht="16.5" customHeight="1">
      <c r="A24" s="1631">
        <v>119</v>
      </c>
      <c r="B24" s="1901"/>
      <c r="C24" s="1455" t="s">
        <v>295</v>
      </c>
      <c r="D24" s="1456"/>
      <c r="E24" s="1457"/>
      <c r="F24" s="1457"/>
      <c r="G24" s="1457"/>
      <c r="H24" s="1457"/>
      <c r="I24" s="1457"/>
      <c r="J24" s="1458"/>
      <c r="K24" s="1446">
        <f>IF(($AC24&lt;10),SUM(((AL24+(ROUNDUP(($AC24*BG24),2)))/100)),SUM(((AL24+(ROUNDUP(((9*BG24)+GB24),2)))/100)))</f>
        <v>-0.45</v>
      </c>
      <c r="L24" s="1446">
        <f>IF(($AC24&lt;10),SUM(((AM24+(ROUNDUP(($AC24*BH24),2)))/100)),SUM(((AM24+(ROUNDUP(((9*BH24)+GC24),2)))/100)))</f>
        <v>-0.22500000000000001</v>
      </c>
      <c r="M24" s="1446">
        <f>IF(($AC24&lt;10),SUM(((AN24+(ROUNDUP(($AC24*BI24),2)))/100)),SUM(((AN24+(ROUNDUP(((9*BI24)+GD24),2)))/100)))</f>
        <v>-0.45</v>
      </c>
      <c r="N24" s="1456"/>
      <c r="O24" s="1457"/>
      <c r="P24" s="1457"/>
      <c r="Q24" s="1410" t="str">
        <f t="shared" si="132"/>
        <v>Selected</v>
      </c>
      <c r="R24" s="1459"/>
      <c r="S24" s="1410">
        <f t="shared" si="133"/>
        <v>1000</v>
      </c>
      <c r="T24" s="1459">
        <f t="shared" si="134"/>
        <v>5</v>
      </c>
      <c r="U24" s="1459">
        <f t="shared" si="135"/>
        <v>60</v>
      </c>
      <c r="V24" s="1410">
        <f t="shared" si="136"/>
        <v>20</v>
      </c>
      <c r="W24" s="1410">
        <f t="shared" si="0"/>
        <v>2500</v>
      </c>
      <c r="X24" s="1410"/>
      <c r="Y24" s="1410"/>
      <c r="Z24" s="1410"/>
      <c r="AA24" s="1405"/>
      <c r="AB24" s="1217"/>
      <c r="AC24" s="1232">
        <f t="shared" si="30"/>
        <v>0</v>
      </c>
      <c r="AD24" s="1218"/>
      <c r="AE24" s="1406"/>
      <c r="AF24" s="1406"/>
      <c r="AG24" s="1406"/>
      <c r="AH24" s="1406"/>
      <c r="AI24" s="1406"/>
      <c r="AJ24" s="1406"/>
      <c r="AK24" s="1406"/>
      <c r="AL24" s="1406">
        <v>-45</v>
      </c>
      <c r="AM24" s="1406">
        <v>-22.5</v>
      </c>
      <c r="AN24" s="1406">
        <v>-45</v>
      </c>
      <c r="AO24" s="1406"/>
      <c r="AP24" s="1406"/>
      <c r="AQ24" s="1406"/>
      <c r="AR24" s="1406" t="s">
        <v>283</v>
      </c>
      <c r="AS24" s="1407"/>
      <c r="AT24" s="1406">
        <v>1000</v>
      </c>
      <c r="AU24" s="1406">
        <v>5</v>
      </c>
      <c r="AV24" s="1406">
        <v>60</v>
      </c>
      <c r="AW24" s="1406">
        <v>20</v>
      </c>
      <c r="AX24" s="1406">
        <v>2500</v>
      </c>
      <c r="AY24" s="1218"/>
      <c r="AZ24" s="1218"/>
      <c r="BA24" s="1218"/>
      <c r="BB24" s="1218"/>
      <c r="BC24" s="1218"/>
      <c r="BD24" s="1218"/>
      <c r="BE24" s="1406"/>
      <c r="BF24" s="1406"/>
      <c r="BG24" s="1218">
        <f>SUM((AL24/27))</f>
        <v>-1.6666666666666667</v>
      </c>
      <c r="BH24" s="1218">
        <f>SUM((AM24/27))</f>
        <v>-0.83333333333333337</v>
      </c>
      <c r="BI24" s="1218">
        <f>SUM((AN24/27))</f>
        <v>-1.6666666666666667</v>
      </c>
      <c r="BJ24" s="1218"/>
      <c r="BK24" s="1218"/>
      <c r="BL24" s="1218"/>
      <c r="BM24" s="1218"/>
      <c r="BN24" s="1218"/>
      <c r="BO24" s="1218"/>
      <c r="BP24" s="1218">
        <f t="shared" si="137"/>
        <v>-3.3333333333333335</v>
      </c>
      <c r="BQ24" s="1218"/>
      <c r="BR24" s="1218">
        <f t="shared" si="1"/>
        <v>277.77777777777777</v>
      </c>
      <c r="BS24" s="1218"/>
      <c r="BT24" s="1408">
        <v>2.33</v>
      </c>
      <c r="BU24" s="1218">
        <f t="shared" si="52"/>
        <v>0</v>
      </c>
      <c r="BV24" s="1218">
        <f t="shared" si="53"/>
        <v>0</v>
      </c>
      <c r="BW24" s="1218">
        <f t="shared" si="54"/>
        <v>0</v>
      </c>
      <c r="BX24" s="1218">
        <f t="shared" si="55"/>
        <v>0</v>
      </c>
      <c r="BY24" s="1218">
        <f t="shared" si="56"/>
        <v>0</v>
      </c>
      <c r="BZ24" s="1218">
        <f t="shared" si="57"/>
        <v>0</v>
      </c>
      <c r="CA24" s="1218">
        <f t="shared" si="58"/>
        <v>0</v>
      </c>
      <c r="CB24" s="1218">
        <f t="shared" si="59"/>
        <v>-1.5</v>
      </c>
      <c r="CC24" s="1218">
        <f t="shared" si="60"/>
        <v>-0.75</v>
      </c>
      <c r="CD24" s="1218">
        <f t="shared" si="61"/>
        <v>-1.5</v>
      </c>
      <c r="CE24" s="1218">
        <f t="shared" si="62"/>
        <v>0</v>
      </c>
      <c r="CF24" s="1218">
        <f t="shared" si="63"/>
        <v>0</v>
      </c>
      <c r="CG24" s="1218">
        <f t="shared" si="64"/>
        <v>0</v>
      </c>
      <c r="CH24" s="1218">
        <f t="shared" si="65"/>
        <v>0</v>
      </c>
      <c r="CI24" s="1218">
        <f t="shared" si="66"/>
        <v>0</v>
      </c>
      <c r="CJ24" s="1218">
        <f t="shared" si="67"/>
        <v>0</v>
      </c>
      <c r="CK24" s="1408">
        <f t="shared" si="142"/>
        <v>-1.43</v>
      </c>
      <c r="CL24" s="1218">
        <f t="shared" si="47"/>
        <v>0</v>
      </c>
      <c r="CM24" s="1218">
        <f t="shared" si="34"/>
        <v>250</v>
      </c>
      <c r="CN24" s="1218"/>
      <c r="CO24" s="1408">
        <v>2.84</v>
      </c>
      <c r="CP24" s="1218">
        <f t="shared" si="68"/>
        <v>0</v>
      </c>
      <c r="CQ24" s="1218">
        <f t="shared" si="69"/>
        <v>0</v>
      </c>
      <c r="CR24" s="1218">
        <f t="shared" si="70"/>
        <v>0</v>
      </c>
      <c r="CS24" s="1218">
        <f t="shared" si="71"/>
        <v>0</v>
      </c>
      <c r="CT24" s="1218">
        <f t="shared" si="72"/>
        <v>0</v>
      </c>
      <c r="CU24" s="1218">
        <f t="shared" si="73"/>
        <v>0</v>
      </c>
      <c r="CV24" s="1218">
        <f t="shared" si="74"/>
        <v>0</v>
      </c>
      <c r="CW24" s="1218">
        <f t="shared" si="75"/>
        <v>-1.35</v>
      </c>
      <c r="CX24" s="1218">
        <f t="shared" si="76"/>
        <v>-0.67500000000000004</v>
      </c>
      <c r="CY24" s="1218">
        <f t="shared" si="77"/>
        <v>-1.35</v>
      </c>
      <c r="CZ24" s="1218">
        <f t="shared" si="78"/>
        <v>0</v>
      </c>
      <c r="DA24" s="1218">
        <f t="shared" si="79"/>
        <v>0</v>
      </c>
      <c r="DB24" s="1218">
        <f t="shared" si="80"/>
        <v>0</v>
      </c>
      <c r="DC24" s="1218">
        <f t="shared" si="81"/>
        <v>0</v>
      </c>
      <c r="DD24" s="1218">
        <f t="shared" si="82"/>
        <v>0</v>
      </c>
      <c r="DE24" s="1218">
        <f t="shared" si="83"/>
        <v>0</v>
      </c>
      <c r="DF24" s="1408">
        <f t="shared" si="138"/>
        <v>-1.17</v>
      </c>
      <c r="DG24" s="1218">
        <f t="shared" si="48"/>
        <v>0</v>
      </c>
      <c r="DH24" s="1218">
        <f t="shared" si="37"/>
        <v>225</v>
      </c>
      <c r="DI24" s="1218"/>
      <c r="DJ24" s="1408">
        <v>3.45</v>
      </c>
      <c r="DK24" s="1218">
        <f t="shared" si="84"/>
        <v>0</v>
      </c>
      <c r="DL24" s="1218">
        <f t="shared" si="85"/>
        <v>0</v>
      </c>
      <c r="DM24" s="1218">
        <f t="shared" si="86"/>
        <v>0</v>
      </c>
      <c r="DN24" s="1218">
        <f t="shared" si="87"/>
        <v>0</v>
      </c>
      <c r="DO24" s="1218">
        <f t="shared" si="88"/>
        <v>0</v>
      </c>
      <c r="DP24" s="1218">
        <f t="shared" si="89"/>
        <v>0</v>
      </c>
      <c r="DQ24" s="1218">
        <f t="shared" si="90"/>
        <v>0</v>
      </c>
      <c r="DR24" s="1218">
        <f t="shared" si="91"/>
        <v>-1.2000000000000002</v>
      </c>
      <c r="DS24" s="1218">
        <f t="shared" si="92"/>
        <v>-0.60000000000000009</v>
      </c>
      <c r="DT24" s="1218">
        <f t="shared" si="93"/>
        <v>-1.2000000000000002</v>
      </c>
      <c r="DU24" s="1218">
        <f t="shared" si="94"/>
        <v>0</v>
      </c>
      <c r="DV24" s="1218">
        <f t="shared" si="95"/>
        <v>0</v>
      </c>
      <c r="DW24" s="1218">
        <f t="shared" si="96"/>
        <v>0</v>
      </c>
      <c r="DX24" s="1218">
        <f t="shared" si="97"/>
        <v>0</v>
      </c>
      <c r="DY24" s="1218">
        <f t="shared" si="98"/>
        <v>0</v>
      </c>
      <c r="DZ24" s="1218">
        <f t="shared" si="99"/>
        <v>0</v>
      </c>
      <c r="EA24" s="1408">
        <f t="shared" si="139"/>
        <v>-0.97</v>
      </c>
      <c r="EB24" s="1218">
        <f t="shared" si="49"/>
        <v>0</v>
      </c>
      <c r="EC24" s="1218">
        <f t="shared" si="40"/>
        <v>200</v>
      </c>
      <c r="ED24" s="1218"/>
      <c r="EE24" s="1408">
        <v>4.2300000000000004</v>
      </c>
      <c r="EF24" s="1218">
        <f t="shared" si="100"/>
        <v>0</v>
      </c>
      <c r="EG24" s="1218">
        <f t="shared" si="101"/>
        <v>0</v>
      </c>
      <c r="EH24" s="1218">
        <f t="shared" si="102"/>
        <v>0</v>
      </c>
      <c r="EI24" s="1218">
        <f t="shared" si="103"/>
        <v>0</v>
      </c>
      <c r="EJ24" s="1218">
        <f t="shared" si="104"/>
        <v>0</v>
      </c>
      <c r="EK24" s="1218">
        <f t="shared" si="105"/>
        <v>0</v>
      </c>
      <c r="EL24" s="1218">
        <f t="shared" si="106"/>
        <v>0</v>
      </c>
      <c r="EM24" s="1218">
        <f t="shared" si="107"/>
        <v>-1.0499999999999998</v>
      </c>
      <c r="EN24" s="1218">
        <f t="shared" si="108"/>
        <v>-0.52499999999999991</v>
      </c>
      <c r="EO24" s="1218">
        <f t="shared" si="109"/>
        <v>-1.0499999999999998</v>
      </c>
      <c r="EP24" s="1218">
        <f t="shared" si="110"/>
        <v>0</v>
      </c>
      <c r="EQ24" s="1218">
        <f t="shared" si="111"/>
        <v>0</v>
      </c>
      <c r="ER24" s="1218">
        <f t="shared" si="112"/>
        <v>0</v>
      </c>
      <c r="ES24" s="1218">
        <f t="shared" si="113"/>
        <v>0</v>
      </c>
      <c r="ET24" s="1218">
        <f t="shared" si="114"/>
        <v>0</v>
      </c>
      <c r="EU24" s="1218">
        <f t="shared" si="115"/>
        <v>0</v>
      </c>
      <c r="EV24" s="1408">
        <f t="shared" si="140"/>
        <v>-0.79</v>
      </c>
      <c r="EW24" s="1218">
        <f t="shared" si="50"/>
        <v>0</v>
      </c>
      <c r="EX24" s="1218">
        <f t="shared" si="43"/>
        <v>175</v>
      </c>
      <c r="EY24" s="1218"/>
      <c r="EZ24" s="1408">
        <v>5.2</v>
      </c>
      <c r="FA24" s="1218">
        <f t="shared" si="116"/>
        <v>0</v>
      </c>
      <c r="FB24" s="1218">
        <f t="shared" si="117"/>
        <v>0</v>
      </c>
      <c r="FC24" s="1218">
        <f t="shared" si="118"/>
        <v>0</v>
      </c>
      <c r="FD24" s="1218">
        <f t="shared" si="119"/>
        <v>0</v>
      </c>
      <c r="FE24" s="1218">
        <f t="shared" si="120"/>
        <v>0</v>
      </c>
      <c r="FF24" s="1218">
        <f t="shared" si="121"/>
        <v>0</v>
      </c>
      <c r="FG24" s="1218">
        <f t="shared" si="122"/>
        <v>0</v>
      </c>
      <c r="FH24" s="1218">
        <f t="shared" si="123"/>
        <v>-0.89999999999999991</v>
      </c>
      <c r="FI24" s="1218">
        <f t="shared" si="124"/>
        <v>-0.44999999999999996</v>
      </c>
      <c r="FJ24" s="1218">
        <f t="shared" si="125"/>
        <v>-0.89999999999999991</v>
      </c>
      <c r="FK24" s="1218">
        <f t="shared" si="126"/>
        <v>0</v>
      </c>
      <c r="FL24" s="1218">
        <f t="shared" si="127"/>
        <v>0</v>
      </c>
      <c r="FM24" s="1218">
        <f t="shared" si="128"/>
        <v>0</v>
      </c>
      <c r="FN24" s="1218">
        <f t="shared" si="129"/>
        <v>0</v>
      </c>
      <c r="FO24" s="1218">
        <f t="shared" si="130"/>
        <v>0</v>
      </c>
      <c r="FP24" s="1218">
        <f t="shared" si="131"/>
        <v>0</v>
      </c>
      <c r="FQ24" s="1408">
        <f t="shared" si="141"/>
        <v>-0.64</v>
      </c>
      <c r="FR24" s="1218">
        <f t="shared" si="51"/>
        <v>0</v>
      </c>
      <c r="FS24" s="1218">
        <f t="shared" si="46"/>
        <v>150</v>
      </c>
      <c r="FT24" s="1218"/>
      <c r="FU24" s="1218" t="e">
        <f t="shared" si="12"/>
        <v>#VALUE!</v>
      </c>
      <c r="FV24" s="1218" t="e">
        <f t="shared" si="31"/>
        <v>#VALUE!</v>
      </c>
      <c r="FW24" s="1218" t="e">
        <f t="shared" si="13"/>
        <v>#VALUE!</v>
      </c>
      <c r="FX24" s="1218" t="e">
        <f t="shared" si="14"/>
        <v>#VALUE!</v>
      </c>
      <c r="FY24" s="1218" t="e">
        <f t="shared" si="15"/>
        <v>#VALUE!</v>
      </c>
      <c r="FZ24" s="1218" t="e">
        <f t="shared" si="16"/>
        <v>#VALUE!</v>
      </c>
      <c r="GA24" s="1218" t="e">
        <f t="shared" si="17"/>
        <v>#VALUE!</v>
      </c>
      <c r="GB24" s="1218" t="e">
        <f t="shared" si="18"/>
        <v>#VALUE!</v>
      </c>
      <c r="GC24" s="1218" t="e">
        <f t="shared" si="19"/>
        <v>#VALUE!</v>
      </c>
      <c r="GD24" s="1218" t="e">
        <f t="shared" si="20"/>
        <v>#VALUE!</v>
      </c>
      <c r="GE24" s="1218" t="e">
        <f t="shared" si="21"/>
        <v>#VALUE!</v>
      </c>
      <c r="GF24" s="1218" t="e">
        <f t="shared" si="22"/>
        <v>#VALUE!</v>
      </c>
      <c r="GG24" s="1218" t="e">
        <f t="shared" si="23"/>
        <v>#VALUE!</v>
      </c>
      <c r="GH24" s="1218" t="e">
        <f t="shared" si="24"/>
        <v>#VALUE!</v>
      </c>
      <c r="GI24" s="1218" t="e">
        <f t="shared" si="25"/>
        <v>#VALUE!</v>
      </c>
      <c r="GJ24" s="1218" t="e">
        <f t="shared" si="26"/>
        <v>#VALUE!</v>
      </c>
      <c r="GK24" s="1218" t="e">
        <f t="shared" si="27"/>
        <v>#VALUE!</v>
      </c>
      <c r="GL24" s="1218" t="e">
        <f t="shared" si="28"/>
        <v>#VALUE!</v>
      </c>
      <c r="GM24" s="1218" t="e">
        <f t="shared" si="29"/>
        <v>#VALUE!</v>
      </c>
    </row>
    <row r="25" spans="1:195" ht="16.5" customHeight="1">
      <c r="A25" s="1631">
        <v>120</v>
      </c>
      <c r="B25" s="1901"/>
      <c r="C25" s="1450" t="s">
        <v>296</v>
      </c>
      <c r="D25" s="1451"/>
      <c r="E25" s="1452"/>
      <c r="F25" s="1452"/>
      <c r="G25" s="1452"/>
      <c r="H25" s="1452"/>
      <c r="I25" s="1452"/>
      <c r="J25" s="1452"/>
      <c r="K25" s="1452"/>
      <c r="L25" s="1452"/>
      <c r="M25" s="1452"/>
      <c r="N25" s="1452">
        <f>IF(($AC25&lt;10),SUM(((AO25+(ROUNDUP(($AC25*BJ25),2)))/100)),SUM(((AO25+(ROUNDUP(((9*BJ25)+GE25),2)))/100)))</f>
        <v>-0.45</v>
      </c>
      <c r="O25" s="1452">
        <f>IF(($AC25&lt;10),SUM(((AP25+(ROUNDUP(($AC25*BK25),2)))/100)),SUM(((AP25+(ROUNDUP(((9*BK25)+GF25),2)))/100)))</f>
        <v>-0.45</v>
      </c>
      <c r="P25" s="1452">
        <f>IF(($AC25&lt;10),SUM(((AQ25+(ROUNDUP(($AC25*BL25),2)))/100)),SUM(((AQ25+(ROUNDUP(((9*BL25)+GG25),2)))/100)))</f>
        <v>-0.45</v>
      </c>
      <c r="Q25" s="1409" t="str">
        <f t="shared" si="132"/>
        <v>Selected</v>
      </c>
      <c r="R25" s="1454"/>
      <c r="S25" s="1409">
        <f t="shared" si="133"/>
        <v>1000</v>
      </c>
      <c r="T25" s="1454">
        <f t="shared" si="134"/>
        <v>5</v>
      </c>
      <c r="U25" s="1454">
        <f t="shared" si="135"/>
        <v>60</v>
      </c>
      <c r="V25" s="1409">
        <f t="shared" si="136"/>
        <v>20</v>
      </c>
      <c r="W25" s="1409">
        <f t="shared" si="0"/>
        <v>2500</v>
      </c>
      <c r="X25" s="1409"/>
      <c r="Y25" s="1409"/>
      <c r="Z25" s="1409"/>
      <c r="AA25" s="1405"/>
      <c r="AB25" s="1217"/>
      <c r="AC25" s="1232">
        <f t="shared" si="30"/>
        <v>0</v>
      </c>
      <c r="AD25" s="1218"/>
      <c r="AE25" s="1406"/>
      <c r="AF25" s="1406"/>
      <c r="AG25" s="1406"/>
      <c r="AH25" s="1406"/>
      <c r="AI25" s="1406"/>
      <c r="AJ25" s="1406"/>
      <c r="AK25" s="1406"/>
      <c r="AL25" s="1406"/>
      <c r="AM25" s="1406"/>
      <c r="AN25" s="1406"/>
      <c r="AO25" s="1406">
        <v>-45</v>
      </c>
      <c r="AP25" s="1406">
        <v>-45</v>
      </c>
      <c r="AQ25" s="1406">
        <v>-45</v>
      </c>
      <c r="AR25" s="1406" t="s">
        <v>283</v>
      </c>
      <c r="AS25" s="1407"/>
      <c r="AT25" s="1406">
        <v>1000</v>
      </c>
      <c r="AU25" s="1406">
        <v>5</v>
      </c>
      <c r="AV25" s="1406">
        <v>60</v>
      </c>
      <c r="AW25" s="1406">
        <v>20</v>
      </c>
      <c r="AX25" s="1406">
        <v>2500</v>
      </c>
      <c r="AY25" s="1218"/>
      <c r="AZ25" s="1218"/>
      <c r="BA25" s="1218"/>
      <c r="BB25" s="1218"/>
      <c r="BC25" s="1218"/>
      <c r="BD25" s="1218"/>
      <c r="BE25" s="1406"/>
      <c r="BF25" s="1406"/>
      <c r="BG25" s="1218"/>
      <c r="BH25" s="1218"/>
      <c r="BI25" s="1218"/>
      <c r="BJ25" s="1218">
        <f>SUM((AO25/27))</f>
        <v>-1.6666666666666667</v>
      </c>
      <c r="BK25" s="1218">
        <f>SUM((AP25/27))</f>
        <v>-1.6666666666666667</v>
      </c>
      <c r="BL25" s="1218">
        <f>SUM((AQ25/27))</f>
        <v>-1.6666666666666667</v>
      </c>
      <c r="BM25" s="1218"/>
      <c r="BN25" s="1218"/>
      <c r="BO25" s="1218"/>
      <c r="BP25" s="1218">
        <f t="shared" si="137"/>
        <v>-3.3333333333333335</v>
      </c>
      <c r="BQ25" s="1218"/>
      <c r="BR25" s="1218">
        <f t="shared" si="1"/>
        <v>277.77777777777777</v>
      </c>
      <c r="BS25" s="1218"/>
      <c r="BT25" s="1408">
        <v>2.33</v>
      </c>
      <c r="BU25" s="1218">
        <f t="shared" si="52"/>
        <v>0</v>
      </c>
      <c r="BV25" s="1218">
        <f t="shared" si="53"/>
        <v>0</v>
      </c>
      <c r="BW25" s="1218">
        <f t="shared" si="54"/>
        <v>0</v>
      </c>
      <c r="BX25" s="1218">
        <f t="shared" si="55"/>
        <v>0</v>
      </c>
      <c r="BY25" s="1218">
        <f t="shared" si="56"/>
        <v>0</v>
      </c>
      <c r="BZ25" s="1218">
        <f t="shared" si="57"/>
        <v>0</v>
      </c>
      <c r="CA25" s="1218">
        <f t="shared" si="58"/>
        <v>0</v>
      </c>
      <c r="CB25" s="1218">
        <f t="shared" si="59"/>
        <v>0</v>
      </c>
      <c r="CC25" s="1218">
        <f t="shared" si="60"/>
        <v>0</v>
      </c>
      <c r="CD25" s="1218">
        <f t="shared" si="61"/>
        <v>0</v>
      </c>
      <c r="CE25" s="1218">
        <f t="shared" si="62"/>
        <v>-1.5</v>
      </c>
      <c r="CF25" s="1218">
        <f t="shared" si="63"/>
        <v>-1.5</v>
      </c>
      <c r="CG25" s="1411">
        <f t="shared" si="64"/>
        <v>-1.5</v>
      </c>
      <c r="CH25" s="1218">
        <f t="shared" si="65"/>
        <v>0</v>
      </c>
      <c r="CI25" s="1218">
        <f t="shared" si="66"/>
        <v>0</v>
      </c>
      <c r="CJ25" s="1218">
        <f t="shared" si="67"/>
        <v>0</v>
      </c>
      <c r="CK25" s="1408">
        <f t="shared" si="142"/>
        <v>-1.43</v>
      </c>
      <c r="CL25" s="1218">
        <f t="shared" si="47"/>
        <v>0</v>
      </c>
      <c r="CM25" s="1218">
        <f t="shared" si="34"/>
        <v>250</v>
      </c>
      <c r="CN25" s="1218"/>
      <c r="CO25" s="1408">
        <v>2.84</v>
      </c>
      <c r="CP25" s="1218">
        <f t="shared" si="68"/>
        <v>0</v>
      </c>
      <c r="CQ25" s="1218">
        <f t="shared" si="69"/>
        <v>0</v>
      </c>
      <c r="CR25" s="1218">
        <f t="shared" si="70"/>
        <v>0</v>
      </c>
      <c r="CS25" s="1218">
        <f t="shared" si="71"/>
        <v>0</v>
      </c>
      <c r="CT25" s="1218">
        <f t="shared" si="72"/>
        <v>0</v>
      </c>
      <c r="CU25" s="1218">
        <f t="shared" si="73"/>
        <v>0</v>
      </c>
      <c r="CV25" s="1218">
        <f t="shared" si="74"/>
        <v>0</v>
      </c>
      <c r="CW25" s="1218">
        <f t="shared" si="75"/>
        <v>0</v>
      </c>
      <c r="CX25" s="1218">
        <f t="shared" si="76"/>
        <v>0</v>
      </c>
      <c r="CY25" s="1218">
        <f t="shared" si="77"/>
        <v>0</v>
      </c>
      <c r="CZ25" s="1218">
        <f t="shared" si="78"/>
        <v>-1.35</v>
      </c>
      <c r="DA25" s="1218">
        <f t="shared" si="79"/>
        <v>-1.35</v>
      </c>
      <c r="DB25" s="1218">
        <f t="shared" si="80"/>
        <v>-1.35</v>
      </c>
      <c r="DC25" s="1218">
        <f t="shared" si="81"/>
        <v>0</v>
      </c>
      <c r="DD25" s="1218">
        <f t="shared" si="82"/>
        <v>0</v>
      </c>
      <c r="DE25" s="1218">
        <f t="shared" si="83"/>
        <v>0</v>
      </c>
      <c r="DF25" s="1408">
        <f t="shared" si="138"/>
        <v>-1.17</v>
      </c>
      <c r="DG25" s="1218">
        <f t="shared" si="48"/>
        <v>0</v>
      </c>
      <c r="DH25" s="1218">
        <f t="shared" si="37"/>
        <v>225</v>
      </c>
      <c r="DI25" s="1218"/>
      <c r="DJ25" s="1408">
        <v>3.45</v>
      </c>
      <c r="DK25" s="1218">
        <f t="shared" si="84"/>
        <v>0</v>
      </c>
      <c r="DL25" s="1218">
        <f t="shared" si="85"/>
        <v>0</v>
      </c>
      <c r="DM25" s="1218">
        <f t="shared" si="86"/>
        <v>0</v>
      </c>
      <c r="DN25" s="1218">
        <f t="shared" si="87"/>
        <v>0</v>
      </c>
      <c r="DO25" s="1218">
        <f t="shared" si="88"/>
        <v>0</v>
      </c>
      <c r="DP25" s="1218">
        <f t="shared" si="89"/>
        <v>0</v>
      </c>
      <c r="DQ25" s="1218">
        <f t="shared" si="90"/>
        <v>0</v>
      </c>
      <c r="DR25" s="1218">
        <f t="shared" si="91"/>
        <v>0</v>
      </c>
      <c r="DS25" s="1218">
        <f t="shared" si="92"/>
        <v>0</v>
      </c>
      <c r="DT25" s="1218">
        <f t="shared" si="93"/>
        <v>0</v>
      </c>
      <c r="DU25" s="1218">
        <f t="shared" si="94"/>
        <v>-1.2000000000000002</v>
      </c>
      <c r="DV25" s="1218">
        <f t="shared" si="95"/>
        <v>-1.2000000000000002</v>
      </c>
      <c r="DW25" s="1218">
        <f t="shared" si="96"/>
        <v>-1.2000000000000002</v>
      </c>
      <c r="DX25" s="1218">
        <f t="shared" si="97"/>
        <v>0</v>
      </c>
      <c r="DY25" s="1218">
        <f t="shared" si="98"/>
        <v>0</v>
      </c>
      <c r="DZ25" s="1218">
        <f t="shared" si="99"/>
        <v>0</v>
      </c>
      <c r="EA25" s="1408">
        <f t="shared" si="139"/>
        <v>-0.97</v>
      </c>
      <c r="EB25" s="1218">
        <f t="shared" si="49"/>
        <v>0</v>
      </c>
      <c r="EC25" s="1218">
        <f t="shared" si="40"/>
        <v>200</v>
      </c>
      <c r="ED25" s="1218"/>
      <c r="EE25" s="1408">
        <v>4.2300000000000004</v>
      </c>
      <c r="EF25" s="1218">
        <f t="shared" si="100"/>
        <v>0</v>
      </c>
      <c r="EG25" s="1218">
        <f t="shared" si="101"/>
        <v>0</v>
      </c>
      <c r="EH25" s="1218">
        <f t="shared" si="102"/>
        <v>0</v>
      </c>
      <c r="EI25" s="1218">
        <f t="shared" si="103"/>
        <v>0</v>
      </c>
      <c r="EJ25" s="1218">
        <f t="shared" si="104"/>
        <v>0</v>
      </c>
      <c r="EK25" s="1218">
        <f t="shared" si="105"/>
        <v>0</v>
      </c>
      <c r="EL25" s="1218">
        <f t="shared" si="106"/>
        <v>0</v>
      </c>
      <c r="EM25" s="1218">
        <f t="shared" si="107"/>
        <v>0</v>
      </c>
      <c r="EN25" s="1218">
        <f t="shared" si="108"/>
        <v>0</v>
      </c>
      <c r="EO25" s="1218">
        <f t="shared" si="109"/>
        <v>0</v>
      </c>
      <c r="EP25" s="1218">
        <f t="shared" si="110"/>
        <v>-1.0499999999999998</v>
      </c>
      <c r="EQ25" s="1218">
        <f t="shared" si="111"/>
        <v>-1.0499999999999998</v>
      </c>
      <c r="ER25" s="1218">
        <f t="shared" si="112"/>
        <v>-1.0499999999999998</v>
      </c>
      <c r="ES25" s="1218">
        <f t="shared" si="113"/>
        <v>0</v>
      </c>
      <c r="ET25" s="1218">
        <f t="shared" si="114"/>
        <v>0</v>
      </c>
      <c r="EU25" s="1218">
        <f t="shared" si="115"/>
        <v>0</v>
      </c>
      <c r="EV25" s="1408">
        <f t="shared" si="140"/>
        <v>-0.79</v>
      </c>
      <c r="EW25" s="1218">
        <f t="shared" si="50"/>
        <v>0</v>
      </c>
      <c r="EX25" s="1218">
        <f t="shared" si="43"/>
        <v>175</v>
      </c>
      <c r="EY25" s="1218"/>
      <c r="EZ25" s="1408">
        <v>5.2</v>
      </c>
      <c r="FA25" s="1218">
        <f t="shared" si="116"/>
        <v>0</v>
      </c>
      <c r="FB25" s="1218">
        <f t="shared" si="117"/>
        <v>0</v>
      </c>
      <c r="FC25" s="1218">
        <f t="shared" si="118"/>
        <v>0</v>
      </c>
      <c r="FD25" s="1218">
        <f t="shared" si="119"/>
        <v>0</v>
      </c>
      <c r="FE25" s="1218">
        <f t="shared" si="120"/>
        <v>0</v>
      </c>
      <c r="FF25" s="1218">
        <f t="shared" si="121"/>
        <v>0</v>
      </c>
      <c r="FG25" s="1218">
        <f t="shared" si="122"/>
        <v>0</v>
      </c>
      <c r="FH25" s="1218">
        <f t="shared" si="123"/>
        <v>0</v>
      </c>
      <c r="FI25" s="1218">
        <f t="shared" si="124"/>
        <v>0</v>
      </c>
      <c r="FJ25" s="1218">
        <f t="shared" si="125"/>
        <v>0</v>
      </c>
      <c r="FK25" s="1218">
        <f t="shared" si="126"/>
        <v>-0.89999999999999991</v>
      </c>
      <c r="FL25" s="1218">
        <f t="shared" si="127"/>
        <v>-0.89999999999999991</v>
      </c>
      <c r="FM25" s="1218">
        <f t="shared" si="128"/>
        <v>-0.89999999999999991</v>
      </c>
      <c r="FN25" s="1218">
        <f t="shared" si="129"/>
        <v>0</v>
      </c>
      <c r="FO25" s="1218">
        <f t="shared" si="130"/>
        <v>0</v>
      </c>
      <c r="FP25" s="1218">
        <f t="shared" si="131"/>
        <v>0</v>
      </c>
      <c r="FQ25" s="1408">
        <f t="shared" si="141"/>
        <v>-0.64</v>
      </c>
      <c r="FR25" s="1218">
        <f t="shared" si="51"/>
        <v>0</v>
      </c>
      <c r="FS25" s="1218">
        <f t="shared" si="46"/>
        <v>150</v>
      </c>
      <c r="FT25" s="1218"/>
      <c r="FU25" s="1218" t="e">
        <f t="shared" si="12"/>
        <v>#VALUE!</v>
      </c>
      <c r="FV25" s="1218" t="e">
        <f t="shared" si="31"/>
        <v>#VALUE!</v>
      </c>
      <c r="FW25" s="1218" t="e">
        <f t="shared" si="13"/>
        <v>#VALUE!</v>
      </c>
      <c r="FX25" s="1218" t="e">
        <f t="shared" si="14"/>
        <v>#VALUE!</v>
      </c>
      <c r="FY25" s="1218" t="e">
        <f t="shared" si="15"/>
        <v>#VALUE!</v>
      </c>
      <c r="FZ25" s="1218" t="e">
        <f t="shared" si="16"/>
        <v>#VALUE!</v>
      </c>
      <c r="GA25" s="1218" t="e">
        <f t="shared" si="17"/>
        <v>#VALUE!</v>
      </c>
      <c r="GB25" s="1218" t="e">
        <f t="shared" si="18"/>
        <v>#VALUE!</v>
      </c>
      <c r="GC25" s="1218" t="e">
        <f t="shared" si="19"/>
        <v>#VALUE!</v>
      </c>
      <c r="GD25" s="1218" t="e">
        <f t="shared" si="20"/>
        <v>#VALUE!</v>
      </c>
      <c r="GE25" s="1218" t="e">
        <f t="shared" si="21"/>
        <v>#VALUE!</v>
      </c>
      <c r="GF25" s="1218" t="e">
        <f t="shared" si="22"/>
        <v>#VALUE!</v>
      </c>
      <c r="GG25" s="1218" t="e">
        <f t="shared" si="23"/>
        <v>#VALUE!</v>
      </c>
      <c r="GH25" s="1218" t="e">
        <f t="shared" si="24"/>
        <v>#VALUE!</v>
      </c>
      <c r="GI25" s="1218" t="e">
        <f t="shared" si="25"/>
        <v>#VALUE!</v>
      </c>
      <c r="GJ25" s="1218" t="e">
        <f t="shared" si="26"/>
        <v>#VALUE!</v>
      </c>
      <c r="GK25" s="1218" t="e">
        <f t="shared" si="27"/>
        <v>#VALUE!</v>
      </c>
      <c r="GL25" s="1218" t="e">
        <f t="shared" si="28"/>
        <v>#VALUE!</v>
      </c>
      <c r="GM25" s="1218" t="e">
        <f t="shared" si="29"/>
        <v>#VALUE!</v>
      </c>
    </row>
    <row r="26" spans="1:195" ht="33.75" customHeight="1">
      <c r="B26" s="1875"/>
      <c r="C26" s="1876"/>
      <c r="D26" s="1877" t="s">
        <v>94</v>
      </c>
      <c r="E26" s="1878"/>
      <c r="F26" s="1879"/>
      <c r="G26" s="1879"/>
      <c r="H26" s="1879"/>
      <c r="I26" s="1879"/>
      <c r="J26" s="1879"/>
      <c r="K26" s="1879"/>
      <c r="L26" s="1879"/>
      <c r="M26" s="1879"/>
      <c r="N26" s="1879"/>
      <c r="O26" s="1879"/>
      <c r="P26" s="1879"/>
      <c r="Q26" s="1880"/>
      <c r="R26" s="1881"/>
      <c r="S26" s="1880"/>
      <c r="T26" s="1881"/>
      <c r="U26" s="1881"/>
      <c r="V26" s="1880"/>
      <c r="W26" s="1880"/>
      <c r="X26" s="1460"/>
      <c r="Y26" s="1460"/>
      <c r="Z26" s="1460"/>
      <c r="AA26" s="1461"/>
      <c r="AB26" s="1462"/>
      <c r="AC26" s="1275">
        <f t="shared" si="30"/>
        <v>0</v>
      </c>
      <c r="AD26" s="1275"/>
      <c r="AE26" s="1463"/>
      <c r="AF26" s="1463"/>
      <c r="AG26" s="1463"/>
      <c r="AH26" s="1463"/>
      <c r="AI26" s="1463"/>
      <c r="AJ26" s="1463"/>
      <c r="AK26" s="1463"/>
      <c r="AL26" s="1463"/>
      <c r="AM26" s="1463"/>
      <c r="AN26" s="1463"/>
      <c r="AO26" s="1463"/>
      <c r="AP26" s="1463"/>
      <c r="AQ26" s="1463"/>
      <c r="AR26" s="1463"/>
      <c r="AS26" s="1464"/>
      <c r="AT26" s="1463"/>
      <c r="AU26" s="1463"/>
      <c r="AV26" s="1463"/>
      <c r="AW26" s="1463"/>
      <c r="AX26" s="1463"/>
      <c r="AY26" s="1275"/>
      <c r="AZ26" s="1275"/>
      <c r="BA26" s="1275"/>
      <c r="BB26" s="1275"/>
      <c r="BC26" s="1275"/>
      <c r="BD26" s="1275"/>
      <c r="BE26" s="1463"/>
      <c r="BF26" s="1463"/>
      <c r="BG26" s="1275"/>
      <c r="BH26" s="1275"/>
      <c r="BI26" s="1275"/>
      <c r="BJ26" s="1275"/>
      <c r="BK26" s="1275"/>
      <c r="BL26" s="1275"/>
      <c r="BM26" s="1275"/>
      <c r="BN26" s="1275"/>
      <c r="BO26" s="1275"/>
      <c r="BP26" s="1275"/>
      <c r="BQ26" s="1275"/>
      <c r="BR26" s="1275"/>
      <c r="BS26" s="1275"/>
      <c r="BT26" s="1275"/>
      <c r="BU26" s="1275"/>
      <c r="BV26" s="1275"/>
      <c r="BW26" s="1275"/>
      <c r="BX26" s="1275"/>
      <c r="BY26" s="1275"/>
      <c r="BZ26" s="1275"/>
      <c r="CA26" s="1275"/>
      <c r="CB26" s="1275"/>
      <c r="CC26" s="1275"/>
      <c r="CD26" s="1275"/>
      <c r="CE26" s="1275"/>
      <c r="CF26" s="1275"/>
      <c r="CG26" s="1465"/>
      <c r="CH26" s="1275"/>
      <c r="CI26" s="1275"/>
      <c r="CJ26" s="1275"/>
      <c r="CK26" s="1275"/>
      <c r="CL26" s="1275"/>
      <c r="CM26" s="1275"/>
      <c r="CN26" s="1275"/>
      <c r="CO26" s="1275"/>
      <c r="CP26" s="1275"/>
      <c r="CQ26" s="1275"/>
      <c r="CR26" s="1275"/>
      <c r="CS26" s="1275"/>
      <c r="CT26" s="1275"/>
      <c r="CU26" s="1275"/>
      <c r="CV26" s="1275"/>
      <c r="CW26" s="1275"/>
      <c r="CX26" s="1275"/>
      <c r="CY26" s="1275"/>
      <c r="CZ26" s="1275"/>
      <c r="DA26" s="1275"/>
      <c r="DB26" s="1275"/>
      <c r="DC26" s="1275"/>
      <c r="DD26" s="1275"/>
      <c r="DE26" s="1275"/>
      <c r="DF26" s="1275"/>
      <c r="DG26" s="1275"/>
      <c r="DH26" s="1275"/>
      <c r="DI26" s="1275"/>
      <c r="DJ26" s="1462"/>
      <c r="DK26" s="1275"/>
      <c r="DL26" s="1275"/>
      <c r="DM26" s="1275"/>
      <c r="DN26" s="1275"/>
      <c r="DO26" s="1275"/>
      <c r="DP26" s="1275"/>
      <c r="DQ26" s="1275"/>
      <c r="DR26" s="1275"/>
      <c r="DS26" s="1275"/>
      <c r="DT26" s="1275"/>
      <c r="DU26" s="1275"/>
      <c r="DV26" s="1275"/>
      <c r="DW26" s="1275"/>
      <c r="DX26" s="1275"/>
      <c r="DY26" s="1275"/>
      <c r="DZ26" s="1275"/>
      <c r="EA26" s="1275"/>
      <c r="EB26" s="1275"/>
      <c r="EC26" s="1275"/>
      <c r="ED26" s="1275"/>
      <c r="EE26" s="1275"/>
      <c r="EF26" s="1275"/>
      <c r="EG26" s="1275"/>
      <c r="EH26" s="1275"/>
      <c r="EI26" s="1275"/>
      <c r="EJ26" s="1275"/>
      <c r="EK26" s="1275"/>
      <c r="EL26" s="1275"/>
      <c r="EM26" s="1275"/>
      <c r="EN26" s="1275"/>
      <c r="EO26" s="1275"/>
      <c r="EP26" s="1275"/>
      <c r="EQ26" s="1275"/>
      <c r="ER26" s="1275"/>
      <c r="ES26" s="1275"/>
      <c r="ET26" s="1275"/>
      <c r="EU26" s="1275"/>
      <c r="EV26" s="1275"/>
      <c r="EW26" s="1275"/>
      <c r="EX26" s="1275"/>
      <c r="EY26" s="1275"/>
      <c r="EZ26" s="1275"/>
      <c r="FA26" s="1275"/>
      <c r="FB26" s="1275"/>
      <c r="FC26" s="1275"/>
      <c r="FD26" s="1275"/>
      <c r="FE26" s="1275"/>
      <c r="FF26" s="1275"/>
      <c r="FG26" s="1275"/>
      <c r="FH26" s="1275"/>
      <c r="FI26" s="1275"/>
      <c r="FJ26" s="1275"/>
      <c r="FK26" s="1275"/>
      <c r="FL26" s="1275"/>
      <c r="FM26" s="1275"/>
      <c r="FN26" s="1275"/>
      <c r="FO26" s="1275"/>
      <c r="FP26" s="1275"/>
      <c r="FQ26" s="1275"/>
      <c r="FR26" s="1275"/>
      <c r="FS26" s="1275"/>
      <c r="FT26" s="1275"/>
      <c r="FU26" s="1275"/>
      <c r="FV26" s="1275"/>
      <c r="FW26" s="1275"/>
      <c r="FX26" s="1275"/>
      <c r="FY26" s="1275"/>
      <c r="FZ26" s="1275"/>
      <c r="GA26" s="1275"/>
      <c r="GB26" s="1275"/>
      <c r="GC26" s="1275"/>
      <c r="GD26" s="1275"/>
      <c r="GE26" s="1275"/>
      <c r="GF26" s="1275"/>
      <c r="GG26" s="1275"/>
      <c r="GH26" s="1275"/>
      <c r="GI26" s="1275"/>
      <c r="GJ26" s="1275"/>
      <c r="GK26" s="1275"/>
      <c r="GL26" s="1275"/>
      <c r="GM26" s="1275"/>
    </row>
    <row r="27" spans="1:195" ht="16.5" customHeight="1">
      <c r="A27" s="1631">
        <v>201</v>
      </c>
      <c r="B27" s="1902" t="s">
        <v>1098</v>
      </c>
      <c r="C27" s="1466"/>
      <c r="D27" s="1466"/>
      <c r="E27" s="1466"/>
      <c r="F27" s="1466"/>
      <c r="G27" s="1466"/>
      <c r="H27" s="1466"/>
      <c r="I27" s="1466"/>
      <c r="J27" s="1466"/>
      <c r="K27" s="1466"/>
      <c r="L27" s="1466"/>
      <c r="M27" s="1466"/>
      <c r="N27" s="1466"/>
      <c r="O27" s="1466"/>
      <c r="P27" s="1466"/>
      <c r="Q27" s="1466"/>
      <c r="R27" s="1466"/>
      <c r="S27" s="1466"/>
      <c r="T27" s="1466"/>
      <c r="U27" s="1466"/>
      <c r="V27" s="1466"/>
      <c r="W27" s="1466"/>
      <c r="X27" s="1466"/>
      <c r="Y27" s="1466"/>
      <c r="Z27" s="1466"/>
      <c r="AA27" s="1461"/>
      <c r="AB27" s="1462"/>
      <c r="AC27" s="1275">
        <f t="shared" si="30"/>
        <v>0</v>
      </c>
      <c r="AD27" s="1275"/>
      <c r="AE27" s="1463"/>
      <c r="AF27" s="1463"/>
      <c r="AG27" s="1463"/>
      <c r="AH27" s="1463"/>
      <c r="AI27" s="1463"/>
      <c r="AJ27" s="1463"/>
      <c r="AK27" s="1463"/>
      <c r="AL27" s="1463"/>
      <c r="AM27" s="1463"/>
      <c r="AN27" s="1463"/>
      <c r="AO27" s="1463"/>
      <c r="AP27" s="1463"/>
      <c r="AQ27" s="1463"/>
      <c r="AR27" s="1463"/>
      <c r="AS27" s="1464"/>
      <c r="AT27" s="1463"/>
      <c r="AU27" s="1463"/>
      <c r="AV27" s="1463"/>
      <c r="AW27" s="1463"/>
      <c r="AX27" s="1463"/>
      <c r="AY27" s="1275"/>
      <c r="AZ27" s="1275"/>
      <c r="BA27" s="1275"/>
      <c r="BB27" s="1275"/>
      <c r="BC27" s="1275"/>
      <c r="BD27" s="1275"/>
      <c r="BE27" s="1463"/>
      <c r="BF27" s="1463"/>
      <c r="BG27" s="1275"/>
      <c r="BH27" s="1275"/>
      <c r="BI27" s="1275"/>
      <c r="BJ27" s="1275"/>
      <c r="BK27" s="1275"/>
      <c r="BL27" s="1275"/>
      <c r="BM27" s="1275"/>
      <c r="BN27" s="1275"/>
      <c r="BO27" s="1275"/>
      <c r="BP27" s="1275"/>
      <c r="BQ27" s="1275"/>
      <c r="BR27" s="1275"/>
      <c r="BS27" s="1275"/>
      <c r="BT27" s="1275"/>
      <c r="BU27" s="1275"/>
      <c r="BV27" s="1275"/>
      <c r="BW27" s="1275"/>
      <c r="BX27" s="1275"/>
      <c r="BY27" s="1275"/>
      <c r="BZ27" s="1275"/>
      <c r="CA27" s="1275"/>
      <c r="CB27" s="1275"/>
      <c r="CC27" s="1275"/>
      <c r="CD27" s="1275"/>
      <c r="CE27" s="1275"/>
      <c r="CF27" s="1275"/>
      <c r="CG27" s="1467"/>
      <c r="CH27" s="1275"/>
      <c r="CI27" s="1275"/>
      <c r="CJ27" s="1275"/>
      <c r="CK27" s="1275"/>
      <c r="CL27" s="1275"/>
      <c r="CM27" s="1275"/>
      <c r="CN27" s="1275"/>
      <c r="CO27" s="1275"/>
      <c r="CP27" s="1275"/>
      <c r="CQ27" s="1275"/>
      <c r="CR27" s="1275"/>
      <c r="CS27" s="1275"/>
      <c r="CT27" s="1275"/>
      <c r="CU27" s="1275"/>
      <c r="CV27" s="1275"/>
      <c r="CW27" s="1275"/>
      <c r="CX27" s="1275"/>
      <c r="CY27" s="1275"/>
      <c r="CZ27" s="1275"/>
      <c r="DA27" s="1275"/>
      <c r="DB27" s="1275"/>
      <c r="DC27" s="1275"/>
      <c r="DD27" s="1275"/>
      <c r="DE27" s="1275"/>
      <c r="DF27" s="1275"/>
      <c r="DG27" s="1275"/>
      <c r="DH27" s="1275"/>
      <c r="DI27" s="1275"/>
      <c r="DJ27" s="1462"/>
      <c r="DK27" s="1275"/>
      <c r="DL27" s="1275"/>
      <c r="DM27" s="1275"/>
      <c r="DN27" s="1275"/>
      <c r="DO27" s="1275"/>
      <c r="DP27" s="1275"/>
      <c r="DQ27" s="1275"/>
      <c r="DR27" s="1275"/>
      <c r="DS27" s="1275"/>
      <c r="DT27" s="1275"/>
      <c r="DU27" s="1275"/>
      <c r="DV27" s="1275"/>
      <c r="DW27" s="1275"/>
      <c r="DX27" s="1275"/>
      <c r="DY27" s="1275"/>
      <c r="DZ27" s="1275"/>
      <c r="EA27" s="1275"/>
      <c r="EB27" s="1275"/>
      <c r="EC27" s="1275"/>
      <c r="ED27" s="1275"/>
      <c r="EE27" s="1275"/>
      <c r="EF27" s="1275"/>
      <c r="EG27" s="1275"/>
      <c r="EH27" s="1275"/>
      <c r="EI27" s="1275"/>
      <c r="EJ27" s="1275"/>
      <c r="EK27" s="1275"/>
      <c r="EL27" s="1275"/>
      <c r="EM27" s="1275"/>
      <c r="EN27" s="1275"/>
      <c r="EO27" s="1275"/>
      <c r="EP27" s="1275"/>
      <c r="EQ27" s="1275"/>
      <c r="ER27" s="1275"/>
      <c r="ES27" s="1275"/>
      <c r="ET27" s="1275"/>
      <c r="EU27" s="1275"/>
      <c r="EV27" s="1275"/>
      <c r="EW27" s="1275"/>
      <c r="EX27" s="1275"/>
      <c r="EY27" s="1275"/>
      <c r="EZ27" s="1275"/>
      <c r="FA27" s="1275"/>
      <c r="FB27" s="1275"/>
      <c r="FC27" s="1275"/>
      <c r="FD27" s="1275"/>
      <c r="FE27" s="1275"/>
      <c r="FF27" s="1275"/>
      <c r="FG27" s="1275"/>
      <c r="FH27" s="1275"/>
      <c r="FI27" s="1275"/>
      <c r="FJ27" s="1275"/>
      <c r="FK27" s="1275"/>
      <c r="FL27" s="1275"/>
      <c r="FM27" s="1275"/>
      <c r="FN27" s="1275"/>
      <c r="FO27" s="1275"/>
      <c r="FP27" s="1275"/>
      <c r="FQ27" s="1275"/>
      <c r="FR27" s="1275"/>
      <c r="FS27" s="1275"/>
      <c r="FT27" s="1275"/>
      <c r="FU27" s="1275"/>
      <c r="FV27" s="1275"/>
      <c r="FW27" s="1275"/>
      <c r="FX27" s="1275"/>
      <c r="FY27" s="1275"/>
      <c r="FZ27" s="1275"/>
      <c r="GA27" s="1275"/>
      <c r="GB27" s="1275"/>
      <c r="GC27" s="1275"/>
      <c r="GD27" s="1275"/>
      <c r="GE27" s="1275"/>
      <c r="GF27" s="1275"/>
      <c r="GG27" s="1275"/>
      <c r="GH27" s="1275"/>
      <c r="GI27" s="1275"/>
      <c r="GJ27" s="1275"/>
      <c r="GK27" s="1275"/>
      <c r="GL27" s="1275"/>
      <c r="GM27" s="1275"/>
    </row>
    <row r="28" spans="1:195" ht="16.5" customHeight="1">
      <c r="A28" s="1631">
        <v>202</v>
      </c>
      <c r="B28" s="1903"/>
      <c r="C28" s="1468" t="s">
        <v>297</v>
      </c>
      <c r="D28" s="1469"/>
      <c r="E28" s="1470"/>
      <c r="F28" s="1470"/>
      <c r="G28" s="1470"/>
      <c r="H28" s="1470"/>
      <c r="I28" s="1470"/>
      <c r="J28" s="1470"/>
      <c r="K28" s="1470"/>
      <c r="L28" s="1470"/>
      <c r="M28" s="1470"/>
      <c r="N28" s="1470">
        <f>IF((AC28&lt;10),SUM((AO28+(ROUNDUP((AC28*BJ28),2)))),SUM((AO28+(ROUNDUP(((9*BJ28)+GE28),2)))))</f>
        <v>300</v>
      </c>
      <c r="O28" s="1470"/>
      <c r="P28" s="1470"/>
      <c r="Q28" s="1470"/>
      <c r="R28" s="1471"/>
      <c r="S28" s="1470"/>
      <c r="T28" s="1471"/>
      <c r="U28" s="1471"/>
      <c r="V28" s="1470"/>
      <c r="W28" s="1470">
        <f t="shared" ref="W28:W45" si="143">IF((AC28&lt;10),SUM((AX28+(ROUNDUP((AC28*BR28),2)))),SUM((AX28+(ROUNDUP(((9*BR28)+GM28),2)))))</f>
        <v>7500</v>
      </c>
      <c r="X28" s="1470"/>
      <c r="Y28" s="1470"/>
      <c r="Z28" s="1470"/>
      <c r="AA28" s="1461"/>
      <c r="AB28" s="1462"/>
      <c r="AC28" s="1275">
        <f t="shared" si="30"/>
        <v>0</v>
      </c>
      <c r="AD28" s="1275"/>
      <c r="AE28" s="1463"/>
      <c r="AF28" s="1463"/>
      <c r="AG28" s="1463"/>
      <c r="AH28" s="1463"/>
      <c r="AI28" s="1463"/>
      <c r="AJ28" s="1463"/>
      <c r="AK28" s="1463"/>
      <c r="AL28" s="1463"/>
      <c r="AM28" s="1463"/>
      <c r="AN28" s="1463"/>
      <c r="AO28" s="1463">
        <v>300</v>
      </c>
      <c r="AP28" s="1463"/>
      <c r="AQ28" s="1463"/>
      <c r="AR28" s="1463"/>
      <c r="AS28" s="1464"/>
      <c r="AT28" s="1463"/>
      <c r="AU28" s="1463"/>
      <c r="AV28" s="1463"/>
      <c r="AW28" s="1463"/>
      <c r="AX28" s="1463">
        <v>7500</v>
      </c>
      <c r="AY28" s="1275"/>
      <c r="AZ28" s="1275"/>
      <c r="BA28" s="1275"/>
      <c r="BB28" s="1275"/>
      <c r="BC28" s="1275"/>
      <c r="BD28" s="1275"/>
      <c r="BE28" s="1463"/>
      <c r="BF28" s="1463"/>
      <c r="BG28" s="1275"/>
      <c r="BH28" s="1275"/>
      <c r="BI28" s="1275"/>
      <c r="BJ28" s="1275">
        <f>SUM((AO28/9))</f>
        <v>33.333333333333336</v>
      </c>
      <c r="BK28" s="1275"/>
      <c r="BL28" s="1275"/>
      <c r="BM28" s="1275"/>
      <c r="BN28" s="1275"/>
      <c r="BO28" s="1275"/>
      <c r="BP28" s="1275"/>
      <c r="BQ28" s="1275"/>
      <c r="BR28" s="1275">
        <f t="shared" ref="BR28:BR45" si="144">SUM((AX28/9))</f>
        <v>833.33333333333337</v>
      </c>
      <c r="BS28" s="1275"/>
      <c r="BT28" s="1275"/>
      <c r="BU28" s="1275">
        <f t="shared" ref="BU28:CM28" si="145">SUM(((AZ28*0.9)*1))</f>
        <v>0</v>
      </c>
      <c r="BV28" s="1275">
        <f t="shared" si="145"/>
        <v>0</v>
      </c>
      <c r="BW28" s="1275">
        <f t="shared" si="145"/>
        <v>0</v>
      </c>
      <c r="BX28" s="1275">
        <f t="shared" si="145"/>
        <v>0</v>
      </c>
      <c r="BY28" s="1275">
        <f t="shared" si="145"/>
        <v>0</v>
      </c>
      <c r="BZ28" s="1275">
        <f t="shared" si="145"/>
        <v>0</v>
      </c>
      <c r="CA28" s="1275">
        <f t="shared" si="145"/>
        <v>0</v>
      </c>
      <c r="CB28" s="1275">
        <f t="shared" si="145"/>
        <v>0</v>
      </c>
      <c r="CC28" s="1275">
        <f t="shared" si="145"/>
        <v>0</v>
      </c>
      <c r="CD28" s="1275">
        <f t="shared" si="145"/>
        <v>0</v>
      </c>
      <c r="CE28" s="1275">
        <f t="shared" si="145"/>
        <v>30.000000000000004</v>
      </c>
      <c r="CF28" s="1275">
        <f t="shared" si="145"/>
        <v>0</v>
      </c>
      <c r="CG28" s="1275">
        <f t="shared" si="145"/>
        <v>0</v>
      </c>
      <c r="CH28" s="1275">
        <f t="shared" si="145"/>
        <v>0</v>
      </c>
      <c r="CI28" s="1275">
        <f t="shared" si="145"/>
        <v>0</v>
      </c>
      <c r="CJ28" s="1275">
        <f t="shared" si="145"/>
        <v>0</v>
      </c>
      <c r="CK28" s="1275">
        <f t="shared" si="145"/>
        <v>0</v>
      </c>
      <c r="CL28" s="1275">
        <f t="shared" si="145"/>
        <v>0</v>
      </c>
      <c r="CM28" s="1275">
        <f t="shared" si="145"/>
        <v>750</v>
      </c>
      <c r="CN28" s="1275"/>
      <c r="CO28" s="1275"/>
      <c r="CP28" s="1275">
        <f t="shared" ref="CP28:DH28" si="146">SUM(((AZ28*0.9)*0.9))</f>
        <v>0</v>
      </c>
      <c r="CQ28" s="1275">
        <f t="shared" si="146"/>
        <v>0</v>
      </c>
      <c r="CR28" s="1275">
        <f t="shared" si="146"/>
        <v>0</v>
      </c>
      <c r="CS28" s="1275">
        <f t="shared" si="146"/>
        <v>0</v>
      </c>
      <c r="CT28" s="1275">
        <f t="shared" si="146"/>
        <v>0</v>
      </c>
      <c r="CU28" s="1275">
        <f t="shared" si="146"/>
        <v>0</v>
      </c>
      <c r="CV28" s="1275">
        <f t="shared" si="146"/>
        <v>0</v>
      </c>
      <c r="CW28" s="1275">
        <f t="shared" si="146"/>
        <v>0</v>
      </c>
      <c r="CX28" s="1275">
        <f t="shared" si="146"/>
        <v>0</v>
      </c>
      <c r="CY28" s="1275">
        <f t="shared" si="146"/>
        <v>0</v>
      </c>
      <c r="CZ28" s="1275">
        <f t="shared" si="146"/>
        <v>27.000000000000004</v>
      </c>
      <c r="DA28" s="1275">
        <f t="shared" si="146"/>
        <v>0</v>
      </c>
      <c r="DB28" s="1275">
        <f t="shared" si="146"/>
        <v>0</v>
      </c>
      <c r="DC28" s="1275">
        <f t="shared" si="146"/>
        <v>0</v>
      </c>
      <c r="DD28" s="1275">
        <f t="shared" si="146"/>
        <v>0</v>
      </c>
      <c r="DE28" s="1275">
        <f t="shared" si="146"/>
        <v>0</v>
      </c>
      <c r="DF28" s="1275">
        <f t="shared" si="146"/>
        <v>0</v>
      </c>
      <c r="DG28" s="1275">
        <f t="shared" si="146"/>
        <v>0</v>
      </c>
      <c r="DH28" s="1275">
        <f t="shared" si="146"/>
        <v>675</v>
      </c>
      <c r="DI28" s="1275"/>
      <c r="DJ28" s="1462"/>
      <c r="DK28" s="1275">
        <f t="shared" ref="DK28:EC28" si="147">SUM(((AZ28*0.9)*0.8))</f>
        <v>0</v>
      </c>
      <c r="DL28" s="1275">
        <f t="shared" si="147"/>
        <v>0</v>
      </c>
      <c r="DM28" s="1275">
        <f t="shared" si="147"/>
        <v>0</v>
      </c>
      <c r="DN28" s="1275">
        <f t="shared" si="147"/>
        <v>0</v>
      </c>
      <c r="DO28" s="1275">
        <f t="shared" si="147"/>
        <v>0</v>
      </c>
      <c r="DP28" s="1275">
        <f t="shared" si="147"/>
        <v>0</v>
      </c>
      <c r="DQ28" s="1275">
        <f t="shared" si="147"/>
        <v>0</v>
      </c>
      <c r="DR28" s="1275">
        <f t="shared" si="147"/>
        <v>0</v>
      </c>
      <c r="DS28" s="1275">
        <f t="shared" si="147"/>
        <v>0</v>
      </c>
      <c r="DT28" s="1275">
        <f t="shared" si="147"/>
        <v>0</v>
      </c>
      <c r="DU28" s="1275">
        <f t="shared" si="147"/>
        <v>24.000000000000004</v>
      </c>
      <c r="DV28" s="1275">
        <f t="shared" si="147"/>
        <v>0</v>
      </c>
      <c r="DW28" s="1275">
        <f t="shared" si="147"/>
        <v>0</v>
      </c>
      <c r="DX28" s="1275">
        <f t="shared" si="147"/>
        <v>0</v>
      </c>
      <c r="DY28" s="1275">
        <f t="shared" si="147"/>
        <v>0</v>
      </c>
      <c r="DZ28" s="1275">
        <f t="shared" si="147"/>
        <v>0</v>
      </c>
      <c r="EA28" s="1275">
        <f t="shared" si="147"/>
        <v>0</v>
      </c>
      <c r="EB28" s="1275">
        <f t="shared" si="147"/>
        <v>0</v>
      </c>
      <c r="EC28" s="1275">
        <f t="shared" si="147"/>
        <v>600</v>
      </c>
      <c r="ED28" s="1275"/>
      <c r="EE28" s="1275"/>
      <c r="EF28" s="1275">
        <f t="shared" ref="EF28:EX28" si="148">SUM(((AZ28*0.9)*0.7))</f>
        <v>0</v>
      </c>
      <c r="EG28" s="1275">
        <f t="shared" si="148"/>
        <v>0</v>
      </c>
      <c r="EH28" s="1275">
        <f t="shared" si="148"/>
        <v>0</v>
      </c>
      <c r="EI28" s="1275">
        <f t="shared" si="148"/>
        <v>0</v>
      </c>
      <c r="EJ28" s="1275">
        <f t="shared" si="148"/>
        <v>0</v>
      </c>
      <c r="EK28" s="1275">
        <f t="shared" si="148"/>
        <v>0</v>
      </c>
      <c r="EL28" s="1275">
        <f t="shared" si="148"/>
        <v>0</v>
      </c>
      <c r="EM28" s="1275">
        <f t="shared" si="148"/>
        <v>0</v>
      </c>
      <c r="EN28" s="1275">
        <f t="shared" si="148"/>
        <v>0</v>
      </c>
      <c r="EO28" s="1275">
        <f t="shared" si="148"/>
        <v>0</v>
      </c>
      <c r="EP28" s="1275">
        <f t="shared" si="148"/>
        <v>21</v>
      </c>
      <c r="EQ28" s="1275">
        <f t="shared" si="148"/>
        <v>0</v>
      </c>
      <c r="ER28" s="1275">
        <f t="shared" si="148"/>
        <v>0</v>
      </c>
      <c r="ES28" s="1275">
        <f t="shared" si="148"/>
        <v>0</v>
      </c>
      <c r="ET28" s="1275">
        <f t="shared" si="148"/>
        <v>0</v>
      </c>
      <c r="EU28" s="1275">
        <f t="shared" si="148"/>
        <v>0</v>
      </c>
      <c r="EV28" s="1275">
        <f t="shared" si="148"/>
        <v>0</v>
      </c>
      <c r="EW28" s="1275">
        <f t="shared" si="148"/>
        <v>0</v>
      </c>
      <c r="EX28" s="1275">
        <f t="shared" si="148"/>
        <v>525</v>
      </c>
      <c r="EY28" s="1275"/>
      <c r="EZ28" s="1275"/>
      <c r="FA28" s="1275">
        <f t="shared" ref="FA28:FS28" si="149">SUM(((AZ28*0.9)*0.6))</f>
        <v>0</v>
      </c>
      <c r="FB28" s="1275">
        <f t="shared" si="149"/>
        <v>0</v>
      </c>
      <c r="FC28" s="1275">
        <f t="shared" si="149"/>
        <v>0</v>
      </c>
      <c r="FD28" s="1275">
        <f t="shared" si="149"/>
        <v>0</v>
      </c>
      <c r="FE28" s="1275">
        <f t="shared" si="149"/>
        <v>0</v>
      </c>
      <c r="FF28" s="1275">
        <f t="shared" si="149"/>
        <v>0</v>
      </c>
      <c r="FG28" s="1275">
        <f t="shared" si="149"/>
        <v>0</v>
      </c>
      <c r="FH28" s="1275">
        <f t="shared" si="149"/>
        <v>0</v>
      </c>
      <c r="FI28" s="1275">
        <f t="shared" si="149"/>
        <v>0</v>
      </c>
      <c r="FJ28" s="1275">
        <f t="shared" si="149"/>
        <v>0</v>
      </c>
      <c r="FK28" s="1275">
        <f t="shared" si="149"/>
        <v>18</v>
      </c>
      <c r="FL28" s="1275">
        <f t="shared" si="149"/>
        <v>0</v>
      </c>
      <c r="FM28" s="1275">
        <f t="shared" si="149"/>
        <v>0</v>
      </c>
      <c r="FN28" s="1275">
        <f t="shared" si="149"/>
        <v>0</v>
      </c>
      <c r="FO28" s="1275">
        <f t="shared" si="149"/>
        <v>0</v>
      </c>
      <c r="FP28" s="1275">
        <f t="shared" si="149"/>
        <v>0</v>
      </c>
      <c r="FQ28" s="1275">
        <f t="shared" si="149"/>
        <v>0</v>
      </c>
      <c r="FR28" s="1275">
        <f t="shared" si="149"/>
        <v>0</v>
      </c>
      <c r="FS28" s="1275">
        <f t="shared" si="149"/>
        <v>450</v>
      </c>
      <c r="FT28" s="1275"/>
      <c r="FU28" s="1275" t="e">
        <f t="shared" ref="FU28:FU45" si="150">CHOOSE((AC28-9),BU28,(BU28+CP28),((BU28+CP28)+DK28),(((BU28+CP28)+DK28)+EF28),((((BU28+CP28)+DK28)+EF28)+FA28),)</f>
        <v>#VALUE!</v>
      </c>
      <c r="FV28" s="1275" t="e">
        <f t="shared" ref="FV28:FV45" si="151">CHOOSE((AC28-9),BV28,(BV28+CQ28),((BV28+CQ28)+DL28),(((BV28+CQ28)+DL28)+EG28),((((BV28+CQ28)+DL28)+EG28)+FB28),)</f>
        <v>#VALUE!</v>
      </c>
      <c r="FW28" s="1275" t="e">
        <f t="shared" ref="FW28:FW45" si="152">CHOOSE((AC28-9),BW28,(BW28+CR28),((BW28+CR28)+DM28),(((BW28+CR28)+DM28)+EH28),((((BW28+CR28)+DM28)+EH28)+FC28),)</f>
        <v>#VALUE!</v>
      </c>
      <c r="FX28" s="1275" t="e">
        <f t="shared" ref="FX28:FX45" si="153">CHOOSE((AC28-9),BX28,(BX28+CS28),((BX28+CS28)+DN28),(((BX28+CS28)+DN28)+EI28),((((BX28+CS28)+DN28)+EI28)+FD28),)</f>
        <v>#VALUE!</v>
      </c>
      <c r="FY28" s="1275" t="e">
        <f t="shared" ref="FY28:FY45" si="154">CHOOSE((AC28-9),BY28,(BY28+CT28),((BY28+CT28)+DO28),(((BY28+CT28)+DO28)+EJ28),((((BY28+CT28)+DO28)+EJ28)+FE28),)</f>
        <v>#VALUE!</v>
      </c>
      <c r="FZ28" s="1275" t="e">
        <f t="shared" ref="FZ28:FZ45" si="155">CHOOSE((AC28-9),BZ28,(BZ28+CU28),((BZ28+CU28)+DP28),(((BZ28+CU28)+DP28)+EK28),((((BZ28+CU28)+DP28)+EK28)+FF28),)</f>
        <v>#VALUE!</v>
      </c>
      <c r="GA28" s="1275" t="e">
        <f t="shared" ref="GA28:GA45" si="156">CHOOSE((AC28-9),CA28,(CA28+CV28),((CA28+CV28)+DQ28),(((CA28+CV28)+DQ28)+EL28),((((CA28+CV28)+DQ28)+EL28)+FG28),)</f>
        <v>#VALUE!</v>
      </c>
      <c r="GB28" s="1275" t="e">
        <f t="shared" ref="GB28:GB45" si="157">CHOOSE((AC28-9),CB28,(CB28+CW28),((CB28+CW28)+DR28),(((CB28+CW28)+DR28)+EM28),((((CB28+CW28)+DR28)+EM28)+FH28),)</f>
        <v>#VALUE!</v>
      </c>
      <c r="GC28" s="1275" t="e">
        <f t="shared" ref="GC28:GC45" si="158">CHOOSE((AC28-9),CC28,(CC28+CX28),((CC28+CX28)+DS28),(((CC28+CX28)+DS28)+EN28),((((CC28+CX28)+DS28)+EN28)+FI28),)</f>
        <v>#VALUE!</v>
      </c>
      <c r="GD28" s="1275" t="e">
        <f t="shared" ref="GD28:GD45" si="159">CHOOSE((AC28-9),CD28,(CD28+CY28),((CD28+CY28)+DT28),(((CD28+CY28)+DT28)+EO28),((((CD28+CY28)+DT28)+EO28)+FJ28),)</f>
        <v>#VALUE!</v>
      </c>
      <c r="GE28" s="1275" t="e">
        <f t="shared" ref="GE28:GE45" si="160">CHOOSE((AC28-9),CE28,(CE28+CZ28),((CE28+CZ28)+DU28),(((CE28+CZ28)+DU28)+EP28),((((CE28+CZ28)+DU28)+EP28)+FK28),)</f>
        <v>#VALUE!</v>
      </c>
      <c r="GF28" s="1275" t="e">
        <f t="shared" ref="GF28:GF45" si="161">CHOOSE((AC28-9),CF28,(CF28+DA28),((CF28+DA28)+DV28),(((CF28+DA28)+DV28)+EQ28),((((CF28+DA28)+DV28)+EQ28)+FL28),)</f>
        <v>#VALUE!</v>
      </c>
      <c r="GG28" s="1275" t="e">
        <f t="shared" ref="GG28:GG45" si="162">CHOOSE((AC28-9),CG28,(CG28+DB28),((CG28+DB28)+DW28),(((CG28+DB28)+DW28)+ER28),((((CG28+DB28)+DW28)+ER28)+FM28),)</f>
        <v>#VALUE!</v>
      </c>
      <c r="GH28" s="1275" t="e">
        <f t="shared" ref="GH28:GH45" si="163">CHOOSE((AC28-9),CH28,(CH28+DC28),((CH28+DC28)+DX28),(((CH28+DC28)+DX28)+ES28),((((CH28+DC28)+DX28)+ES28)+FN28),)</f>
        <v>#VALUE!</v>
      </c>
      <c r="GI28" s="1275" t="e">
        <f t="shared" ref="GI28:GI45" si="164">CHOOSE((AC28-9),CI28,(CI28+DD28),((CI28+DD28)+DY28),(((CI28+DD28)+DY28)+ET28),((((CI28+DD28)+DY28)+ET28)+FO28),)</f>
        <v>#VALUE!</v>
      </c>
      <c r="GJ28" s="1275" t="e">
        <f t="shared" ref="GJ28:GJ45" si="165">CHOOSE((AC28-9),CJ28,(CJ28+DE28),((CJ28+DE28)+DZ28),(((CJ28+DE28)+DZ28)+EU28),((((CJ28+DE28)+DZ28)+EU28)+FP28),)</f>
        <v>#VALUE!</v>
      </c>
      <c r="GK28" s="1275" t="e">
        <f t="shared" ref="GK28:GK45" si="166">CHOOSE((AC28-9),CK28,(CK28+DF28),((CK28+DF28)+EA28),(((CK28+DF28)+EA28)+EV28),((((CK28+DF28)+EA28)+EV28)+FQ28),)</f>
        <v>#VALUE!</v>
      </c>
      <c r="GL28" s="1275" t="e">
        <f t="shared" ref="GL28:GL45" si="167">CHOOSE((AC28-9),CL28,(CL28+DG28),((CL28+DG28)+EB28),(((CL28+DG28)+EB28)+EW28),((((CL28+DG28)+EB28)+EW28)+FR28),)</f>
        <v>#VALUE!</v>
      </c>
      <c r="GM28" s="1275" t="e">
        <f t="shared" ref="GM28:GM45" si="168">CHOOSE((AC28-9),CM28,(CM28+DH28),((CM28+DH28)+EC28),(((CM28+DH28)+EC28)+EX28),((((CM28+DH28)+EC28)+EX28)+FS28),)</f>
        <v>#VALUE!</v>
      </c>
    </row>
    <row r="29" spans="1:195" ht="16.5" customHeight="1">
      <c r="A29" s="1631">
        <v>203</v>
      </c>
      <c r="B29" s="1903"/>
      <c r="C29" s="1274" t="s">
        <v>1090</v>
      </c>
      <c r="D29" s="1472"/>
      <c r="E29" s="1473"/>
      <c r="F29" s="1473"/>
      <c r="G29" s="1473"/>
      <c r="H29" s="1473"/>
      <c r="I29" s="1473"/>
      <c r="J29" s="1473"/>
      <c r="K29" s="1473"/>
      <c r="L29" s="1473"/>
      <c r="M29" s="1473"/>
      <c r="N29" s="1473"/>
      <c r="O29" s="1473"/>
      <c r="P29" s="1473"/>
      <c r="Q29" s="1473" t="str">
        <f>AR29</f>
        <v>Selected</v>
      </c>
      <c r="R29" s="1474"/>
      <c r="S29" s="1473">
        <f>IF((AC29&lt;10),SUM((AT29+(ROUNDUP((AC29*BN29),2)))),SUM((AT29+(ROUNDUP(((9*BN29)+GI29),2)))))</f>
        <v>3000</v>
      </c>
      <c r="T29" s="1474"/>
      <c r="U29" s="1474">
        <f>IF((AC29&lt;10),SUM((AV29+(ROUNDUP((AC29*BP29),2)))),SUM((AV29+(ROUNDUP(((9*BP29)+GK29),2)))))</f>
        <v>1</v>
      </c>
      <c r="V29" s="1473">
        <f>IF((AC29&lt;10),SUM((AW29+(ROUNDUP((AC29*BQ29),2)))),SUM((AW29+(ROUNDUP(((9*BQ29)+GL29),2)))))</f>
        <v>100</v>
      </c>
      <c r="W29" s="1473">
        <f t="shared" si="143"/>
        <v>7500</v>
      </c>
      <c r="X29" s="1473"/>
      <c r="Y29" s="1473"/>
      <c r="Z29" s="1473"/>
      <c r="AA29" s="1461"/>
      <c r="AB29" s="1462"/>
      <c r="AC29" s="1275">
        <f t="shared" si="30"/>
        <v>0</v>
      </c>
      <c r="AD29" s="1275"/>
      <c r="AE29" s="1463"/>
      <c r="AF29" s="1463"/>
      <c r="AG29" s="1463"/>
      <c r="AH29" s="1463"/>
      <c r="AI29" s="1463"/>
      <c r="AJ29" s="1463"/>
      <c r="AK29" s="1463"/>
      <c r="AL29" s="1463"/>
      <c r="AM29" s="1463"/>
      <c r="AN29" s="1463"/>
      <c r="AO29" s="1463"/>
      <c r="AP29" s="1463"/>
      <c r="AQ29" s="1463"/>
      <c r="AR29" s="1463" t="s">
        <v>283</v>
      </c>
      <c r="AS29" s="1464"/>
      <c r="AT29" s="1463">
        <v>3000</v>
      </c>
      <c r="AU29" s="1463"/>
      <c r="AV29" s="1463">
        <v>1</v>
      </c>
      <c r="AW29" s="1463">
        <v>100</v>
      </c>
      <c r="AX29" s="1463">
        <v>7500</v>
      </c>
      <c r="AY29" s="1462"/>
      <c r="AZ29" s="1275"/>
      <c r="BA29" s="1275"/>
      <c r="BB29" s="1275"/>
      <c r="BC29" s="1275"/>
      <c r="BD29" s="1275"/>
      <c r="BE29" s="1463"/>
      <c r="BF29" s="1463"/>
      <c r="BG29" s="1275"/>
      <c r="BH29" s="1275"/>
      <c r="BI29" s="1275"/>
      <c r="BJ29" s="1275"/>
      <c r="BK29" s="1275"/>
      <c r="BL29" s="1275"/>
      <c r="BM29" s="1275"/>
      <c r="BN29" s="1275"/>
      <c r="BO29" s="1275"/>
      <c r="BP29" s="1275"/>
      <c r="BQ29" s="1275">
        <f>SUM((-AW29/12))</f>
        <v>-8.3333333333333339</v>
      </c>
      <c r="BR29" s="1275">
        <f t="shared" si="144"/>
        <v>833.33333333333337</v>
      </c>
      <c r="BS29" s="1275"/>
      <c r="BT29" s="1275"/>
      <c r="BU29" s="1275">
        <f t="shared" ref="BU29:CD31" si="169">SUM(((AZ29*0.9)*1))</f>
        <v>0</v>
      </c>
      <c r="BV29" s="1275">
        <f t="shared" si="169"/>
        <v>0</v>
      </c>
      <c r="BW29" s="1275">
        <f t="shared" si="169"/>
        <v>0</v>
      </c>
      <c r="BX29" s="1275">
        <f t="shared" si="169"/>
        <v>0</v>
      </c>
      <c r="BY29" s="1275">
        <f t="shared" si="169"/>
        <v>0</v>
      </c>
      <c r="BZ29" s="1275">
        <f t="shared" si="169"/>
        <v>0</v>
      </c>
      <c r="CA29" s="1275">
        <f t="shared" si="169"/>
        <v>0</v>
      </c>
      <c r="CB29" s="1275">
        <f t="shared" si="169"/>
        <v>0</v>
      </c>
      <c r="CC29" s="1275">
        <f t="shared" si="169"/>
        <v>0</v>
      </c>
      <c r="CD29" s="1275">
        <f t="shared" si="169"/>
        <v>0</v>
      </c>
      <c r="CE29" s="1275">
        <f t="shared" ref="CE29:CK31" si="170">SUM(((BJ29*0.9)*1))</f>
        <v>0</v>
      </c>
      <c r="CF29" s="1275">
        <f t="shared" si="170"/>
        <v>0</v>
      </c>
      <c r="CG29" s="1275">
        <f t="shared" si="170"/>
        <v>0</v>
      </c>
      <c r="CH29" s="1275">
        <f t="shared" si="170"/>
        <v>0</v>
      </c>
      <c r="CI29" s="1275">
        <f t="shared" si="170"/>
        <v>0</v>
      </c>
      <c r="CJ29" s="1275">
        <f t="shared" si="170"/>
        <v>0</v>
      </c>
      <c r="CK29" s="1275">
        <f t="shared" si="170"/>
        <v>0</v>
      </c>
      <c r="CL29" s="1275">
        <f>SUM(((-AW29/50)*CEILING((60/100),0.01)))</f>
        <v>-1.2</v>
      </c>
      <c r="CM29" s="1275">
        <f t="shared" ref="CM29:CM45" si="171">SUM(((BR29*0.9)*1))</f>
        <v>750</v>
      </c>
      <c r="CN29" s="1275"/>
      <c r="CO29" s="1275"/>
      <c r="CP29" s="1275">
        <f t="shared" ref="CP29:CY31" si="172">SUM(((AZ29*0.9)*0.9))</f>
        <v>0</v>
      </c>
      <c r="CQ29" s="1275">
        <f t="shared" si="172"/>
        <v>0</v>
      </c>
      <c r="CR29" s="1275">
        <f t="shared" si="172"/>
        <v>0</v>
      </c>
      <c r="CS29" s="1275">
        <f t="shared" si="172"/>
        <v>0</v>
      </c>
      <c r="CT29" s="1275">
        <f t="shared" si="172"/>
        <v>0</v>
      </c>
      <c r="CU29" s="1275">
        <f t="shared" si="172"/>
        <v>0</v>
      </c>
      <c r="CV29" s="1275">
        <f t="shared" si="172"/>
        <v>0</v>
      </c>
      <c r="CW29" s="1275">
        <f t="shared" si="172"/>
        <v>0</v>
      </c>
      <c r="CX29" s="1275">
        <f t="shared" si="172"/>
        <v>0</v>
      </c>
      <c r="CY29" s="1275">
        <f t="shared" si="172"/>
        <v>0</v>
      </c>
      <c r="CZ29" s="1275">
        <f t="shared" ref="CZ29:DF31" si="173">SUM(((BJ29*0.9)*0.9))</f>
        <v>0</v>
      </c>
      <c r="DA29" s="1275">
        <f t="shared" si="173"/>
        <v>0</v>
      </c>
      <c r="DB29" s="1275">
        <f t="shared" si="173"/>
        <v>0</v>
      </c>
      <c r="DC29" s="1275">
        <f t="shared" si="173"/>
        <v>0</v>
      </c>
      <c r="DD29" s="1275">
        <f t="shared" si="173"/>
        <v>0</v>
      </c>
      <c r="DE29" s="1275">
        <f t="shared" si="173"/>
        <v>0</v>
      </c>
      <c r="DF29" s="1275">
        <f t="shared" si="173"/>
        <v>0</v>
      </c>
      <c r="DG29" s="1275">
        <f>SUM(((-AW29/50)*CEILING((48/100),0.01)))</f>
        <v>-0.96</v>
      </c>
      <c r="DH29" s="1275">
        <f t="shared" ref="DH29:DH45" si="174">SUM(((BR29*0.9)*0.9))</f>
        <v>675</v>
      </c>
      <c r="DI29" s="1275"/>
      <c r="DJ29" s="1462"/>
      <c r="DK29" s="1275">
        <f t="shared" ref="DK29:DT31" si="175">SUM(((AZ29*0.9)*0.8))</f>
        <v>0</v>
      </c>
      <c r="DL29" s="1275">
        <f t="shared" si="175"/>
        <v>0</v>
      </c>
      <c r="DM29" s="1275">
        <f t="shared" si="175"/>
        <v>0</v>
      </c>
      <c r="DN29" s="1275">
        <f t="shared" si="175"/>
        <v>0</v>
      </c>
      <c r="DO29" s="1275">
        <f t="shared" si="175"/>
        <v>0</v>
      </c>
      <c r="DP29" s="1275">
        <f t="shared" si="175"/>
        <v>0</v>
      </c>
      <c r="DQ29" s="1275">
        <f t="shared" si="175"/>
        <v>0</v>
      </c>
      <c r="DR29" s="1275">
        <f t="shared" si="175"/>
        <v>0</v>
      </c>
      <c r="DS29" s="1275">
        <f t="shared" si="175"/>
        <v>0</v>
      </c>
      <c r="DT29" s="1275">
        <f t="shared" si="175"/>
        <v>0</v>
      </c>
      <c r="DU29" s="1275">
        <f t="shared" ref="DU29:EA31" si="176">SUM(((BJ29*0.9)*0.8))</f>
        <v>0</v>
      </c>
      <c r="DV29" s="1275">
        <f t="shared" si="176"/>
        <v>0</v>
      </c>
      <c r="DW29" s="1275">
        <f t="shared" si="176"/>
        <v>0</v>
      </c>
      <c r="DX29" s="1275">
        <f t="shared" si="176"/>
        <v>0</v>
      </c>
      <c r="DY29" s="1275">
        <f t="shared" si="176"/>
        <v>0</v>
      </c>
      <c r="DZ29" s="1275">
        <f t="shared" si="176"/>
        <v>0</v>
      </c>
      <c r="EA29" s="1275">
        <f t="shared" si="176"/>
        <v>0</v>
      </c>
      <c r="EB29" s="1275">
        <f>SUM(((-AW29/50)*CEILING((40.5/100),0.01)))</f>
        <v>-0.82000000000000006</v>
      </c>
      <c r="EC29" s="1275">
        <f t="shared" ref="EC29:EC45" si="177">SUM(((BR29*0.9)*0.8))</f>
        <v>600</v>
      </c>
      <c r="ED29" s="1275"/>
      <c r="EE29" s="1275"/>
      <c r="EF29" s="1275">
        <f t="shared" ref="EF29:EO31" si="178">SUM(((AZ29*0.9)*0.7))</f>
        <v>0</v>
      </c>
      <c r="EG29" s="1275">
        <f t="shared" si="178"/>
        <v>0</v>
      </c>
      <c r="EH29" s="1275">
        <f t="shared" si="178"/>
        <v>0</v>
      </c>
      <c r="EI29" s="1275">
        <f t="shared" si="178"/>
        <v>0</v>
      </c>
      <c r="EJ29" s="1275">
        <f t="shared" si="178"/>
        <v>0</v>
      </c>
      <c r="EK29" s="1275">
        <f t="shared" si="178"/>
        <v>0</v>
      </c>
      <c r="EL29" s="1275">
        <f t="shared" si="178"/>
        <v>0</v>
      </c>
      <c r="EM29" s="1275">
        <f t="shared" si="178"/>
        <v>0</v>
      </c>
      <c r="EN29" s="1275">
        <f t="shared" si="178"/>
        <v>0</v>
      </c>
      <c r="EO29" s="1275">
        <f t="shared" si="178"/>
        <v>0</v>
      </c>
      <c r="EP29" s="1275">
        <f t="shared" ref="EP29:EV31" si="179">SUM(((BJ29*0.9)*0.7))</f>
        <v>0</v>
      </c>
      <c r="EQ29" s="1275">
        <f t="shared" si="179"/>
        <v>0</v>
      </c>
      <c r="ER29" s="1275">
        <f t="shared" si="179"/>
        <v>0</v>
      </c>
      <c r="ES29" s="1275">
        <f t="shared" si="179"/>
        <v>0</v>
      </c>
      <c r="ET29" s="1275">
        <f t="shared" si="179"/>
        <v>0</v>
      </c>
      <c r="EU29" s="1275">
        <f t="shared" si="179"/>
        <v>0</v>
      </c>
      <c r="EV29" s="1275">
        <f t="shared" si="179"/>
        <v>0</v>
      </c>
      <c r="EW29" s="1275">
        <f>SUM(((-AW29/50)*CEILING((33/100),0.01)))</f>
        <v>-0.66</v>
      </c>
      <c r="EX29" s="1275">
        <f t="shared" ref="EX29:EX45" si="180">SUM(((BR29*0.9)*0.7))</f>
        <v>525</v>
      </c>
      <c r="EY29" s="1275"/>
      <c r="EZ29" s="1275"/>
      <c r="FA29" s="1275">
        <f t="shared" ref="FA29:FJ31" si="181">SUM(((AZ29*0.9)*0.6))</f>
        <v>0</v>
      </c>
      <c r="FB29" s="1275">
        <f t="shared" si="181"/>
        <v>0</v>
      </c>
      <c r="FC29" s="1275">
        <f t="shared" si="181"/>
        <v>0</v>
      </c>
      <c r="FD29" s="1275">
        <f t="shared" si="181"/>
        <v>0</v>
      </c>
      <c r="FE29" s="1275">
        <f t="shared" si="181"/>
        <v>0</v>
      </c>
      <c r="FF29" s="1275">
        <f t="shared" si="181"/>
        <v>0</v>
      </c>
      <c r="FG29" s="1275">
        <f t="shared" si="181"/>
        <v>0</v>
      </c>
      <c r="FH29" s="1275">
        <f t="shared" si="181"/>
        <v>0</v>
      </c>
      <c r="FI29" s="1275">
        <f t="shared" si="181"/>
        <v>0</v>
      </c>
      <c r="FJ29" s="1275">
        <f t="shared" si="181"/>
        <v>0</v>
      </c>
      <c r="FK29" s="1275">
        <f t="shared" ref="FK29:FQ31" si="182">SUM(((BJ29*0.9)*0.6))</f>
        <v>0</v>
      </c>
      <c r="FL29" s="1275">
        <f t="shared" si="182"/>
        <v>0</v>
      </c>
      <c r="FM29" s="1275">
        <f t="shared" si="182"/>
        <v>0</v>
      </c>
      <c r="FN29" s="1275">
        <f t="shared" si="182"/>
        <v>0</v>
      </c>
      <c r="FO29" s="1275">
        <f t="shared" si="182"/>
        <v>0</v>
      </c>
      <c r="FP29" s="1275">
        <f t="shared" si="182"/>
        <v>0</v>
      </c>
      <c r="FQ29" s="1275">
        <f t="shared" si="182"/>
        <v>0</v>
      </c>
      <c r="FR29" s="1275">
        <f>SUM(((-AW29/50)*CEILING((25.5/100),0.01)))</f>
        <v>-0.52</v>
      </c>
      <c r="FS29" s="1275">
        <f t="shared" ref="FS29:FS45" si="183">SUM(((BR29*0.9)*0.6))</f>
        <v>450</v>
      </c>
      <c r="FT29" s="1275"/>
      <c r="FU29" s="1275" t="e">
        <f t="shared" si="150"/>
        <v>#VALUE!</v>
      </c>
      <c r="FV29" s="1275" t="e">
        <f t="shared" si="151"/>
        <v>#VALUE!</v>
      </c>
      <c r="FW29" s="1275" t="e">
        <f t="shared" si="152"/>
        <v>#VALUE!</v>
      </c>
      <c r="FX29" s="1275" t="e">
        <f t="shared" si="153"/>
        <v>#VALUE!</v>
      </c>
      <c r="FY29" s="1275" t="e">
        <f t="shared" si="154"/>
        <v>#VALUE!</v>
      </c>
      <c r="FZ29" s="1275" t="e">
        <f t="shared" si="155"/>
        <v>#VALUE!</v>
      </c>
      <c r="GA29" s="1275" t="e">
        <f t="shared" si="156"/>
        <v>#VALUE!</v>
      </c>
      <c r="GB29" s="1275" t="e">
        <f t="shared" si="157"/>
        <v>#VALUE!</v>
      </c>
      <c r="GC29" s="1275" t="e">
        <f t="shared" si="158"/>
        <v>#VALUE!</v>
      </c>
      <c r="GD29" s="1275" t="e">
        <f t="shared" si="159"/>
        <v>#VALUE!</v>
      </c>
      <c r="GE29" s="1275" t="e">
        <f t="shared" si="160"/>
        <v>#VALUE!</v>
      </c>
      <c r="GF29" s="1275" t="e">
        <f t="shared" si="161"/>
        <v>#VALUE!</v>
      </c>
      <c r="GG29" s="1275" t="e">
        <f t="shared" si="162"/>
        <v>#VALUE!</v>
      </c>
      <c r="GH29" s="1275" t="e">
        <f t="shared" si="163"/>
        <v>#VALUE!</v>
      </c>
      <c r="GI29" s="1275" t="e">
        <f t="shared" si="164"/>
        <v>#VALUE!</v>
      </c>
      <c r="GJ29" s="1275" t="e">
        <f t="shared" si="165"/>
        <v>#VALUE!</v>
      </c>
      <c r="GK29" s="1275" t="e">
        <f t="shared" si="166"/>
        <v>#VALUE!</v>
      </c>
      <c r="GL29" s="1275" t="e">
        <f t="shared" si="167"/>
        <v>#VALUE!</v>
      </c>
      <c r="GM29" s="1275" t="e">
        <f t="shared" si="168"/>
        <v>#VALUE!</v>
      </c>
    </row>
    <row r="30" spans="1:195" ht="16.5" customHeight="1">
      <c r="A30" s="1631">
        <v>204</v>
      </c>
      <c r="B30" s="1903"/>
      <c r="C30" s="1274" t="s">
        <v>1092</v>
      </c>
      <c r="D30" s="1469"/>
      <c r="E30" s="1470"/>
      <c r="F30" s="1470"/>
      <c r="G30" s="1470"/>
      <c r="H30" s="1470"/>
      <c r="I30" s="1470"/>
      <c r="J30" s="1470"/>
      <c r="K30" s="1470"/>
      <c r="L30" s="1470"/>
      <c r="M30" s="1470"/>
      <c r="N30" s="1470"/>
      <c r="O30" s="1470"/>
      <c r="P30" s="1470"/>
      <c r="Q30" s="1470" t="str">
        <f>AR30</f>
        <v>Area</v>
      </c>
      <c r="R30" s="1471"/>
      <c r="S30" s="1470">
        <f>IF((AC30&lt;10),SUM((AT30+(ROUNDUP((AC30*BN30),2)))),SUM((AT30+(ROUNDUP(((9*BN30)+GI30),2)))))</f>
        <v>400</v>
      </c>
      <c r="T30" s="1471"/>
      <c r="U30" s="1471">
        <f>IF((AC30&lt;10),SUM((AV30+(ROUNDUP((AC30*BP30),2)))),SUM((AV30+(ROUNDUP(((9*BP30)+GK30),2)))))</f>
        <v>1</v>
      </c>
      <c r="V30" s="1470">
        <f>IF((AC30&lt;10),SUM((AW30+(ROUNDUP((AC30*BQ30),2)))),SUM((AW30+(ROUNDUP(((9*BQ30)+GL30),2)))))</f>
        <v>100</v>
      </c>
      <c r="W30" s="1470">
        <f t="shared" si="143"/>
        <v>7500</v>
      </c>
      <c r="X30" s="1470"/>
      <c r="Y30" s="1470"/>
      <c r="Z30" s="1470"/>
      <c r="AA30" s="1461"/>
      <c r="AB30" s="1462"/>
      <c r="AC30" s="1275">
        <f t="shared" si="30"/>
        <v>0</v>
      </c>
      <c r="AD30" s="1275"/>
      <c r="AE30" s="1463"/>
      <c r="AF30" s="1463"/>
      <c r="AG30" s="1463"/>
      <c r="AH30" s="1463"/>
      <c r="AI30" s="1463"/>
      <c r="AJ30" s="1463"/>
      <c r="AK30" s="1463"/>
      <c r="AL30" s="1463"/>
      <c r="AM30" s="1463"/>
      <c r="AN30" s="1463"/>
      <c r="AO30" s="1463"/>
      <c r="AP30" s="1463"/>
      <c r="AQ30" s="1463"/>
      <c r="AR30" s="1463" t="s">
        <v>284</v>
      </c>
      <c r="AS30" s="1464"/>
      <c r="AT30" s="1463">
        <v>400</v>
      </c>
      <c r="AU30" s="1463"/>
      <c r="AV30" s="1463">
        <v>1</v>
      </c>
      <c r="AW30" s="1463">
        <v>100</v>
      </c>
      <c r="AX30" s="1463">
        <v>7500</v>
      </c>
      <c r="AY30" s="1275"/>
      <c r="AZ30" s="1275"/>
      <c r="BA30" s="1275"/>
      <c r="BB30" s="1275"/>
      <c r="BC30" s="1275"/>
      <c r="BD30" s="1275"/>
      <c r="BE30" s="1463"/>
      <c r="BF30" s="1463"/>
      <c r="BG30" s="1275"/>
      <c r="BH30" s="1275"/>
      <c r="BI30" s="1275"/>
      <c r="BJ30" s="1275"/>
      <c r="BK30" s="1275"/>
      <c r="BL30" s="1275"/>
      <c r="BM30" s="1275"/>
      <c r="BN30" s="1275"/>
      <c r="BO30" s="1275"/>
      <c r="BP30" s="1275"/>
      <c r="BQ30" s="1275">
        <f>SUM((-AW30/12))</f>
        <v>-8.3333333333333339</v>
      </c>
      <c r="BR30" s="1275">
        <f t="shared" si="144"/>
        <v>833.33333333333337</v>
      </c>
      <c r="BS30" s="1275"/>
      <c r="BT30" s="1275"/>
      <c r="BU30" s="1275">
        <f t="shared" si="169"/>
        <v>0</v>
      </c>
      <c r="BV30" s="1275">
        <f t="shared" si="169"/>
        <v>0</v>
      </c>
      <c r="BW30" s="1275">
        <f t="shared" si="169"/>
        <v>0</v>
      </c>
      <c r="BX30" s="1275">
        <f t="shared" si="169"/>
        <v>0</v>
      </c>
      <c r="BY30" s="1275">
        <f t="shared" si="169"/>
        <v>0</v>
      </c>
      <c r="BZ30" s="1275">
        <f t="shared" si="169"/>
        <v>0</v>
      </c>
      <c r="CA30" s="1275">
        <f t="shared" si="169"/>
        <v>0</v>
      </c>
      <c r="CB30" s="1275">
        <f t="shared" si="169"/>
        <v>0</v>
      </c>
      <c r="CC30" s="1275">
        <f t="shared" si="169"/>
        <v>0</v>
      </c>
      <c r="CD30" s="1275">
        <f t="shared" si="169"/>
        <v>0</v>
      </c>
      <c r="CE30" s="1275">
        <f t="shared" si="170"/>
        <v>0</v>
      </c>
      <c r="CF30" s="1275">
        <f t="shared" si="170"/>
        <v>0</v>
      </c>
      <c r="CG30" s="1275">
        <f t="shared" si="170"/>
        <v>0</v>
      </c>
      <c r="CH30" s="1275">
        <f t="shared" si="170"/>
        <v>0</v>
      </c>
      <c r="CI30" s="1275">
        <f t="shared" si="170"/>
        <v>0</v>
      </c>
      <c r="CJ30" s="1275">
        <f t="shared" si="170"/>
        <v>0</v>
      </c>
      <c r="CK30" s="1275">
        <f t="shared" si="170"/>
        <v>0</v>
      </c>
      <c r="CL30" s="1275">
        <f>SUM(((-AW30/50)*CEILING((60/100),0.01)))</f>
        <v>-1.2</v>
      </c>
      <c r="CM30" s="1275">
        <f t="shared" si="171"/>
        <v>750</v>
      </c>
      <c r="CN30" s="1275"/>
      <c r="CO30" s="1275"/>
      <c r="CP30" s="1275">
        <f t="shared" si="172"/>
        <v>0</v>
      </c>
      <c r="CQ30" s="1275">
        <f t="shared" si="172"/>
        <v>0</v>
      </c>
      <c r="CR30" s="1275">
        <f t="shared" si="172"/>
        <v>0</v>
      </c>
      <c r="CS30" s="1275">
        <f t="shared" si="172"/>
        <v>0</v>
      </c>
      <c r="CT30" s="1275">
        <f t="shared" si="172"/>
        <v>0</v>
      </c>
      <c r="CU30" s="1275">
        <f t="shared" si="172"/>
        <v>0</v>
      </c>
      <c r="CV30" s="1275">
        <f t="shared" si="172"/>
        <v>0</v>
      </c>
      <c r="CW30" s="1275">
        <f t="shared" si="172"/>
        <v>0</v>
      </c>
      <c r="CX30" s="1275">
        <f t="shared" si="172"/>
        <v>0</v>
      </c>
      <c r="CY30" s="1275">
        <f t="shared" si="172"/>
        <v>0</v>
      </c>
      <c r="CZ30" s="1275">
        <f t="shared" si="173"/>
        <v>0</v>
      </c>
      <c r="DA30" s="1275">
        <f t="shared" si="173"/>
        <v>0</v>
      </c>
      <c r="DB30" s="1275">
        <f t="shared" si="173"/>
        <v>0</v>
      </c>
      <c r="DC30" s="1275">
        <f t="shared" si="173"/>
        <v>0</v>
      </c>
      <c r="DD30" s="1275">
        <f t="shared" si="173"/>
        <v>0</v>
      </c>
      <c r="DE30" s="1275">
        <f t="shared" si="173"/>
        <v>0</v>
      </c>
      <c r="DF30" s="1275">
        <f t="shared" si="173"/>
        <v>0</v>
      </c>
      <c r="DG30" s="1275">
        <f>SUM(((-AW30/50)*CEILING((48/100),0.01)))</f>
        <v>-0.96</v>
      </c>
      <c r="DH30" s="1275">
        <f t="shared" si="174"/>
        <v>675</v>
      </c>
      <c r="DI30" s="1275"/>
      <c r="DJ30" s="1462"/>
      <c r="DK30" s="1275">
        <f t="shared" si="175"/>
        <v>0</v>
      </c>
      <c r="DL30" s="1275">
        <f t="shared" si="175"/>
        <v>0</v>
      </c>
      <c r="DM30" s="1275">
        <f t="shared" si="175"/>
        <v>0</v>
      </c>
      <c r="DN30" s="1275">
        <f t="shared" si="175"/>
        <v>0</v>
      </c>
      <c r="DO30" s="1275">
        <f t="shared" si="175"/>
        <v>0</v>
      </c>
      <c r="DP30" s="1275">
        <f t="shared" si="175"/>
        <v>0</v>
      </c>
      <c r="DQ30" s="1275">
        <f t="shared" si="175"/>
        <v>0</v>
      </c>
      <c r="DR30" s="1275">
        <f t="shared" si="175"/>
        <v>0</v>
      </c>
      <c r="DS30" s="1275">
        <f t="shared" si="175"/>
        <v>0</v>
      </c>
      <c r="DT30" s="1275">
        <f t="shared" si="175"/>
        <v>0</v>
      </c>
      <c r="DU30" s="1275">
        <f t="shared" si="176"/>
        <v>0</v>
      </c>
      <c r="DV30" s="1275">
        <f t="shared" si="176"/>
        <v>0</v>
      </c>
      <c r="DW30" s="1275">
        <f t="shared" si="176"/>
        <v>0</v>
      </c>
      <c r="DX30" s="1275">
        <f t="shared" si="176"/>
        <v>0</v>
      </c>
      <c r="DY30" s="1275">
        <f t="shared" si="176"/>
        <v>0</v>
      </c>
      <c r="DZ30" s="1275">
        <f t="shared" si="176"/>
        <v>0</v>
      </c>
      <c r="EA30" s="1275">
        <f t="shared" si="176"/>
        <v>0</v>
      </c>
      <c r="EB30" s="1275">
        <f>SUM(((-AW30/50)*CEILING((40.5/100),0.01)))</f>
        <v>-0.82000000000000006</v>
      </c>
      <c r="EC30" s="1275">
        <f t="shared" si="177"/>
        <v>600</v>
      </c>
      <c r="ED30" s="1275"/>
      <c r="EE30" s="1275"/>
      <c r="EF30" s="1275">
        <f t="shared" si="178"/>
        <v>0</v>
      </c>
      <c r="EG30" s="1275">
        <f t="shared" si="178"/>
        <v>0</v>
      </c>
      <c r="EH30" s="1275">
        <f t="shared" si="178"/>
        <v>0</v>
      </c>
      <c r="EI30" s="1275">
        <f t="shared" si="178"/>
        <v>0</v>
      </c>
      <c r="EJ30" s="1275">
        <f t="shared" si="178"/>
        <v>0</v>
      </c>
      <c r="EK30" s="1275">
        <f t="shared" si="178"/>
        <v>0</v>
      </c>
      <c r="EL30" s="1275">
        <f t="shared" si="178"/>
        <v>0</v>
      </c>
      <c r="EM30" s="1275">
        <f t="shared" si="178"/>
        <v>0</v>
      </c>
      <c r="EN30" s="1275">
        <f t="shared" si="178"/>
        <v>0</v>
      </c>
      <c r="EO30" s="1275">
        <f t="shared" si="178"/>
        <v>0</v>
      </c>
      <c r="EP30" s="1275">
        <f t="shared" si="179"/>
        <v>0</v>
      </c>
      <c r="EQ30" s="1275">
        <f t="shared" si="179"/>
        <v>0</v>
      </c>
      <c r="ER30" s="1275">
        <f t="shared" si="179"/>
        <v>0</v>
      </c>
      <c r="ES30" s="1275">
        <f t="shared" si="179"/>
        <v>0</v>
      </c>
      <c r="ET30" s="1275">
        <f t="shared" si="179"/>
        <v>0</v>
      </c>
      <c r="EU30" s="1275">
        <f t="shared" si="179"/>
        <v>0</v>
      </c>
      <c r="EV30" s="1275">
        <f t="shared" si="179"/>
        <v>0</v>
      </c>
      <c r="EW30" s="1275">
        <f>SUM(((-AW30/50)*CEILING((33/100),0.01)))</f>
        <v>-0.66</v>
      </c>
      <c r="EX30" s="1275">
        <f t="shared" si="180"/>
        <v>525</v>
      </c>
      <c r="EY30" s="1275"/>
      <c r="EZ30" s="1275"/>
      <c r="FA30" s="1275">
        <f t="shared" si="181"/>
        <v>0</v>
      </c>
      <c r="FB30" s="1275">
        <f t="shared" si="181"/>
        <v>0</v>
      </c>
      <c r="FC30" s="1275">
        <f t="shared" si="181"/>
        <v>0</v>
      </c>
      <c r="FD30" s="1275">
        <f t="shared" si="181"/>
        <v>0</v>
      </c>
      <c r="FE30" s="1275">
        <f t="shared" si="181"/>
        <v>0</v>
      </c>
      <c r="FF30" s="1275">
        <f t="shared" si="181"/>
        <v>0</v>
      </c>
      <c r="FG30" s="1275">
        <f t="shared" si="181"/>
        <v>0</v>
      </c>
      <c r="FH30" s="1275">
        <f t="shared" si="181"/>
        <v>0</v>
      </c>
      <c r="FI30" s="1275">
        <f t="shared" si="181"/>
        <v>0</v>
      </c>
      <c r="FJ30" s="1275">
        <f t="shared" si="181"/>
        <v>0</v>
      </c>
      <c r="FK30" s="1275">
        <f t="shared" si="182"/>
        <v>0</v>
      </c>
      <c r="FL30" s="1275">
        <f t="shared" si="182"/>
        <v>0</v>
      </c>
      <c r="FM30" s="1275">
        <f t="shared" si="182"/>
        <v>0</v>
      </c>
      <c r="FN30" s="1275">
        <f t="shared" si="182"/>
        <v>0</v>
      </c>
      <c r="FO30" s="1275">
        <f t="shared" si="182"/>
        <v>0</v>
      </c>
      <c r="FP30" s="1275">
        <f t="shared" si="182"/>
        <v>0</v>
      </c>
      <c r="FQ30" s="1275">
        <f t="shared" si="182"/>
        <v>0</v>
      </c>
      <c r="FR30" s="1275">
        <f>SUM(((-AW30/50)*CEILING((25.5/100),0.01)))</f>
        <v>-0.52</v>
      </c>
      <c r="FS30" s="1275">
        <f t="shared" si="183"/>
        <v>450</v>
      </c>
      <c r="FT30" s="1275"/>
      <c r="FU30" s="1275" t="e">
        <f t="shared" si="150"/>
        <v>#VALUE!</v>
      </c>
      <c r="FV30" s="1275" t="e">
        <f t="shared" si="151"/>
        <v>#VALUE!</v>
      </c>
      <c r="FW30" s="1275" t="e">
        <f t="shared" si="152"/>
        <v>#VALUE!</v>
      </c>
      <c r="FX30" s="1275" t="e">
        <f t="shared" si="153"/>
        <v>#VALUE!</v>
      </c>
      <c r="FY30" s="1275" t="e">
        <f t="shared" si="154"/>
        <v>#VALUE!</v>
      </c>
      <c r="FZ30" s="1275" t="e">
        <f t="shared" si="155"/>
        <v>#VALUE!</v>
      </c>
      <c r="GA30" s="1275" t="e">
        <f t="shared" si="156"/>
        <v>#VALUE!</v>
      </c>
      <c r="GB30" s="1275" t="e">
        <f t="shared" si="157"/>
        <v>#VALUE!</v>
      </c>
      <c r="GC30" s="1275" t="e">
        <f t="shared" si="158"/>
        <v>#VALUE!</v>
      </c>
      <c r="GD30" s="1275" t="e">
        <f t="shared" si="159"/>
        <v>#VALUE!</v>
      </c>
      <c r="GE30" s="1275" t="e">
        <f t="shared" si="160"/>
        <v>#VALUE!</v>
      </c>
      <c r="GF30" s="1275" t="e">
        <f t="shared" si="161"/>
        <v>#VALUE!</v>
      </c>
      <c r="GG30" s="1275" t="e">
        <f t="shared" si="162"/>
        <v>#VALUE!</v>
      </c>
      <c r="GH30" s="1275" t="e">
        <f t="shared" si="163"/>
        <v>#VALUE!</v>
      </c>
      <c r="GI30" s="1275" t="e">
        <f t="shared" si="164"/>
        <v>#VALUE!</v>
      </c>
      <c r="GJ30" s="1275" t="e">
        <f t="shared" si="165"/>
        <v>#VALUE!</v>
      </c>
      <c r="GK30" s="1275" t="e">
        <f t="shared" si="166"/>
        <v>#VALUE!</v>
      </c>
      <c r="GL30" s="1275" t="e">
        <f t="shared" si="167"/>
        <v>#VALUE!</v>
      </c>
      <c r="GM30" s="1275" t="e">
        <f t="shared" si="168"/>
        <v>#VALUE!</v>
      </c>
    </row>
    <row r="31" spans="1:195" ht="16.5" customHeight="1">
      <c r="A31" s="1631">
        <v>205</v>
      </c>
      <c r="B31" s="1903"/>
      <c r="C31" s="1274" t="s">
        <v>1093</v>
      </c>
      <c r="D31" s="1472"/>
      <c r="E31" s="1473"/>
      <c r="F31" s="1473">
        <f>IF((AC31&lt;10),SUM((AG31+(ROUNDUP((AC31*BB31),2)))),SUM((AG31+(ROUNDUP(((9*BB31)+FW31),2)))))</f>
        <v>10</v>
      </c>
      <c r="G31" s="1473"/>
      <c r="H31" s="1473"/>
      <c r="I31" s="1473"/>
      <c r="J31" s="1473"/>
      <c r="K31" s="1473"/>
      <c r="L31" s="1473"/>
      <c r="M31" s="1473"/>
      <c r="N31" s="1473"/>
      <c r="O31" s="1473"/>
      <c r="P31" s="1473"/>
      <c r="Q31" s="1473"/>
      <c r="R31" s="1474"/>
      <c r="S31" s="1473"/>
      <c r="T31" s="1474"/>
      <c r="U31" s="1474"/>
      <c r="V31" s="1473"/>
      <c r="W31" s="1473">
        <f t="shared" si="143"/>
        <v>7500</v>
      </c>
      <c r="X31" s="1473"/>
      <c r="Y31" s="1473"/>
      <c r="Z31" s="1473"/>
      <c r="AA31" s="1461"/>
      <c r="AB31" s="1462"/>
      <c r="AC31" s="1275">
        <f t="shared" si="30"/>
        <v>0</v>
      </c>
      <c r="AD31" s="1275"/>
      <c r="AE31" s="1463"/>
      <c r="AF31" s="1463"/>
      <c r="AG31" s="1463">
        <v>10</v>
      </c>
      <c r="AH31" s="1463"/>
      <c r="AI31" s="1463"/>
      <c r="AJ31" s="1463"/>
      <c r="AK31" s="1463"/>
      <c r="AL31" s="1463"/>
      <c r="AM31" s="1463"/>
      <c r="AN31" s="1463"/>
      <c r="AO31" s="1463"/>
      <c r="AP31" s="1463"/>
      <c r="AQ31" s="1463"/>
      <c r="AR31" s="1463"/>
      <c r="AS31" s="1464"/>
      <c r="AT31" s="1463"/>
      <c r="AU31" s="1463"/>
      <c r="AV31" s="1463"/>
      <c r="AW31" s="1463"/>
      <c r="AX31" s="1463">
        <v>7500</v>
      </c>
      <c r="AY31" s="1275"/>
      <c r="AZ31" s="1275"/>
      <c r="BA31" s="1275"/>
      <c r="BB31" s="1275">
        <f>SUM((AG31/9))</f>
        <v>1.1111111111111112</v>
      </c>
      <c r="BC31" s="1275"/>
      <c r="BD31" s="1275"/>
      <c r="BE31" s="1463"/>
      <c r="BF31" s="1463"/>
      <c r="BG31" s="1275"/>
      <c r="BH31" s="1275"/>
      <c r="BI31" s="1275"/>
      <c r="BJ31" s="1275"/>
      <c r="BK31" s="1275"/>
      <c r="BL31" s="1275"/>
      <c r="BM31" s="1275"/>
      <c r="BN31" s="1275"/>
      <c r="BO31" s="1275"/>
      <c r="BP31" s="1275"/>
      <c r="BQ31" s="1275"/>
      <c r="BR31" s="1275">
        <f t="shared" si="144"/>
        <v>833.33333333333337</v>
      </c>
      <c r="BS31" s="1275"/>
      <c r="BT31" s="1462"/>
      <c r="BU31" s="1275">
        <f t="shared" si="169"/>
        <v>0</v>
      </c>
      <c r="BV31" s="1275">
        <f t="shared" si="169"/>
        <v>0</v>
      </c>
      <c r="BW31" s="1275">
        <f t="shared" si="169"/>
        <v>1</v>
      </c>
      <c r="BX31" s="1275">
        <f t="shared" si="169"/>
        <v>0</v>
      </c>
      <c r="BY31" s="1275">
        <f t="shared" si="169"/>
        <v>0</v>
      </c>
      <c r="BZ31" s="1275">
        <f t="shared" si="169"/>
        <v>0</v>
      </c>
      <c r="CA31" s="1275">
        <f t="shared" si="169"/>
        <v>0</v>
      </c>
      <c r="CB31" s="1275">
        <f t="shared" si="169"/>
        <v>0</v>
      </c>
      <c r="CC31" s="1275">
        <f t="shared" si="169"/>
        <v>0</v>
      </c>
      <c r="CD31" s="1275">
        <f t="shared" si="169"/>
        <v>0</v>
      </c>
      <c r="CE31" s="1275">
        <f t="shared" si="170"/>
        <v>0</v>
      </c>
      <c r="CF31" s="1275">
        <f t="shared" si="170"/>
        <v>0</v>
      </c>
      <c r="CG31" s="1275">
        <f t="shared" si="170"/>
        <v>0</v>
      </c>
      <c r="CH31" s="1275">
        <f t="shared" si="170"/>
        <v>0</v>
      </c>
      <c r="CI31" s="1275">
        <f t="shared" si="170"/>
        <v>0</v>
      </c>
      <c r="CJ31" s="1275">
        <f t="shared" si="170"/>
        <v>0</v>
      </c>
      <c r="CK31" s="1275">
        <f t="shared" si="170"/>
        <v>0</v>
      </c>
      <c r="CL31" s="1275">
        <f t="shared" ref="CL31:CL45" si="184">SUM(((BQ31*0.9)*1))</f>
        <v>0</v>
      </c>
      <c r="CM31" s="1275">
        <f t="shared" si="171"/>
        <v>750</v>
      </c>
      <c r="CN31" s="1275"/>
      <c r="CO31" s="1462"/>
      <c r="CP31" s="1275">
        <f t="shared" si="172"/>
        <v>0</v>
      </c>
      <c r="CQ31" s="1275">
        <f t="shared" si="172"/>
        <v>0</v>
      </c>
      <c r="CR31" s="1275">
        <f t="shared" si="172"/>
        <v>0.9</v>
      </c>
      <c r="CS31" s="1275">
        <f t="shared" si="172"/>
        <v>0</v>
      </c>
      <c r="CT31" s="1275">
        <f t="shared" si="172"/>
        <v>0</v>
      </c>
      <c r="CU31" s="1275">
        <f t="shared" si="172"/>
        <v>0</v>
      </c>
      <c r="CV31" s="1275">
        <f t="shared" si="172"/>
        <v>0</v>
      </c>
      <c r="CW31" s="1275">
        <f t="shared" si="172"/>
        <v>0</v>
      </c>
      <c r="CX31" s="1275">
        <f t="shared" si="172"/>
        <v>0</v>
      </c>
      <c r="CY31" s="1275">
        <f t="shared" si="172"/>
        <v>0</v>
      </c>
      <c r="CZ31" s="1275">
        <f t="shared" si="173"/>
        <v>0</v>
      </c>
      <c r="DA31" s="1275">
        <f t="shared" si="173"/>
        <v>0</v>
      </c>
      <c r="DB31" s="1275">
        <f t="shared" si="173"/>
        <v>0</v>
      </c>
      <c r="DC31" s="1275">
        <f t="shared" si="173"/>
        <v>0</v>
      </c>
      <c r="DD31" s="1275">
        <f t="shared" si="173"/>
        <v>0</v>
      </c>
      <c r="DE31" s="1275">
        <f t="shared" si="173"/>
        <v>0</v>
      </c>
      <c r="DF31" s="1275">
        <f t="shared" si="173"/>
        <v>0</v>
      </c>
      <c r="DG31" s="1275">
        <f t="shared" ref="DG31:DG45" si="185">SUM(((BQ31*0.9)*0.9))</f>
        <v>0</v>
      </c>
      <c r="DH31" s="1275">
        <f t="shared" si="174"/>
        <v>675</v>
      </c>
      <c r="DI31" s="1275"/>
      <c r="DJ31" s="1462"/>
      <c r="DK31" s="1275">
        <f t="shared" si="175"/>
        <v>0</v>
      </c>
      <c r="DL31" s="1275">
        <f t="shared" si="175"/>
        <v>0</v>
      </c>
      <c r="DM31" s="1275">
        <f t="shared" si="175"/>
        <v>0.8</v>
      </c>
      <c r="DN31" s="1275">
        <f t="shared" si="175"/>
        <v>0</v>
      </c>
      <c r="DO31" s="1275">
        <f t="shared" si="175"/>
        <v>0</v>
      </c>
      <c r="DP31" s="1275">
        <f t="shared" si="175"/>
        <v>0</v>
      </c>
      <c r="DQ31" s="1275">
        <f t="shared" si="175"/>
        <v>0</v>
      </c>
      <c r="DR31" s="1275">
        <f t="shared" si="175"/>
        <v>0</v>
      </c>
      <c r="DS31" s="1275">
        <f t="shared" si="175"/>
        <v>0</v>
      </c>
      <c r="DT31" s="1275">
        <f t="shared" si="175"/>
        <v>0</v>
      </c>
      <c r="DU31" s="1275">
        <f t="shared" si="176"/>
        <v>0</v>
      </c>
      <c r="DV31" s="1275">
        <f t="shared" si="176"/>
        <v>0</v>
      </c>
      <c r="DW31" s="1275">
        <f t="shared" si="176"/>
        <v>0</v>
      </c>
      <c r="DX31" s="1275">
        <f t="shared" si="176"/>
        <v>0</v>
      </c>
      <c r="DY31" s="1275">
        <f t="shared" si="176"/>
        <v>0</v>
      </c>
      <c r="DZ31" s="1275">
        <f t="shared" si="176"/>
        <v>0</v>
      </c>
      <c r="EA31" s="1275">
        <f t="shared" si="176"/>
        <v>0</v>
      </c>
      <c r="EB31" s="1275">
        <f t="shared" ref="EB31:EB45" si="186">SUM(((BQ31*0.9)*0.8))</f>
        <v>0</v>
      </c>
      <c r="EC31" s="1275">
        <f t="shared" si="177"/>
        <v>600</v>
      </c>
      <c r="ED31" s="1275"/>
      <c r="EE31" s="1462"/>
      <c r="EF31" s="1275">
        <f t="shared" si="178"/>
        <v>0</v>
      </c>
      <c r="EG31" s="1275">
        <f t="shared" si="178"/>
        <v>0</v>
      </c>
      <c r="EH31" s="1275">
        <f t="shared" si="178"/>
        <v>0.7</v>
      </c>
      <c r="EI31" s="1275">
        <f t="shared" si="178"/>
        <v>0</v>
      </c>
      <c r="EJ31" s="1275">
        <f t="shared" si="178"/>
        <v>0</v>
      </c>
      <c r="EK31" s="1275">
        <f t="shared" si="178"/>
        <v>0</v>
      </c>
      <c r="EL31" s="1275">
        <f t="shared" si="178"/>
        <v>0</v>
      </c>
      <c r="EM31" s="1275">
        <f t="shared" si="178"/>
        <v>0</v>
      </c>
      <c r="EN31" s="1275">
        <f t="shared" si="178"/>
        <v>0</v>
      </c>
      <c r="EO31" s="1275">
        <f t="shared" si="178"/>
        <v>0</v>
      </c>
      <c r="EP31" s="1275">
        <f t="shared" si="179"/>
        <v>0</v>
      </c>
      <c r="EQ31" s="1275">
        <f t="shared" si="179"/>
        <v>0</v>
      </c>
      <c r="ER31" s="1275">
        <f t="shared" si="179"/>
        <v>0</v>
      </c>
      <c r="ES31" s="1275">
        <f t="shared" si="179"/>
        <v>0</v>
      </c>
      <c r="ET31" s="1275">
        <f t="shared" si="179"/>
        <v>0</v>
      </c>
      <c r="EU31" s="1275">
        <f t="shared" si="179"/>
        <v>0</v>
      </c>
      <c r="EV31" s="1275">
        <f t="shared" si="179"/>
        <v>0</v>
      </c>
      <c r="EW31" s="1275">
        <f t="shared" ref="EW31:EW45" si="187">SUM(((BQ31*0.9)*0.7))</f>
        <v>0</v>
      </c>
      <c r="EX31" s="1275">
        <f t="shared" si="180"/>
        <v>525</v>
      </c>
      <c r="EY31" s="1275"/>
      <c r="EZ31" s="1462"/>
      <c r="FA31" s="1275">
        <f t="shared" si="181"/>
        <v>0</v>
      </c>
      <c r="FB31" s="1275">
        <f t="shared" si="181"/>
        <v>0</v>
      </c>
      <c r="FC31" s="1275">
        <f t="shared" si="181"/>
        <v>0.6</v>
      </c>
      <c r="FD31" s="1275">
        <f t="shared" si="181"/>
        <v>0</v>
      </c>
      <c r="FE31" s="1275">
        <f t="shared" si="181"/>
        <v>0</v>
      </c>
      <c r="FF31" s="1275">
        <f t="shared" si="181"/>
        <v>0</v>
      </c>
      <c r="FG31" s="1275">
        <f t="shared" si="181"/>
        <v>0</v>
      </c>
      <c r="FH31" s="1275">
        <f t="shared" si="181"/>
        <v>0</v>
      </c>
      <c r="FI31" s="1275">
        <f t="shared" si="181"/>
        <v>0</v>
      </c>
      <c r="FJ31" s="1275">
        <f t="shared" si="181"/>
        <v>0</v>
      </c>
      <c r="FK31" s="1275">
        <f t="shared" si="182"/>
        <v>0</v>
      </c>
      <c r="FL31" s="1275">
        <f t="shared" si="182"/>
        <v>0</v>
      </c>
      <c r="FM31" s="1275">
        <f t="shared" si="182"/>
        <v>0</v>
      </c>
      <c r="FN31" s="1275">
        <f t="shared" si="182"/>
        <v>0</v>
      </c>
      <c r="FO31" s="1275">
        <f t="shared" si="182"/>
        <v>0</v>
      </c>
      <c r="FP31" s="1275">
        <f t="shared" si="182"/>
        <v>0</v>
      </c>
      <c r="FQ31" s="1275">
        <f t="shared" si="182"/>
        <v>0</v>
      </c>
      <c r="FR31" s="1275">
        <f t="shared" ref="FR31:FR45" si="188">SUM(((BQ31*0.9)*0.6))</f>
        <v>0</v>
      </c>
      <c r="FS31" s="1275">
        <f t="shared" si="183"/>
        <v>450</v>
      </c>
      <c r="FT31" s="1275"/>
      <c r="FU31" s="1275" t="e">
        <f t="shared" si="150"/>
        <v>#VALUE!</v>
      </c>
      <c r="FV31" s="1275" t="e">
        <f t="shared" si="151"/>
        <v>#VALUE!</v>
      </c>
      <c r="FW31" s="1275" t="e">
        <f t="shared" si="152"/>
        <v>#VALUE!</v>
      </c>
      <c r="FX31" s="1275" t="e">
        <f t="shared" si="153"/>
        <v>#VALUE!</v>
      </c>
      <c r="FY31" s="1275" t="e">
        <f t="shared" si="154"/>
        <v>#VALUE!</v>
      </c>
      <c r="FZ31" s="1275" t="e">
        <f t="shared" si="155"/>
        <v>#VALUE!</v>
      </c>
      <c r="GA31" s="1275" t="e">
        <f t="shared" si="156"/>
        <v>#VALUE!</v>
      </c>
      <c r="GB31" s="1275" t="e">
        <f t="shared" si="157"/>
        <v>#VALUE!</v>
      </c>
      <c r="GC31" s="1275" t="e">
        <f t="shared" si="158"/>
        <v>#VALUE!</v>
      </c>
      <c r="GD31" s="1275" t="e">
        <f t="shared" si="159"/>
        <v>#VALUE!</v>
      </c>
      <c r="GE31" s="1275" t="e">
        <f t="shared" si="160"/>
        <v>#VALUE!</v>
      </c>
      <c r="GF31" s="1275" t="e">
        <f t="shared" si="161"/>
        <v>#VALUE!</v>
      </c>
      <c r="GG31" s="1275" t="e">
        <f t="shared" si="162"/>
        <v>#VALUE!</v>
      </c>
      <c r="GH31" s="1275" t="e">
        <f t="shared" si="163"/>
        <v>#VALUE!</v>
      </c>
      <c r="GI31" s="1275" t="e">
        <f t="shared" si="164"/>
        <v>#VALUE!</v>
      </c>
      <c r="GJ31" s="1275" t="e">
        <f t="shared" si="165"/>
        <v>#VALUE!</v>
      </c>
      <c r="GK31" s="1275" t="e">
        <f t="shared" si="166"/>
        <v>#VALUE!</v>
      </c>
      <c r="GL31" s="1275" t="e">
        <f t="shared" si="167"/>
        <v>#VALUE!</v>
      </c>
      <c r="GM31" s="1275" t="e">
        <f t="shared" si="168"/>
        <v>#VALUE!</v>
      </c>
    </row>
    <row r="32" spans="1:195" ht="16.5" customHeight="1">
      <c r="A32" s="1631">
        <v>206</v>
      </c>
      <c r="B32" s="1903"/>
      <c r="C32" s="1274" t="s">
        <v>1094</v>
      </c>
      <c r="D32" s="1469"/>
      <c r="E32" s="1470"/>
      <c r="F32" s="1470"/>
      <c r="G32" s="1470"/>
      <c r="H32" s="1470"/>
      <c r="I32" s="1470"/>
      <c r="J32" s="1470"/>
      <c r="K32" s="1470"/>
      <c r="L32" s="1470"/>
      <c r="M32" s="1470"/>
      <c r="N32" s="1470"/>
      <c r="O32" s="1470"/>
      <c r="P32" s="1470"/>
      <c r="Q32" s="1470" t="str">
        <f>AR32</f>
        <v>Ignore</v>
      </c>
      <c r="R32" s="1471"/>
      <c r="S32" s="1470"/>
      <c r="T32" s="1471"/>
      <c r="U32" s="1471">
        <f>IF((AC32&lt;10),SUM((AV32+(ROUNDUP((AC32*BP32),2)))),SUM((AV32+(ROUNDUP(((9*BP32)+GK32),2)))))</f>
        <v>120</v>
      </c>
      <c r="V32" s="1470">
        <f>IF((AC32&lt;10),SUM((AW32+(ROUNDUP((AC32*BQ32),2)))),SUM((AW32+(ROUNDUP(((9*BQ32)+GL32),2)))))</f>
        <v>200</v>
      </c>
      <c r="W32" s="1470">
        <f t="shared" si="143"/>
        <v>7500</v>
      </c>
      <c r="X32" s="1470"/>
      <c r="Y32" s="1470"/>
      <c r="Z32" s="1470"/>
      <c r="AA32" s="1461"/>
      <c r="AB32" s="1462"/>
      <c r="AC32" s="1275">
        <f t="shared" si="30"/>
        <v>0</v>
      </c>
      <c r="AD32" s="1275"/>
      <c r="AE32" s="1463"/>
      <c r="AF32" s="1463">
        <v>0</v>
      </c>
      <c r="AG32" s="1463"/>
      <c r="AH32" s="1463"/>
      <c r="AI32" s="1463"/>
      <c r="AJ32" s="1463"/>
      <c r="AK32" s="1463"/>
      <c r="AL32" s="1463"/>
      <c r="AM32" s="1463"/>
      <c r="AN32" s="1463"/>
      <c r="AO32" s="1463"/>
      <c r="AP32" s="1463"/>
      <c r="AQ32" s="1463"/>
      <c r="AR32" s="1463" t="s">
        <v>285</v>
      </c>
      <c r="AS32" s="1464"/>
      <c r="AT32" s="1463"/>
      <c r="AU32" s="1463">
        <v>0</v>
      </c>
      <c r="AV32" s="1463">
        <v>120</v>
      </c>
      <c r="AW32" s="1463">
        <v>200</v>
      </c>
      <c r="AX32" s="1463">
        <v>7500</v>
      </c>
      <c r="AY32" s="1275"/>
      <c r="AZ32" s="1275"/>
      <c r="BA32" s="1275"/>
      <c r="BB32" s="1275"/>
      <c r="BC32" s="1275"/>
      <c r="BD32" s="1275"/>
      <c r="BE32" s="1463"/>
      <c r="BF32" s="1463"/>
      <c r="BG32" s="1275"/>
      <c r="BH32" s="1275"/>
      <c r="BI32" s="1275"/>
      <c r="BJ32" s="1275"/>
      <c r="BK32" s="1275"/>
      <c r="BL32" s="1275"/>
      <c r="BM32" s="1275"/>
      <c r="BN32" s="1275"/>
      <c r="BO32" s="1275"/>
      <c r="BP32" s="1275">
        <f>SUM((-AV32/18))</f>
        <v>-6.666666666666667</v>
      </c>
      <c r="BQ32" s="1275"/>
      <c r="BR32" s="1275">
        <f t="shared" si="144"/>
        <v>833.33333333333337</v>
      </c>
      <c r="BS32" s="1275"/>
      <c r="BT32" s="1475">
        <v>2.33</v>
      </c>
      <c r="BU32" s="1275">
        <f t="shared" ref="BU32:BU45" si="189">SUM(((AZ32*0.9)*1))</f>
        <v>0</v>
      </c>
      <c r="BV32" s="1275">
        <f t="shared" ref="BV32:BV45" si="190">SUM(((BA32*0.9)*1))</f>
        <v>0</v>
      </c>
      <c r="BW32" s="1275">
        <f t="shared" ref="BW32:BW45" si="191">SUM(((BB32*0.9)*1))</f>
        <v>0</v>
      </c>
      <c r="BX32" s="1275">
        <f t="shared" ref="BX32:BX45" si="192">SUM(((BC32*0.9)*1))</f>
        <v>0</v>
      </c>
      <c r="BY32" s="1275">
        <f t="shared" ref="BY32:BY45" si="193">SUM(((BD32*0.9)*1))</f>
        <v>0</v>
      </c>
      <c r="BZ32" s="1275">
        <f t="shared" ref="BZ32:BZ45" si="194">SUM(((BE32*0.9)*1))</f>
        <v>0</v>
      </c>
      <c r="CA32" s="1275">
        <f t="shared" ref="CA32:CA45" si="195">SUM(((BF32*0.9)*1))</f>
        <v>0</v>
      </c>
      <c r="CB32" s="1275">
        <f t="shared" ref="CB32:CB45" si="196">SUM(((BG32*0.9)*1))</f>
        <v>0</v>
      </c>
      <c r="CC32" s="1275">
        <f t="shared" ref="CC32:CC45" si="197">SUM(((BH32*0.9)*1))</f>
        <v>0</v>
      </c>
      <c r="CD32" s="1275">
        <f t="shared" ref="CD32:CD45" si="198">SUM(((BI32*0.9)*1))</f>
        <v>0</v>
      </c>
      <c r="CE32" s="1275">
        <f t="shared" ref="CE32:CE45" si="199">SUM(((BJ32*0.9)*1))</f>
        <v>0</v>
      </c>
      <c r="CF32" s="1275">
        <f t="shared" ref="CF32:CF45" si="200">SUM(((BK32*0.9)*1))</f>
        <v>0</v>
      </c>
      <c r="CG32" s="1275">
        <f t="shared" ref="CG32:CG45" si="201">SUM(((BL32*0.9)*1))</f>
        <v>0</v>
      </c>
      <c r="CH32" s="1275">
        <f t="shared" ref="CH32:CH45" si="202">SUM(((BM32*0.9)*1))</f>
        <v>0</v>
      </c>
      <c r="CI32" s="1275">
        <f t="shared" ref="CI32:CI45" si="203">SUM(((BN32*0.9)*1))</f>
        <v>0</v>
      </c>
      <c r="CJ32" s="1275">
        <f t="shared" ref="CJ32:CJ45" si="204">SUM(((BO32*0.9)*1))</f>
        <v>0</v>
      </c>
      <c r="CK32" s="1475">
        <f>SUM(ROUND((BP32/BT32),2))</f>
        <v>-2.86</v>
      </c>
      <c r="CL32" s="1275">
        <f t="shared" si="184"/>
        <v>0</v>
      </c>
      <c r="CM32" s="1275">
        <f t="shared" si="171"/>
        <v>750</v>
      </c>
      <c r="CN32" s="1275"/>
      <c r="CO32" s="1475">
        <v>2.84</v>
      </c>
      <c r="CP32" s="1275">
        <f t="shared" ref="CP32:CP45" si="205">SUM(((AZ32*0.9)*0.9))</f>
        <v>0</v>
      </c>
      <c r="CQ32" s="1275">
        <f t="shared" ref="CQ32:CQ45" si="206">SUM(((BA32*0.9)*0.9))</f>
        <v>0</v>
      </c>
      <c r="CR32" s="1275">
        <f t="shared" ref="CR32:CR45" si="207">SUM(((BB32*0.9)*0.9))</f>
        <v>0</v>
      </c>
      <c r="CS32" s="1275">
        <f t="shared" ref="CS32:CS45" si="208">SUM(((BC32*0.9)*0.9))</f>
        <v>0</v>
      </c>
      <c r="CT32" s="1275">
        <f t="shared" ref="CT32:CT45" si="209">SUM(((BD32*0.9)*0.9))</f>
        <v>0</v>
      </c>
      <c r="CU32" s="1275">
        <f t="shared" ref="CU32:CU45" si="210">SUM(((BE32*0.9)*0.9))</f>
        <v>0</v>
      </c>
      <c r="CV32" s="1275">
        <f t="shared" ref="CV32:CV45" si="211">SUM(((BF32*0.9)*0.9))</f>
        <v>0</v>
      </c>
      <c r="CW32" s="1275">
        <f t="shared" ref="CW32:CW45" si="212">SUM(((BG32*0.9)*0.9))</f>
        <v>0</v>
      </c>
      <c r="CX32" s="1275">
        <f t="shared" ref="CX32:CX45" si="213">SUM(((BH32*0.9)*0.9))</f>
        <v>0</v>
      </c>
      <c r="CY32" s="1275">
        <f t="shared" ref="CY32:CY45" si="214">SUM(((BI32*0.9)*0.9))</f>
        <v>0</v>
      </c>
      <c r="CZ32" s="1275">
        <f t="shared" ref="CZ32:CZ45" si="215">SUM(((BJ32*0.9)*0.9))</f>
        <v>0</v>
      </c>
      <c r="DA32" s="1275">
        <f t="shared" ref="DA32:DA45" si="216">SUM(((BK32*0.9)*0.9))</f>
        <v>0</v>
      </c>
      <c r="DB32" s="1275">
        <f t="shared" ref="DB32:DB45" si="217">SUM(((BL32*0.9)*0.9))</f>
        <v>0</v>
      </c>
      <c r="DC32" s="1275">
        <f t="shared" ref="DC32:DC45" si="218">SUM(((BM32*0.9)*0.9))</f>
        <v>0</v>
      </c>
      <c r="DD32" s="1275">
        <f t="shared" ref="DD32:DD45" si="219">SUM(((BN32*0.9)*0.9))</f>
        <v>0</v>
      </c>
      <c r="DE32" s="1275">
        <f t="shared" ref="DE32:DE45" si="220">SUM(((BO32*0.9)*0.9))</f>
        <v>0</v>
      </c>
      <c r="DF32" s="1475">
        <f>SUM(ROUND((BP32/CO32),2))</f>
        <v>-2.35</v>
      </c>
      <c r="DG32" s="1275">
        <f t="shared" si="185"/>
        <v>0</v>
      </c>
      <c r="DH32" s="1275">
        <f t="shared" si="174"/>
        <v>675</v>
      </c>
      <c r="DI32" s="1275"/>
      <c r="DJ32" s="1475">
        <v>3.45</v>
      </c>
      <c r="DK32" s="1275">
        <f t="shared" ref="DK32:DK45" si="221">SUM(((AZ32*0.9)*0.8))</f>
        <v>0</v>
      </c>
      <c r="DL32" s="1275">
        <f t="shared" ref="DL32:DL45" si="222">SUM(((BA32*0.9)*0.8))</f>
        <v>0</v>
      </c>
      <c r="DM32" s="1275">
        <f t="shared" ref="DM32:DM45" si="223">SUM(((BB32*0.9)*0.8))</f>
        <v>0</v>
      </c>
      <c r="DN32" s="1275">
        <f t="shared" ref="DN32:DN45" si="224">SUM(((BC32*0.9)*0.8))</f>
        <v>0</v>
      </c>
      <c r="DO32" s="1275">
        <f t="shared" ref="DO32:DO45" si="225">SUM(((BD32*0.9)*0.8))</f>
        <v>0</v>
      </c>
      <c r="DP32" s="1275">
        <f t="shared" ref="DP32:DP45" si="226">SUM(((BE32*0.9)*0.8))</f>
        <v>0</v>
      </c>
      <c r="DQ32" s="1275">
        <f t="shared" ref="DQ32:DQ45" si="227">SUM(((BF32*0.9)*0.8))</f>
        <v>0</v>
      </c>
      <c r="DR32" s="1275">
        <f t="shared" ref="DR32:DR45" si="228">SUM(((BG32*0.9)*0.8))</f>
        <v>0</v>
      </c>
      <c r="DS32" s="1275">
        <f t="shared" ref="DS32:DS45" si="229">SUM(((BH32*0.9)*0.8))</f>
        <v>0</v>
      </c>
      <c r="DT32" s="1275">
        <f t="shared" ref="DT32:DT45" si="230">SUM(((BI32*0.9)*0.8))</f>
        <v>0</v>
      </c>
      <c r="DU32" s="1275">
        <f t="shared" ref="DU32:DU45" si="231">SUM(((BJ32*0.9)*0.8))</f>
        <v>0</v>
      </c>
      <c r="DV32" s="1275">
        <f t="shared" ref="DV32:DV45" si="232">SUM(((BK32*0.9)*0.8))</f>
        <v>0</v>
      </c>
      <c r="DW32" s="1275">
        <f t="shared" ref="DW32:DW45" si="233">SUM(((BL32*0.9)*0.8))</f>
        <v>0</v>
      </c>
      <c r="DX32" s="1275">
        <f t="shared" ref="DX32:DX45" si="234">SUM(((BM32*0.9)*0.8))</f>
        <v>0</v>
      </c>
      <c r="DY32" s="1275">
        <f t="shared" ref="DY32:DY45" si="235">SUM(((BN32*0.9)*0.8))</f>
        <v>0</v>
      </c>
      <c r="DZ32" s="1275">
        <f t="shared" ref="DZ32:DZ45" si="236">SUM(((BO32*0.9)*0.8))</f>
        <v>0</v>
      </c>
      <c r="EA32" s="1475">
        <f>SUM(ROUND((BP32/DJ32),2))</f>
        <v>-1.93</v>
      </c>
      <c r="EB32" s="1275">
        <f t="shared" si="186"/>
        <v>0</v>
      </c>
      <c r="EC32" s="1275">
        <f t="shared" si="177"/>
        <v>600</v>
      </c>
      <c r="ED32" s="1275"/>
      <c r="EE32" s="1475">
        <v>4.2300000000000004</v>
      </c>
      <c r="EF32" s="1275">
        <f t="shared" ref="EF32:EF45" si="237">SUM(((AZ32*0.9)*0.7))</f>
        <v>0</v>
      </c>
      <c r="EG32" s="1275">
        <f t="shared" ref="EG32:EG45" si="238">SUM(((BA32*0.9)*0.7))</f>
        <v>0</v>
      </c>
      <c r="EH32" s="1275">
        <f t="shared" ref="EH32:EH45" si="239">SUM(((BB32*0.9)*0.7))</f>
        <v>0</v>
      </c>
      <c r="EI32" s="1275">
        <f t="shared" ref="EI32:EI45" si="240">SUM(((BC32*0.9)*0.7))</f>
        <v>0</v>
      </c>
      <c r="EJ32" s="1275">
        <f t="shared" ref="EJ32:EJ45" si="241">SUM(((BD32*0.9)*0.7))</f>
        <v>0</v>
      </c>
      <c r="EK32" s="1275">
        <f t="shared" ref="EK32:EK45" si="242">SUM(((BE32*0.9)*0.7))</f>
        <v>0</v>
      </c>
      <c r="EL32" s="1275">
        <f t="shared" ref="EL32:EL45" si="243">SUM(((BF32*0.9)*0.7))</f>
        <v>0</v>
      </c>
      <c r="EM32" s="1275">
        <f t="shared" ref="EM32:EM45" si="244">SUM(((BG32*0.9)*0.7))</f>
        <v>0</v>
      </c>
      <c r="EN32" s="1275">
        <f t="shared" ref="EN32:EN45" si="245">SUM(((BH32*0.9)*0.7))</f>
        <v>0</v>
      </c>
      <c r="EO32" s="1275">
        <f t="shared" ref="EO32:EO45" si="246">SUM(((BI32*0.9)*0.7))</f>
        <v>0</v>
      </c>
      <c r="EP32" s="1275">
        <f t="shared" ref="EP32:EP45" si="247">SUM(((BJ32*0.9)*0.7))</f>
        <v>0</v>
      </c>
      <c r="EQ32" s="1275">
        <f t="shared" ref="EQ32:EQ45" si="248">SUM(((BK32*0.9)*0.7))</f>
        <v>0</v>
      </c>
      <c r="ER32" s="1275">
        <f t="shared" ref="ER32:ER45" si="249">SUM(((BL32*0.9)*0.7))</f>
        <v>0</v>
      </c>
      <c r="ES32" s="1275">
        <f t="shared" ref="ES32:ES45" si="250">SUM(((BM32*0.9)*0.7))</f>
        <v>0</v>
      </c>
      <c r="ET32" s="1275">
        <f t="shared" ref="ET32:ET45" si="251">SUM(((BN32*0.9)*0.7))</f>
        <v>0</v>
      </c>
      <c r="EU32" s="1275">
        <f t="shared" ref="EU32:EU45" si="252">SUM(((BO32*0.9)*0.7))</f>
        <v>0</v>
      </c>
      <c r="EV32" s="1475">
        <f>SUM(ROUND((BP32/EE32),2))</f>
        <v>-1.58</v>
      </c>
      <c r="EW32" s="1275">
        <f t="shared" si="187"/>
        <v>0</v>
      </c>
      <c r="EX32" s="1275">
        <f t="shared" si="180"/>
        <v>525</v>
      </c>
      <c r="EY32" s="1275"/>
      <c r="EZ32" s="1475">
        <v>5.2</v>
      </c>
      <c r="FA32" s="1275">
        <f t="shared" ref="FA32:FA45" si="253">SUM(((AZ32*0.9)*0.6))</f>
        <v>0</v>
      </c>
      <c r="FB32" s="1275">
        <f t="shared" ref="FB32:FB45" si="254">SUM(((BA32*0.9)*0.6))</f>
        <v>0</v>
      </c>
      <c r="FC32" s="1275">
        <f t="shared" ref="FC32:FC45" si="255">SUM(((BB32*0.9)*0.6))</f>
        <v>0</v>
      </c>
      <c r="FD32" s="1275">
        <f t="shared" ref="FD32:FD45" si="256">SUM(((BC32*0.9)*0.6))</f>
        <v>0</v>
      </c>
      <c r="FE32" s="1275">
        <f t="shared" ref="FE32:FE45" si="257">SUM(((BD32*0.9)*0.6))</f>
        <v>0</v>
      </c>
      <c r="FF32" s="1275">
        <f t="shared" ref="FF32:FF45" si="258">SUM(((BE32*0.9)*0.6))</f>
        <v>0</v>
      </c>
      <c r="FG32" s="1275">
        <f t="shared" ref="FG32:FG45" si="259">SUM(((BF32*0.9)*0.6))</f>
        <v>0</v>
      </c>
      <c r="FH32" s="1275">
        <f t="shared" ref="FH32:FH45" si="260">SUM(((BG32*0.9)*0.6))</f>
        <v>0</v>
      </c>
      <c r="FI32" s="1275">
        <f t="shared" ref="FI32:FI45" si="261">SUM(((BH32*0.9)*0.6))</f>
        <v>0</v>
      </c>
      <c r="FJ32" s="1275">
        <f t="shared" ref="FJ32:FJ45" si="262">SUM(((BI32*0.9)*0.6))</f>
        <v>0</v>
      </c>
      <c r="FK32" s="1275">
        <f t="shared" ref="FK32:FK45" si="263">SUM(((BJ32*0.9)*0.6))</f>
        <v>0</v>
      </c>
      <c r="FL32" s="1275">
        <f t="shared" ref="FL32:FL45" si="264">SUM(((BK32*0.9)*0.6))</f>
        <v>0</v>
      </c>
      <c r="FM32" s="1275">
        <f t="shared" ref="FM32:FM45" si="265">SUM(((BL32*0.9)*0.6))</f>
        <v>0</v>
      </c>
      <c r="FN32" s="1275">
        <f t="shared" ref="FN32:FN45" si="266">SUM(((BM32*0.9)*0.6))</f>
        <v>0</v>
      </c>
      <c r="FO32" s="1275">
        <f t="shared" ref="FO32:FO45" si="267">SUM(((BN32*0.9)*0.6))</f>
        <v>0</v>
      </c>
      <c r="FP32" s="1275">
        <f t="shared" ref="FP32:FP45" si="268">SUM(((BO32*0.9)*0.6))</f>
        <v>0</v>
      </c>
      <c r="FQ32" s="1475">
        <f>SUM(ROUND((BP32/EZ32),2))</f>
        <v>-1.28</v>
      </c>
      <c r="FR32" s="1275">
        <f t="shared" si="188"/>
        <v>0</v>
      </c>
      <c r="FS32" s="1275">
        <f t="shared" si="183"/>
        <v>450</v>
      </c>
      <c r="FT32" s="1275"/>
      <c r="FU32" s="1275" t="e">
        <f t="shared" si="150"/>
        <v>#VALUE!</v>
      </c>
      <c r="FV32" s="1275" t="e">
        <f t="shared" si="151"/>
        <v>#VALUE!</v>
      </c>
      <c r="FW32" s="1275" t="e">
        <f t="shared" si="152"/>
        <v>#VALUE!</v>
      </c>
      <c r="FX32" s="1275" t="e">
        <f t="shared" si="153"/>
        <v>#VALUE!</v>
      </c>
      <c r="FY32" s="1275" t="e">
        <f t="shared" si="154"/>
        <v>#VALUE!</v>
      </c>
      <c r="FZ32" s="1275" t="e">
        <f t="shared" si="155"/>
        <v>#VALUE!</v>
      </c>
      <c r="GA32" s="1275" t="e">
        <f t="shared" si="156"/>
        <v>#VALUE!</v>
      </c>
      <c r="GB32" s="1275" t="e">
        <f t="shared" si="157"/>
        <v>#VALUE!</v>
      </c>
      <c r="GC32" s="1275" t="e">
        <f t="shared" si="158"/>
        <v>#VALUE!</v>
      </c>
      <c r="GD32" s="1275" t="e">
        <f t="shared" si="159"/>
        <v>#VALUE!</v>
      </c>
      <c r="GE32" s="1275" t="e">
        <f t="shared" si="160"/>
        <v>#VALUE!</v>
      </c>
      <c r="GF32" s="1275" t="e">
        <f t="shared" si="161"/>
        <v>#VALUE!</v>
      </c>
      <c r="GG32" s="1275" t="e">
        <f t="shared" si="162"/>
        <v>#VALUE!</v>
      </c>
      <c r="GH32" s="1275" t="e">
        <f t="shared" si="163"/>
        <v>#VALUE!</v>
      </c>
      <c r="GI32" s="1275" t="e">
        <f t="shared" si="164"/>
        <v>#VALUE!</v>
      </c>
      <c r="GJ32" s="1275" t="e">
        <f t="shared" si="165"/>
        <v>#VALUE!</v>
      </c>
      <c r="GK32" s="1275" t="e">
        <f t="shared" si="166"/>
        <v>#VALUE!</v>
      </c>
      <c r="GL32" s="1275" t="e">
        <f t="shared" si="167"/>
        <v>#VALUE!</v>
      </c>
      <c r="GM32" s="1275" t="e">
        <f t="shared" si="168"/>
        <v>#VALUE!</v>
      </c>
    </row>
    <row r="33" spans="1:195" ht="16.5" customHeight="1">
      <c r="A33" s="1631">
        <v>207</v>
      </c>
      <c r="B33" s="1903"/>
      <c r="C33" s="1274" t="s">
        <v>1095</v>
      </c>
      <c r="D33" s="1472"/>
      <c r="E33" s="1473"/>
      <c r="F33" s="1473"/>
      <c r="G33" s="1473">
        <f>IF((AC33&lt;10),SUM((AH33+(ROUNDUP((AC33*BC33),2)))),SUM((AH33+(ROUNDUP(((9*BC33)+FX33),2)))))</f>
        <v>45</v>
      </c>
      <c r="H33" s="1473"/>
      <c r="I33" s="1473"/>
      <c r="J33" s="1473"/>
      <c r="K33" s="1473"/>
      <c r="L33" s="1473"/>
      <c r="M33" s="1473"/>
      <c r="N33" s="1473"/>
      <c r="O33" s="1473"/>
      <c r="P33" s="1473"/>
      <c r="Q33" s="1473"/>
      <c r="R33" s="1474"/>
      <c r="S33" s="1473"/>
      <c r="T33" s="1474"/>
      <c r="U33" s="1474">
        <f>IF((AC33&lt;10),SUM((AV33+(ROUNDUP((AC33*BP33),2)))),SUM((AV33+(ROUNDUP(((9*BP33)+GK33),2)))))</f>
        <v>60</v>
      </c>
      <c r="V33" s="1473">
        <f>IF((AC33&lt;10),SUM((AW33+(ROUNDUP((AC33*BQ33),2)))),SUM((AW33+(ROUNDUP(((9*BQ33)+GL33),2)))))</f>
        <v>5</v>
      </c>
      <c r="W33" s="1473">
        <f t="shared" si="143"/>
        <v>7500</v>
      </c>
      <c r="X33" s="1473"/>
      <c r="Y33" s="1473"/>
      <c r="Z33" s="1473"/>
      <c r="AA33" s="1461"/>
      <c r="AB33" s="1462"/>
      <c r="AC33" s="1275">
        <f t="shared" si="30"/>
        <v>0</v>
      </c>
      <c r="AD33" s="1275"/>
      <c r="AE33" s="1463"/>
      <c r="AF33" s="1463"/>
      <c r="AG33" s="1463"/>
      <c r="AH33" s="1463">
        <v>45</v>
      </c>
      <c r="AI33" s="1463"/>
      <c r="AJ33" s="1463"/>
      <c r="AK33" s="1463"/>
      <c r="AL33" s="1463"/>
      <c r="AM33" s="1463"/>
      <c r="AN33" s="1463"/>
      <c r="AO33" s="1463"/>
      <c r="AP33" s="1463"/>
      <c r="AQ33" s="1463"/>
      <c r="AR33" s="1463"/>
      <c r="AS33" s="1464"/>
      <c r="AT33" s="1463"/>
      <c r="AU33" s="1463"/>
      <c r="AV33" s="1463">
        <v>60</v>
      </c>
      <c r="AW33" s="1463">
        <v>5</v>
      </c>
      <c r="AX33" s="1463">
        <v>7500</v>
      </c>
      <c r="AY33" s="1275"/>
      <c r="AZ33" s="1275"/>
      <c r="BA33" s="1275"/>
      <c r="BB33" s="1275"/>
      <c r="BC33" s="1275"/>
      <c r="BD33" s="1275"/>
      <c r="BE33" s="1463"/>
      <c r="BF33" s="1463"/>
      <c r="BG33" s="1275"/>
      <c r="BH33" s="1275"/>
      <c r="BI33" s="1275"/>
      <c r="BJ33" s="1275"/>
      <c r="BK33" s="1275"/>
      <c r="BL33" s="1275"/>
      <c r="BM33" s="1275"/>
      <c r="BN33" s="1275"/>
      <c r="BO33" s="1275"/>
      <c r="BP33" s="1275">
        <f>SUM((-AV33/18))</f>
        <v>-3.3333333333333335</v>
      </c>
      <c r="BQ33" s="1275"/>
      <c r="BR33" s="1275">
        <f t="shared" si="144"/>
        <v>833.33333333333337</v>
      </c>
      <c r="BS33" s="1275"/>
      <c r="BT33" s="1475">
        <v>2.33</v>
      </c>
      <c r="BU33" s="1275">
        <f t="shared" si="189"/>
        <v>0</v>
      </c>
      <c r="BV33" s="1275">
        <f t="shared" si="190"/>
        <v>0</v>
      </c>
      <c r="BW33" s="1275">
        <f t="shared" si="191"/>
        <v>0</v>
      </c>
      <c r="BX33" s="1275">
        <f t="shared" si="192"/>
        <v>0</v>
      </c>
      <c r="BY33" s="1275">
        <f t="shared" si="193"/>
        <v>0</v>
      </c>
      <c r="BZ33" s="1275">
        <f t="shared" si="194"/>
        <v>0</v>
      </c>
      <c r="CA33" s="1275">
        <f t="shared" si="195"/>
        <v>0</v>
      </c>
      <c r="CB33" s="1275">
        <f t="shared" si="196"/>
        <v>0</v>
      </c>
      <c r="CC33" s="1275">
        <f t="shared" si="197"/>
        <v>0</v>
      </c>
      <c r="CD33" s="1275">
        <f t="shared" si="198"/>
        <v>0</v>
      </c>
      <c r="CE33" s="1275">
        <f t="shared" si="199"/>
        <v>0</v>
      </c>
      <c r="CF33" s="1275">
        <f t="shared" si="200"/>
        <v>0</v>
      </c>
      <c r="CG33" s="1275">
        <f t="shared" si="201"/>
        <v>0</v>
      </c>
      <c r="CH33" s="1275">
        <f t="shared" si="202"/>
        <v>0</v>
      </c>
      <c r="CI33" s="1275">
        <f t="shared" si="203"/>
        <v>0</v>
      </c>
      <c r="CJ33" s="1275">
        <f t="shared" si="204"/>
        <v>0</v>
      </c>
      <c r="CK33" s="1475">
        <f>SUM(ROUND((BP33/BT33),2))</f>
        <v>-1.43</v>
      </c>
      <c r="CL33" s="1275">
        <f t="shared" si="184"/>
        <v>0</v>
      </c>
      <c r="CM33" s="1275">
        <f t="shared" si="171"/>
        <v>750</v>
      </c>
      <c r="CN33" s="1275"/>
      <c r="CO33" s="1475">
        <v>2.84</v>
      </c>
      <c r="CP33" s="1275">
        <f t="shared" si="205"/>
        <v>0</v>
      </c>
      <c r="CQ33" s="1275">
        <f t="shared" si="206"/>
        <v>0</v>
      </c>
      <c r="CR33" s="1275">
        <f t="shared" si="207"/>
        <v>0</v>
      </c>
      <c r="CS33" s="1275">
        <f t="shared" si="208"/>
        <v>0</v>
      </c>
      <c r="CT33" s="1275">
        <f t="shared" si="209"/>
        <v>0</v>
      </c>
      <c r="CU33" s="1275">
        <f t="shared" si="210"/>
        <v>0</v>
      </c>
      <c r="CV33" s="1275">
        <f t="shared" si="211"/>
        <v>0</v>
      </c>
      <c r="CW33" s="1275">
        <f t="shared" si="212"/>
        <v>0</v>
      </c>
      <c r="CX33" s="1275">
        <f t="shared" si="213"/>
        <v>0</v>
      </c>
      <c r="CY33" s="1275">
        <f t="shared" si="214"/>
        <v>0</v>
      </c>
      <c r="CZ33" s="1275">
        <f t="shared" si="215"/>
        <v>0</v>
      </c>
      <c r="DA33" s="1275">
        <f t="shared" si="216"/>
        <v>0</v>
      </c>
      <c r="DB33" s="1275">
        <f t="shared" si="217"/>
        <v>0</v>
      </c>
      <c r="DC33" s="1275">
        <f t="shared" si="218"/>
        <v>0</v>
      </c>
      <c r="DD33" s="1275">
        <f t="shared" si="219"/>
        <v>0</v>
      </c>
      <c r="DE33" s="1275">
        <f t="shared" si="220"/>
        <v>0</v>
      </c>
      <c r="DF33" s="1475">
        <f>SUM(ROUND((BP33/CO33),2))</f>
        <v>-1.17</v>
      </c>
      <c r="DG33" s="1275">
        <f t="shared" si="185"/>
        <v>0</v>
      </c>
      <c r="DH33" s="1275">
        <f t="shared" si="174"/>
        <v>675</v>
      </c>
      <c r="DI33" s="1275"/>
      <c r="DJ33" s="1475">
        <v>3.45</v>
      </c>
      <c r="DK33" s="1275">
        <f t="shared" si="221"/>
        <v>0</v>
      </c>
      <c r="DL33" s="1275">
        <f t="shared" si="222"/>
        <v>0</v>
      </c>
      <c r="DM33" s="1275">
        <f t="shared" si="223"/>
        <v>0</v>
      </c>
      <c r="DN33" s="1275">
        <f t="shared" si="224"/>
        <v>0</v>
      </c>
      <c r="DO33" s="1275">
        <f t="shared" si="225"/>
        <v>0</v>
      </c>
      <c r="DP33" s="1275">
        <f t="shared" si="226"/>
        <v>0</v>
      </c>
      <c r="DQ33" s="1275">
        <f t="shared" si="227"/>
        <v>0</v>
      </c>
      <c r="DR33" s="1275">
        <f t="shared" si="228"/>
        <v>0</v>
      </c>
      <c r="DS33" s="1275">
        <f t="shared" si="229"/>
        <v>0</v>
      </c>
      <c r="DT33" s="1275">
        <f t="shared" si="230"/>
        <v>0</v>
      </c>
      <c r="DU33" s="1275">
        <f t="shared" si="231"/>
        <v>0</v>
      </c>
      <c r="DV33" s="1275">
        <f t="shared" si="232"/>
        <v>0</v>
      </c>
      <c r="DW33" s="1275">
        <f t="shared" si="233"/>
        <v>0</v>
      </c>
      <c r="DX33" s="1275">
        <f t="shared" si="234"/>
        <v>0</v>
      </c>
      <c r="DY33" s="1275">
        <f t="shared" si="235"/>
        <v>0</v>
      </c>
      <c r="DZ33" s="1275">
        <f t="shared" si="236"/>
        <v>0</v>
      </c>
      <c r="EA33" s="1475">
        <f>SUM(ROUND((BP33/DJ33),2))</f>
        <v>-0.97</v>
      </c>
      <c r="EB33" s="1275">
        <f t="shared" si="186"/>
        <v>0</v>
      </c>
      <c r="EC33" s="1275">
        <f t="shared" si="177"/>
        <v>600</v>
      </c>
      <c r="ED33" s="1275"/>
      <c r="EE33" s="1475">
        <v>4.2300000000000004</v>
      </c>
      <c r="EF33" s="1275">
        <f t="shared" si="237"/>
        <v>0</v>
      </c>
      <c r="EG33" s="1275">
        <f t="shared" si="238"/>
        <v>0</v>
      </c>
      <c r="EH33" s="1275">
        <f t="shared" si="239"/>
        <v>0</v>
      </c>
      <c r="EI33" s="1275">
        <f t="shared" si="240"/>
        <v>0</v>
      </c>
      <c r="EJ33" s="1275">
        <f t="shared" si="241"/>
        <v>0</v>
      </c>
      <c r="EK33" s="1275">
        <f t="shared" si="242"/>
        <v>0</v>
      </c>
      <c r="EL33" s="1275">
        <f t="shared" si="243"/>
        <v>0</v>
      </c>
      <c r="EM33" s="1275">
        <f t="shared" si="244"/>
        <v>0</v>
      </c>
      <c r="EN33" s="1275">
        <f t="shared" si="245"/>
        <v>0</v>
      </c>
      <c r="EO33" s="1275">
        <f t="shared" si="246"/>
        <v>0</v>
      </c>
      <c r="EP33" s="1275">
        <f t="shared" si="247"/>
        <v>0</v>
      </c>
      <c r="EQ33" s="1275">
        <f t="shared" si="248"/>
        <v>0</v>
      </c>
      <c r="ER33" s="1275">
        <f t="shared" si="249"/>
        <v>0</v>
      </c>
      <c r="ES33" s="1275">
        <f t="shared" si="250"/>
        <v>0</v>
      </c>
      <c r="ET33" s="1275">
        <f t="shared" si="251"/>
        <v>0</v>
      </c>
      <c r="EU33" s="1275">
        <f t="shared" si="252"/>
        <v>0</v>
      </c>
      <c r="EV33" s="1475">
        <f>SUM(ROUND((BP33/EE33),2))</f>
        <v>-0.79</v>
      </c>
      <c r="EW33" s="1275">
        <f t="shared" si="187"/>
        <v>0</v>
      </c>
      <c r="EX33" s="1275">
        <f t="shared" si="180"/>
        <v>525</v>
      </c>
      <c r="EY33" s="1275"/>
      <c r="EZ33" s="1475">
        <v>5.2</v>
      </c>
      <c r="FA33" s="1275">
        <f t="shared" si="253"/>
        <v>0</v>
      </c>
      <c r="FB33" s="1275">
        <f t="shared" si="254"/>
        <v>0</v>
      </c>
      <c r="FC33" s="1275">
        <f t="shared" si="255"/>
        <v>0</v>
      </c>
      <c r="FD33" s="1275">
        <f t="shared" si="256"/>
        <v>0</v>
      </c>
      <c r="FE33" s="1275">
        <f t="shared" si="257"/>
        <v>0</v>
      </c>
      <c r="FF33" s="1275">
        <f t="shared" si="258"/>
        <v>0</v>
      </c>
      <c r="FG33" s="1275">
        <f t="shared" si="259"/>
        <v>0</v>
      </c>
      <c r="FH33" s="1275">
        <f t="shared" si="260"/>
        <v>0</v>
      </c>
      <c r="FI33" s="1275">
        <f t="shared" si="261"/>
        <v>0</v>
      </c>
      <c r="FJ33" s="1275">
        <f t="shared" si="262"/>
        <v>0</v>
      </c>
      <c r="FK33" s="1275">
        <f t="shared" si="263"/>
        <v>0</v>
      </c>
      <c r="FL33" s="1275">
        <f t="shared" si="264"/>
        <v>0</v>
      </c>
      <c r="FM33" s="1275">
        <f t="shared" si="265"/>
        <v>0</v>
      </c>
      <c r="FN33" s="1275">
        <f t="shared" si="266"/>
        <v>0</v>
      </c>
      <c r="FO33" s="1275">
        <f t="shared" si="267"/>
        <v>0</v>
      </c>
      <c r="FP33" s="1275">
        <f t="shared" si="268"/>
        <v>0</v>
      </c>
      <c r="FQ33" s="1475">
        <f>SUM(ROUND((BP33/EZ33),2))</f>
        <v>-0.64</v>
      </c>
      <c r="FR33" s="1275">
        <f t="shared" si="188"/>
        <v>0</v>
      </c>
      <c r="FS33" s="1275">
        <f t="shared" si="183"/>
        <v>450</v>
      </c>
      <c r="FT33" s="1275"/>
      <c r="FU33" s="1275" t="e">
        <f t="shared" si="150"/>
        <v>#VALUE!</v>
      </c>
      <c r="FV33" s="1275" t="e">
        <f t="shared" si="151"/>
        <v>#VALUE!</v>
      </c>
      <c r="FW33" s="1275" t="e">
        <f t="shared" si="152"/>
        <v>#VALUE!</v>
      </c>
      <c r="FX33" s="1275" t="e">
        <f t="shared" si="153"/>
        <v>#VALUE!</v>
      </c>
      <c r="FY33" s="1275" t="e">
        <f t="shared" si="154"/>
        <v>#VALUE!</v>
      </c>
      <c r="FZ33" s="1275" t="e">
        <f t="shared" si="155"/>
        <v>#VALUE!</v>
      </c>
      <c r="GA33" s="1275" t="e">
        <f t="shared" si="156"/>
        <v>#VALUE!</v>
      </c>
      <c r="GB33" s="1275" t="e">
        <f t="shared" si="157"/>
        <v>#VALUE!</v>
      </c>
      <c r="GC33" s="1275" t="e">
        <f t="shared" si="158"/>
        <v>#VALUE!</v>
      </c>
      <c r="GD33" s="1275" t="e">
        <f t="shared" si="159"/>
        <v>#VALUE!</v>
      </c>
      <c r="GE33" s="1275" t="e">
        <f t="shared" si="160"/>
        <v>#VALUE!</v>
      </c>
      <c r="GF33" s="1275" t="e">
        <f t="shared" si="161"/>
        <v>#VALUE!</v>
      </c>
      <c r="GG33" s="1275" t="e">
        <f t="shared" si="162"/>
        <v>#VALUE!</v>
      </c>
      <c r="GH33" s="1275" t="e">
        <f t="shared" si="163"/>
        <v>#VALUE!</v>
      </c>
      <c r="GI33" s="1275" t="e">
        <f t="shared" si="164"/>
        <v>#VALUE!</v>
      </c>
      <c r="GJ33" s="1275" t="e">
        <f t="shared" si="165"/>
        <v>#VALUE!</v>
      </c>
      <c r="GK33" s="1275" t="e">
        <f t="shared" si="166"/>
        <v>#VALUE!</v>
      </c>
      <c r="GL33" s="1275" t="e">
        <f t="shared" si="167"/>
        <v>#VALUE!</v>
      </c>
      <c r="GM33" s="1275" t="e">
        <f t="shared" si="168"/>
        <v>#VALUE!</v>
      </c>
    </row>
    <row r="34" spans="1:195" ht="16.5" customHeight="1">
      <c r="A34" s="1631">
        <v>208</v>
      </c>
      <c r="B34" s="1903"/>
      <c r="C34" s="1274" t="s">
        <v>667</v>
      </c>
      <c r="D34" s="1469"/>
      <c r="E34" s="1470"/>
      <c r="F34" s="1470"/>
      <c r="G34" s="1470"/>
      <c r="H34" s="1470"/>
      <c r="I34" s="1470"/>
      <c r="J34" s="1470"/>
      <c r="K34" s="1470"/>
      <c r="L34" s="1470"/>
      <c r="M34" s="1470"/>
      <c r="N34" s="1470"/>
      <c r="O34" s="1470">
        <f>IF((AC34&lt;10),SUM((AP34+(ROUNDUP((AC34*BK34),2)))),SUM((AP34+(ROUNDUP(((9*BK34)+GF34),2)))))</f>
        <v>25</v>
      </c>
      <c r="P34" s="1470"/>
      <c r="Q34" s="1470"/>
      <c r="R34" s="1471"/>
      <c r="S34" s="1470"/>
      <c r="T34" s="1471"/>
      <c r="U34" s="1471"/>
      <c r="V34" s="1470"/>
      <c r="W34" s="1470">
        <f t="shared" si="143"/>
        <v>7500</v>
      </c>
      <c r="X34" s="1470"/>
      <c r="Y34" s="1470"/>
      <c r="Z34" s="1470"/>
      <c r="AA34" s="1461"/>
      <c r="AB34" s="1462"/>
      <c r="AC34" s="1275">
        <f t="shared" si="30"/>
        <v>0</v>
      </c>
      <c r="AD34" s="1275"/>
      <c r="AE34" s="1463"/>
      <c r="AF34" s="1463"/>
      <c r="AG34" s="1463"/>
      <c r="AH34" s="1463"/>
      <c r="AI34" s="1463"/>
      <c r="AJ34" s="1463"/>
      <c r="AK34" s="1463"/>
      <c r="AL34" s="1463"/>
      <c r="AM34" s="1463"/>
      <c r="AN34" s="1463"/>
      <c r="AO34" s="1463"/>
      <c r="AP34" s="1463">
        <v>25</v>
      </c>
      <c r="AQ34" s="1463"/>
      <c r="AR34" s="1463"/>
      <c r="AS34" s="1464"/>
      <c r="AT34" s="1463"/>
      <c r="AU34" s="1463"/>
      <c r="AV34" s="1463"/>
      <c r="AW34" s="1463"/>
      <c r="AX34" s="1463">
        <v>7500</v>
      </c>
      <c r="AY34" s="1275"/>
      <c r="AZ34" s="1275"/>
      <c r="BA34" s="1275"/>
      <c r="BB34" s="1275"/>
      <c r="BC34" s="1275"/>
      <c r="BD34" s="1275"/>
      <c r="BE34" s="1463"/>
      <c r="BF34" s="1463"/>
      <c r="BG34" s="1275"/>
      <c r="BH34" s="1275"/>
      <c r="BI34" s="1275"/>
      <c r="BJ34" s="1275"/>
      <c r="BK34" s="1275">
        <f>SUM((AP34/9))</f>
        <v>2.7777777777777777</v>
      </c>
      <c r="BL34" s="1275"/>
      <c r="BM34" s="1275"/>
      <c r="BN34" s="1275"/>
      <c r="BO34" s="1275"/>
      <c r="BP34" s="1275"/>
      <c r="BQ34" s="1275"/>
      <c r="BR34" s="1275">
        <f t="shared" si="144"/>
        <v>833.33333333333337</v>
      </c>
      <c r="BS34" s="1275"/>
      <c r="BT34" s="1462"/>
      <c r="BU34" s="1275">
        <f t="shared" si="189"/>
        <v>0</v>
      </c>
      <c r="BV34" s="1275">
        <f t="shared" si="190"/>
        <v>0</v>
      </c>
      <c r="BW34" s="1275">
        <f t="shared" si="191"/>
        <v>0</v>
      </c>
      <c r="BX34" s="1275">
        <f t="shared" si="192"/>
        <v>0</v>
      </c>
      <c r="BY34" s="1275">
        <f t="shared" si="193"/>
        <v>0</v>
      </c>
      <c r="BZ34" s="1275">
        <f t="shared" si="194"/>
        <v>0</v>
      </c>
      <c r="CA34" s="1275">
        <f t="shared" si="195"/>
        <v>0</v>
      </c>
      <c r="CB34" s="1275">
        <f t="shared" si="196"/>
        <v>0</v>
      </c>
      <c r="CC34" s="1275">
        <f t="shared" si="197"/>
        <v>0</v>
      </c>
      <c r="CD34" s="1275">
        <f t="shared" si="198"/>
        <v>0</v>
      </c>
      <c r="CE34" s="1275">
        <f t="shared" si="199"/>
        <v>0</v>
      </c>
      <c r="CF34" s="1275">
        <f t="shared" si="200"/>
        <v>2.5</v>
      </c>
      <c r="CG34" s="1275">
        <f t="shared" si="201"/>
        <v>0</v>
      </c>
      <c r="CH34" s="1275">
        <f t="shared" si="202"/>
        <v>0</v>
      </c>
      <c r="CI34" s="1275">
        <f t="shared" si="203"/>
        <v>0</v>
      </c>
      <c r="CJ34" s="1275">
        <f t="shared" si="204"/>
        <v>0</v>
      </c>
      <c r="CK34" s="1275">
        <f>SUM(((BP34*0.9)*1))</f>
        <v>0</v>
      </c>
      <c r="CL34" s="1275">
        <f t="shared" si="184"/>
        <v>0</v>
      </c>
      <c r="CM34" s="1275">
        <f t="shared" si="171"/>
        <v>750</v>
      </c>
      <c r="CN34" s="1275"/>
      <c r="CO34" s="1462"/>
      <c r="CP34" s="1275">
        <f t="shared" si="205"/>
        <v>0</v>
      </c>
      <c r="CQ34" s="1275">
        <f t="shared" si="206"/>
        <v>0</v>
      </c>
      <c r="CR34" s="1275">
        <f t="shared" si="207"/>
        <v>0</v>
      </c>
      <c r="CS34" s="1275">
        <f t="shared" si="208"/>
        <v>0</v>
      </c>
      <c r="CT34" s="1275">
        <f t="shared" si="209"/>
        <v>0</v>
      </c>
      <c r="CU34" s="1275">
        <f t="shared" si="210"/>
        <v>0</v>
      </c>
      <c r="CV34" s="1275">
        <f t="shared" si="211"/>
        <v>0</v>
      </c>
      <c r="CW34" s="1275">
        <f t="shared" si="212"/>
        <v>0</v>
      </c>
      <c r="CX34" s="1275">
        <f t="shared" si="213"/>
        <v>0</v>
      </c>
      <c r="CY34" s="1275">
        <f t="shared" si="214"/>
        <v>0</v>
      </c>
      <c r="CZ34" s="1275">
        <f t="shared" si="215"/>
        <v>0</v>
      </c>
      <c r="DA34" s="1275">
        <f t="shared" si="216"/>
        <v>2.25</v>
      </c>
      <c r="DB34" s="1275">
        <f t="shared" si="217"/>
        <v>0</v>
      </c>
      <c r="DC34" s="1275">
        <f t="shared" si="218"/>
        <v>0</v>
      </c>
      <c r="DD34" s="1275">
        <f t="shared" si="219"/>
        <v>0</v>
      </c>
      <c r="DE34" s="1275">
        <f t="shared" si="220"/>
        <v>0</v>
      </c>
      <c r="DF34" s="1275">
        <f>SUM(((BP34*0.9)*0.9))</f>
        <v>0</v>
      </c>
      <c r="DG34" s="1275">
        <f t="shared" si="185"/>
        <v>0</v>
      </c>
      <c r="DH34" s="1275">
        <f t="shared" si="174"/>
        <v>675</v>
      </c>
      <c r="DI34" s="1275"/>
      <c r="DJ34" s="1462"/>
      <c r="DK34" s="1275">
        <f t="shared" si="221"/>
        <v>0</v>
      </c>
      <c r="DL34" s="1275">
        <f t="shared" si="222"/>
        <v>0</v>
      </c>
      <c r="DM34" s="1275">
        <f t="shared" si="223"/>
        <v>0</v>
      </c>
      <c r="DN34" s="1275">
        <f t="shared" si="224"/>
        <v>0</v>
      </c>
      <c r="DO34" s="1275">
        <f t="shared" si="225"/>
        <v>0</v>
      </c>
      <c r="DP34" s="1275">
        <f t="shared" si="226"/>
        <v>0</v>
      </c>
      <c r="DQ34" s="1275">
        <f t="shared" si="227"/>
        <v>0</v>
      </c>
      <c r="DR34" s="1275">
        <f t="shared" si="228"/>
        <v>0</v>
      </c>
      <c r="DS34" s="1275">
        <f t="shared" si="229"/>
        <v>0</v>
      </c>
      <c r="DT34" s="1275">
        <f t="shared" si="230"/>
        <v>0</v>
      </c>
      <c r="DU34" s="1275">
        <f t="shared" si="231"/>
        <v>0</v>
      </c>
      <c r="DV34" s="1275">
        <f t="shared" si="232"/>
        <v>2</v>
      </c>
      <c r="DW34" s="1275">
        <f t="shared" si="233"/>
        <v>0</v>
      </c>
      <c r="DX34" s="1275">
        <f t="shared" si="234"/>
        <v>0</v>
      </c>
      <c r="DY34" s="1275">
        <f t="shared" si="235"/>
        <v>0</v>
      </c>
      <c r="DZ34" s="1275">
        <f t="shared" si="236"/>
        <v>0</v>
      </c>
      <c r="EA34" s="1275">
        <f>SUM(((BP34*0.9)*0.8))</f>
        <v>0</v>
      </c>
      <c r="EB34" s="1275">
        <f t="shared" si="186"/>
        <v>0</v>
      </c>
      <c r="EC34" s="1275">
        <f t="shared" si="177"/>
        <v>600</v>
      </c>
      <c r="ED34" s="1275"/>
      <c r="EE34" s="1462"/>
      <c r="EF34" s="1275">
        <f t="shared" si="237"/>
        <v>0</v>
      </c>
      <c r="EG34" s="1275">
        <f t="shared" si="238"/>
        <v>0</v>
      </c>
      <c r="EH34" s="1275">
        <f t="shared" si="239"/>
        <v>0</v>
      </c>
      <c r="EI34" s="1275">
        <f t="shared" si="240"/>
        <v>0</v>
      </c>
      <c r="EJ34" s="1275">
        <f t="shared" si="241"/>
        <v>0</v>
      </c>
      <c r="EK34" s="1275">
        <f t="shared" si="242"/>
        <v>0</v>
      </c>
      <c r="EL34" s="1275">
        <f t="shared" si="243"/>
        <v>0</v>
      </c>
      <c r="EM34" s="1275">
        <f t="shared" si="244"/>
        <v>0</v>
      </c>
      <c r="EN34" s="1275">
        <f t="shared" si="245"/>
        <v>0</v>
      </c>
      <c r="EO34" s="1275">
        <f t="shared" si="246"/>
        <v>0</v>
      </c>
      <c r="EP34" s="1275">
        <f t="shared" si="247"/>
        <v>0</v>
      </c>
      <c r="EQ34" s="1275">
        <f t="shared" si="248"/>
        <v>1.75</v>
      </c>
      <c r="ER34" s="1275">
        <f t="shared" si="249"/>
        <v>0</v>
      </c>
      <c r="ES34" s="1275">
        <f t="shared" si="250"/>
        <v>0</v>
      </c>
      <c r="ET34" s="1275">
        <f t="shared" si="251"/>
        <v>0</v>
      </c>
      <c r="EU34" s="1275">
        <f t="shared" si="252"/>
        <v>0</v>
      </c>
      <c r="EV34" s="1275">
        <f>SUM(((BP34*0.9)*0.7))</f>
        <v>0</v>
      </c>
      <c r="EW34" s="1275">
        <f t="shared" si="187"/>
        <v>0</v>
      </c>
      <c r="EX34" s="1275">
        <f t="shared" si="180"/>
        <v>525</v>
      </c>
      <c r="EY34" s="1275"/>
      <c r="EZ34" s="1462"/>
      <c r="FA34" s="1275">
        <f t="shared" si="253"/>
        <v>0</v>
      </c>
      <c r="FB34" s="1275">
        <f t="shared" si="254"/>
        <v>0</v>
      </c>
      <c r="FC34" s="1275">
        <f t="shared" si="255"/>
        <v>0</v>
      </c>
      <c r="FD34" s="1275">
        <f t="shared" si="256"/>
        <v>0</v>
      </c>
      <c r="FE34" s="1275">
        <f t="shared" si="257"/>
        <v>0</v>
      </c>
      <c r="FF34" s="1275">
        <f t="shared" si="258"/>
        <v>0</v>
      </c>
      <c r="FG34" s="1275">
        <f t="shared" si="259"/>
        <v>0</v>
      </c>
      <c r="FH34" s="1275">
        <f t="shared" si="260"/>
        <v>0</v>
      </c>
      <c r="FI34" s="1275">
        <f t="shared" si="261"/>
        <v>0</v>
      </c>
      <c r="FJ34" s="1275">
        <f t="shared" si="262"/>
        <v>0</v>
      </c>
      <c r="FK34" s="1275">
        <f t="shared" si="263"/>
        <v>0</v>
      </c>
      <c r="FL34" s="1275">
        <f t="shared" si="264"/>
        <v>1.5</v>
      </c>
      <c r="FM34" s="1275">
        <f t="shared" si="265"/>
        <v>0</v>
      </c>
      <c r="FN34" s="1275">
        <f t="shared" si="266"/>
        <v>0</v>
      </c>
      <c r="FO34" s="1275">
        <f t="shared" si="267"/>
        <v>0</v>
      </c>
      <c r="FP34" s="1275">
        <f t="shared" si="268"/>
        <v>0</v>
      </c>
      <c r="FQ34" s="1275">
        <f>SUM(((BP34*0.9)*0.6))</f>
        <v>0</v>
      </c>
      <c r="FR34" s="1275">
        <f t="shared" si="188"/>
        <v>0</v>
      </c>
      <c r="FS34" s="1275">
        <f t="shared" si="183"/>
        <v>450</v>
      </c>
      <c r="FT34" s="1275"/>
      <c r="FU34" s="1275" t="e">
        <f t="shared" si="150"/>
        <v>#VALUE!</v>
      </c>
      <c r="FV34" s="1275" t="e">
        <f t="shared" si="151"/>
        <v>#VALUE!</v>
      </c>
      <c r="FW34" s="1275" t="e">
        <f t="shared" si="152"/>
        <v>#VALUE!</v>
      </c>
      <c r="FX34" s="1275" t="e">
        <f t="shared" si="153"/>
        <v>#VALUE!</v>
      </c>
      <c r="FY34" s="1275" t="e">
        <f t="shared" si="154"/>
        <v>#VALUE!</v>
      </c>
      <c r="FZ34" s="1275" t="e">
        <f t="shared" si="155"/>
        <v>#VALUE!</v>
      </c>
      <c r="GA34" s="1275" t="e">
        <f t="shared" si="156"/>
        <v>#VALUE!</v>
      </c>
      <c r="GB34" s="1275" t="e">
        <f t="shared" si="157"/>
        <v>#VALUE!</v>
      </c>
      <c r="GC34" s="1275" t="e">
        <f t="shared" si="158"/>
        <v>#VALUE!</v>
      </c>
      <c r="GD34" s="1275" t="e">
        <f t="shared" si="159"/>
        <v>#VALUE!</v>
      </c>
      <c r="GE34" s="1275" t="e">
        <f t="shared" si="160"/>
        <v>#VALUE!</v>
      </c>
      <c r="GF34" s="1275" t="e">
        <f t="shared" si="161"/>
        <v>#VALUE!</v>
      </c>
      <c r="GG34" s="1275" t="e">
        <f t="shared" si="162"/>
        <v>#VALUE!</v>
      </c>
      <c r="GH34" s="1275" t="e">
        <f t="shared" si="163"/>
        <v>#VALUE!</v>
      </c>
      <c r="GI34" s="1275" t="e">
        <f t="shared" si="164"/>
        <v>#VALUE!</v>
      </c>
      <c r="GJ34" s="1275" t="e">
        <f t="shared" si="165"/>
        <v>#VALUE!</v>
      </c>
      <c r="GK34" s="1275" t="e">
        <f t="shared" si="166"/>
        <v>#VALUE!</v>
      </c>
      <c r="GL34" s="1275" t="e">
        <f t="shared" si="167"/>
        <v>#VALUE!</v>
      </c>
      <c r="GM34" s="1275" t="e">
        <f t="shared" si="168"/>
        <v>#VALUE!</v>
      </c>
    </row>
    <row r="35" spans="1:195" ht="16.5" customHeight="1">
      <c r="A35" s="1631">
        <v>209</v>
      </c>
      <c r="B35" s="1903"/>
      <c r="C35" s="1274" t="s">
        <v>1096</v>
      </c>
      <c r="D35" s="1472"/>
      <c r="E35" s="1473"/>
      <c r="F35" s="1473"/>
      <c r="G35" s="1473"/>
      <c r="H35" s="1473"/>
      <c r="I35" s="1473"/>
      <c r="J35" s="1473"/>
      <c r="K35" s="1473"/>
      <c r="L35" s="1473"/>
      <c r="M35" s="1473"/>
      <c r="N35" s="1473"/>
      <c r="O35" s="1473"/>
      <c r="P35" s="1473">
        <f>IF((AC35&lt;10),SUM((AQ35+(ROUNDUP((AC35*BL35),2)))),SUM((AQ35+(ROUNDUP(((9*BL35)+GG35),2)))))</f>
        <v>25</v>
      </c>
      <c r="Q35" s="1473"/>
      <c r="R35" s="1474"/>
      <c r="S35" s="1473"/>
      <c r="T35" s="1474"/>
      <c r="U35" s="1474"/>
      <c r="V35" s="1473"/>
      <c r="W35" s="1473">
        <f t="shared" si="143"/>
        <v>7500</v>
      </c>
      <c r="X35" s="1473"/>
      <c r="Y35" s="1473"/>
      <c r="Z35" s="1473"/>
      <c r="AA35" s="1461"/>
      <c r="AB35" s="1462"/>
      <c r="AC35" s="1275">
        <f t="shared" si="30"/>
        <v>0</v>
      </c>
      <c r="AD35" s="1275"/>
      <c r="AE35" s="1463"/>
      <c r="AF35" s="1463"/>
      <c r="AG35" s="1463"/>
      <c r="AH35" s="1463"/>
      <c r="AI35" s="1463"/>
      <c r="AJ35" s="1463"/>
      <c r="AK35" s="1463"/>
      <c r="AL35" s="1463"/>
      <c r="AM35" s="1463"/>
      <c r="AN35" s="1463"/>
      <c r="AO35" s="1463"/>
      <c r="AP35" s="1463"/>
      <c r="AQ35" s="1463">
        <v>25</v>
      </c>
      <c r="AR35" s="1463"/>
      <c r="AS35" s="1464"/>
      <c r="AT35" s="1463"/>
      <c r="AU35" s="1463"/>
      <c r="AV35" s="1463"/>
      <c r="AW35" s="1463"/>
      <c r="AX35" s="1463">
        <v>7500</v>
      </c>
      <c r="AY35" s="1275"/>
      <c r="AZ35" s="1275"/>
      <c r="BA35" s="1275"/>
      <c r="BB35" s="1275"/>
      <c r="BC35" s="1275"/>
      <c r="BD35" s="1275"/>
      <c r="BE35" s="1463"/>
      <c r="BF35" s="1463"/>
      <c r="BG35" s="1275"/>
      <c r="BH35" s="1275"/>
      <c r="BI35" s="1275"/>
      <c r="BJ35" s="1275"/>
      <c r="BK35" s="1275"/>
      <c r="BL35" s="1275">
        <f>SUM((AQ35/9))</f>
        <v>2.7777777777777777</v>
      </c>
      <c r="BM35" s="1275"/>
      <c r="BN35" s="1275"/>
      <c r="BO35" s="1275"/>
      <c r="BP35" s="1275"/>
      <c r="BQ35" s="1275"/>
      <c r="BR35" s="1275">
        <f t="shared" si="144"/>
        <v>833.33333333333337</v>
      </c>
      <c r="BS35" s="1275"/>
      <c r="BT35" s="1462"/>
      <c r="BU35" s="1275">
        <f t="shared" si="189"/>
        <v>0</v>
      </c>
      <c r="BV35" s="1275">
        <f t="shared" si="190"/>
        <v>0</v>
      </c>
      <c r="BW35" s="1275">
        <f t="shared" si="191"/>
        <v>0</v>
      </c>
      <c r="BX35" s="1275">
        <f t="shared" si="192"/>
        <v>0</v>
      </c>
      <c r="BY35" s="1275">
        <f t="shared" si="193"/>
        <v>0</v>
      </c>
      <c r="BZ35" s="1275">
        <f t="shared" si="194"/>
        <v>0</v>
      </c>
      <c r="CA35" s="1275">
        <f t="shared" si="195"/>
        <v>0</v>
      </c>
      <c r="CB35" s="1275">
        <f t="shared" si="196"/>
        <v>0</v>
      </c>
      <c r="CC35" s="1275">
        <f t="shared" si="197"/>
        <v>0</v>
      </c>
      <c r="CD35" s="1275">
        <f t="shared" si="198"/>
        <v>0</v>
      </c>
      <c r="CE35" s="1275">
        <f t="shared" si="199"/>
        <v>0</v>
      </c>
      <c r="CF35" s="1275">
        <f t="shared" si="200"/>
        <v>0</v>
      </c>
      <c r="CG35" s="1275">
        <f t="shared" si="201"/>
        <v>2.5</v>
      </c>
      <c r="CH35" s="1275">
        <f t="shared" si="202"/>
        <v>0</v>
      </c>
      <c r="CI35" s="1275">
        <f t="shared" si="203"/>
        <v>0</v>
      </c>
      <c r="CJ35" s="1275">
        <f t="shared" si="204"/>
        <v>0</v>
      </c>
      <c r="CK35" s="1275">
        <f>SUM(((BP35*0.9)*1))</f>
        <v>0</v>
      </c>
      <c r="CL35" s="1275">
        <f t="shared" si="184"/>
        <v>0</v>
      </c>
      <c r="CM35" s="1275">
        <f t="shared" si="171"/>
        <v>750</v>
      </c>
      <c r="CN35" s="1275"/>
      <c r="CO35" s="1462"/>
      <c r="CP35" s="1275">
        <f t="shared" si="205"/>
        <v>0</v>
      </c>
      <c r="CQ35" s="1275">
        <f t="shared" si="206"/>
        <v>0</v>
      </c>
      <c r="CR35" s="1275">
        <f t="shared" si="207"/>
        <v>0</v>
      </c>
      <c r="CS35" s="1275">
        <f t="shared" si="208"/>
        <v>0</v>
      </c>
      <c r="CT35" s="1275">
        <f t="shared" si="209"/>
        <v>0</v>
      </c>
      <c r="CU35" s="1275">
        <f t="shared" si="210"/>
        <v>0</v>
      </c>
      <c r="CV35" s="1275">
        <f t="shared" si="211"/>
        <v>0</v>
      </c>
      <c r="CW35" s="1275">
        <f t="shared" si="212"/>
        <v>0</v>
      </c>
      <c r="CX35" s="1275">
        <f t="shared" si="213"/>
        <v>0</v>
      </c>
      <c r="CY35" s="1275">
        <f t="shared" si="214"/>
        <v>0</v>
      </c>
      <c r="CZ35" s="1275">
        <f t="shared" si="215"/>
        <v>0</v>
      </c>
      <c r="DA35" s="1275">
        <f t="shared" si="216"/>
        <v>0</v>
      </c>
      <c r="DB35" s="1275">
        <f t="shared" si="217"/>
        <v>2.25</v>
      </c>
      <c r="DC35" s="1275">
        <f t="shared" si="218"/>
        <v>0</v>
      </c>
      <c r="DD35" s="1275">
        <f t="shared" si="219"/>
        <v>0</v>
      </c>
      <c r="DE35" s="1275">
        <f t="shared" si="220"/>
        <v>0</v>
      </c>
      <c r="DF35" s="1275">
        <f>SUM(((BP35*0.9)*0.9))</f>
        <v>0</v>
      </c>
      <c r="DG35" s="1275">
        <f t="shared" si="185"/>
        <v>0</v>
      </c>
      <c r="DH35" s="1275">
        <f t="shared" si="174"/>
        <v>675</v>
      </c>
      <c r="DI35" s="1275"/>
      <c r="DJ35" s="1275"/>
      <c r="DK35" s="1275">
        <f t="shared" si="221"/>
        <v>0</v>
      </c>
      <c r="DL35" s="1275">
        <f t="shared" si="222"/>
        <v>0</v>
      </c>
      <c r="DM35" s="1275">
        <f t="shared" si="223"/>
        <v>0</v>
      </c>
      <c r="DN35" s="1275">
        <f t="shared" si="224"/>
        <v>0</v>
      </c>
      <c r="DO35" s="1275">
        <f t="shared" si="225"/>
        <v>0</v>
      </c>
      <c r="DP35" s="1275">
        <f t="shared" si="226"/>
        <v>0</v>
      </c>
      <c r="DQ35" s="1275">
        <f t="shared" si="227"/>
        <v>0</v>
      </c>
      <c r="DR35" s="1275">
        <f t="shared" si="228"/>
        <v>0</v>
      </c>
      <c r="DS35" s="1275">
        <f t="shared" si="229"/>
        <v>0</v>
      </c>
      <c r="DT35" s="1275">
        <f t="shared" si="230"/>
        <v>0</v>
      </c>
      <c r="DU35" s="1275">
        <f t="shared" si="231"/>
        <v>0</v>
      </c>
      <c r="DV35" s="1275">
        <f t="shared" si="232"/>
        <v>0</v>
      </c>
      <c r="DW35" s="1275">
        <f t="shared" si="233"/>
        <v>2</v>
      </c>
      <c r="DX35" s="1275">
        <f t="shared" si="234"/>
        <v>0</v>
      </c>
      <c r="DY35" s="1275">
        <f t="shared" si="235"/>
        <v>0</v>
      </c>
      <c r="DZ35" s="1275">
        <f t="shared" si="236"/>
        <v>0</v>
      </c>
      <c r="EA35" s="1275">
        <f>SUM(((BP35*0.9)*0.8))</f>
        <v>0</v>
      </c>
      <c r="EB35" s="1275">
        <f t="shared" si="186"/>
        <v>0</v>
      </c>
      <c r="EC35" s="1275">
        <f t="shared" si="177"/>
        <v>600</v>
      </c>
      <c r="ED35" s="1275"/>
      <c r="EE35" s="1275"/>
      <c r="EF35" s="1275">
        <f t="shared" si="237"/>
        <v>0</v>
      </c>
      <c r="EG35" s="1275">
        <f t="shared" si="238"/>
        <v>0</v>
      </c>
      <c r="EH35" s="1275">
        <f t="shared" si="239"/>
        <v>0</v>
      </c>
      <c r="EI35" s="1275">
        <f t="shared" si="240"/>
        <v>0</v>
      </c>
      <c r="EJ35" s="1275">
        <f t="shared" si="241"/>
        <v>0</v>
      </c>
      <c r="EK35" s="1275">
        <f t="shared" si="242"/>
        <v>0</v>
      </c>
      <c r="EL35" s="1275">
        <f t="shared" si="243"/>
        <v>0</v>
      </c>
      <c r="EM35" s="1275">
        <f t="shared" si="244"/>
        <v>0</v>
      </c>
      <c r="EN35" s="1275">
        <f t="shared" si="245"/>
        <v>0</v>
      </c>
      <c r="EO35" s="1275">
        <f t="shared" si="246"/>
        <v>0</v>
      </c>
      <c r="EP35" s="1275">
        <f t="shared" si="247"/>
        <v>0</v>
      </c>
      <c r="EQ35" s="1275">
        <f t="shared" si="248"/>
        <v>0</v>
      </c>
      <c r="ER35" s="1275">
        <f t="shared" si="249"/>
        <v>1.75</v>
      </c>
      <c r="ES35" s="1275">
        <f t="shared" si="250"/>
        <v>0</v>
      </c>
      <c r="ET35" s="1275">
        <f t="shared" si="251"/>
        <v>0</v>
      </c>
      <c r="EU35" s="1275">
        <f t="shared" si="252"/>
        <v>0</v>
      </c>
      <c r="EV35" s="1275">
        <f>SUM(((BP35*0.9)*0.7))</f>
        <v>0</v>
      </c>
      <c r="EW35" s="1275">
        <f t="shared" si="187"/>
        <v>0</v>
      </c>
      <c r="EX35" s="1275">
        <f t="shared" si="180"/>
        <v>525</v>
      </c>
      <c r="EY35" s="1275"/>
      <c r="EZ35" s="1462"/>
      <c r="FA35" s="1275">
        <f t="shared" si="253"/>
        <v>0</v>
      </c>
      <c r="FB35" s="1275">
        <f t="shared" si="254"/>
        <v>0</v>
      </c>
      <c r="FC35" s="1275">
        <f t="shared" si="255"/>
        <v>0</v>
      </c>
      <c r="FD35" s="1275">
        <f t="shared" si="256"/>
        <v>0</v>
      </c>
      <c r="FE35" s="1275">
        <f t="shared" si="257"/>
        <v>0</v>
      </c>
      <c r="FF35" s="1275">
        <f t="shared" si="258"/>
        <v>0</v>
      </c>
      <c r="FG35" s="1275">
        <f t="shared" si="259"/>
        <v>0</v>
      </c>
      <c r="FH35" s="1275">
        <f t="shared" si="260"/>
        <v>0</v>
      </c>
      <c r="FI35" s="1275">
        <f t="shared" si="261"/>
        <v>0</v>
      </c>
      <c r="FJ35" s="1275">
        <f t="shared" si="262"/>
        <v>0</v>
      </c>
      <c r="FK35" s="1275">
        <f t="shared" si="263"/>
        <v>0</v>
      </c>
      <c r="FL35" s="1275">
        <f t="shared" si="264"/>
        <v>0</v>
      </c>
      <c r="FM35" s="1275">
        <f t="shared" si="265"/>
        <v>1.5</v>
      </c>
      <c r="FN35" s="1275">
        <f t="shared" si="266"/>
        <v>0</v>
      </c>
      <c r="FO35" s="1275">
        <f t="shared" si="267"/>
        <v>0</v>
      </c>
      <c r="FP35" s="1275">
        <f t="shared" si="268"/>
        <v>0</v>
      </c>
      <c r="FQ35" s="1275">
        <f>SUM(((BP35*0.9)*0.6))</f>
        <v>0</v>
      </c>
      <c r="FR35" s="1275">
        <f t="shared" si="188"/>
        <v>0</v>
      </c>
      <c r="FS35" s="1275">
        <f t="shared" si="183"/>
        <v>450</v>
      </c>
      <c r="FT35" s="1275"/>
      <c r="FU35" s="1275" t="e">
        <f t="shared" si="150"/>
        <v>#VALUE!</v>
      </c>
      <c r="FV35" s="1275" t="e">
        <f t="shared" si="151"/>
        <v>#VALUE!</v>
      </c>
      <c r="FW35" s="1275" t="e">
        <f t="shared" si="152"/>
        <v>#VALUE!</v>
      </c>
      <c r="FX35" s="1275" t="e">
        <f t="shared" si="153"/>
        <v>#VALUE!</v>
      </c>
      <c r="FY35" s="1275" t="e">
        <f t="shared" si="154"/>
        <v>#VALUE!</v>
      </c>
      <c r="FZ35" s="1275" t="e">
        <f t="shared" si="155"/>
        <v>#VALUE!</v>
      </c>
      <c r="GA35" s="1275" t="e">
        <f t="shared" si="156"/>
        <v>#VALUE!</v>
      </c>
      <c r="GB35" s="1275" t="e">
        <f t="shared" si="157"/>
        <v>#VALUE!</v>
      </c>
      <c r="GC35" s="1275" t="e">
        <f t="shared" si="158"/>
        <v>#VALUE!</v>
      </c>
      <c r="GD35" s="1275" t="e">
        <f t="shared" si="159"/>
        <v>#VALUE!</v>
      </c>
      <c r="GE35" s="1275" t="e">
        <f t="shared" si="160"/>
        <v>#VALUE!</v>
      </c>
      <c r="GF35" s="1275" t="e">
        <f t="shared" si="161"/>
        <v>#VALUE!</v>
      </c>
      <c r="GG35" s="1275" t="e">
        <f t="shared" si="162"/>
        <v>#VALUE!</v>
      </c>
      <c r="GH35" s="1275" t="e">
        <f t="shared" si="163"/>
        <v>#VALUE!</v>
      </c>
      <c r="GI35" s="1275" t="e">
        <f t="shared" si="164"/>
        <v>#VALUE!</v>
      </c>
      <c r="GJ35" s="1275" t="e">
        <f t="shared" si="165"/>
        <v>#VALUE!</v>
      </c>
      <c r="GK35" s="1275" t="e">
        <f t="shared" si="166"/>
        <v>#VALUE!</v>
      </c>
      <c r="GL35" s="1275" t="e">
        <f t="shared" si="167"/>
        <v>#VALUE!</v>
      </c>
      <c r="GM35" s="1275" t="e">
        <f t="shared" si="168"/>
        <v>#VALUE!</v>
      </c>
    </row>
    <row r="36" spans="1:195" ht="16.5" customHeight="1">
      <c r="A36" s="1631">
        <v>210</v>
      </c>
      <c r="B36" s="1904"/>
      <c r="C36" s="1476" t="s">
        <v>301</v>
      </c>
      <c r="D36" s="1477"/>
      <c r="E36" s="1478"/>
      <c r="F36" s="1478"/>
      <c r="G36" s="1478"/>
      <c r="H36" s="1478"/>
      <c r="I36" s="1478"/>
      <c r="J36" s="1478"/>
      <c r="K36" s="1478"/>
      <c r="L36" s="1478"/>
      <c r="M36" s="1478"/>
      <c r="N36" s="1478"/>
      <c r="O36" s="1478">
        <f>IF((AC36&lt;10),SUM((AP36+(ROUNDUP((AC36*BK36),2)))),SUM((AP36+(ROUNDUP(((9*BK36)+GF36),2)))))</f>
        <v>12.5</v>
      </c>
      <c r="P36" s="1478">
        <f>IF((AC36&lt;10),SUM((AQ36+(ROUNDUP((AC36*BL36),2)))),SUM((AQ36+(ROUNDUP(((9*BL36)+GG36),2)))))</f>
        <v>12.5</v>
      </c>
      <c r="Q36" s="1478"/>
      <c r="R36" s="1479"/>
      <c r="S36" s="1478"/>
      <c r="T36" s="1479"/>
      <c r="U36" s="1479"/>
      <c r="V36" s="1478"/>
      <c r="W36" s="1478">
        <f t="shared" si="143"/>
        <v>7500</v>
      </c>
      <c r="X36" s="1478"/>
      <c r="Y36" s="1478"/>
      <c r="Z36" s="1478"/>
      <c r="AA36" s="1461"/>
      <c r="AB36" s="1462"/>
      <c r="AC36" s="1275">
        <f t="shared" si="30"/>
        <v>0</v>
      </c>
      <c r="AD36" s="1275"/>
      <c r="AE36" s="1463"/>
      <c r="AF36" s="1463"/>
      <c r="AG36" s="1463"/>
      <c r="AH36" s="1463"/>
      <c r="AI36" s="1463"/>
      <c r="AJ36" s="1463"/>
      <c r="AK36" s="1463"/>
      <c r="AL36" s="1463"/>
      <c r="AM36" s="1463"/>
      <c r="AN36" s="1463"/>
      <c r="AO36" s="1463"/>
      <c r="AP36" s="1463">
        <v>12.5</v>
      </c>
      <c r="AQ36" s="1463">
        <v>12.5</v>
      </c>
      <c r="AR36" s="1463"/>
      <c r="AS36" s="1464"/>
      <c r="AT36" s="1463"/>
      <c r="AU36" s="1463"/>
      <c r="AV36" s="1463"/>
      <c r="AW36" s="1463"/>
      <c r="AX36" s="1463">
        <v>7500</v>
      </c>
      <c r="AY36" s="1275"/>
      <c r="AZ36" s="1275"/>
      <c r="BA36" s="1275"/>
      <c r="BB36" s="1275"/>
      <c r="BC36" s="1275"/>
      <c r="BD36" s="1275"/>
      <c r="BE36" s="1463"/>
      <c r="BF36" s="1463"/>
      <c r="BG36" s="1275"/>
      <c r="BH36" s="1275"/>
      <c r="BI36" s="1275"/>
      <c r="BJ36" s="1275"/>
      <c r="BK36" s="1275">
        <f>SUM((AP36/9))</f>
        <v>1.3888888888888888</v>
      </c>
      <c r="BL36" s="1275">
        <f>SUM((AQ36/9))</f>
        <v>1.3888888888888888</v>
      </c>
      <c r="BM36" s="1275"/>
      <c r="BN36" s="1275"/>
      <c r="BO36" s="1275"/>
      <c r="BP36" s="1275"/>
      <c r="BQ36" s="1275"/>
      <c r="BR36" s="1275">
        <f t="shared" si="144"/>
        <v>833.33333333333337</v>
      </c>
      <c r="BS36" s="1275"/>
      <c r="BT36" s="1462"/>
      <c r="BU36" s="1275">
        <f t="shared" si="189"/>
        <v>0</v>
      </c>
      <c r="BV36" s="1275">
        <f t="shared" si="190"/>
        <v>0</v>
      </c>
      <c r="BW36" s="1275">
        <f t="shared" si="191"/>
        <v>0</v>
      </c>
      <c r="BX36" s="1275">
        <f t="shared" si="192"/>
        <v>0</v>
      </c>
      <c r="BY36" s="1275">
        <f t="shared" si="193"/>
        <v>0</v>
      </c>
      <c r="BZ36" s="1275">
        <f t="shared" si="194"/>
        <v>0</v>
      </c>
      <c r="CA36" s="1275">
        <f t="shared" si="195"/>
        <v>0</v>
      </c>
      <c r="CB36" s="1275">
        <f t="shared" si="196"/>
        <v>0</v>
      </c>
      <c r="CC36" s="1275">
        <f t="shared" si="197"/>
        <v>0</v>
      </c>
      <c r="CD36" s="1275">
        <f t="shared" si="198"/>
        <v>0</v>
      </c>
      <c r="CE36" s="1275">
        <f t="shared" si="199"/>
        <v>0</v>
      </c>
      <c r="CF36" s="1275">
        <f t="shared" si="200"/>
        <v>1.25</v>
      </c>
      <c r="CG36" s="1275">
        <f t="shared" si="201"/>
        <v>1.25</v>
      </c>
      <c r="CH36" s="1275">
        <f t="shared" si="202"/>
        <v>0</v>
      </c>
      <c r="CI36" s="1275">
        <f t="shared" si="203"/>
        <v>0</v>
      </c>
      <c r="CJ36" s="1275">
        <f t="shared" si="204"/>
        <v>0</v>
      </c>
      <c r="CK36" s="1275">
        <f>SUM(((BP36*0.9)*1))</f>
        <v>0</v>
      </c>
      <c r="CL36" s="1275">
        <f t="shared" si="184"/>
        <v>0</v>
      </c>
      <c r="CM36" s="1275">
        <f t="shared" si="171"/>
        <v>750</v>
      </c>
      <c r="CN36" s="1275"/>
      <c r="CO36" s="1462"/>
      <c r="CP36" s="1275">
        <f t="shared" si="205"/>
        <v>0</v>
      </c>
      <c r="CQ36" s="1275">
        <f t="shared" si="206"/>
        <v>0</v>
      </c>
      <c r="CR36" s="1275">
        <f t="shared" si="207"/>
        <v>0</v>
      </c>
      <c r="CS36" s="1275">
        <f t="shared" si="208"/>
        <v>0</v>
      </c>
      <c r="CT36" s="1275">
        <f t="shared" si="209"/>
        <v>0</v>
      </c>
      <c r="CU36" s="1275">
        <f t="shared" si="210"/>
        <v>0</v>
      </c>
      <c r="CV36" s="1275">
        <f t="shared" si="211"/>
        <v>0</v>
      </c>
      <c r="CW36" s="1275">
        <f t="shared" si="212"/>
        <v>0</v>
      </c>
      <c r="CX36" s="1275">
        <f t="shared" si="213"/>
        <v>0</v>
      </c>
      <c r="CY36" s="1275">
        <f t="shared" si="214"/>
        <v>0</v>
      </c>
      <c r="CZ36" s="1275">
        <f t="shared" si="215"/>
        <v>0</v>
      </c>
      <c r="DA36" s="1275">
        <f t="shared" si="216"/>
        <v>1.125</v>
      </c>
      <c r="DB36" s="1275">
        <f t="shared" si="217"/>
        <v>1.125</v>
      </c>
      <c r="DC36" s="1275">
        <f t="shared" si="218"/>
        <v>0</v>
      </c>
      <c r="DD36" s="1275">
        <f t="shared" si="219"/>
        <v>0</v>
      </c>
      <c r="DE36" s="1275">
        <f t="shared" si="220"/>
        <v>0</v>
      </c>
      <c r="DF36" s="1275">
        <f>SUM(((BP36*0.9)*0.9))</f>
        <v>0</v>
      </c>
      <c r="DG36" s="1275">
        <f t="shared" si="185"/>
        <v>0</v>
      </c>
      <c r="DH36" s="1275">
        <f t="shared" si="174"/>
        <v>675</v>
      </c>
      <c r="DI36" s="1275"/>
      <c r="DJ36" s="1275"/>
      <c r="DK36" s="1275">
        <f t="shared" si="221"/>
        <v>0</v>
      </c>
      <c r="DL36" s="1275">
        <f t="shared" si="222"/>
        <v>0</v>
      </c>
      <c r="DM36" s="1275">
        <f t="shared" si="223"/>
        <v>0</v>
      </c>
      <c r="DN36" s="1275">
        <f t="shared" si="224"/>
        <v>0</v>
      </c>
      <c r="DO36" s="1275">
        <f t="shared" si="225"/>
        <v>0</v>
      </c>
      <c r="DP36" s="1275">
        <f t="shared" si="226"/>
        <v>0</v>
      </c>
      <c r="DQ36" s="1275">
        <f t="shared" si="227"/>
        <v>0</v>
      </c>
      <c r="DR36" s="1275">
        <f t="shared" si="228"/>
        <v>0</v>
      </c>
      <c r="DS36" s="1275">
        <f t="shared" si="229"/>
        <v>0</v>
      </c>
      <c r="DT36" s="1275">
        <f t="shared" si="230"/>
        <v>0</v>
      </c>
      <c r="DU36" s="1275">
        <f t="shared" si="231"/>
        <v>0</v>
      </c>
      <c r="DV36" s="1275">
        <f t="shared" si="232"/>
        <v>1</v>
      </c>
      <c r="DW36" s="1275">
        <f t="shared" si="233"/>
        <v>1</v>
      </c>
      <c r="DX36" s="1275">
        <f t="shared" si="234"/>
        <v>0</v>
      </c>
      <c r="DY36" s="1275">
        <f t="shared" si="235"/>
        <v>0</v>
      </c>
      <c r="DZ36" s="1275">
        <f t="shared" si="236"/>
        <v>0</v>
      </c>
      <c r="EA36" s="1275">
        <f>SUM(((BP36*0.9)*0.8))</f>
        <v>0</v>
      </c>
      <c r="EB36" s="1275">
        <f t="shared" si="186"/>
        <v>0</v>
      </c>
      <c r="EC36" s="1275">
        <f t="shared" si="177"/>
        <v>600</v>
      </c>
      <c r="ED36" s="1275"/>
      <c r="EE36" s="1275"/>
      <c r="EF36" s="1275">
        <f t="shared" si="237"/>
        <v>0</v>
      </c>
      <c r="EG36" s="1275">
        <f t="shared" si="238"/>
        <v>0</v>
      </c>
      <c r="EH36" s="1275">
        <f t="shared" si="239"/>
        <v>0</v>
      </c>
      <c r="EI36" s="1275">
        <f t="shared" si="240"/>
        <v>0</v>
      </c>
      <c r="EJ36" s="1275">
        <f t="shared" si="241"/>
        <v>0</v>
      </c>
      <c r="EK36" s="1275">
        <f t="shared" si="242"/>
        <v>0</v>
      </c>
      <c r="EL36" s="1275">
        <f t="shared" si="243"/>
        <v>0</v>
      </c>
      <c r="EM36" s="1275">
        <f t="shared" si="244"/>
        <v>0</v>
      </c>
      <c r="EN36" s="1275">
        <f t="shared" si="245"/>
        <v>0</v>
      </c>
      <c r="EO36" s="1275">
        <f t="shared" si="246"/>
        <v>0</v>
      </c>
      <c r="EP36" s="1275">
        <f t="shared" si="247"/>
        <v>0</v>
      </c>
      <c r="EQ36" s="1275">
        <f t="shared" si="248"/>
        <v>0.875</v>
      </c>
      <c r="ER36" s="1275">
        <f t="shared" si="249"/>
        <v>0.875</v>
      </c>
      <c r="ES36" s="1275">
        <f t="shared" si="250"/>
        <v>0</v>
      </c>
      <c r="ET36" s="1275">
        <f t="shared" si="251"/>
        <v>0</v>
      </c>
      <c r="EU36" s="1275">
        <f t="shared" si="252"/>
        <v>0</v>
      </c>
      <c r="EV36" s="1275">
        <f>SUM(((BP36*0.9)*0.7))</f>
        <v>0</v>
      </c>
      <c r="EW36" s="1275">
        <f t="shared" si="187"/>
        <v>0</v>
      </c>
      <c r="EX36" s="1275">
        <f t="shared" si="180"/>
        <v>525</v>
      </c>
      <c r="EY36" s="1275"/>
      <c r="EZ36" s="1462"/>
      <c r="FA36" s="1275">
        <f t="shared" si="253"/>
        <v>0</v>
      </c>
      <c r="FB36" s="1275">
        <f t="shared" si="254"/>
        <v>0</v>
      </c>
      <c r="FC36" s="1275">
        <f t="shared" si="255"/>
        <v>0</v>
      </c>
      <c r="FD36" s="1275">
        <f t="shared" si="256"/>
        <v>0</v>
      </c>
      <c r="FE36" s="1275">
        <f t="shared" si="257"/>
        <v>0</v>
      </c>
      <c r="FF36" s="1275">
        <f t="shared" si="258"/>
        <v>0</v>
      </c>
      <c r="FG36" s="1275">
        <f t="shared" si="259"/>
        <v>0</v>
      </c>
      <c r="FH36" s="1275">
        <f t="shared" si="260"/>
        <v>0</v>
      </c>
      <c r="FI36" s="1275">
        <f t="shared" si="261"/>
        <v>0</v>
      </c>
      <c r="FJ36" s="1275">
        <f t="shared" si="262"/>
        <v>0</v>
      </c>
      <c r="FK36" s="1275">
        <f t="shared" si="263"/>
        <v>0</v>
      </c>
      <c r="FL36" s="1275">
        <f t="shared" si="264"/>
        <v>0.75</v>
      </c>
      <c r="FM36" s="1275">
        <f t="shared" si="265"/>
        <v>0.75</v>
      </c>
      <c r="FN36" s="1275">
        <f t="shared" si="266"/>
        <v>0</v>
      </c>
      <c r="FO36" s="1275">
        <f t="shared" si="267"/>
        <v>0</v>
      </c>
      <c r="FP36" s="1275">
        <f t="shared" si="268"/>
        <v>0</v>
      </c>
      <c r="FQ36" s="1275">
        <f>SUM(((BP36*0.9)*0.6))</f>
        <v>0</v>
      </c>
      <c r="FR36" s="1275">
        <f t="shared" si="188"/>
        <v>0</v>
      </c>
      <c r="FS36" s="1275">
        <f t="shared" si="183"/>
        <v>450</v>
      </c>
      <c r="FT36" s="1275"/>
      <c r="FU36" s="1275" t="e">
        <f t="shared" si="150"/>
        <v>#VALUE!</v>
      </c>
      <c r="FV36" s="1275" t="e">
        <f t="shared" si="151"/>
        <v>#VALUE!</v>
      </c>
      <c r="FW36" s="1275" t="e">
        <f t="shared" si="152"/>
        <v>#VALUE!</v>
      </c>
      <c r="FX36" s="1275" t="e">
        <f t="shared" si="153"/>
        <v>#VALUE!</v>
      </c>
      <c r="FY36" s="1275" t="e">
        <f t="shared" si="154"/>
        <v>#VALUE!</v>
      </c>
      <c r="FZ36" s="1275" t="e">
        <f t="shared" si="155"/>
        <v>#VALUE!</v>
      </c>
      <c r="GA36" s="1275" t="e">
        <f t="shared" si="156"/>
        <v>#VALUE!</v>
      </c>
      <c r="GB36" s="1275" t="e">
        <f t="shared" si="157"/>
        <v>#VALUE!</v>
      </c>
      <c r="GC36" s="1275" t="e">
        <f t="shared" si="158"/>
        <v>#VALUE!</v>
      </c>
      <c r="GD36" s="1275" t="e">
        <f t="shared" si="159"/>
        <v>#VALUE!</v>
      </c>
      <c r="GE36" s="1275" t="e">
        <f t="shared" si="160"/>
        <v>#VALUE!</v>
      </c>
      <c r="GF36" s="1275" t="e">
        <f t="shared" si="161"/>
        <v>#VALUE!</v>
      </c>
      <c r="GG36" s="1275" t="e">
        <f t="shared" si="162"/>
        <v>#VALUE!</v>
      </c>
      <c r="GH36" s="1275" t="e">
        <f t="shared" si="163"/>
        <v>#VALUE!</v>
      </c>
      <c r="GI36" s="1275" t="e">
        <f t="shared" si="164"/>
        <v>#VALUE!</v>
      </c>
      <c r="GJ36" s="1275" t="e">
        <f t="shared" si="165"/>
        <v>#VALUE!</v>
      </c>
      <c r="GK36" s="1275" t="e">
        <f t="shared" si="166"/>
        <v>#VALUE!</v>
      </c>
      <c r="GL36" s="1275" t="e">
        <f t="shared" si="167"/>
        <v>#VALUE!</v>
      </c>
      <c r="GM36" s="1275" t="e">
        <f t="shared" si="168"/>
        <v>#VALUE!</v>
      </c>
    </row>
    <row r="37" spans="1:195" ht="16.5" customHeight="1">
      <c r="A37" s="1631">
        <v>211</v>
      </c>
      <c r="B37" s="1873" t="s">
        <v>286</v>
      </c>
      <c r="C37" s="1419" t="s">
        <v>287</v>
      </c>
      <c r="D37" s="1420">
        <f>IF(($AC37&lt;10),SUM(((AE37+(ROUNDUP(($AC37*AZ37),2)))/100)),SUM(((AE37+(ROUNDUP(((9*AZ37)+FU37),2)))/100)))</f>
        <v>0.22500000000000001</v>
      </c>
      <c r="E37" s="1421">
        <f>IF(($AC37&lt;10),SUM(((AF37+(ROUNDUP(($AC37*BA37),2)))/100)),SUM(((AF37+(ROUNDUP(((9*BA37)+FV37),2)))/100)))</f>
        <v>0.22500000000000001</v>
      </c>
      <c r="F37" s="1422"/>
      <c r="G37" s="1422"/>
      <c r="H37" s="1423"/>
      <c r="I37" s="1422"/>
      <c r="J37" s="1422"/>
      <c r="K37" s="1422"/>
      <c r="L37" s="1422"/>
      <c r="M37" s="1422"/>
      <c r="N37" s="1422"/>
      <c r="O37" s="1422"/>
      <c r="P37" s="1422"/>
      <c r="Q37" s="1395" t="str">
        <f t="shared" ref="Q37:Q45" si="269">AR37</f>
        <v>Area</v>
      </c>
      <c r="R37" s="1424"/>
      <c r="S37" s="1395">
        <f t="shared" ref="S37:S45" si="270">IF((AC37&lt;10),SUM((AT37+(ROUNDUP((AC37*BN37),2)))),SUM((AT37+(ROUNDUP(((9*BN37)+GI37),2)))))</f>
        <v>500</v>
      </c>
      <c r="T37" s="1424">
        <f t="shared" ref="T37:T45" si="271">IF((AC37&lt;10),SUM((AU37+(ROUNDUP((AC37*BO37),2)))),SUM((AU37+(ROUNDUP(((9*BO37)+GJ37),2)))))</f>
        <v>10</v>
      </c>
      <c r="U37" s="1424">
        <f t="shared" ref="U37:U45" si="272">IF((AC37&lt;10),SUM((AV37+(ROUNDUP((AC37*BP37),2)))),SUM((AV37+(ROUNDUP(((9*BP37)+GK37),2)))))</f>
        <v>60</v>
      </c>
      <c r="V37" s="1395">
        <f t="shared" ref="V37:V45" si="273">IF((AC37&lt;10),SUM((AW37+(ROUNDUP((AC37*BQ37),2)))),SUM((AW37+(ROUNDUP(((9*BQ37)+GL37),2)))))</f>
        <v>40</v>
      </c>
      <c r="W37" s="1395">
        <f t="shared" si="143"/>
        <v>7500</v>
      </c>
      <c r="X37" s="1395"/>
      <c r="Y37" s="1395"/>
      <c r="Z37" s="1395"/>
      <c r="AA37" s="1396"/>
      <c r="AB37" s="1257"/>
      <c r="AC37" s="1256">
        <f t="shared" si="30"/>
        <v>0</v>
      </c>
      <c r="AD37" s="1256"/>
      <c r="AE37" s="1397">
        <v>22.5</v>
      </c>
      <c r="AF37" s="1397">
        <v>22.5</v>
      </c>
      <c r="AG37" s="1397"/>
      <c r="AH37" s="1397"/>
      <c r="AI37" s="1397"/>
      <c r="AJ37" s="1397"/>
      <c r="AK37" s="1397"/>
      <c r="AL37" s="1397"/>
      <c r="AM37" s="1397"/>
      <c r="AN37" s="1397"/>
      <c r="AO37" s="1397"/>
      <c r="AP37" s="1397"/>
      <c r="AQ37" s="1397"/>
      <c r="AR37" s="1397" t="s">
        <v>284</v>
      </c>
      <c r="AS37" s="1398"/>
      <c r="AT37" s="1397">
        <v>500</v>
      </c>
      <c r="AU37" s="1397">
        <v>10</v>
      </c>
      <c r="AV37" s="1397">
        <v>60</v>
      </c>
      <c r="AW37" s="1397">
        <v>40</v>
      </c>
      <c r="AX37" s="1397">
        <v>7500</v>
      </c>
      <c r="AY37" s="1256"/>
      <c r="AZ37" s="1256">
        <f>SUM((AE37/27))</f>
        <v>0.83333333333333337</v>
      </c>
      <c r="BA37" s="1256">
        <f>SUM((AF37/27))</f>
        <v>0.83333333333333337</v>
      </c>
      <c r="BB37" s="1256"/>
      <c r="BC37" s="1256"/>
      <c r="BD37" s="1256"/>
      <c r="BE37" s="1397"/>
      <c r="BF37" s="1397"/>
      <c r="BG37" s="1256"/>
      <c r="BH37" s="1256"/>
      <c r="BI37" s="1256"/>
      <c r="BJ37" s="1256"/>
      <c r="BK37" s="1256"/>
      <c r="BL37" s="1256"/>
      <c r="BM37" s="1256"/>
      <c r="BN37" s="1256"/>
      <c r="BO37" s="1256"/>
      <c r="BP37" s="1256">
        <f t="shared" ref="BP37:BP45" si="274">SUM((-AV37/18))</f>
        <v>-3.3333333333333335</v>
      </c>
      <c r="BQ37" s="1256"/>
      <c r="BR37" s="1256">
        <f t="shared" si="144"/>
        <v>833.33333333333337</v>
      </c>
      <c r="BS37" s="1256"/>
      <c r="BT37" s="1399">
        <v>2.33</v>
      </c>
      <c r="BU37" s="1256">
        <f t="shared" si="189"/>
        <v>0.75</v>
      </c>
      <c r="BV37" s="1256">
        <f t="shared" si="190"/>
        <v>0.75</v>
      </c>
      <c r="BW37" s="1256">
        <f t="shared" si="191"/>
        <v>0</v>
      </c>
      <c r="BX37" s="1256">
        <f t="shared" si="192"/>
        <v>0</v>
      </c>
      <c r="BY37" s="1256">
        <f t="shared" si="193"/>
        <v>0</v>
      </c>
      <c r="BZ37" s="1256">
        <f t="shared" si="194"/>
        <v>0</v>
      </c>
      <c r="CA37" s="1256">
        <f t="shared" si="195"/>
        <v>0</v>
      </c>
      <c r="CB37" s="1256">
        <f t="shared" si="196"/>
        <v>0</v>
      </c>
      <c r="CC37" s="1256">
        <f t="shared" si="197"/>
        <v>0</v>
      </c>
      <c r="CD37" s="1256">
        <f t="shared" si="198"/>
        <v>0</v>
      </c>
      <c r="CE37" s="1256">
        <f t="shared" si="199"/>
        <v>0</v>
      </c>
      <c r="CF37" s="1256">
        <f t="shared" si="200"/>
        <v>0</v>
      </c>
      <c r="CG37" s="1256">
        <f t="shared" si="201"/>
        <v>0</v>
      </c>
      <c r="CH37" s="1256">
        <f t="shared" si="202"/>
        <v>0</v>
      </c>
      <c r="CI37" s="1256">
        <f t="shared" si="203"/>
        <v>0</v>
      </c>
      <c r="CJ37" s="1256">
        <f t="shared" si="204"/>
        <v>0</v>
      </c>
      <c r="CK37" s="1399">
        <f t="shared" ref="CK37:CK45" si="275">SUM(ROUND((BP37/BT37),2))</f>
        <v>-1.43</v>
      </c>
      <c r="CL37" s="1256">
        <f t="shared" si="184"/>
        <v>0</v>
      </c>
      <c r="CM37" s="1256">
        <f t="shared" si="171"/>
        <v>750</v>
      </c>
      <c r="CN37" s="1256"/>
      <c r="CO37" s="1399">
        <v>2.84</v>
      </c>
      <c r="CP37" s="1256">
        <f t="shared" si="205"/>
        <v>0.67500000000000004</v>
      </c>
      <c r="CQ37" s="1256">
        <f t="shared" si="206"/>
        <v>0.67500000000000004</v>
      </c>
      <c r="CR37" s="1256">
        <f t="shared" si="207"/>
        <v>0</v>
      </c>
      <c r="CS37" s="1256">
        <f t="shared" si="208"/>
        <v>0</v>
      </c>
      <c r="CT37" s="1256">
        <f t="shared" si="209"/>
        <v>0</v>
      </c>
      <c r="CU37" s="1256">
        <f t="shared" si="210"/>
        <v>0</v>
      </c>
      <c r="CV37" s="1256">
        <f t="shared" si="211"/>
        <v>0</v>
      </c>
      <c r="CW37" s="1256">
        <f t="shared" si="212"/>
        <v>0</v>
      </c>
      <c r="CX37" s="1256">
        <f t="shared" si="213"/>
        <v>0</v>
      </c>
      <c r="CY37" s="1256">
        <f t="shared" si="214"/>
        <v>0</v>
      </c>
      <c r="CZ37" s="1256">
        <f t="shared" si="215"/>
        <v>0</v>
      </c>
      <c r="DA37" s="1256">
        <f t="shared" si="216"/>
        <v>0</v>
      </c>
      <c r="DB37" s="1256">
        <f t="shared" si="217"/>
        <v>0</v>
      </c>
      <c r="DC37" s="1256">
        <f t="shared" si="218"/>
        <v>0</v>
      </c>
      <c r="DD37" s="1256">
        <f t="shared" si="219"/>
        <v>0</v>
      </c>
      <c r="DE37" s="1256">
        <f t="shared" si="220"/>
        <v>0</v>
      </c>
      <c r="DF37" s="1399">
        <f t="shared" ref="DF37:DF45" si="276">SUM(ROUND((BP37/CO37),2))</f>
        <v>-1.17</v>
      </c>
      <c r="DG37" s="1256">
        <f t="shared" si="185"/>
        <v>0</v>
      </c>
      <c r="DH37" s="1256">
        <f t="shared" si="174"/>
        <v>675</v>
      </c>
      <c r="DI37" s="1256"/>
      <c r="DJ37" s="1399">
        <v>3.45</v>
      </c>
      <c r="DK37" s="1256">
        <f t="shared" si="221"/>
        <v>0.60000000000000009</v>
      </c>
      <c r="DL37" s="1256">
        <f t="shared" si="222"/>
        <v>0.60000000000000009</v>
      </c>
      <c r="DM37" s="1256">
        <f t="shared" si="223"/>
        <v>0</v>
      </c>
      <c r="DN37" s="1256">
        <f t="shared" si="224"/>
        <v>0</v>
      </c>
      <c r="DO37" s="1256">
        <f t="shared" si="225"/>
        <v>0</v>
      </c>
      <c r="DP37" s="1256">
        <f t="shared" si="226"/>
        <v>0</v>
      </c>
      <c r="DQ37" s="1256">
        <f t="shared" si="227"/>
        <v>0</v>
      </c>
      <c r="DR37" s="1256">
        <f t="shared" si="228"/>
        <v>0</v>
      </c>
      <c r="DS37" s="1256">
        <f t="shared" si="229"/>
        <v>0</v>
      </c>
      <c r="DT37" s="1256">
        <f t="shared" si="230"/>
        <v>0</v>
      </c>
      <c r="DU37" s="1256">
        <f t="shared" si="231"/>
        <v>0</v>
      </c>
      <c r="DV37" s="1256">
        <f t="shared" si="232"/>
        <v>0</v>
      </c>
      <c r="DW37" s="1256">
        <f t="shared" si="233"/>
        <v>0</v>
      </c>
      <c r="DX37" s="1256">
        <f t="shared" si="234"/>
        <v>0</v>
      </c>
      <c r="DY37" s="1256">
        <f t="shared" si="235"/>
        <v>0</v>
      </c>
      <c r="DZ37" s="1256">
        <f t="shared" si="236"/>
        <v>0</v>
      </c>
      <c r="EA37" s="1399">
        <f t="shared" ref="EA37:EA45" si="277">SUM(ROUND((BP37/DJ37),2))</f>
        <v>-0.97</v>
      </c>
      <c r="EB37" s="1256">
        <f t="shared" si="186"/>
        <v>0</v>
      </c>
      <c r="EC37" s="1256">
        <f t="shared" si="177"/>
        <v>600</v>
      </c>
      <c r="ED37" s="1256"/>
      <c r="EE37" s="1399">
        <v>4.2300000000000004</v>
      </c>
      <c r="EF37" s="1256">
        <f t="shared" si="237"/>
        <v>0.52499999999999991</v>
      </c>
      <c r="EG37" s="1256">
        <f t="shared" si="238"/>
        <v>0.52499999999999991</v>
      </c>
      <c r="EH37" s="1256">
        <f t="shared" si="239"/>
        <v>0</v>
      </c>
      <c r="EI37" s="1256">
        <f t="shared" si="240"/>
        <v>0</v>
      </c>
      <c r="EJ37" s="1256">
        <f t="shared" si="241"/>
        <v>0</v>
      </c>
      <c r="EK37" s="1256">
        <f t="shared" si="242"/>
        <v>0</v>
      </c>
      <c r="EL37" s="1256">
        <f t="shared" si="243"/>
        <v>0</v>
      </c>
      <c r="EM37" s="1256">
        <f t="shared" si="244"/>
        <v>0</v>
      </c>
      <c r="EN37" s="1256">
        <f t="shared" si="245"/>
        <v>0</v>
      </c>
      <c r="EO37" s="1256">
        <f t="shared" si="246"/>
        <v>0</v>
      </c>
      <c r="EP37" s="1256">
        <f t="shared" si="247"/>
        <v>0</v>
      </c>
      <c r="EQ37" s="1256">
        <f t="shared" si="248"/>
        <v>0</v>
      </c>
      <c r="ER37" s="1256">
        <f t="shared" si="249"/>
        <v>0</v>
      </c>
      <c r="ES37" s="1256">
        <f t="shared" si="250"/>
        <v>0</v>
      </c>
      <c r="ET37" s="1256">
        <f t="shared" si="251"/>
        <v>0</v>
      </c>
      <c r="EU37" s="1256">
        <f t="shared" si="252"/>
        <v>0</v>
      </c>
      <c r="EV37" s="1399">
        <f t="shared" ref="EV37:EV45" si="278">SUM(ROUND((BP37/EE37),2))</f>
        <v>-0.79</v>
      </c>
      <c r="EW37" s="1256">
        <f t="shared" si="187"/>
        <v>0</v>
      </c>
      <c r="EX37" s="1256">
        <f t="shared" si="180"/>
        <v>525</v>
      </c>
      <c r="EY37" s="1256"/>
      <c r="EZ37" s="1399">
        <v>5.2</v>
      </c>
      <c r="FA37" s="1256">
        <f t="shared" si="253"/>
        <v>0.44999999999999996</v>
      </c>
      <c r="FB37" s="1256">
        <f t="shared" si="254"/>
        <v>0.44999999999999996</v>
      </c>
      <c r="FC37" s="1256">
        <f t="shared" si="255"/>
        <v>0</v>
      </c>
      <c r="FD37" s="1256">
        <f t="shared" si="256"/>
        <v>0</v>
      </c>
      <c r="FE37" s="1256">
        <f t="shared" si="257"/>
        <v>0</v>
      </c>
      <c r="FF37" s="1256">
        <f t="shared" si="258"/>
        <v>0</v>
      </c>
      <c r="FG37" s="1256">
        <f t="shared" si="259"/>
        <v>0</v>
      </c>
      <c r="FH37" s="1256">
        <f t="shared" si="260"/>
        <v>0</v>
      </c>
      <c r="FI37" s="1256">
        <f t="shared" si="261"/>
        <v>0</v>
      </c>
      <c r="FJ37" s="1256">
        <f t="shared" si="262"/>
        <v>0</v>
      </c>
      <c r="FK37" s="1256">
        <f t="shared" si="263"/>
        <v>0</v>
      </c>
      <c r="FL37" s="1256">
        <f t="shared" si="264"/>
        <v>0</v>
      </c>
      <c r="FM37" s="1256">
        <f t="shared" si="265"/>
        <v>0</v>
      </c>
      <c r="FN37" s="1256">
        <f t="shared" si="266"/>
        <v>0</v>
      </c>
      <c r="FO37" s="1256">
        <f t="shared" si="267"/>
        <v>0</v>
      </c>
      <c r="FP37" s="1256">
        <f t="shared" si="268"/>
        <v>0</v>
      </c>
      <c r="FQ37" s="1399">
        <f t="shared" ref="FQ37:FQ45" si="279">SUM(ROUND((BP37/EZ37),2))</f>
        <v>-0.64</v>
      </c>
      <c r="FR37" s="1256">
        <f t="shared" si="188"/>
        <v>0</v>
      </c>
      <c r="FS37" s="1256">
        <f t="shared" si="183"/>
        <v>450</v>
      </c>
      <c r="FT37" s="1256"/>
      <c r="FU37" s="1256" t="e">
        <f t="shared" si="150"/>
        <v>#VALUE!</v>
      </c>
      <c r="FV37" s="1256" t="e">
        <f t="shared" si="151"/>
        <v>#VALUE!</v>
      </c>
      <c r="FW37" s="1256" t="e">
        <f t="shared" si="152"/>
        <v>#VALUE!</v>
      </c>
      <c r="FX37" s="1256" t="e">
        <f t="shared" si="153"/>
        <v>#VALUE!</v>
      </c>
      <c r="FY37" s="1256" t="e">
        <f t="shared" si="154"/>
        <v>#VALUE!</v>
      </c>
      <c r="FZ37" s="1256" t="e">
        <f t="shared" si="155"/>
        <v>#VALUE!</v>
      </c>
      <c r="GA37" s="1256" t="e">
        <f t="shared" si="156"/>
        <v>#VALUE!</v>
      </c>
      <c r="GB37" s="1256" t="e">
        <f t="shared" si="157"/>
        <v>#VALUE!</v>
      </c>
      <c r="GC37" s="1256" t="e">
        <f t="shared" si="158"/>
        <v>#VALUE!</v>
      </c>
      <c r="GD37" s="1256" t="e">
        <f t="shared" si="159"/>
        <v>#VALUE!</v>
      </c>
      <c r="GE37" s="1256" t="e">
        <f t="shared" si="160"/>
        <v>#VALUE!</v>
      </c>
      <c r="GF37" s="1256" t="e">
        <f t="shared" si="161"/>
        <v>#VALUE!</v>
      </c>
      <c r="GG37" s="1256" t="e">
        <f t="shared" si="162"/>
        <v>#VALUE!</v>
      </c>
      <c r="GH37" s="1256" t="e">
        <f t="shared" si="163"/>
        <v>#VALUE!</v>
      </c>
      <c r="GI37" s="1256" t="e">
        <f t="shared" si="164"/>
        <v>#VALUE!</v>
      </c>
      <c r="GJ37" s="1256" t="e">
        <f t="shared" si="165"/>
        <v>#VALUE!</v>
      </c>
      <c r="GK37" s="1256" t="e">
        <f t="shared" si="166"/>
        <v>#VALUE!</v>
      </c>
      <c r="GL37" s="1256" t="e">
        <f t="shared" si="167"/>
        <v>#VALUE!</v>
      </c>
      <c r="GM37" s="1256" t="e">
        <f t="shared" si="168"/>
        <v>#VALUE!</v>
      </c>
    </row>
    <row r="38" spans="1:195" ht="16.5" customHeight="1">
      <c r="A38" s="1631">
        <v>212</v>
      </c>
      <c r="B38" s="1874"/>
      <c r="C38" s="1425" t="s">
        <v>288</v>
      </c>
      <c r="D38" s="1426">
        <f>IF(($AC38&lt;10),SUM(((AE38+(ROUNDUP(($AC38*AZ38),2)))/100)),SUM(((AE38+(ROUNDUP(((9*AZ38)+FU38),2)))/100)))</f>
        <v>0.1125</v>
      </c>
      <c r="E38" s="1427">
        <f>IF(($AC38&lt;10),SUM(((AF38+(ROUNDUP(($AC38*BA38),2)))/100)),SUM(((AF38+(ROUNDUP(((9*BA38)+FV38),2)))/100)))</f>
        <v>0.1125</v>
      </c>
      <c r="F38" s="1428"/>
      <c r="G38" s="1429"/>
      <c r="H38" s="1430">
        <f>IF(($AC38&lt;10),SUM(((AI38+(ROUNDUP(($AC38*BD38),2)))/100)),SUM(((AI38+(ROUNDUP(((9*BD38)+FY38),2)))/100)))</f>
        <v>5.62E-2</v>
      </c>
      <c r="I38" s="1428"/>
      <c r="J38" s="1428"/>
      <c r="K38" s="1428"/>
      <c r="L38" s="1428"/>
      <c r="M38" s="1428"/>
      <c r="N38" s="1428"/>
      <c r="O38" s="1428"/>
      <c r="P38" s="1428"/>
      <c r="Q38" s="1400" t="str">
        <f t="shared" si="269"/>
        <v>Area</v>
      </c>
      <c r="R38" s="1431"/>
      <c r="S38" s="1400">
        <f t="shared" si="270"/>
        <v>500</v>
      </c>
      <c r="T38" s="1431">
        <f t="shared" si="271"/>
        <v>10</v>
      </c>
      <c r="U38" s="1431">
        <f t="shared" si="272"/>
        <v>60</v>
      </c>
      <c r="V38" s="1400">
        <f t="shared" si="273"/>
        <v>40</v>
      </c>
      <c r="W38" s="1400">
        <f t="shared" si="143"/>
        <v>7500</v>
      </c>
      <c r="X38" s="1400"/>
      <c r="Y38" s="1400"/>
      <c r="Z38" s="1400"/>
      <c r="AA38" s="1396"/>
      <c r="AB38" s="1257"/>
      <c r="AC38" s="1256">
        <f t="shared" si="30"/>
        <v>0</v>
      </c>
      <c r="AD38" s="1256"/>
      <c r="AE38" s="1397">
        <f>SUM(ROUNDDOWN((AE37/2),2))</f>
        <v>11.25</v>
      </c>
      <c r="AF38" s="1397">
        <f>SUM(ROUNDDOWN((AF37/2),2))</f>
        <v>11.25</v>
      </c>
      <c r="AG38" s="1397"/>
      <c r="AH38" s="1397"/>
      <c r="AI38" s="1397">
        <f>SUM(ROUNDDOWN((AI39/2),2))</f>
        <v>5.62</v>
      </c>
      <c r="AJ38" s="1397"/>
      <c r="AK38" s="1397"/>
      <c r="AL38" s="1397"/>
      <c r="AM38" s="1397"/>
      <c r="AN38" s="1397"/>
      <c r="AO38" s="1397"/>
      <c r="AP38" s="1397"/>
      <c r="AQ38" s="1397"/>
      <c r="AR38" s="1397" t="s">
        <v>284</v>
      </c>
      <c r="AS38" s="1398"/>
      <c r="AT38" s="1397">
        <v>500</v>
      </c>
      <c r="AU38" s="1397">
        <v>10</v>
      </c>
      <c r="AV38" s="1397">
        <v>60</v>
      </c>
      <c r="AW38" s="1397">
        <v>40</v>
      </c>
      <c r="AX38" s="1397">
        <v>7500</v>
      </c>
      <c r="AY38" s="1256"/>
      <c r="AZ38" s="1256">
        <f>SUM((AE38/27))</f>
        <v>0.41666666666666669</v>
      </c>
      <c r="BA38" s="1256">
        <f>SUM((AF38/27))</f>
        <v>0.41666666666666669</v>
      </c>
      <c r="BB38" s="1256"/>
      <c r="BC38" s="1256"/>
      <c r="BD38" s="1256">
        <f>SUM((AI38/27))</f>
        <v>0.20814814814814817</v>
      </c>
      <c r="BE38" s="1397"/>
      <c r="BF38" s="1397"/>
      <c r="BG38" s="1256"/>
      <c r="BH38" s="1256"/>
      <c r="BI38" s="1256"/>
      <c r="BJ38" s="1256"/>
      <c r="BK38" s="1256"/>
      <c r="BL38" s="1256"/>
      <c r="BM38" s="1256"/>
      <c r="BN38" s="1256"/>
      <c r="BO38" s="1256"/>
      <c r="BP38" s="1256">
        <f t="shared" si="274"/>
        <v>-3.3333333333333335</v>
      </c>
      <c r="BQ38" s="1256"/>
      <c r="BR38" s="1256">
        <f t="shared" si="144"/>
        <v>833.33333333333337</v>
      </c>
      <c r="BS38" s="1256"/>
      <c r="BT38" s="1399">
        <v>2.33</v>
      </c>
      <c r="BU38" s="1256">
        <f t="shared" si="189"/>
        <v>0.375</v>
      </c>
      <c r="BV38" s="1256">
        <f t="shared" si="190"/>
        <v>0.375</v>
      </c>
      <c r="BW38" s="1256">
        <f t="shared" si="191"/>
        <v>0</v>
      </c>
      <c r="BX38" s="1256">
        <f t="shared" si="192"/>
        <v>0</v>
      </c>
      <c r="BY38" s="1256">
        <f t="shared" si="193"/>
        <v>0.18733333333333335</v>
      </c>
      <c r="BZ38" s="1256">
        <f t="shared" si="194"/>
        <v>0</v>
      </c>
      <c r="CA38" s="1256">
        <f t="shared" si="195"/>
        <v>0</v>
      </c>
      <c r="CB38" s="1256">
        <f t="shared" si="196"/>
        <v>0</v>
      </c>
      <c r="CC38" s="1256">
        <f t="shared" si="197"/>
        <v>0</v>
      </c>
      <c r="CD38" s="1256">
        <f t="shared" si="198"/>
        <v>0</v>
      </c>
      <c r="CE38" s="1256">
        <f t="shared" si="199"/>
        <v>0</v>
      </c>
      <c r="CF38" s="1256">
        <f t="shared" si="200"/>
        <v>0</v>
      </c>
      <c r="CG38" s="1256">
        <f t="shared" si="201"/>
        <v>0</v>
      </c>
      <c r="CH38" s="1256">
        <f t="shared" si="202"/>
        <v>0</v>
      </c>
      <c r="CI38" s="1256">
        <f t="shared" si="203"/>
        <v>0</v>
      </c>
      <c r="CJ38" s="1256">
        <f t="shared" si="204"/>
        <v>0</v>
      </c>
      <c r="CK38" s="1399">
        <f t="shared" si="275"/>
        <v>-1.43</v>
      </c>
      <c r="CL38" s="1256">
        <f t="shared" si="184"/>
        <v>0</v>
      </c>
      <c r="CM38" s="1256">
        <f t="shared" si="171"/>
        <v>750</v>
      </c>
      <c r="CN38" s="1256"/>
      <c r="CO38" s="1399">
        <v>2.84</v>
      </c>
      <c r="CP38" s="1256">
        <f t="shared" si="205"/>
        <v>0.33750000000000002</v>
      </c>
      <c r="CQ38" s="1256">
        <f t="shared" si="206"/>
        <v>0.33750000000000002</v>
      </c>
      <c r="CR38" s="1256">
        <f t="shared" si="207"/>
        <v>0</v>
      </c>
      <c r="CS38" s="1256">
        <f t="shared" si="208"/>
        <v>0</v>
      </c>
      <c r="CT38" s="1256">
        <f t="shared" si="209"/>
        <v>0.16860000000000003</v>
      </c>
      <c r="CU38" s="1256">
        <f t="shared" si="210"/>
        <v>0</v>
      </c>
      <c r="CV38" s="1256">
        <f t="shared" si="211"/>
        <v>0</v>
      </c>
      <c r="CW38" s="1256">
        <f t="shared" si="212"/>
        <v>0</v>
      </c>
      <c r="CX38" s="1256">
        <f t="shared" si="213"/>
        <v>0</v>
      </c>
      <c r="CY38" s="1256">
        <f t="shared" si="214"/>
        <v>0</v>
      </c>
      <c r="CZ38" s="1256">
        <f t="shared" si="215"/>
        <v>0</v>
      </c>
      <c r="DA38" s="1256">
        <f t="shared" si="216"/>
        <v>0</v>
      </c>
      <c r="DB38" s="1256">
        <f t="shared" si="217"/>
        <v>0</v>
      </c>
      <c r="DC38" s="1256">
        <f t="shared" si="218"/>
        <v>0</v>
      </c>
      <c r="DD38" s="1256">
        <f t="shared" si="219"/>
        <v>0</v>
      </c>
      <c r="DE38" s="1256">
        <f t="shared" si="220"/>
        <v>0</v>
      </c>
      <c r="DF38" s="1399">
        <f t="shared" si="276"/>
        <v>-1.17</v>
      </c>
      <c r="DG38" s="1256">
        <f t="shared" si="185"/>
        <v>0</v>
      </c>
      <c r="DH38" s="1256">
        <f t="shared" si="174"/>
        <v>675</v>
      </c>
      <c r="DI38" s="1256"/>
      <c r="DJ38" s="1399">
        <v>3.45</v>
      </c>
      <c r="DK38" s="1256">
        <f t="shared" si="221"/>
        <v>0.30000000000000004</v>
      </c>
      <c r="DL38" s="1256">
        <f t="shared" si="222"/>
        <v>0.30000000000000004</v>
      </c>
      <c r="DM38" s="1256">
        <f t="shared" si="223"/>
        <v>0</v>
      </c>
      <c r="DN38" s="1256">
        <f t="shared" si="224"/>
        <v>0</v>
      </c>
      <c r="DO38" s="1256">
        <f t="shared" si="225"/>
        <v>0.14986666666666668</v>
      </c>
      <c r="DP38" s="1256">
        <f t="shared" si="226"/>
        <v>0</v>
      </c>
      <c r="DQ38" s="1256">
        <f t="shared" si="227"/>
        <v>0</v>
      </c>
      <c r="DR38" s="1256">
        <f t="shared" si="228"/>
        <v>0</v>
      </c>
      <c r="DS38" s="1256">
        <f t="shared" si="229"/>
        <v>0</v>
      </c>
      <c r="DT38" s="1256">
        <f t="shared" si="230"/>
        <v>0</v>
      </c>
      <c r="DU38" s="1256">
        <f t="shared" si="231"/>
        <v>0</v>
      </c>
      <c r="DV38" s="1256">
        <f t="shared" si="232"/>
        <v>0</v>
      </c>
      <c r="DW38" s="1256">
        <f t="shared" si="233"/>
        <v>0</v>
      </c>
      <c r="DX38" s="1256">
        <f t="shared" si="234"/>
        <v>0</v>
      </c>
      <c r="DY38" s="1256">
        <f t="shared" si="235"/>
        <v>0</v>
      </c>
      <c r="DZ38" s="1256">
        <f t="shared" si="236"/>
        <v>0</v>
      </c>
      <c r="EA38" s="1399">
        <f t="shared" si="277"/>
        <v>-0.97</v>
      </c>
      <c r="EB38" s="1256">
        <f t="shared" si="186"/>
        <v>0</v>
      </c>
      <c r="EC38" s="1256">
        <f t="shared" si="177"/>
        <v>600</v>
      </c>
      <c r="ED38" s="1256"/>
      <c r="EE38" s="1399">
        <v>4.2300000000000004</v>
      </c>
      <c r="EF38" s="1256">
        <f t="shared" si="237"/>
        <v>0.26249999999999996</v>
      </c>
      <c r="EG38" s="1256">
        <f t="shared" si="238"/>
        <v>0.26249999999999996</v>
      </c>
      <c r="EH38" s="1256">
        <f t="shared" si="239"/>
        <v>0</v>
      </c>
      <c r="EI38" s="1256">
        <f t="shared" si="240"/>
        <v>0</v>
      </c>
      <c r="EJ38" s="1256">
        <f t="shared" si="241"/>
        <v>0.13113333333333335</v>
      </c>
      <c r="EK38" s="1256">
        <f t="shared" si="242"/>
        <v>0</v>
      </c>
      <c r="EL38" s="1256">
        <f t="shared" si="243"/>
        <v>0</v>
      </c>
      <c r="EM38" s="1256">
        <f t="shared" si="244"/>
        <v>0</v>
      </c>
      <c r="EN38" s="1256">
        <f t="shared" si="245"/>
        <v>0</v>
      </c>
      <c r="EO38" s="1256">
        <f t="shared" si="246"/>
        <v>0</v>
      </c>
      <c r="EP38" s="1256">
        <f t="shared" si="247"/>
        <v>0</v>
      </c>
      <c r="EQ38" s="1256">
        <f t="shared" si="248"/>
        <v>0</v>
      </c>
      <c r="ER38" s="1256">
        <f t="shared" si="249"/>
        <v>0</v>
      </c>
      <c r="ES38" s="1256">
        <f t="shared" si="250"/>
        <v>0</v>
      </c>
      <c r="ET38" s="1256">
        <f t="shared" si="251"/>
        <v>0</v>
      </c>
      <c r="EU38" s="1256">
        <f t="shared" si="252"/>
        <v>0</v>
      </c>
      <c r="EV38" s="1399">
        <f t="shared" si="278"/>
        <v>-0.79</v>
      </c>
      <c r="EW38" s="1256">
        <f t="shared" si="187"/>
        <v>0</v>
      </c>
      <c r="EX38" s="1256">
        <f t="shared" si="180"/>
        <v>525</v>
      </c>
      <c r="EY38" s="1256"/>
      <c r="EZ38" s="1399">
        <v>5.2</v>
      </c>
      <c r="FA38" s="1256">
        <f t="shared" si="253"/>
        <v>0.22499999999999998</v>
      </c>
      <c r="FB38" s="1256">
        <f t="shared" si="254"/>
        <v>0.22499999999999998</v>
      </c>
      <c r="FC38" s="1256">
        <f t="shared" si="255"/>
        <v>0</v>
      </c>
      <c r="FD38" s="1256">
        <f t="shared" si="256"/>
        <v>0</v>
      </c>
      <c r="FE38" s="1256">
        <f t="shared" si="257"/>
        <v>0.11240000000000001</v>
      </c>
      <c r="FF38" s="1256">
        <f t="shared" si="258"/>
        <v>0</v>
      </c>
      <c r="FG38" s="1256">
        <f t="shared" si="259"/>
        <v>0</v>
      </c>
      <c r="FH38" s="1256">
        <f t="shared" si="260"/>
        <v>0</v>
      </c>
      <c r="FI38" s="1256">
        <f t="shared" si="261"/>
        <v>0</v>
      </c>
      <c r="FJ38" s="1256">
        <f t="shared" si="262"/>
        <v>0</v>
      </c>
      <c r="FK38" s="1256">
        <f t="shared" si="263"/>
        <v>0</v>
      </c>
      <c r="FL38" s="1256">
        <f t="shared" si="264"/>
        <v>0</v>
      </c>
      <c r="FM38" s="1256">
        <f t="shared" si="265"/>
        <v>0</v>
      </c>
      <c r="FN38" s="1256">
        <f t="shared" si="266"/>
        <v>0</v>
      </c>
      <c r="FO38" s="1256">
        <f t="shared" si="267"/>
        <v>0</v>
      </c>
      <c r="FP38" s="1256">
        <f t="shared" si="268"/>
        <v>0</v>
      </c>
      <c r="FQ38" s="1399">
        <f t="shared" si="279"/>
        <v>-0.64</v>
      </c>
      <c r="FR38" s="1256">
        <f t="shared" si="188"/>
        <v>0</v>
      </c>
      <c r="FS38" s="1256">
        <f t="shared" si="183"/>
        <v>450</v>
      </c>
      <c r="FT38" s="1256"/>
      <c r="FU38" s="1256" t="e">
        <f t="shared" si="150"/>
        <v>#VALUE!</v>
      </c>
      <c r="FV38" s="1256" t="e">
        <f t="shared" si="151"/>
        <v>#VALUE!</v>
      </c>
      <c r="FW38" s="1256" t="e">
        <f t="shared" si="152"/>
        <v>#VALUE!</v>
      </c>
      <c r="FX38" s="1256" t="e">
        <f t="shared" si="153"/>
        <v>#VALUE!</v>
      </c>
      <c r="FY38" s="1256" t="e">
        <f t="shared" si="154"/>
        <v>#VALUE!</v>
      </c>
      <c r="FZ38" s="1256" t="e">
        <f t="shared" si="155"/>
        <v>#VALUE!</v>
      </c>
      <c r="GA38" s="1256" t="e">
        <f t="shared" si="156"/>
        <v>#VALUE!</v>
      </c>
      <c r="GB38" s="1256" t="e">
        <f t="shared" si="157"/>
        <v>#VALUE!</v>
      </c>
      <c r="GC38" s="1256" t="e">
        <f t="shared" si="158"/>
        <v>#VALUE!</v>
      </c>
      <c r="GD38" s="1256" t="e">
        <f t="shared" si="159"/>
        <v>#VALUE!</v>
      </c>
      <c r="GE38" s="1256" t="e">
        <f t="shared" si="160"/>
        <v>#VALUE!</v>
      </c>
      <c r="GF38" s="1256" t="e">
        <f t="shared" si="161"/>
        <v>#VALUE!</v>
      </c>
      <c r="GG38" s="1256" t="e">
        <f t="shared" si="162"/>
        <v>#VALUE!</v>
      </c>
      <c r="GH38" s="1256" t="e">
        <f t="shared" si="163"/>
        <v>#VALUE!</v>
      </c>
      <c r="GI38" s="1256" t="e">
        <f t="shared" si="164"/>
        <v>#VALUE!</v>
      </c>
      <c r="GJ38" s="1256" t="e">
        <f t="shared" si="165"/>
        <v>#VALUE!</v>
      </c>
      <c r="GK38" s="1256" t="e">
        <f t="shared" si="166"/>
        <v>#VALUE!</v>
      </c>
      <c r="GL38" s="1256" t="e">
        <f t="shared" si="167"/>
        <v>#VALUE!</v>
      </c>
      <c r="GM38" s="1256" t="e">
        <f t="shared" si="168"/>
        <v>#VALUE!</v>
      </c>
    </row>
    <row r="39" spans="1:195" ht="16.5" customHeight="1">
      <c r="A39" s="1631">
        <v>213</v>
      </c>
      <c r="B39" s="1873"/>
      <c r="C39" s="1432" t="s">
        <v>289</v>
      </c>
      <c r="D39" s="1433"/>
      <c r="E39" s="1434"/>
      <c r="F39" s="1434"/>
      <c r="G39" s="1435"/>
      <c r="H39" s="1421">
        <f>IF(($AC39&lt;10),SUM(((AI39+(ROUNDUP(($AC39*BD39),2)))/100)),SUM(((AI39+(ROUNDUP(((9*BD39)+FY39),2)))/100)))</f>
        <v>0.1125</v>
      </c>
      <c r="I39" s="1434"/>
      <c r="J39" s="1434"/>
      <c r="K39" s="1436"/>
      <c r="L39" s="1436"/>
      <c r="M39" s="1436"/>
      <c r="N39" s="1434"/>
      <c r="O39" s="1434"/>
      <c r="P39" s="1434"/>
      <c r="Q39" s="1401" t="str">
        <f t="shared" si="269"/>
        <v>Area</v>
      </c>
      <c r="R39" s="1437"/>
      <c r="S39" s="1401">
        <f t="shared" si="270"/>
        <v>500</v>
      </c>
      <c r="T39" s="1437">
        <f t="shared" si="271"/>
        <v>10</v>
      </c>
      <c r="U39" s="1437">
        <f t="shared" si="272"/>
        <v>60</v>
      </c>
      <c r="V39" s="1401">
        <f t="shared" si="273"/>
        <v>40</v>
      </c>
      <c r="W39" s="1401">
        <f t="shared" si="143"/>
        <v>7500</v>
      </c>
      <c r="X39" s="1401"/>
      <c r="Y39" s="1401"/>
      <c r="Z39" s="1401"/>
      <c r="AA39" s="1396"/>
      <c r="AB39" s="1257"/>
      <c r="AC39" s="1256">
        <f t="shared" si="30"/>
        <v>0</v>
      </c>
      <c r="AD39" s="1256"/>
      <c r="AE39" s="1397"/>
      <c r="AF39" s="1397"/>
      <c r="AG39" s="1397"/>
      <c r="AH39" s="1397"/>
      <c r="AI39" s="1397">
        <v>11.25</v>
      </c>
      <c r="AJ39" s="1397"/>
      <c r="AK39" s="1397"/>
      <c r="AL39" s="1397"/>
      <c r="AM39" s="1397"/>
      <c r="AN39" s="1397"/>
      <c r="AO39" s="1397"/>
      <c r="AP39" s="1397"/>
      <c r="AQ39" s="1397"/>
      <c r="AR39" s="1397" t="s">
        <v>284</v>
      </c>
      <c r="AS39" s="1398"/>
      <c r="AT39" s="1397">
        <v>500</v>
      </c>
      <c r="AU39" s="1397">
        <v>10</v>
      </c>
      <c r="AV39" s="1397">
        <v>60</v>
      </c>
      <c r="AW39" s="1397">
        <v>40</v>
      </c>
      <c r="AX39" s="1397">
        <v>7500</v>
      </c>
      <c r="AY39" s="1256"/>
      <c r="AZ39" s="1256"/>
      <c r="BA39" s="1256"/>
      <c r="BB39" s="1256"/>
      <c r="BC39" s="1256"/>
      <c r="BD39" s="1256">
        <f>SUM((AI39/27))</f>
        <v>0.41666666666666669</v>
      </c>
      <c r="BE39" s="1397"/>
      <c r="BF39" s="1397"/>
      <c r="BG39" s="1256"/>
      <c r="BH39" s="1256"/>
      <c r="BI39" s="1256"/>
      <c r="BJ39" s="1256"/>
      <c r="BK39" s="1256"/>
      <c r="BL39" s="1256"/>
      <c r="BM39" s="1256"/>
      <c r="BN39" s="1256"/>
      <c r="BO39" s="1256"/>
      <c r="BP39" s="1256">
        <f t="shared" si="274"/>
        <v>-3.3333333333333335</v>
      </c>
      <c r="BQ39" s="1256"/>
      <c r="BR39" s="1256">
        <f t="shared" si="144"/>
        <v>833.33333333333337</v>
      </c>
      <c r="BS39" s="1256"/>
      <c r="BT39" s="1399">
        <v>2.33</v>
      </c>
      <c r="BU39" s="1256">
        <f t="shared" si="189"/>
        <v>0</v>
      </c>
      <c r="BV39" s="1256">
        <f t="shared" si="190"/>
        <v>0</v>
      </c>
      <c r="BW39" s="1256">
        <f t="shared" si="191"/>
        <v>0</v>
      </c>
      <c r="BX39" s="1256">
        <f t="shared" si="192"/>
        <v>0</v>
      </c>
      <c r="BY39" s="1256">
        <f t="shared" si="193"/>
        <v>0.375</v>
      </c>
      <c r="BZ39" s="1256">
        <f t="shared" si="194"/>
        <v>0</v>
      </c>
      <c r="CA39" s="1256">
        <f t="shared" si="195"/>
        <v>0</v>
      </c>
      <c r="CB39" s="1256">
        <f t="shared" si="196"/>
        <v>0</v>
      </c>
      <c r="CC39" s="1256">
        <f t="shared" si="197"/>
        <v>0</v>
      </c>
      <c r="CD39" s="1256">
        <f t="shared" si="198"/>
        <v>0</v>
      </c>
      <c r="CE39" s="1256">
        <f t="shared" si="199"/>
        <v>0</v>
      </c>
      <c r="CF39" s="1256">
        <f t="shared" si="200"/>
        <v>0</v>
      </c>
      <c r="CG39" s="1256">
        <f t="shared" si="201"/>
        <v>0</v>
      </c>
      <c r="CH39" s="1256">
        <f t="shared" si="202"/>
        <v>0</v>
      </c>
      <c r="CI39" s="1256">
        <f t="shared" si="203"/>
        <v>0</v>
      </c>
      <c r="CJ39" s="1256">
        <f t="shared" si="204"/>
        <v>0</v>
      </c>
      <c r="CK39" s="1399">
        <f t="shared" si="275"/>
        <v>-1.43</v>
      </c>
      <c r="CL39" s="1256">
        <f t="shared" si="184"/>
        <v>0</v>
      </c>
      <c r="CM39" s="1256">
        <f t="shared" si="171"/>
        <v>750</v>
      </c>
      <c r="CN39" s="1256"/>
      <c r="CO39" s="1399">
        <v>2.84</v>
      </c>
      <c r="CP39" s="1256">
        <f t="shared" si="205"/>
        <v>0</v>
      </c>
      <c r="CQ39" s="1256">
        <f t="shared" si="206"/>
        <v>0</v>
      </c>
      <c r="CR39" s="1256">
        <f t="shared" si="207"/>
        <v>0</v>
      </c>
      <c r="CS39" s="1256">
        <f t="shared" si="208"/>
        <v>0</v>
      </c>
      <c r="CT39" s="1256">
        <f t="shared" si="209"/>
        <v>0.33750000000000002</v>
      </c>
      <c r="CU39" s="1256">
        <f t="shared" si="210"/>
        <v>0</v>
      </c>
      <c r="CV39" s="1256">
        <f t="shared" si="211"/>
        <v>0</v>
      </c>
      <c r="CW39" s="1256">
        <f t="shared" si="212"/>
        <v>0</v>
      </c>
      <c r="CX39" s="1256">
        <f t="shared" si="213"/>
        <v>0</v>
      </c>
      <c r="CY39" s="1256">
        <f t="shared" si="214"/>
        <v>0</v>
      </c>
      <c r="CZ39" s="1256">
        <f t="shared" si="215"/>
        <v>0</v>
      </c>
      <c r="DA39" s="1256">
        <f t="shared" si="216"/>
        <v>0</v>
      </c>
      <c r="DB39" s="1256">
        <f t="shared" si="217"/>
        <v>0</v>
      </c>
      <c r="DC39" s="1256">
        <f t="shared" si="218"/>
        <v>0</v>
      </c>
      <c r="DD39" s="1256">
        <f t="shared" si="219"/>
        <v>0</v>
      </c>
      <c r="DE39" s="1256">
        <f t="shared" si="220"/>
        <v>0</v>
      </c>
      <c r="DF39" s="1399">
        <f t="shared" si="276"/>
        <v>-1.17</v>
      </c>
      <c r="DG39" s="1256">
        <f t="shared" si="185"/>
        <v>0</v>
      </c>
      <c r="DH39" s="1256">
        <f t="shared" si="174"/>
        <v>675</v>
      </c>
      <c r="DI39" s="1256"/>
      <c r="DJ39" s="1399">
        <v>3.45</v>
      </c>
      <c r="DK39" s="1256">
        <f t="shared" si="221"/>
        <v>0</v>
      </c>
      <c r="DL39" s="1256">
        <f t="shared" si="222"/>
        <v>0</v>
      </c>
      <c r="DM39" s="1256">
        <f t="shared" si="223"/>
        <v>0</v>
      </c>
      <c r="DN39" s="1256">
        <f t="shared" si="224"/>
        <v>0</v>
      </c>
      <c r="DO39" s="1256">
        <f t="shared" si="225"/>
        <v>0.30000000000000004</v>
      </c>
      <c r="DP39" s="1256">
        <f t="shared" si="226"/>
        <v>0</v>
      </c>
      <c r="DQ39" s="1256">
        <f t="shared" si="227"/>
        <v>0</v>
      </c>
      <c r="DR39" s="1256">
        <f t="shared" si="228"/>
        <v>0</v>
      </c>
      <c r="DS39" s="1256">
        <f t="shared" si="229"/>
        <v>0</v>
      </c>
      <c r="DT39" s="1256">
        <f t="shared" si="230"/>
        <v>0</v>
      </c>
      <c r="DU39" s="1256">
        <f t="shared" si="231"/>
        <v>0</v>
      </c>
      <c r="DV39" s="1256">
        <f t="shared" si="232"/>
        <v>0</v>
      </c>
      <c r="DW39" s="1256">
        <f t="shared" si="233"/>
        <v>0</v>
      </c>
      <c r="DX39" s="1256">
        <f t="shared" si="234"/>
        <v>0</v>
      </c>
      <c r="DY39" s="1256">
        <f t="shared" si="235"/>
        <v>0</v>
      </c>
      <c r="DZ39" s="1256">
        <f t="shared" si="236"/>
        <v>0</v>
      </c>
      <c r="EA39" s="1399">
        <f t="shared" si="277"/>
        <v>-0.97</v>
      </c>
      <c r="EB39" s="1256">
        <f t="shared" si="186"/>
        <v>0</v>
      </c>
      <c r="EC39" s="1256">
        <f t="shared" si="177"/>
        <v>600</v>
      </c>
      <c r="ED39" s="1256"/>
      <c r="EE39" s="1399">
        <v>4.2300000000000004</v>
      </c>
      <c r="EF39" s="1256">
        <f t="shared" si="237"/>
        <v>0</v>
      </c>
      <c r="EG39" s="1256">
        <f t="shared" si="238"/>
        <v>0</v>
      </c>
      <c r="EH39" s="1256">
        <f t="shared" si="239"/>
        <v>0</v>
      </c>
      <c r="EI39" s="1256">
        <f t="shared" si="240"/>
        <v>0</v>
      </c>
      <c r="EJ39" s="1256">
        <f t="shared" si="241"/>
        <v>0.26249999999999996</v>
      </c>
      <c r="EK39" s="1256">
        <f t="shared" si="242"/>
        <v>0</v>
      </c>
      <c r="EL39" s="1256">
        <f t="shared" si="243"/>
        <v>0</v>
      </c>
      <c r="EM39" s="1256">
        <f t="shared" si="244"/>
        <v>0</v>
      </c>
      <c r="EN39" s="1256">
        <f t="shared" si="245"/>
        <v>0</v>
      </c>
      <c r="EO39" s="1256">
        <f t="shared" si="246"/>
        <v>0</v>
      </c>
      <c r="EP39" s="1256">
        <f t="shared" si="247"/>
        <v>0</v>
      </c>
      <c r="EQ39" s="1256">
        <f t="shared" si="248"/>
        <v>0</v>
      </c>
      <c r="ER39" s="1256">
        <f t="shared" si="249"/>
        <v>0</v>
      </c>
      <c r="ES39" s="1256">
        <f t="shared" si="250"/>
        <v>0</v>
      </c>
      <c r="ET39" s="1256">
        <f t="shared" si="251"/>
        <v>0</v>
      </c>
      <c r="EU39" s="1256">
        <f t="shared" si="252"/>
        <v>0</v>
      </c>
      <c r="EV39" s="1399">
        <f t="shared" si="278"/>
        <v>-0.79</v>
      </c>
      <c r="EW39" s="1256">
        <f t="shared" si="187"/>
        <v>0</v>
      </c>
      <c r="EX39" s="1256">
        <f t="shared" si="180"/>
        <v>525</v>
      </c>
      <c r="EY39" s="1256"/>
      <c r="EZ39" s="1399">
        <v>5.2</v>
      </c>
      <c r="FA39" s="1256">
        <f t="shared" si="253"/>
        <v>0</v>
      </c>
      <c r="FB39" s="1256">
        <f t="shared" si="254"/>
        <v>0</v>
      </c>
      <c r="FC39" s="1256">
        <f t="shared" si="255"/>
        <v>0</v>
      </c>
      <c r="FD39" s="1256">
        <f t="shared" si="256"/>
        <v>0</v>
      </c>
      <c r="FE39" s="1256">
        <f t="shared" si="257"/>
        <v>0.22499999999999998</v>
      </c>
      <c r="FF39" s="1256">
        <f t="shared" si="258"/>
        <v>0</v>
      </c>
      <c r="FG39" s="1256">
        <f t="shared" si="259"/>
        <v>0</v>
      </c>
      <c r="FH39" s="1256">
        <f t="shared" si="260"/>
        <v>0</v>
      </c>
      <c r="FI39" s="1256">
        <f t="shared" si="261"/>
        <v>0</v>
      </c>
      <c r="FJ39" s="1256">
        <f t="shared" si="262"/>
        <v>0</v>
      </c>
      <c r="FK39" s="1256">
        <f t="shared" si="263"/>
        <v>0</v>
      </c>
      <c r="FL39" s="1256">
        <f t="shared" si="264"/>
        <v>0</v>
      </c>
      <c r="FM39" s="1256">
        <f t="shared" si="265"/>
        <v>0</v>
      </c>
      <c r="FN39" s="1256">
        <f t="shared" si="266"/>
        <v>0</v>
      </c>
      <c r="FO39" s="1256">
        <f t="shared" si="267"/>
        <v>0</v>
      </c>
      <c r="FP39" s="1256">
        <f t="shared" si="268"/>
        <v>0</v>
      </c>
      <c r="FQ39" s="1399">
        <f t="shared" si="279"/>
        <v>-0.64</v>
      </c>
      <c r="FR39" s="1256">
        <f t="shared" si="188"/>
        <v>0</v>
      </c>
      <c r="FS39" s="1256">
        <f t="shared" si="183"/>
        <v>450</v>
      </c>
      <c r="FT39" s="1256"/>
      <c r="FU39" s="1256" t="e">
        <f t="shared" si="150"/>
        <v>#VALUE!</v>
      </c>
      <c r="FV39" s="1256" t="e">
        <f t="shared" si="151"/>
        <v>#VALUE!</v>
      </c>
      <c r="FW39" s="1256" t="e">
        <f t="shared" si="152"/>
        <v>#VALUE!</v>
      </c>
      <c r="FX39" s="1256" t="e">
        <f t="shared" si="153"/>
        <v>#VALUE!</v>
      </c>
      <c r="FY39" s="1256" t="e">
        <f t="shared" si="154"/>
        <v>#VALUE!</v>
      </c>
      <c r="FZ39" s="1256" t="e">
        <f t="shared" si="155"/>
        <v>#VALUE!</v>
      </c>
      <c r="GA39" s="1256" t="e">
        <f t="shared" si="156"/>
        <v>#VALUE!</v>
      </c>
      <c r="GB39" s="1256" t="e">
        <f t="shared" si="157"/>
        <v>#VALUE!</v>
      </c>
      <c r="GC39" s="1256" t="e">
        <f t="shared" si="158"/>
        <v>#VALUE!</v>
      </c>
      <c r="GD39" s="1256" t="e">
        <f t="shared" si="159"/>
        <v>#VALUE!</v>
      </c>
      <c r="GE39" s="1256" t="e">
        <f t="shared" si="160"/>
        <v>#VALUE!</v>
      </c>
      <c r="GF39" s="1256" t="e">
        <f t="shared" si="161"/>
        <v>#VALUE!</v>
      </c>
      <c r="GG39" s="1256" t="e">
        <f t="shared" si="162"/>
        <v>#VALUE!</v>
      </c>
      <c r="GH39" s="1256" t="e">
        <f t="shared" si="163"/>
        <v>#VALUE!</v>
      </c>
      <c r="GI39" s="1256" t="e">
        <f t="shared" si="164"/>
        <v>#VALUE!</v>
      </c>
      <c r="GJ39" s="1256" t="e">
        <f t="shared" si="165"/>
        <v>#VALUE!</v>
      </c>
      <c r="GK39" s="1256" t="e">
        <f t="shared" si="166"/>
        <v>#VALUE!</v>
      </c>
      <c r="GL39" s="1256" t="e">
        <f t="shared" si="167"/>
        <v>#VALUE!</v>
      </c>
      <c r="GM39" s="1256" t="e">
        <f t="shared" si="168"/>
        <v>#VALUE!</v>
      </c>
    </row>
    <row r="40" spans="1:195" ht="16.5" customHeight="1">
      <c r="A40" s="1631">
        <v>214</v>
      </c>
      <c r="B40" s="1873"/>
      <c r="C40" s="1425" t="s">
        <v>290</v>
      </c>
      <c r="D40" s="1438"/>
      <c r="E40" s="1428"/>
      <c r="F40" s="1428"/>
      <c r="G40" s="1428"/>
      <c r="H40" s="1439"/>
      <c r="I40" s="1428"/>
      <c r="J40" s="1429"/>
      <c r="K40" s="1426">
        <f>IF(($AC40&lt;10),SUM(((AL40+(ROUNDUP(($AC40*BG40),2)))/100)),SUM(((AL40+(ROUNDUP(((9*BG40)+GB40),2)))/100)))</f>
        <v>0.22500000000000001</v>
      </c>
      <c r="L40" s="1426">
        <f>IF(($AC40&lt;10),SUM(((AM40+(ROUNDUP(($AC40*BH40),2)))/100)),SUM(((AM40+(ROUNDUP(((9*BH40)+GC40),2)))/100)))</f>
        <v>0.1125</v>
      </c>
      <c r="M40" s="1427">
        <f>IF(($AC40&lt;10),SUM(((AN40+(ROUNDUP(($AC40*BI40),2)))/100)),SUM(((AN40+(ROUNDUP(((9*BI40)+GD40),2)))/100)))</f>
        <v>0.22500000000000001</v>
      </c>
      <c r="N40" s="1440"/>
      <c r="O40" s="1440"/>
      <c r="P40" s="1440"/>
      <c r="Q40" s="1400" t="str">
        <f t="shared" si="269"/>
        <v>Area</v>
      </c>
      <c r="R40" s="1431"/>
      <c r="S40" s="1400">
        <f t="shared" si="270"/>
        <v>500</v>
      </c>
      <c r="T40" s="1431">
        <f t="shared" si="271"/>
        <v>10</v>
      </c>
      <c r="U40" s="1431">
        <f t="shared" si="272"/>
        <v>60</v>
      </c>
      <c r="V40" s="1400">
        <f t="shared" si="273"/>
        <v>40</v>
      </c>
      <c r="W40" s="1400">
        <f t="shared" si="143"/>
        <v>7500</v>
      </c>
      <c r="X40" s="1400"/>
      <c r="Y40" s="1400"/>
      <c r="Z40" s="1400"/>
      <c r="AA40" s="1396"/>
      <c r="AB40" s="1257"/>
      <c r="AC40" s="1256">
        <f t="shared" si="30"/>
        <v>0</v>
      </c>
      <c r="AD40" s="1256"/>
      <c r="AE40" s="1397"/>
      <c r="AF40" s="1397"/>
      <c r="AG40" s="1397"/>
      <c r="AH40" s="1397"/>
      <c r="AI40" s="1397"/>
      <c r="AJ40" s="1397"/>
      <c r="AK40" s="1397"/>
      <c r="AL40" s="1397">
        <v>22.5</v>
      </c>
      <c r="AM40" s="1397">
        <v>11.25</v>
      </c>
      <c r="AN40" s="1397">
        <v>22.5</v>
      </c>
      <c r="AO40" s="1397"/>
      <c r="AP40" s="1397"/>
      <c r="AQ40" s="1397"/>
      <c r="AR40" s="1397" t="s">
        <v>284</v>
      </c>
      <c r="AS40" s="1398"/>
      <c r="AT40" s="1397">
        <v>500</v>
      </c>
      <c r="AU40" s="1397">
        <v>10</v>
      </c>
      <c r="AV40" s="1397">
        <v>60</v>
      </c>
      <c r="AW40" s="1397">
        <v>40</v>
      </c>
      <c r="AX40" s="1397">
        <v>7500</v>
      </c>
      <c r="AY40" s="1256"/>
      <c r="AZ40" s="1256"/>
      <c r="BA40" s="1256"/>
      <c r="BB40" s="1256"/>
      <c r="BC40" s="1256"/>
      <c r="BD40" s="1256"/>
      <c r="BE40" s="1397"/>
      <c r="BF40" s="1397"/>
      <c r="BG40" s="1256">
        <f>SUM((AL40/27))</f>
        <v>0.83333333333333337</v>
      </c>
      <c r="BH40" s="1256">
        <f>SUM((AM40/27))</f>
        <v>0.41666666666666669</v>
      </c>
      <c r="BI40" s="1256">
        <f>SUM((AN40/27))</f>
        <v>0.83333333333333337</v>
      </c>
      <c r="BJ40" s="1256"/>
      <c r="BK40" s="1256"/>
      <c r="BL40" s="1256"/>
      <c r="BM40" s="1256"/>
      <c r="BN40" s="1256"/>
      <c r="BO40" s="1256"/>
      <c r="BP40" s="1256">
        <f t="shared" si="274"/>
        <v>-3.3333333333333335</v>
      </c>
      <c r="BQ40" s="1256"/>
      <c r="BR40" s="1256">
        <f t="shared" si="144"/>
        <v>833.33333333333337</v>
      </c>
      <c r="BS40" s="1256"/>
      <c r="BT40" s="1399">
        <v>2.33</v>
      </c>
      <c r="BU40" s="1256">
        <f t="shared" si="189"/>
        <v>0</v>
      </c>
      <c r="BV40" s="1256">
        <f t="shared" si="190"/>
        <v>0</v>
      </c>
      <c r="BW40" s="1256">
        <f t="shared" si="191"/>
        <v>0</v>
      </c>
      <c r="BX40" s="1256">
        <f t="shared" si="192"/>
        <v>0</v>
      </c>
      <c r="BY40" s="1256">
        <f t="shared" si="193"/>
        <v>0</v>
      </c>
      <c r="BZ40" s="1256">
        <f t="shared" si="194"/>
        <v>0</v>
      </c>
      <c r="CA40" s="1256">
        <f t="shared" si="195"/>
        <v>0</v>
      </c>
      <c r="CB40" s="1256">
        <f t="shared" si="196"/>
        <v>0.75</v>
      </c>
      <c r="CC40" s="1256">
        <f t="shared" si="197"/>
        <v>0.375</v>
      </c>
      <c r="CD40" s="1256">
        <f t="shared" si="198"/>
        <v>0.75</v>
      </c>
      <c r="CE40" s="1256">
        <f t="shared" si="199"/>
        <v>0</v>
      </c>
      <c r="CF40" s="1256">
        <f t="shared" si="200"/>
        <v>0</v>
      </c>
      <c r="CG40" s="1256">
        <f t="shared" si="201"/>
        <v>0</v>
      </c>
      <c r="CH40" s="1256">
        <f t="shared" si="202"/>
        <v>0</v>
      </c>
      <c r="CI40" s="1256">
        <f t="shared" si="203"/>
        <v>0</v>
      </c>
      <c r="CJ40" s="1256">
        <f t="shared" si="204"/>
        <v>0</v>
      </c>
      <c r="CK40" s="1399">
        <f t="shared" si="275"/>
        <v>-1.43</v>
      </c>
      <c r="CL40" s="1256">
        <f t="shared" si="184"/>
        <v>0</v>
      </c>
      <c r="CM40" s="1256">
        <f t="shared" si="171"/>
        <v>750</v>
      </c>
      <c r="CN40" s="1256"/>
      <c r="CO40" s="1399">
        <v>2.84</v>
      </c>
      <c r="CP40" s="1256">
        <f t="shared" si="205"/>
        <v>0</v>
      </c>
      <c r="CQ40" s="1256">
        <f t="shared" si="206"/>
        <v>0</v>
      </c>
      <c r="CR40" s="1256">
        <f t="shared" si="207"/>
        <v>0</v>
      </c>
      <c r="CS40" s="1256">
        <f t="shared" si="208"/>
        <v>0</v>
      </c>
      <c r="CT40" s="1256">
        <f t="shared" si="209"/>
        <v>0</v>
      </c>
      <c r="CU40" s="1256">
        <f t="shared" si="210"/>
        <v>0</v>
      </c>
      <c r="CV40" s="1256">
        <f t="shared" si="211"/>
        <v>0</v>
      </c>
      <c r="CW40" s="1256">
        <f t="shared" si="212"/>
        <v>0.67500000000000004</v>
      </c>
      <c r="CX40" s="1256">
        <f t="shared" si="213"/>
        <v>0.33750000000000002</v>
      </c>
      <c r="CY40" s="1256">
        <f t="shared" si="214"/>
        <v>0.67500000000000004</v>
      </c>
      <c r="CZ40" s="1256">
        <f t="shared" si="215"/>
        <v>0</v>
      </c>
      <c r="DA40" s="1256">
        <f t="shared" si="216"/>
        <v>0</v>
      </c>
      <c r="DB40" s="1256">
        <f t="shared" si="217"/>
        <v>0</v>
      </c>
      <c r="DC40" s="1256">
        <f t="shared" si="218"/>
        <v>0</v>
      </c>
      <c r="DD40" s="1256">
        <f t="shared" si="219"/>
        <v>0</v>
      </c>
      <c r="DE40" s="1256">
        <f t="shared" si="220"/>
        <v>0</v>
      </c>
      <c r="DF40" s="1399">
        <f t="shared" si="276"/>
        <v>-1.17</v>
      </c>
      <c r="DG40" s="1256">
        <f t="shared" si="185"/>
        <v>0</v>
      </c>
      <c r="DH40" s="1256">
        <f t="shared" si="174"/>
        <v>675</v>
      </c>
      <c r="DI40" s="1256"/>
      <c r="DJ40" s="1399">
        <v>3.45</v>
      </c>
      <c r="DK40" s="1256">
        <f t="shared" si="221"/>
        <v>0</v>
      </c>
      <c r="DL40" s="1256">
        <f t="shared" si="222"/>
        <v>0</v>
      </c>
      <c r="DM40" s="1256">
        <f t="shared" si="223"/>
        <v>0</v>
      </c>
      <c r="DN40" s="1256">
        <f t="shared" si="224"/>
        <v>0</v>
      </c>
      <c r="DO40" s="1256">
        <f t="shared" si="225"/>
        <v>0</v>
      </c>
      <c r="DP40" s="1256">
        <f t="shared" si="226"/>
        <v>0</v>
      </c>
      <c r="DQ40" s="1256">
        <f t="shared" si="227"/>
        <v>0</v>
      </c>
      <c r="DR40" s="1256">
        <f t="shared" si="228"/>
        <v>0.60000000000000009</v>
      </c>
      <c r="DS40" s="1256">
        <f t="shared" si="229"/>
        <v>0.30000000000000004</v>
      </c>
      <c r="DT40" s="1256">
        <f t="shared" si="230"/>
        <v>0.60000000000000009</v>
      </c>
      <c r="DU40" s="1256">
        <f t="shared" si="231"/>
        <v>0</v>
      </c>
      <c r="DV40" s="1256">
        <f t="shared" si="232"/>
        <v>0</v>
      </c>
      <c r="DW40" s="1256">
        <f t="shared" si="233"/>
        <v>0</v>
      </c>
      <c r="DX40" s="1256">
        <f t="shared" si="234"/>
        <v>0</v>
      </c>
      <c r="DY40" s="1256">
        <f t="shared" si="235"/>
        <v>0</v>
      </c>
      <c r="DZ40" s="1256">
        <f t="shared" si="236"/>
        <v>0</v>
      </c>
      <c r="EA40" s="1399">
        <f t="shared" si="277"/>
        <v>-0.97</v>
      </c>
      <c r="EB40" s="1256">
        <f t="shared" si="186"/>
        <v>0</v>
      </c>
      <c r="EC40" s="1256">
        <f t="shared" si="177"/>
        <v>600</v>
      </c>
      <c r="ED40" s="1256"/>
      <c r="EE40" s="1399">
        <v>4.2300000000000004</v>
      </c>
      <c r="EF40" s="1256">
        <f t="shared" si="237"/>
        <v>0</v>
      </c>
      <c r="EG40" s="1256">
        <f t="shared" si="238"/>
        <v>0</v>
      </c>
      <c r="EH40" s="1256">
        <f t="shared" si="239"/>
        <v>0</v>
      </c>
      <c r="EI40" s="1256">
        <f t="shared" si="240"/>
        <v>0</v>
      </c>
      <c r="EJ40" s="1256">
        <f t="shared" si="241"/>
        <v>0</v>
      </c>
      <c r="EK40" s="1256">
        <f t="shared" si="242"/>
        <v>0</v>
      </c>
      <c r="EL40" s="1256">
        <f t="shared" si="243"/>
        <v>0</v>
      </c>
      <c r="EM40" s="1256">
        <f t="shared" si="244"/>
        <v>0.52499999999999991</v>
      </c>
      <c r="EN40" s="1256">
        <f t="shared" si="245"/>
        <v>0.26249999999999996</v>
      </c>
      <c r="EO40" s="1256">
        <f t="shared" si="246"/>
        <v>0.52499999999999991</v>
      </c>
      <c r="EP40" s="1256">
        <f t="shared" si="247"/>
        <v>0</v>
      </c>
      <c r="EQ40" s="1256">
        <f t="shared" si="248"/>
        <v>0</v>
      </c>
      <c r="ER40" s="1256">
        <f t="shared" si="249"/>
        <v>0</v>
      </c>
      <c r="ES40" s="1256">
        <f t="shared" si="250"/>
        <v>0</v>
      </c>
      <c r="ET40" s="1256">
        <f t="shared" si="251"/>
        <v>0</v>
      </c>
      <c r="EU40" s="1256">
        <f t="shared" si="252"/>
        <v>0</v>
      </c>
      <c r="EV40" s="1399">
        <f t="shared" si="278"/>
        <v>-0.79</v>
      </c>
      <c r="EW40" s="1256">
        <f t="shared" si="187"/>
        <v>0</v>
      </c>
      <c r="EX40" s="1256">
        <f t="shared" si="180"/>
        <v>525</v>
      </c>
      <c r="EY40" s="1256"/>
      <c r="EZ40" s="1399">
        <v>5.2</v>
      </c>
      <c r="FA40" s="1256">
        <f t="shared" si="253"/>
        <v>0</v>
      </c>
      <c r="FB40" s="1256">
        <f t="shared" si="254"/>
        <v>0</v>
      </c>
      <c r="FC40" s="1256">
        <f t="shared" si="255"/>
        <v>0</v>
      </c>
      <c r="FD40" s="1256">
        <f t="shared" si="256"/>
        <v>0</v>
      </c>
      <c r="FE40" s="1256">
        <f t="shared" si="257"/>
        <v>0</v>
      </c>
      <c r="FF40" s="1256">
        <f t="shared" si="258"/>
        <v>0</v>
      </c>
      <c r="FG40" s="1256">
        <f t="shared" si="259"/>
        <v>0</v>
      </c>
      <c r="FH40" s="1256">
        <f t="shared" si="260"/>
        <v>0.44999999999999996</v>
      </c>
      <c r="FI40" s="1256">
        <f t="shared" si="261"/>
        <v>0.22499999999999998</v>
      </c>
      <c r="FJ40" s="1256">
        <f t="shared" si="262"/>
        <v>0.44999999999999996</v>
      </c>
      <c r="FK40" s="1256">
        <f t="shared" si="263"/>
        <v>0</v>
      </c>
      <c r="FL40" s="1256">
        <f t="shared" si="264"/>
        <v>0</v>
      </c>
      <c r="FM40" s="1256">
        <f t="shared" si="265"/>
        <v>0</v>
      </c>
      <c r="FN40" s="1256">
        <f t="shared" si="266"/>
        <v>0</v>
      </c>
      <c r="FO40" s="1256">
        <f t="shared" si="267"/>
        <v>0</v>
      </c>
      <c r="FP40" s="1256">
        <f t="shared" si="268"/>
        <v>0</v>
      </c>
      <c r="FQ40" s="1399">
        <f t="shared" si="279"/>
        <v>-0.64</v>
      </c>
      <c r="FR40" s="1256">
        <f t="shared" si="188"/>
        <v>0</v>
      </c>
      <c r="FS40" s="1256">
        <f t="shared" si="183"/>
        <v>450</v>
      </c>
      <c r="FT40" s="1256"/>
      <c r="FU40" s="1256" t="e">
        <f t="shared" si="150"/>
        <v>#VALUE!</v>
      </c>
      <c r="FV40" s="1256" t="e">
        <f t="shared" si="151"/>
        <v>#VALUE!</v>
      </c>
      <c r="FW40" s="1256" t="e">
        <f t="shared" si="152"/>
        <v>#VALUE!</v>
      </c>
      <c r="FX40" s="1256" t="e">
        <f t="shared" si="153"/>
        <v>#VALUE!</v>
      </c>
      <c r="FY40" s="1256" t="e">
        <f t="shared" si="154"/>
        <v>#VALUE!</v>
      </c>
      <c r="FZ40" s="1256" t="e">
        <f t="shared" si="155"/>
        <v>#VALUE!</v>
      </c>
      <c r="GA40" s="1256" t="e">
        <f t="shared" si="156"/>
        <v>#VALUE!</v>
      </c>
      <c r="GB40" s="1256" t="e">
        <f t="shared" si="157"/>
        <v>#VALUE!</v>
      </c>
      <c r="GC40" s="1256" t="e">
        <f t="shared" si="158"/>
        <v>#VALUE!</v>
      </c>
      <c r="GD40" s="1256" t="e">
        <f t="shared" si="159"/>
        <v>#VALUE!</v>
      </c>
      <c r="GE40" s="1256" t="e">
        <f t="shared" si="160"/>
        <v>#VALUE!</v>
      </c>
      <c r="GF40" s="1256" t="e">
        <f t="shared" si="161"/>
        <v>#VALUE!</v>
      </c>
      <c r="GG40" s="1256" t="e">
        <f t="shared" si="162"/>
        <v>#VALUE!</v>
      </c>
      <c r="GH40" s="1256" t="e">
        <f t="shared" si="163"/>
        <v>#VALUE!</v>
      </c>
      <c r="GI40" s="1256" t="e">
        <f t="shared" si="164"/>
        <v>#VALUE!</v>
      </c>
      <c r="GJ40" s="1256" t="e">
        <f t="shared" si="165"/>
        <v>#VALUE!</v>
      </c>
      <c r="GK40" s="1256" t="e">
        <f t="shared" si="166"/>
        <v>#VALUE!</v>
      </c>
      <c r="GL40" s="1256" t="e">
        <f t="shared" si="167"/>
        <v>#VALUE!</v>
      </c>
      <c r="GM40" s="1256" t="e">
        <f t="shared" si="168"/>
        <v>#VALUE!</v>
      </c>
    </row>
    <row r="41" spans="1:195" ht="16.5" customHeight="1">
      <c r="A41" s="1631">
        <v>215</v>
      </c>
      <c r="B41" s="1873"/>
      <c r="C41" s="1441" t="s">
        <v>291</v>
      </c>
      <c r="D41" s="1442"/>
      <c r="E41" s="1436"/>
      <c r="F41" s="1436"/>
      <c r="G41" s="1436"/>
      <c r="H41" s="1436"/>
      <c r="I41" s="1436"/>
      <c r="J41" s="1436"/>
      <c r="K41" s="1436"/>
      <c r="L41" s="1436"/>
      <c r="M41" s="1443"/>
      <c r="N41" s="1420">
        <f>IF(($AC41&lt;10),SUM(((AO41+(ROUNDUP(($AC41*BJ41),2)))/100)),SUM(((AO41+(ROUNDUP(((9*BJ41)+GE41),2)))/100)))</f>
        <v>0.22500000000000001</v>
      </c>
      <c r="O41" s="1420">
        <f>IF(($AC41&lt;10),SUM(((AP41+(ROUNDUP(($AC41*BK41),2)))/100)),SUM(((AP41+(ROUNDUP(((9*BK41)+GF41),2)))/100)))</f>
        <v>0.22500000000000001</v>
      </c>
      <c r="P41" s="1421">
        <f>IF(($AC41&lt;10),SUM(((AQ41+(ROUNDUP(($AC41*BL41),2)))/100)),SUM(((AQ41+(ROUNDUP(((9*BL41)+GG41),2)))/100)))</f>
        <v>0.22500000000000001</v>
      </c>
      <c r="Q41" s="1403" t="str">
        <f t="shared" si="269"/>
        <v>Area</v>
      </c>
      <c r="R41" s="1444"/>
      <c r="S41" s="1403">
        <f t="shared" si="270"/>
        <v>500</v>
      </c>
      <c r="T41" s="1444">
        <f t="shared" si="271"/>
        <v>10</v>
      </c>
      <c r="U41" s="1444">
        <f t="shared" si="272"/>
        <v>60</v>
      </c>
      <c r="V41" s="1403">
        <f t="shared" si="273"/>
        <v>40</v>
      </c>
      <c r="W41" s="1403">
        <f t="shared" si="143"/>
        <v>7500</v>
      </c>
      <c r="X41" s="1403"/>
      <c r="Y41" s="1403"/>
      <c r="Z41" s="1403"/>
      <c r="AA41" s="1396"/>
      <c r="AB41" s="1257"/>
      <c r="AC41" s="1256">
        <f t="shared" si="30"/>
        <v>0</v>
      </c>
      <c r="AD41" s="1256"/>
      <c r="AE41" s="1397"/>
      <c r="AF41" s="1397"/>
      <c r="AG41" s="1397"/>
      <c r="AH41" s="1397"/>
      <c r="AI41" s="1397"/>
      <c r="AJ41" s="1397"/>
      <c r="AK41" s="1397"/>
      <c r="AL41" s="1397"/>
      <c r="AM41" s="1397"/>
      <c r="AN41" s="1397"/>
      <c r="AO41" s="1397">
        <v>22.5</v>
      </c>
      <c r="AP41" s="1397">
        <v>22.5</v>
      </c>
      <c r="AQ41" s="1397">
        <v>22.5</v>
      </c>
      <c r="AR41" s="1397" t="s">
        <v>284</v>
      </c>
      <c r="AS41" s="1398"/>
      <c r="AT41" s="1397">
        <v>500</v>
      </c>
      <c r="AU41" s="1397">
        <v>10</v>
      </c>
      <c r="AV41" s="1397">
        <v>60</v>
      </c>
      <c r="AW41" s="1397">
        <v>40</v>
      </c>
      <c r="AX41" s="1397">
        <v>7500</v>
      </c>
      <c r="AY41" s="1257"/>
      <c r="AZ41" s="1256"/>
      <c r="BA41" s="1256"/>
      <c r="BB41" s="1256"/>
      <c r="BC41" s="1256"/>
      <c r="BD41" s="1256"/>
      <c r="BE41" s="1397"/>
      <c r="BF41" s="1397"/>
      <c r="BG41" s="1256"/>
      <c r="BH41" s="1256"/>
      <c r="BI41" s="1256"/>
      <c r="BJ41" s="1256">
        <f>SUM((AO41/27))</f>
        <v>0.83333333333333337</v>
      </c>
      <c r="BK41" s="1256">
        <f>SUM((AP41/27))</f>
        <v>0.83333333333333337</v>
      </c>
      <c r="BL41" s="1256">
        <f>SUM((AQ41/27))</f>
        <v>0.83333333333333337</v>
      </c>
      <c r="BM41" s="1256"/>
      <c r="BN41" s="1256"/>
      <c r="BO41" s="1256"/>
      <c r="BP41" s="1256">
        <f t="shared" si="274"/>
        <v>-3.3333333333333335</v>
      </c>
      <c r="BQ41" s="1256"/>
      <c r="BR41" s="1256">
        <f t="shared" si="144"/>
        <v>833.33333333333337</v>
      </c>
      <c r="BS41" s="1256"/>
      <c r="BT41" s="1399">
        <v>2.33</v>
      </c>
      <c r="BU41" s="1256">
        <f t="shared" si="189"/>
        <v>0</v>
      </c>
      <c r="BV41" s="1256">
        <f t="shared" si="190"/>
        <v>0</v>
      </c>
      <c r="BW41" s="1256">
        <f t="shared" si="191"/>
        <v>0</v>
      </c>
      <c r="BX41" s="1256">
        <f t="shared" si="192"/>
        <v>0</v>
      </c>
      <c r="BY41" s="1256">
        <f t="shared" si="193"/>
        <v>0</v>
      </c>
      <c r="BZ41" s="1256">
        <f t="shared" si="194"/>
        <v>0</v>
      </c>
      <c r="CA41" s="1256">
        <f t="shared" si="195"/>
        <v>0</v>
      </c>
      <c r="CB41" s="1256">
        <f t="shared" si="196"/>
        <v>0</v>
      </c>
      <c r="CC41" s="1256">
        <f t="shared" si="197"/>
        <v>0</v>
      </c>
      <c r="CD41" s="1256">
        <f t="shared" si="198"/>
        <v>0</v>
      </c>
      <c r="CE41" s="1256">
        <f t="shared" si="199"/>
        <v>0.75</v>
      </c>
      <c r="CF41" s="1256">
        <f t="shared" si="200"/>
        <v>0.75</v>
      </c>
      <c r="CG41" s="1256">
        <f t="shared" si="201"/>
        <v>0.75</v>
      </c>
      <c r="CH41" s="1256">
        <f t="shared" si="202"/>
        <v>0</v>
      </c>
      <c r="CI41" s="1256">
        <f t="shared" si="203"/>
        <v>0</v>
      </c>
      <c r="CJ41" s="1256">
        <f t="shared" si="204"/>
        <v>0</v>
      </c>
      <c r="CK41" s="1399">
        <f t="shared" si="275"/>
        <v>-1.43</v>
      </c>
      <c r="CL41" s="1256">
        <f t="shared" si="184"/>
        <v>0</v>
      </c>
      <c r="CM41" s="1256">
        <f t="shared" si="171"/>
        <v>750</v>
      </c>
      <c r="CN41" s="1256"/>
      <c r="CO41" s="1399">
        <v>2.84</v>
      </c>
      <c r="CP41" s="1256">
        <f t="shared" si="205"/>
        <v>0</v>
      </c>
      <c r="CQ41" s="1256">
        <f t="shared" si="206"/>
        <v>0</v>
      </c>
      <c r="CR41" s="1256">
        <f t="shared" si="207"/>
        <v>0</v>
      </c>
      <c r="CS41" s="1256">
        <f t="shared" si="208"/>
        <v>0</v>
      </c>
      <c r="CT41" s="1256">
        <f t="shared" si="209"/>
        <v>0</v>
      </c>
      <c r="CU41" s="1256">
        <f t="shared" si="210"/>
        <v>0</v>
      </c>
      <c r="CV41" s="1256">
        <f t="shared" si="211"/>
        <v>0</v>
      </c>
      <c r="CW41" s="1256">
        <f t="shared" si="212"/>
        <v>0</v>
      </c>
      <c r="CX41" s="1256">
        <f t="shared" si="213"/>
        <v>0</v>
      </c>
      <c r="CY41" s="1256">
        <f t="shared" si="214"/>
        <v>0</v>
      </c>
      <c r="CZ41" s="1256">
        <f t="shared" si="215"/>
        <v>0.67500000000000004</v>
      </c>
      <c r="DA41" s="1256">
        <f t="shared" si="216"/>
        <v>0.67500000000000004</v>
      </c>
      <c r="DB41" s="1256">
        <f t="shared" si="217"/>
        <v>0.67500000000000004</v>
      </c>
      <c r="DC41" s="1256">
        <f t="shared" si="218"/>
        <v>0</v>
      </c>
      <c r="DD41" s="1256">
        <f t="shared" si="219"/>
        <v>0</v>
      </c>
      <c r="DE41" s="1256">
        <f t="shared" si="220"/>
        <v>0</v>
      </c>
      <c r="DF41" s="1399">
        <f t="shared" si="276"/>
        <v>-1.17</v>
      </c>
      <c r="DG41" s="1256">
        <f t="shared" si="185"/>
        <v>0</v>
      </c>
      <c r="DH41" s="1256">
        <f t="shared" si="174"/>
        <v>675</v>
      </c>
      <c r="DI41" s="1256"/>
      <c r="DJ41" s="1399">
        <v>3.45</v>
      </c>
      <c r="DK41" s="1256">
        <f t="shared" si="221"/>
        <v>0</v>
      </c>
      <c r="DL41" s="1256">
        <f t="shared" si="222"/>
        <v>0</v>
      </c>
      <c r="DM41" s="1256">
        <f t="shared" si="223"/>
        <v>0</v>
      </c>
      <c r="DN41" s="1256">
        <f t="shared" si="224"/>
        <v>0</v>
      </c>
      <c r="DO41" s="1256">
        <f t="shared" si="225"/>
        <v>0</v>
      </c>
      <c r="DP41" s="1256">
        <f t="shared" si="226"/>
        <v>0</v>
      </c>
      <c r="DQ41" s="1256">
        <f t="shared" si="227"/>
        <v>0</v>
      </c>
      <c r="DR41" s="1256">
        <f t="shared" si="228"/>
        <v>0</v>
      </c>
      <c r="DS41" s="1256">
        <f t="shared" si="229"/>
        <v>0</v>
      </c>
      <c r="DT41" s="1256">
        <f t="shared" si="230"/>
        <v>0</v>
      </c>
      <c r="DU41" s="1256">
        <f t="shared" si="231"/>
        <v>0.60000000000000009</v>
      </c>
      <c r="DV41" s="1256">
        <f t="shared" si="232"/>
        <v>0.60000000000000009</v>
      </c>
      <c r="DW41" s="1256">
        <f t="shared" si="233"/>
        <v>0.60000000000000009</v>
      </c>
      <c r="DX41" s="1256">
        <f t="shared" si="234"/>
        <v>0</v>
      </c>
      <c r="DY41" s="1256">
        <f t="shared" si="235"/>
        <v>0</v>
      </c>
      <c r="DZ41" s="1256">
        <f t="shared" si="236"/>
        <v>0</v>
      </c>
      <c r="EA41" s="1399">
        <f t="shared" si="277"/>
        <v>-0.97</v>
      </c>
      <c r="EB41" s="1256">
        <f t="shared" si="186"/>
        <v>0</v>
      </c>
      <c r="EC41" s="1256">
        <f t="shared" si="177"/>
        <v>600</v>
      </c>
      <c r="ED41" s="1256"/>
      <c r="EE41" s="1399">
        <v>4.2300000000000004</v>
      </c>
      <c r="EF41" s="1256">
        <f t="shared" si="237"/>
        <v>0</v>
      </c>
      <c r="EG41" s="1256">
        <f t="shared" si="238"/>
        <v>0</v>
      </c>
      <c r="EH41" s="1256">
        <f t="shared" si="239"/>
        <v>0</v>
      </c>
      <c r="EI41" s="1256">
        <f t="shared" si="240"/>
        <v>0</v>
      </c>
      <c r="EJ41" s="1256">
        <f t="shared" si="241"/>
        <v>0</v>
      </c>
      <c r="EK41" s="1256">
        <f t="shared" si="242"/>
        <v>0</v>
      </c>
      <c r="EL41" s="1256">
        <f t="shared" si="243"/>
        <v>0</v>
      </c>
      <c r="EM41" s="1256">
        <f t="shared" si="244"/>
        <v>0</v>
      </c>
      <c r="EN41" s="1256">
        <f t="shared" si="245"/>
        <v>0</v>
      </c>
      <c r="EO41" s="1256">
        <f t="shared" si="246"/>
        <v>0</v>
      </c>
      <c r="EP41" s="1256">
        <f t="shared" si="247"/>
        <v>0.52499999999999991</v>
      </c>
      <c r="EQ41" s="1256">
        <f t="shared" si="248"/>
        <v>0.52499999999999991</v>
      </c>
      <c r="ER41" s="1256">
        <f t="shared" si="249"/>
        <v>0.52499999999999991</v>
      </c>
      <c r="ES41" s="1256">
        <f t="shared" si="250"/>
        <v>0</v>
      </c>
      <c r="ET41" s="1256">
        <f t="shared" si="251"/>
        <v>0</v>
      </c>
      <c r="EU41" s="1256">
        <f t="shared" si="252"/>
        <v>0</v>
      </c>
      <c r="EV41" s="1399">
        <f t="shared" si="278"/>
        <v>-0.79</v>
      </c>
      <c r="EW41" s="1256">
        <f t="shared" si="187"/>
        <v>0</v>
      </c>
      <c r="EX41" s="1256">
        <f t="shared" si="180"/>
        <v>525</v>
      </c>
      <c r="EY41" s="1256"/>
      <c r="EZ41" s="1399">
        <v>5.2</v>
      </c>
      <c r="FA41" s="1256">
        <f t="shared" si="253"/>
        <v>0</v>
      </c>
      <c r="FB41" s="1256">
        <f t="shared" si="254"/>
        <v>0</v>
      </c>
      <c r="FC41" s="1256">
        <f t="shared" si="255"/>
        <v>0</v>
      </c>
      <c r="FD41" s="1256">
        <f t="shared" si="256"/>
        <v>0</v>
      </c>
      <c r="FE41" s="1256">
        <f t="shared" si="257"/>
        <v>0</v>
      </c>
      <c r="FF41" s="1256">
        <f t="shared" si="258"/>
        <v>0</v>
      </c>
      <c r="FG41" s="1256">
        <f t="shared" si="259"/>
        <v>0</v>
      </c>
      <c r="FH41" s="1256">
        <f t="shared" si="260"/>
        <v>0</v>
      </c>
      <c r="FI41" s="1256">
        <f t="shared" si="261"/>
        <v>0</v>
      </c>
      <c r="FJ41" s="1256">
        <f t="shared" si="262"/>
        <v>0</v>
      </c>
      <c r="FK41" s="1256">
        <f t="shared" si="263"/>
        <v>0.44999999999999996</v>
      </c>
      <c r="FL41" s="1256">
        <f t="shared" si="264"/>
        <v>0.44999999999999996</v>
      </c>
      <c r="FM41" s="1256">
        <f t="shared" si="265"/>
        <v>0.44999999999999996</v>
      </c>
      <c r="FN41" s="1256">
        <f t="shared" si="266"/>
        <v>0</v>
      </c>
      <c r="FO41" s="1256">
        <f t="shared" si="267"/>
        <v>0</v>
      </c>
      <c r="FP41" s="1256">
        <f t="shared" si="268"/>
        <v>0</v>
      </c>
      <c r="FQ41" s="1399">
        <f t="shared" si="279"/>
        <v>-0.64</v>
      </c>
      <c r="FR41" s="1256">
        <f t="shared" si="188"/>
        <v>0</v>
      </c>
      <c r="FS41" s="1256">
        <f t="shared" si="183"/>
        <v>450</v>
      </c>
      <c r="FT41" s="1256"/>
      <c r="FU41" s="1256" t="e">
        <f t="shared" si="150"/>
        <v>#VALUE!</v>
      </c>
      <c r="FV41" s="1256" t="e">
        <f t="shared" si="151"/>
        <v>#VALUE!</v>
      </c>
      <c r="FW41" s="1256" t="e">
        <f t="shared" si="152"/>
        <v>#VALUE!</v>
      </c>
      <c r="FX41" s="1256" t="e">
        <f t="shared" si="153"/>
        <v>#VALUE!</v>
      </c>
      <c r="FY41" s="1256" t="e">
        <f t="shared" si="154"/>
        <v>#VALUE!</v>
      </c>
      <c r="FZ41" s="1256" t="e">
        <f t="shared" si="155"/>
        <v>#VALUE!</v>
      </c>
      <c r="GA41" s="1256" t="e">
        <f t="shared" si="156"/>
        <v>#VALUE!</v>
      </c>
      <c r="GB41" s="1256" t="e">
        <f t="shared" si="157"/>
        <v>#VALUE!</v>
      </c>
      <c r="GC41" s="1256" t="e">
        <f t="shared" si="158"/>
        <v>#VALUE!</v>
      </c>
      <c r="GD41" s="1256" t="e">
        <f t="shared" si="159"/>
        <v>#VALUE!</v>
      </c>
      <c r="GE41" s="1256" t="e">
        <f t="shared" si="160"/>
        <v>#VALUE!</v>
      </c>
      <c r="GF41" s="1256" t="e">
        <f t="shared" si="161"/>
        <v>#VALUE!</v>
      </c>
      <c r="GG41" s="1256" t="e">
        <f t="shared" si="162"/>
        <v>#VALUE!</v>
      </c>
      <c r="GH41" s="1256" t="e">
        <f t="shared" si="163"/>
        <v>#VALUE!</v>
      </c>
      <c r="GI41" s="1256" t="e">
        <f t="shared" si="164"/>
        <v>#VALUE!</v>
      </c>
      <c r="GJ41" s="1256" t="e">
        <f t="shared" si="165"/>
        <v>#VALUE!</v>
      </c>
      <c r="GK41" s="1256" t="e">
        <f t="shared" si="166"/>
        <v>#VALUE!</v>
      </c>
      <c r="GL41" s="1256" t="e">
        <f t="shared" si="167"/>
        <v>#VALUE!</v>
      </c>
      <c r="GM41" s="1256" t="e">
        <f t="shared" si="168"/>
        <v>#VALUE!</v>
      </c>
    </row>
    <row r="42" spans="1:195" ht="16.5" customHeight="1">
      <c r="A42" s="1631">
        <v>216</v>
      </c>
      <c r="B42" s="1901" t="s">
        <v>292</v>
      </c>
      <c r="C42" s="1480" t="s">
        <v>879</v>
      </c>
      <c r="D42" s="1446">
        <f>IF(($AC42&lt;10),SUM(((AE42+(ROUNDUP(($AC42*AZ42),2)))/100)),SUM(((AE42+(ROUNDUP(((9*AZ42)+FU42),2)))/100)))</f>
        <v>-0.22500000000000001</v>
      </c>
      <c r="E42" s="1447">
        <f>IF(($AC42&lt;10),SUM(((AF42+(ROUNDUP(($AC42*BA42),2)))/100)),SUM(((AF42+(ROUNDUP(((9*BA42)+FV42),2)))/100)))</f>
        <v>-0.22500000000000001</v>
      </c>
      <c r="F42" s="1448"/>
      <c r="G42" s="1448"/>
      <c r="H42" s="1448"/>
      <c r="I42" s="1448"/>
      <c r="J42" s="1448"/>
      <c r="K42" s="1448"/>
      <c r="L42" s="1448"/>
      <c r="M42" s="1448"/>
      <c r="N42" s="1448"/>
      <c r="O42" s="1448"/>
      <c r="P42" s="1448"/>
      <c r="Q42" s="1404" t="str">
        <f t="shared" si="269"/>
        <v>Selected</v>
      </c>
      <c r="R42" s="1449"/>
      <c r="S42" s="1404">
        <f t="shared" si="270"/>
        <v>1500</v>
      </c>
      <c r="T42" s="1449">
        <f t="shared" si="271"/>
        <v>10</v>
      </c>
      <c r="U42" s="1449">
        <f t="shared" si="272"/>
        <v>60</v>
      </c>
      <c r="V42" s="1404">
        <f t="shared" si="273"/>
        <v>40</v>
      </c>
      <c r="W42" s="1404">
        <f t="shared" si="143"/>
        <v>7500</v>
      </c>
      <c r="X42" s="1404"/>
      <c r="Y42" s="1404"/>
      <c r="Z42" s="1404"/>
      <c r="AA42" s="1405"/>
      <c r="AB42" s="1218"/>
      <c r="AC42" s="1218">
        <f t="shared" si="30"/>
        <v>0</v>
      </c>
      <c r="AD42" s="1218"/>
      <c r="AE42" s="1406">
        <v>-22.5</v>
      </c>
      <c r="AF42" s="1406">
        <v>-22.5</v>
      </c>
      <c r="AG42" s="1406"/>
      <c r="AH42" s="1406"/>
      <c r="AI42" s="1406"/>
      <c r="AJ42" s="1406"/>
      <c r="AK42" s="1406"/>
      <c r="AL42" s="1406"/>
      <c r="AM42" s="1406"/>
      <c r="AN42" s="1406"/>
      <c r="AO42" s="1406"/>
      <c r="AP42" s="1406"/>
      <c r="AQ42" s="1406"/>
      <c r="AR42" s="1406" t="s">
        <v>283</v>
      </c>
      <c r="AS42" s="1407"/>
      <c r="AT42" s="1406">
        <v>1500</v>
      </c>
      <c r="AU42" s="1406">
        <v>10</v>
      </c>
      <c r="AV42" s="1406">
        <v>60</v>
      </c>
      <c r="AW42" s="1406">
        <v>40</v>
      </c>
      <c r="AX42" s="1406">
        <v>7500</v>
      </c>
      <c r="AY42" s="1217"/>
      <c r="AZ42" s="1218">
        <f>SUM((AE42/27))</f>
        <v>-0.83333333333333337</v>
      </c>
      <c r="BA42" s="1218">
        <f>SUM((AF42/27))</f>
        <v>-0.83333333333333337</v>
      </c>
      <c r="BB42" s="1218"/>
      <c r="BC42" s="1218"/>
      <c r="BD42" s="1218"/>
      <c r="BE42" s="1406"/>
      <c r="BF42" s="1406"/>
      <c r="BG42" s="1218"/>
      <c r="BH42" s="1218"/>
      <c r="BI42" s="1218"/>
      <c r="BJ42" s="1218"/>
      <c r="BK42" s="1218"/>
      <c r="BL42" s="1218"/>
      <c r="BM42" s="1218"/>
      <c r="BN42" s="1218"/>
      <c r="BO42" s="1218"/>
      <c r="BP42" s="1218">
        <f t="shared" si="274"/>
        <v>-3.3333333333333335</v>
      </c>
      <c r="BQ42" s="1218"/>
      <c r="BR42" s="1218">
        <f t="shared" si="144"/>
        <v>833.33333333333337</v>
      </c>
      <c r="BS42" s="1218"/>
      <c r="BT42" s="1408">
        <v>2.33</v>
      </c>
      <c r="BU42" s="1218">
        <f t="shared" si="189"/>
        <v>-0.75</v>
      </c>
      <c r="BV42" s="1218">
        <f t="shared" si="190"/>
        <v>-0.75</v>
      </c>
      <c r="BW42" s="1218">
        <f t="shared" si="191"/>
        <v>0</v>
      </c>
      <c r="BX42" s="1218">
        <f t="shared" si="192"/>
        <v>0</v>
      </c>
      <c r="BY42" s="1218">
        <f t="shared" si="193"/>
        <v>0</v>
      </c>
      <c r="BZ42" s="1218">
        <f t="shared" si="194"/>
        <v>0</v>
      </c>
      <c r="CA42" s="1218">
        <f t="shared" si="195"/>
        <v>0</v>
      </c>
      <c r="CB42" s="1218">
        <f t="shared" si="196"/>
        <v>0</v>
      </c>
      <c r="CC42" s="1218">
        <f t="shared" si="197"/>
        <v>0</v>
      </c>
      <c r="CD42" s="1218">
        <f t="shared" si="198"/>
        <v>0</v>
      </c>
      <c r="CE42" s="1218">
        <f t="shared" si="199"/>
        <v>0</v>
      </c>
      <c r="CF42" s="1218">
        <f t="shared" si="200"/>
        <v>0</v>
      </c>
      <c r="CG42" s="1218">
        <f t="shared" si="201"/>
        <v>0</v>
      </c>
      <c r="CH42" s="1218">
        <f t="shared" si="202"/>
        <v>0</v>
      </c>
      <c r="CI42" s="1218">
        <f t="shared" si="203"/>
        <v>0</v>
      </c>
      <c r="CJ42" s="1218">
        <f t="shared" si="204"/>
        <v>0</v>
      </c>
      <c r="CK42" s="1408">
        <f t="shared" si="275"/>
        <v>-1.43</v>
      </c>
      <c r="CL42" s="1218">
        <f t="shared" si="184"/>
        <v>0</v>
      </c>
      <c r="CM42" s="1218">
        <f t="shared" si="171"/>
        <v>750</v>
      </c>
      <c r="CN42" s="1218"/>
      <c r="CO42" s="1408">
        <v>2.84</v>
      </c>
      <c r="CP42" s="1218">
        <f t="shared" si="205"/>
        <v>-0.67500000000000004</v>
      </c>
      <c r="CQ42" s="1218">
        <f t="shared" si="206"/>
        <v>-0.67500000000000004</v>
      </c>
      <c r="CR42" s="1218">
        <f t="shared" si="207"/>
        <v>0</v>
      </c>
      <c r="CS42" s="1218">
        <f t="shared" si="208"/>
        <v>0</v>
      </c>
      <c r="CT42" s="1218">
        <f t="shared" si="209"/>
        <v>0</v>
      </c>
      <c r="CU42" s="1218">
        <f t="shared" si="210"/>
        <v>0</v>
      </c>
      <c r="CV42" s="1218">
        <f t="shared" si="211"/>
        <v>0</v>
      </c>
      <c r="CW42" s="1218">
        <f t="shared" si="212"/>
        <v>0</v>
      </c>
      <c r="CX42" s="1218">
        <f t="shared" si="213"/>
        <v>0</v>
      </c>
      <c r="CY42" s="1218">
        <f t="shared" si="214"/>
        <v>0</v>
      </c>
      <c r="CZ42" s="1218">
        <f t="shared" si="215"/>
        <v>0</v>
      </c>
      <c r="DA42" s="1218">
        <f t="shared" si="216"/>
        <v>0</v>
      </c>
      <c r="DB42" s="1218">
        <f t="shared" si="217"/>
        <v>0</v>
      </c>
      <c r="DC42" s="1218">
        <f t="shared" si="218"/>
        <v>0</v>
      </c>
      <c r="DD42" s="1218">
        <f t="shared" si="219"/>
        <v>0</v>
      </c>
      <c r="DE42" s="1218">
        <f t="shared" si="220"/>
        <v>0</v>
      </c>
      <c r="DF42" s="1408">
        <f t="shared" si="276"/>
        <v>-1.17</v>
      </c>
      <c r="DG42" s="1218">
        <f t="shared" si="185"/>
        <v>0</v>
      </c>
      <c r="DH42" s="1218">
        <f t="shared" si="174"/>
        <v>675</v>
      </c>
      <c r="DI42" s="1218"/>
      <c r="DJ42" s="1408">
        <v>3.45</v>
      </c>
      <c r="DK42" s="1218">
        <f t="shared" si="221"/>
        <v>-0.60000000000000009</v>
      </c>
      <c r="DL42" s="1218">
        <f t="shared" si="222"/>
        <v>-0.60000000000000009</v>
      </c>
      <c r="DM42" s="1218">
        <f t="shared" si="223"/>
        <v>0</v>
      </c>
      <c r="DN42" s="1218">
        <f t="shared" si="224"/>
        <v>0</v>
      </c>
      <c r="DO42" s="1218">
        <f t="shared" si="225"/>
        <v>0</v>
      </c>
      <c r="DP42" s="1218">
        <f t="shared" si="226"/>
        <v>0</v>
      </c>
      <c r="DQ42" s="1218">
        <f t="shared" si="227"/>
        <v>0</v>
      </c>
      <c r="DR42" s="1218">
        <f t="shared" si="228"/>
        <v>0</v>
      </c>
      <c r="DS42" s="1218">
        <f t="shared" si="229"/>
        <v>0</v>
      </c>
      <c r="DT42" s="1218">
        <f t="shared" si="230"/>
        <v>0</v>
      </c>
      <c r="DU42" s="1218">
        <f t="shared" si="231"/>
        <v>0</v>
      </c>
      <c r="DV42" s="1218">
        <f t="shared" si="232"/>
        <v>0</v>
      </c>
      <c r="DW42" s="1218">
        <f t="shared" si="233"/>
        <v>0</v>
      </c>
      <c r="DX42" s="1218">
        <f t="shared" si="234"/>
        <v>0</v>
      </c>
      <c r="DY42" s="1218">
        <f t="shared" si="235"/>
        <v>0</v>
      </c>
      <c r="DZ42" s="1218">
        <f t="shared" si="236"/>
        <v>0</v>
      </c>
      <c r="EA42" s="1408">
        <f t="shared" si="277"/>
        <v>-0.97</v>
      </c>
      <c r="EB42" s="1218">
        <f t="shared" si="186"/>
        <v>0</v>
      </c>
      <c r="EC42" s="1218">
        <f t="shared" si="177"/>
        <v>600</v>
      </c>
      <c r="ED42" s="1218"/>
      <c r="EE42" s="1408">
        <v>4.2300000000000004</v>
      </c>
      <c r="EF42" s="1218">
        <f t="shared" si="237"/>
        <v>-0.52499999999999991</v>
      </c>
      <c r="EG42" s="1218">
        <f t="shared" si="238"/>
        <v>-0.52499999999999991</v>
      </c>
      <c r="EH42" s="1218">
        <f t="shared" si="239"/>
        <v>0</v>
      </c>
      <c r="EI42" s="1218">
        <f t="shared" si="240"/>
        <v>0</v>
      </c>
      <c r="EJ42" s="1218">
        <f t="shared" si="241"/>
        <v>0</v>
      </c>
      <c r="EK42" s="1218">
        <f t="shared" si="242"/>
        <v>0</v>
      </c>
      <c r="EL42" s="1218">
        <f t="shared" si="243"/>
        <v>0</v>
      </c>
      <c r="EM42" s="1218">
        <f t="shared" si="244"/>
        <v>0</v>
      </c>
      <c r="EN42" s="1218">
        <f t="shared" si="245"/>
        <v>0</v>
      </c>
      <c r="EO42" s="1218">
        <f t="shared" si="246"/>
        <v>0</v>
      </c>
      <c r="EP42" s="1218">
        <f t="shared" si="247"/>
        <v>0</v>
      </c>
      <c r="EQ42" s="1218">
        <f t="shared" si="248"/>
        <v>0</v>
      </c>
      <c r="ER42" s="1218">
        <f t="shared" si="249"/>
        <v>0</v>
      </c>
      <c r="ES42" s="1218">
        <f t="shared" si="250"/>
        <v>0</v>
      </c>
      <c r="ET42" s="1218">
        <f t="shared" si="251"/>
        <v>0</v>
      </c>
      <c r="EU42" s="1218">
        <f t="shared" si="252"/>
        <v>0</v>
      </c>
      <c r="EV42" s="1408">
        <f t="shared" si="278"/>
        <v>-0.79</v>
      </c>
      <c r="EW42" s="1218">
        <f t="shared" si="187"/>
        <v>0</v>
      </c>
      <c r="EX42" s="1218">
        <f t="shared" si="180"/>
        <v>525</v>
      </c>
      <c r="EY42" s="1218"/>
      <c r="EZ42" s="1408">
        <v>5.2</v>
      </c>
      <c r="FA42" s="1218">
        <f t="shared" si="253"/>
        <v>-0.44999999999999996</v>
      </c>
      <c r="FB42" s="1218">
        <f t="shared" si="254"/>
        <v>-0.44999999999999996</v>
      </c>
      <c r="FC42" s="1218">
        <f t="shared" si="255"/>
        <v>0</v>
      </c>
      <c r="FD42" s="1218">
        <f t="shared" si="256"/>
        <v>0</v>
      </c>
      <c r="FE42" s="1218">
        <f t="shared" si="257"/>
        <v>0</v>
      </c>
      <c r="FF42" s="1218">
        <f t="shared" si="258"/>
        <v>0</v>
      </c>
      <c r="FG42" s="1218">
        <f t="shared" si="259"/>
        <v>0</v>
      </c>
      <c r="FH42" s="1218">
        <f t="shared" si="260"/>
        <v>0</v>
      </c>
      <c r="FI42" s="1218">
        <f t="shared" si="261"/>
        <v>0</v>
      </c>
      <c r="FJ42" s="1218">
        <f t="shared" si="262"/>
        <v>0</v>
      </c>
      <c r="FK42" s="1218">
        <f t="shared" si="263"/>
        <v>0</v>
      </c>
      <c r="FL42" s="1218">
        <f t="shared" si="264"/>
        <v>0</v>
      </c>
      <c r="FM42" s="1218">
        <f t="shared" si="265"/>
        <v>0</v>
      </c>
      <c r="FN42" s="1218">
        <f t="shared" si="266"/>
        <v>0</v>
      </c>
      <c r="FO42" s="1218">
        <f t="shared" si="267"/>
        <v>0</v>
      </c>
      <c r="FP42" s="1218">
        <f t="shared" si="268"/>
        <v>0</v>
      </c>
      <c r="FQ42" s="1408">
        <f t="shared" si="279"/>
        <v>-0.64</v>
      </c>
      <c r="FR42" s="1218">
        <f t="shared" si="188"/>
        <v>0</v>
      </c>
      <c r="FS42" s="1218">
        <f t="shared" si="183"/>
        <v>450</v>
      </c>
      <c r="FT42" s="1218"/>
      <c r="FU42" s="1218" t="e">
        <f t="shared" si="150"/>
        <v>#VALUE!</v>
      </c>
      <c r="FV42" s="1218" t="e">
        <f t="shared" si="151"/>
        <v>#VALUE!</v>
      </c>
      <c r="FW42" s="1218" t="e">
        <f t="shared" si="152"/>
        <v>#VALUE!</v>
      </c>
      <c r="FX42" s="1218" t="e">
        <f t="shared" si="153"/>
        <v>#VALUE!</v>
      </c>
      <c r="FY42" s="1218" t="e">
        <f t="shared" si="154"/>
        <v>#VALUE!</v>
      </c>
      <c r="FZ42" s="1218" t="e">
        <f t="shared" si="155"/>
        <v>#VALUE!</v>
      </c>
      <c r="GA42" s="1218" t="e">
        <f t="shared" si="156"/>
        <v>#VALUE!</v>
      </c>
      <c r="GB42" s="1218" t="e">
        <f t="shared" si="157"/>
        <v>#VALUE!</v>
      </c>
      <c r="GC42" s="1218" t="e">
        <f t="shared" si="158"/>
        <v>#VALUE!</v>
      </c>
      <c r="GD42" s="1218" t="e">
        <f t="shared" si="159"/>
        <v>#VALUE!</v>
      </c>
      <c r="GE42" s="1218" t="e">
        <f t="shared" si="160"/>
        <v>#VALUE!</v>
      </c>
      <c r="GF42" s="1218" t="e">
        <f t="shared" si="161"/>
        <v>#VALUE!</v>
      </c>
      <c r="GG42" s="1218" t="e">
        <f t="shared" si="162"/>
        <v>#VALUE!</v>
      </c>
      <c r="GH42" s="1218" t="e">
        <f t="shared" si="163"/>
        <v>#VALUE!</v>
      </c>
      <c r="GI42" s="1218" t="e">
        <f t="shared" si="164"/>
        <v>#VALUE!</v>
      </c>
      <c r="GJ42" s="1218" t="e">
        <f t="shared" si="165"/>
        <v>#VALUE!</v>
      </c>
      <c r="GK42" s="1218" t="e">
        <f t="shared" si="166"/>
        <v>#VALUE!</v>
      </c>
      <c r="GL42" s="1218" t="e">
        <f t="shared" si="167"/>
        <v>#VALUE!</v>
      </c>
      <c r="GM42" s="1218" t="e">
        <f t="shared" si="168"/>
        <v>#VALUE!</v>
      </c>
    </row>
    <row r="43" spans="1:195" ht="16.5" customHeight="1">
      <c r="A43" s="1631">
        <v>217</v>
      </c>
      <c r="B43" s="1901"/>
      <c r="C43" s="1450" t="s">
        <v>294</v>
      </c>
      <c r="D43" s="1451"/>
      <c r="E43" s="1452"/>
      <c r="F43" s="1452"/>
      <c r="G43" s="1452"/>
      <c r="H43" s="1452">
        <f>IF(($AC43&lt;10),SUM(((AI43+(ROUNDUP(($AC43*BD43),2)))/100)),SUM(((AI43+(ROUNDUP(((9*BD43)+FY43),2)))/100)))</f>
        <v>-0.1125</v>
      </c>
      <c r="I43" s="1452"/>
      <c r="J43" s="1452"/>
      <c r="K43" s="1453"/>
      <c r="L43" s="1453"/>
      <c r="M43" s="1453"/>
      <c r="N43" s="1452"/>
      <c r="O43" s="1452"/>
      <c r="P43" s="1452"/>
      <c r="Q43" s="1409" t="str">
        <f t="shared" si="269"/>
        <v>Selected</v>
      </c>
      <c r="R43" s="1454"/>
      <c r="S43" s="1409">
        <f t="shared" si="270"/>
        <v>1500</v>
      </c>
      <c r="T43" s="1454">
        <f t="shared" si="271"/>
        <v>10</v>
      </c>
      <c r="U43" s="1454">
        <f t="shared" si="272"/>
        <v>60</v>
      </c>
      <c r="V43" s="1409">
        <f t="shared" si="273"/>
        <v>40</v>
      </c>
      <c r="W43" s="1409">
        <f t="shared" si="143"/>
        <v>7500</v>
      </c>
      <c r="X43" s="1409"/>
      <c r="Y43" s="1409"/>
      <c r="Z43" s="1409"/>
      <c r="AA43" s="1405"/>
      <c r="AB43" s="1218"/>
      <c r="AC43" s="1218">
        <f t="shared" si="30"/>
        <v>0</v>
      </c>
      <c r="AD43" s="1218"/>
      <c r="AE43" s="1406"/>
      <c r="AF43" s="1406"/>
      <c r="AG43" s="1406"/>
      <c r="AH43" s="1406"/>
      <c r="AI43" s="1406">
        <v>-11.25</v>
      </c>
      <c r="AJ43" s="1406"/>
      <c r="AK43" s="1406"/>
      <c r="AL43" s="1406"/>
      <c r="AM43" s="1406"/>
      <c r="AN43" s="1406"/>
      <c r="AO43" s="1406"/>
      <c r="AP43" s="1406"/>
      <c r="AQ43" s="1406"/>
      <c r="AR43" s="1406" t="s">
        <v>283</v>
      </c>
      <c r="AS43" s="1407"/>
      <c r="AT43" s="1406">
        <v>1500</v>
      </c>
      <c r="AU43" s="1406">
        <v>10</v>
      </c>
      <c r="AV43" s="1406">
        <v>60</v>
      </c>
      <c r="AW43" s="1406">
        <v>40</v>
      </c>
      <c r="AX43" s="1406">
        <v>7500</v>
      </c>
      <c r="AY43" s="1217"/>
      <c r="AZ43" s="1218"/>
      <c r="BA43" s="1218"/>
      <c r="BB43" s="1218"/>
      <c r="BC43" s="1218"/>
      <c r="BD43" s="1218">
        <f>SUM((AI43/27))</f>
        <v>-0.41666666666666669</v>
      </c>
      <c r="BE43" s="1406"/>
      <c r="BF43" s="1406"/>
      <c r="BG43" s="1218"/>
      <c r="BH43" s="1218"/>
      <c r="BI43" s="1218"/>
      <c r="BJ43" s="1218"/>
      <c r="BK43" s="1218"/>
      <c r="BL43" s="1218"/>
      <c r="BM43" s="1218"/>
      <c r="BN43" s="1218"/>
      <c r="BO43" s="1218"/>
      <c r="BP43" s="1218">
        <f t="shared" si="274"/>
        <v>-3.3333333333333335</v>
      </c>
      <c r="BQ43" s="1218"/>
      <c r="BR43" s="1218">
        <f t="shared" si="144"/>
        <v>833.33333333333337</v>
      </c>
      <c r="BS43" s="1218"/>
      <c r="BT43" s="1408">
        <v>2.33</v>
      </c>
      <c r="BU43" s="1218">
        <f t="shared" si="189"/>
        <v>0</v>
      </c>
      <c r="BV43" s="1218">
        <f t="shared" si="190"/>
        <v>0</v>
      </c>
      <c r="BW43" s="1218">
        <f t="shared" si="191"/>
        <v>0</v>
      </c>
      <c r="BX43" s="1218">
        <f t="shared" si="192"/>
        <v>0</v>
      </c>
      <c r="BY43" s="1218">
        <f t="shared" si="193"/>
        <v>-0.375</v>
      </c>
      <c r="BZ43" s="1218">
        <f t="shared" si="194"/>
        <v>0</v>
      </c>
      <c r="CA43" s="1218">
        <f t="shared" si="195"/>
        <v>0</v>
      </c>
      <c r="CB43" s="1218">
        <f t="shared" si="196"/>
        <v>0</v>
      </c>
      <c r="CC43" s="1218">
        <f t="shared" si="197"/>
        <v>0</v>
      </c>
      <c r="CD43" s="1218">
        <f t="shared" si="198"/>
        <v>0</v>
      </c>
      <c r="CE43" s="1218">
        <f t="shared" si="199"/>
        <v>0</v>
      </c>
      <c r="CF43" s="1218">
        <f t="shared" si="200"/>
        <v>0</v>
      </c>
      <c r="CG43" s="1218">
        <f t="shared" si="201"/>
        <v>0</v>
      </c>
      <c r="CH43" s="1218">
        <f t="shared" si="202"/>
        <v>0</v>
      </c>
      <c r="CI43" s="1218">
        <f t="shared" si="203"/>
        <v>0</v>
      </c>
      <c r="CJ43" s="1218">
        <f t="shared" si="204"/>
        <v>0</v>
      </c>
      <c r="CK43" s="1408">
        <f t="shared" si="275"/>
        <v>-1.43</v>
      </c>
      <c r="CL43" s="1218">
        <f t="shared" si="184"/>
        <v>0</v>
      </c>
      <c r="CM43" s="1218">
        <f t="shared" si="171"/>
        <v>750</v>
      </c>
      <c r="CN43" s="1218"/>
      <c r="CO43" s="1408">
        <v>2.84</v>
      </c>
      <c r="CP43" s="1218">
        <f t="shared" si="205"/>
        <v>0</v>
      </c>
      <c r="CQ43" s="1218">
        <f t="shared" si="206"/>
        <v>0</v>
      </c>
      <c r="CR43" s="1218">
        <f t="shared" si="207"/>
        <v>0</v>
      </c>
      <c r="CS43" s="1218">
        <f t="shared" si="208"/>
        <v>0</v>
      </c>
      <c r="CT43" s="1218">
        <f t="shared" si="209"/>
        <v>-0.33750000000000002</v>
      </c>
      <c r="CU43" s="1218">
        <f t="shared" si="210"/>
        <v>0</v>
      </c>
      <c r="CV43" s="1218">
        <f t="shared" si="211"/>
        <v>0</v>
      </c>
      <c r="CW43" s="1218">
        <f t="shared" si="212"/>
        <v>0</v>
      </c>
      <c r="CX43" s="1218">
        <f t="shared" si="213"/>
        <v>0</v>
      </c>
      <c r="CY43" s="1218">
        <f t="shared" si="214"/>
        <v>0</v>
      </c>
      <c r="CZ43" s="1218">
        <f t="shared" si="215"/>
        <v>0</v>
      </c>
      <c r="DA43" s="1218">
        <f t="shared" si="216"/>
        <v>0</v>
      </c>
      <c r="DB43" s="1218">
        <f t="shared" si="217"/>
        <v>0</v>
      </c>
      <c r="DC43" s="1218">
        <f t="shared" si="218"/>
        <v>0</v>
      </c>
      <c r="DD43" s="1218">
        <f t="shared" si="219"/>
        <v>0</v>
      </c>
      <c r="DE43" s="1218">
        <f t="shared" si="220"/>
        <v>0</v>
      </c>
      <c r="DF43" s="1408">
        <f t="shared" si="276"/>
        <v>-1.17</v>
      </c>
      <c r="DG43" s="1218">
        <f t="shared" si="185"/>
        <v>0</v>
      </c>
      <c r="DH43" s="1218">
        <f t="shared" si="174"/>
        <v>675</v>
      </c>
      <c r="DI43" s="1218"/>
      <c r="DJ43" s="1408">
        <v>3.45</v>
      </c>
      <c r="DK43" s="1218">
        <f t="shared" si="221"/>
        <v>0</v>
      </c>
      <c r="DL43" s="1218">
        <f t="shared" si="222"/>
        <v>0</v>
      </c>
      <c r="DM43" s="1218">
        <f t="shared" si="223"/>
        <v>0</v>
      </c>
      <c r="DN43" s="1218">
        <f t="shared" si="224"/>
        <v>0</v>
      </c>
      <c r="DO43" s="1218">
        <f t="shared" si="225"/>
        <v>-0.30000000000000004</v>
      </c>
      <c r="DP43" s="1218">
        <f t="shared" si="226"/>
        <v>0</v>
      </c>
      <c r="DQ43" s="1218">
        <f t="shared" si="227"/>
        <v>0</v>
      </c>
      <c r="DR43" s="1218">
        <f t="shared" si="228"/>
        <v>0</v>
      </c>
      <c r="DS43" s="1218">
        <f t="shared" si="229"/>
        <v>0</v>
      </c>
      <c r="DT43" s="1218">
        <f t="shared" si="230"/>
        <v>0</v>
      </c>
      <c r="DU43" s="1218">
        <f t="shared" si="231"/>
        <v>0</v>
      </c>
      <c r="DV43" s="1218">
        <f t="shared" si="232"/>
        <v>0</v>
      </c>
      <c r="DW43" s="1218">
        <f t="shared" si="233"/>
        <v>0</v>
      </c>
      <c r="DX43" s="1218">
        <f t="shared" si="234"/>
        <v>0</v>
      </c>
      <c r="DY43" s="1218">
        <f t="shared" si="235"/>
        <v>0</v>
      </c>
      <c r="DZ43" s="1218">
        <f t="shared" si="236"/>
        <v>0</v>
      </c>
      <c r="EA43" s="1408">
        <f t="shared" si="277"/>
        <v>-0.97</v>
      </c>
      <c r="EB43" s="1218">
        <f t="shared" si="186"/>
        <v>0</v>
      </c>
      <c r="EC43" s="1218">
        <f t="shared" si="177"/>
        <v>600</v>
      </c>
      <c r="ED43" s="1218"/>
      <c r="EE43" s="1408">
        <v>4.2300000000000004</v>
      </c>
      <c r="EF43" s="1218">
        <f t="shared" si="237"/>
        <v>0</v>
      </c>
      <c r="EG43" s="1218">
        <f t="shared" si="238"/>
        <v>0</v>
      </c>
      <c r="EH43" s="1218">
        <f t="shared" si="239"/>
        <v>0</v>
      </c>
      <c r="EI43" s="1218">
        <f t="shared" si="240"/>
        <v>0</v>
      </c>
      <c r="EJ43" s="1218">
        <f t="shared" si="241"/>
        <v>-0.26249999999999996</v>
      </c>
      <c r="EK43" s="1218">
        <f t="shared" si="242"/>
        <v>0</v>
      </c>
      <c r="EL43" s="1218">
        <f t="shared" si="243"/>
        <v>0</v>
      </c>
      <c r="EM43" s="1218">
        <f t="shared" si="244"/>
        <v>0</v>
      </c>
      <c r="EN43" s="1218">
        <f t="shared" si="245"/>
        <v>0</v>
      </c>
      <c r="EO43" s="1218">
        <f t="shared" si="246"/>
        <v>0</v>
      </c>
      <c r="EP43" s="1218">
        <f t="shared" si="247"/>
        <v>0</v>
      </c>
      <c r="EQ43" s="1218">
        <f t="shared" si="248"/>
        <v>0</v>
      </c>
      <c r="ER43" s="1218">
        <f t="shared" si="249"/>
        <v>0</v>
      </c>
      <c r="ES43" s="1218">
        <f t="shared" si="250"/>
        <v>0</v>
      </c>
      <c r="ET43" s="1218">
        <f t="shared" si="251"/>
        <v>0</v>
      </c>
      <c r="EU43" s="1218">
        <f t="shared" si="252"/>
        <v>0</v>
      </c>
      <c r="EV43" s="1408">
        <f t="shared" si="278"/>
        <v>-0.79</v>
      </c>
      <c r="EW43" s="1218">
        <f t="shared" si="187"/>
        <v>0</v>
      </c>
      <c r="EX43" s="1218">
        <f t="shared" si="180"/>
        <v>525</v>
      </c>
      <c r="EY43" s="1218"/>
      <c r="EZ43" s="1408">
        <v>5.2</v>
      </c>
      <c r="FA43" s="1218">
        <f t="shared" si="253"/>
        <v>0</v>
      </c>
      <c r="FB43" s="1218">
        <f t="shared" si="254"/>
        <v>0</v>
      </c>
      <c r="FC43" s="1218">
        <f t="shared" si="255"/>
        <v>0</v>
      </c>
      <c r="FD43" s="1218">
        <f t="shared" si="256"/>
        <v>0</v>
      </c>
      <c r="FE43" s="1218">
        <f t="shared" si="257"/>
        <v>-0.22499999999999998</v>
      </c>
      <c r="FF43" s="1218">
        <f t="shared" si="258"/>
        <v>0</v>
      </c>
      <c r="FG43" s="1218">
        <f t="shared" si="259"/>
        <v>0</v>
      </c>
      <c r="FH43" s="1218">
        <f t="shared" si="260"/>
        <v>0</v>
      </c>
      <c r="FI43" s="1218">
        <f t="shared" si="261"/>
        <v>0</v>
      </c>
      <c r="FJ43" s="1218">
        <f t="shared" si="262"/>
        <v>0</v>
      </c>
      <c r="FK43" s="1218">
        <f t="shared" si="263"/>
        <v>0</v>
      </c>
      <c r="FL43" s="1218">
        <f t="shared" si="264"/>
        <v>0</v>
      </c>
      <c r="FM43" s="1218">
        <f t="shared" si="265"/>
        <v>0</v>
      </c>
      <c r="FN43" s="1218">
        <f t="shared" si="266"/>
        <v>0</v>
      </c>
      <c r="FO43" s="1218">
        <f t="shared" si="267"/>
        <v>0</v>
      </c>
      <c r="FP43" s="1218">
        <f t="shared" si="268"/>
        <v>0</v>
      </c>
      <c r="FQ43" s="1408">
        <f t="shared" si="279"/>
        <v>-0.64</v>
      </c>
      <c r="FR43" s="1218">
        <f t="shared" si="188"/>
        <v>0</v>
      </c>
      <c r="FS43" s="1218">
        <f t="shared" si="183"/>
        <v>450</v>
      </c>
      <c r="FT43" s="1218"/>
      <c r="FU43" s="1218" t="e">
        <f t="shared" si="150"/>
        <v>#VALUE!</v>
      </c>
      <c r="FV43" s="1218" t="e">
        <f t="shared" si="151"/>
        <v>#VALUE!</v>
      </c>
      <c r="FW43" s="1218" t="e">
        <f t="shared" si="152"/>
        <v>#VALUE!</v>
      </c>
      <c r="FX43" s="1218" t="e">
        <f t="shared" si="153"/>
        <v>#VALUE!</v>
      </c>
      <c r="FY43" s="1218" t="e">
        <f t="shared" si="154"/>
        <v>#VALUE!</v>
      </c>
      <c r="FZ43" s="1218" t="e">
        <f t="shared" si="155"/>
        <v>#VALUE!</v>
      </c>
      <c r="GA43" s="1218" t="e">
        <f t="shared" si="156"/>
        <v>#VALUE!</v>
      </c>
      <c r="GB43" s="1218" t="e">
        <f t="shared" si="157"/>
        <v>#VALUE!</v>
      </c>
      <c r="GC43" s="1218" t="e">
        <f t="shared" si="158"/>
        <v>#VALUE!</v>
      </c>
      <c r="GD43" s="1218" t="e">
        <f t="shared" si="159"/>
        <v>#VALUE!</v>
      </c>
      <c r="GE43" s="1218" t="e">
        <f t="shared" si="160"/>
        <v>#VALUE!</v>
      </c>
      <c r="GF43" s="1218" t="e">
        <f t="shared" si="161"/>
        <v>#VALUE!</v>
      </c>
      <c r="GG43" s="1218" t="e">
        <f t="shared" si="162"/>
        <v>#VALUE!</v>
      </c>
      <c r="GH43" s="1218" t="e">
        <f t="shared" si="163"/>
        <v>#VALUE!</v>
      </c>
      <c r="GI43" s="1218" t="e">
        <f t="shared" si="164"/>
        <v>#VALUE!</v>
      </c>
      <c r="GJ43" s="1218" t="e">
        <f t="shared" si="165"/>
        <v>#VALUE!</v>
      </c>
      <c r="GK43" s="1218" t="e">
        <f t="shared" si="166"/>
        <v>#VALUE!</v>
      </c>
      <c r="GL43" s="1218" t="e">
        <f t="shared" si="167"/>
        <v>#VALUE!</v>
      </c>
      <c r="GM43" s="1218" t="e">
        <f t="shared" si="168"/>
        <v>#VALUE!</v>
      </c>
    </row>
    <row r="44" spans="1:195" ht="16.5" customHeight="1">
      <c r="A44" s="1631">
        <v>218</v>
      </c>
      <c r="B44" s="1901"/>
      <c r="C44" s="1455" t="s">
        <v>295</v>
      </c>
      <c r="D44" s="1456"/>
      <c r="E44" s="1457"/>
      <c r="F44" s="1457"/>
      <c r="G44" s="1457"/>
      <c r="H44" s="1457"/>
      <c r="I44" s="1457"/>
      <c r="J44" s="1458"/>
      <c r="K44" s="1446">
        <f>IF(($AC44&lt;10),SUM(((AL44+(ROUNDUP(($AC44*BG44),2)))/100)),SUM(((AL44+(ROUNDUP(((9*BG44)+GB44),2)))/100)))</f>
        <v>-0.22510000000000002</v>
      </c>
      <c r="L44" s="1446">
        <f>IF(($AC44&lt;10),SUM(((AM44+(ROUNDUP(($AC44*BH44),2)))/100)),SUM(((AM44+(ROUNDUP(((9*BH44)+GC44),2)))/100)))</f>
        <v>-0.11230000000000001</v>
      </c>
      <c r="M44" s="1446">
        <f>IF(($AC44&lt;10),SUM(((AN44+(ROUNDUP(($AC44*BI44),2)))/100)),SUM(((AN44+(ROUNDUP(((9*BI44)+GD44),2)))/100)))</f>
        <v>-0.22510000000000002</v>
      </c>
      <c r="N44" s="1456"/>
      <c r="O44" s="1457"/>
      <c r="P44" s="1457"/>
      <c r="Q44" s="1410" t="str">
        <f t="shared" si="269"/>
        <v>Selected</v>
      </c>
      <c r="R44" s="1459"/>
      <c r="S44" s="1410">
        <f t="shared" si="270"/>
        <v>1500</v>
      </c>
      <c r="T44" s="1459">
        <f t="shared" si="271"/>
        <v>10</v>
      </c>
      <c r="U44" s="1459">
        <f t="shared" si="272"/>
        <v>60</v>
      </c>
      <c r="V44" s="1410">
        <f t="shared" si="273"/>
        <v>40</v>
      </c>
      <c r="W44" s="1410">
        <f t="shared" si="143"/>
        <v>7500</v>
      </c>
      <c r="X44" s="1410"/>
      <c r="Y44" s="1410"/>
      <c r="Z44" s="1410"/>
      <c r="AA44" s="1405"/>
      <c r="AB44" s="1218"/>
      <c r="AC44" s="1218">
        <f t="shared" si="30"/>
        <v>0</v>
      </c>
      <c r="AD44" s="1218"/>
      <c r="AE44" s="1406"/>
      <c r="AF44" s="1406"/>
      <c r="AG44" s="1406"/>
      <c r="AH44" s="1406"/>
      <c r="AI44" s="1406"/>
      <c r="AJ44" s="1406"/>
      <c r="AK44" s="1406"/>
      <c r="AL44" s="1406">
        <v>-22.51</v>
      </c>
      <c r="AM44" s="1406">
        <v>-11.23</v>
      </c>
      <c r="AN44" s="1406">
        <v>-22.51</v>
      </c>
      <c r="AO44" s="1406"/>
      <c r="AP44" s="1406"/>
      <c r="AQ44" s="1406"/>
      <c r="AR44" s="1406" t="s">
        <v>283</v>
      </c>
      <c r="AS44" s="1407"/>
      <c r="AT44" s="1406">
        <v>1500</v>
      </c>
      <c r="AU44" s="1406">
        <v>10</v>
      </c>
      <c r="AV44" s="1406">
        <v>60</v>
      </c>
      <c r="AW44" s="1406">
        <v>40</v>
      </c>
      <c r="AX44" s="1406">
        <v>7500</v>
      </c>
      <c r="AY44" s="1217"/>
      <c r="AZ44" s="1218"/>
      <c r="BA44" s="1218"/>
      <c r="BB44" s="1218"/>
      <c r="BC44" s="1218"/>
      <c r="BD44" s="1218"/>
      <c r="BE44" s="1406"/>
      <c r="BF44" s="1406"/>
      <c r="BG44" s="1218">
        <f>SUM((AL44/27))</f>
        <v>-0.83370370370370372</v>
      </c>
      <c r="BH44" s="1218">
        <f>SUM((AM44/27))</f>
        <v>-0.41592592592592592</v>
      </c>
      <c r="BI44" s="1218">
        <f>SUM((AN44/27))</f>
        <v>-0.83370370370370372</v>
      </c>
      <c r="BJ44" s="1218"/>
      <c r="BK44" s="1218"/>
      <c r="BL44" s="1218"/>
      <c r="BM44" s="1218"/>
      <c r="BN44" s="1218"/>
      <c r="BO44" s="1218"/>
      <c r="BP44" s="1218">
        <f t="shared" si="274"/>
        <v>-3.3333333333333335</v>
      </c>
      <c r="BQ44" s="1218"/>
      <c r="BR44" s="1218">
        <f t="shared" si="144"/>
        <v>833.33333333333337</v>
      </c>
      <c r="BS44" s="1218"/>
      <c r="BT44" s="1408">
        <v>2.33</v>
      </c>
      <c r="BU44" s="1218">
        <f t="shared" si="189"/>
        <v>0</v>
      </c>
      <c r="BV44" s="1218">
        <f t="shared" si="190"/>
        <v>0</v>
      </c>
      <c r="BW44" s="1218">
        <f t="shared" si="191"/>
        <v>0</v>
      </c>
      <c r="BX44" s="1218">
        <f t="shared" si="192"/>
        <v>0</v>
      </c>
      <c r="BY44" s="1218">
        <f t="shared" si="193"/>
        <v>0</v>
      </c>
      <c r="BZ44" s="1218">
        <f t="shared" si="194"/>
        <v>0</v>
      </c>
      <c r="CA44" s="1218">
        <f t="shared" si="195"/>
        <v>0</v>
      </c>
      <c r="CB44" s="1218">
        <f t="shared" si="196"/>
        <v>-0.75033333333333341</v>
      </c>
      <c r="CC44" s="1218">
        <f t="shared" si="197"/>
        <v>-0.37433333333333335</v>
      </c>
      <c r="CD44" s="1218">
        <f t="shared" si="198"/>
        <v>-0.75033333333333341</v>
      </c>
      <c r="CE44" s="1218">
        <f t="shared" si="199"/>
        <v>0</v>
      </c>
      <c r="CF44" s="1218">
        <f t="shared" si="200"/>
        <v>0</v>
      </c>
      <c r="CG44" s="1218">
        <f t="shared" si="201"/>
        <v>0</v>
      </c>
      <c r="CH44" s="1218">
        <f t="shared" si="202"/>
        <v>0</v>
      </c>
      <c r="CI44" s="1218">
        <f t="shared" si="203"/>
        <v>0</v>
      </c>
      <c r="CJ44" s="1218">
        <f t="shared" si="204"/>
        <v>0</v>
      </c>
      <c r="CK44" s="1408">
        <f t="shared" si="275"/>
        <v>-1.43</v>
      </c>
      <c r="CL44" s="1218">
        <f t="shared" si="184"/>
        <v>0</v>
      </c>
      <c r="CM44" s="1218">
        <f t="shared" si="171"/>
        <v>750</v>
      </c>
      <c r="CN44" s="1218"/>
      <c r="CO44" s="1408">
        <v>2.84</v>
      </c>
      <c r="CP44" s="1218">
        <f t="shared" si="205"/>
        <v>0</v>
      </c>
      <c r="CQ44" s="1218">
        <f t="shared" si="206"/>
        <v>0</v>
      </c>
      <c r="CR44" s="1218">
        <f t="shared" si="207"/>
        <v>0</v>
      </c>
      <c r="CS44" s="1218">
        <f t="shared" si="208"/>
        <v>0</v>
      </c>
      <c r="CT44" s="1218">
        <f t="shared" si="209"/>
        <v>0</v>
      </c>
      <c r="CU44" s="1218">
        <f t="shared" si="210"/>
        <v>0</v>
      </c>
      <c r="CV44" s="1218">
        <f t="shared" si="211"/>
        <v>0</v>
      </c>
      <c r="CW44" s="1218">
        <f t="shared" si="212"/>
        <v>-0.67530000000000012</v>
      </c>
      <c r="CX44" s="1218">
        <f t="shared" si="213"/>
        <v>-0.33690000000000003</v>
      </c>
      <c r="CY44" s="1218">
        <f t="shared" si="214"/>
        <v>-0.67530000000000012</v>
      </c>
      <c r="CZ44" s="1218">
        <f t="shared" si="215"/>
        <v>0</v>
      </c>
      <c r="DA44" s="1218">
        <f t="shared" si="216"/>
        <v>0</v>
      </c>
      <c r="DB44" s="1218">
        <f t="shared" si="217"/>
        <v>0</v>
      </c>
      <c r="DC44" s="1218">
        <f t="shared" si="218"/>
        <v>0</v>
      </c>
      <c r="DD44" s="1218">
        <f t="shared" si="219"/>
        <v>0</v>
      </c>
      <c r="DE44" s="1218">
        <f t="shared" si="220"/>
        <v>0</v>
      </c>
      <c r="DF44" s="1408">
        <f t="shared" si="276"/>
        <v>-1.17</v>
      </c>
      <c r="DG44" s="1218">
        <f t="shared" si="185"/>
        <v>0</v>
      </c>
      <c r="DH44" s="1218">
        <f t="shared" si="174"/>
        <v>675</v>
      </c>
      <c r="DI44" s="1218"/>
      <c r="DJ44" s="1408">
        <v>3.45</v>
      </c>
      <c r="DK44" s="1218">
        <f t="shared" si="221"/>
        <v>0</v>
      </c>
      <c r="DL44" s="1218">
        <f t="shared" si="222"/>
        <v>0</v>
      </c>
      <c r="DM44" s="1218">
        <f t="shared" si="223"/>
        <v>0</v>
      </c>
      <c r="DN44" s="1218">
        <f t="shared" si="224"/>
        <v>0</v>
      </c>
      <c r="DO44" s="1218">
        <f t="shared" si="225"/>
        <v>0</v>
      </c>
      <c r="DP44" s="1218">
        <f t="shared" si="226"/>
        <v>0</v>
      </c>
      <c r="DQ44" s="1218">
        <f t="shared" si="227"/>
        <v>0</v>
      </c>
      <c r="DR44" s="1218">
        <f t="shared" si="228"/>
        <v>-0.60026666666666673</v>
      </c>
      <c r="DS44" s="1218">
        <f t="shared" si="229"/>
        <v>-0.29946666666666671</v>
      </c>
      <c r="DT44" s="1218">
        <f t="shared" si="230"/>
        <v>-0.60026666666666673</v>
      </c>
      <c r="DU44" s="1218">
        <f t="shared" si="231"/>
        <v>0</v>
      </c>
      <c r="DV44" s="1218">
        <f t="shared" si="232"/>
        <v>0</v>
      </c>
      <c r="DW44" s="1218">
        <f t="shared" si="233"/>
        <v>0</v>
      </c>
      <c r="DX44" s="1218">
        <f t="shared" si="234"/>
        <v>0</v>
      </c>
      <c r="DY44" s="1218">
        <f t="shared" si="235"/>
        <v>0</v>
      </c>
      <c r="DZ44" s="1218">
        <f t="shared" si="236"/>
        <v>0</v>
      </c>
      <c r="EA44" s="1408">
        <f t="shared" si="277"/>
        <v>-0.97</v>
      </c>
      <c r="EB44" s="1218">
        <f t="shared" si="186"/>
        <v>0</v>
      </c>
      <c r="EC44" s="1218">
        <f t="shared" si="177"/>
        <v>600</v>
      </c>
      <c r="ED44" s="1218"/>
      <c r="EE44" s="1408">
        <v>4.2300000000000004</v>
      </c>
      <c r="EF44" s="1218">
        <f t="shared" si="237"/>
        <v>0</v>
      </c>
      <c r="EG44" s="1218">
        <f t="shared" si="238"/>
        <v>0</v>
      </c>
      <c r="EH44" s="1218">
        <f t="shared" si="239"/>
        <v>0</v>
      </c>
      <c r="EI44" s="1218">
        <f t="shared" si="240"/>
        <v>0</v>
      </c>
      <c r="EJ44" s="1218">
        <f t="shared" si="241"/>
        <v>0</v>
      </c>
      <c r="EK44" s="1218">
        <f t="shared" si="242"/>
        <v>0</v>
      </c>
      <c r="EL44" s="1218">
        <f t="shared" si="243"/>
        <v>0</v>
      </c>
      <c r="EM44" s="1218">
        <f t="shared" si="244"/>
        <v>-0.52523333333333333</v>
      </c>
      <c r="EN44" s="1218">
        <f t="shared" si="245"/>
        <v>-0.26203333333333334</v>
      </c>
      <c r="EO44" s="1218">
        <f t="shared" si="246"/>
        <v>-0.52523333333333333</v>
      </c>
      <c r="EP44" s="1218">
        <f t="shared" si="247"/>
        <v>0</v>
      </c>
      <c r="EQ44" s="1218">
        <f t="shared" si="248"/>
        <v>0</v>
      </c>
      <c r="ER44" s="1218">
        <f t="shared" si="249"/>
        <v>0</v>
      </c>
      <c r="ES44" s="1218">
        <f t="shared" si="250"/>
        <v>0</v>
      </c>
      <c r="ET44" s="1218">
        <f t="shared" si="251"/>
        <v>0</v>
      </c>
      <c r="EU44" s="1218">
        <f t="shared" si="252"/>
        <v>0</v>
      </c>
      <c r="EV44" s="1408">
        <f t="shared" si="278"/>
        <v>-0.79</v>
      </c>
      <c r="EW44" s="1218">
        <f t="shared" si="187"/>
        <v>0</v>
      </c>
      <c r="EX44" s="1218">
        <f t="shared" si="180"/>
        <v>525</v>
      </c>
      <c r="EY44" s="1218"/>
      <c r="EZ44" s="1408">
        <v>5.2</v>
      </c>
      <c r="FA44" s="1218">
        <f t="shared" si="253"/>
        <v>0</v>
      </c>
      <c r="FB44" s="1218">
        <f t="shared" si="254"/>
        <v>0</v>
      </c>
      <c r="FC44" s="1218">
        <f t="shared" si="255"/>
        <v>0</v>
      </c>
      <c r="FD44" s="1218">
        <f t="shared" si="256"/>
        <v>0</v>
      </c>
      <c r="FE44" s="1218">
        <f t="shared" si="257"/>
        <v>0</v>
      </c>
      <c r="FF44" s="1218">
        <f t="shared" si="258"/>
        <v>0</v>
      </c>
      <c r="FG44" s="1218">
        <f t="shared" si="259"/>
        <v>0</v>
      </c>
      <c r="FH44" s="1218">
        <f t="shared" si="260"/>
        <v>-0.45020000000000004</v>
      </c>
      <c r="FI44" s="1218">
        <f t="shared" si="261"/>
        <v>-0.22459999999999999</v>
      </c>
      <c r="FJ44" s="1218">
        <f t="shared" si="262"/>
        <v>-0.45020000000000004</v>
      </c>
      <c r="FK44" s="1218">
        <f t="shared" si="263"/>
        <v>0</v>
      </c>
      <c r="FL44" s="1218">
        <f t="shared" si="264"/>
        <v>0</v>
      </c>
      <c r="FM44" s="1218">
        <f t="shared" si="265"/>
        <v>0</v>
      </c>
      <c r="FN44" s="1218">
        <f t="shared" si="266"/>
        <v>0</v>
      </c>
      <c r="FO44" s="1218">
        <f t="shared" si="267"/>
        <v>0</v>
      </c>
      <c r="FP44" s="1218">
        <f t="shared" si="268"/>
        <v>0</v>
      </c>
      <c r="FQ44" s="1408">
        <f t="shared" si="279"/>
        <v>-0.64</v>
      </c>
      <c r="FR44" s="1218">
        <f t="shared" si="188"/>
        <v>0</v>
      </c>
      <c r="FS44" s="1218">
        <f t="shared" si="183"/>
        <v>450</v>
      </c>
      <c r="FT44" s="1218"/>
      <c r="FU44" s="1218" t="e">
        <f t="shared" si="150"/>
        <v>#VALUE!</v>
      </c>
      <c r="FV44" s="1218" t="e">
        <f t="shared" si="151"/>
        <v>#VALUE!</v>
      </c>
      <c r="FW44" s="1218" t="e">
        <f t="shared" si="152"/>
        <v>#VALUE!</v>
      </c>
      <c r="FX44" s="1218" t="e">
        <f t="shared" si="153"/>
        <v>#VALUE!</v>
      </c>
      <c r="FY44" s="1218" t="e">
        <f t="shared" si="154"/>
        <v>#VALUE!</v>
      </c>
      <c r="FZ44" s="1218" t="e">
        <f t="shared" si="155"/>
        <v>#VALUE!</v>
      </c>
      <c r="GA44" s="1218" t="e">
        <f t="shared" si="156"/>
        <v>#VALUE!</v>
      </c>
      <c r="GB44" s="1218" t="e">
        <f t="shared" si="157"/>
        <v>#VALUE!</v>
      </c>
      <c r="GC44" s="1218" t="e">
        <f t="shared" si="158"/>
        <v>#VALUE!</v>
      </c>
      <c r="GD44" s="1218" t="e">
        <f t="shared" si="159"/>
        <v>#VALUE!</v>
      </c>
      <c r="GE44" s="1218" t="e">
        <f t="shared" si="160"/>
        <v>#VALUE!</v>
      </c>
      <c r="GF44" s="1218" t="e">
        <f t="shared" si="161"/>
        <v>#VALUE!</v>
      </c>
      <c r="GG44" s="1218" t="e">
        <f t="shared" si="162"/>
        <v>#VALUE!</v>
      </c>
      <c r="GH44" s="1218" t="e">
        <f t="shared" si="163"/>
        <v>#VALUE!</v>
      </c>
      <c r="GI44" s="1218" t="e">
        <f t="shared" si="164"/>
        <v>#VALUE!</v>
      </c>
      <c r="GJ44" s="1218" t="e">
        <f t="shared" si="165"/>
        <v>#VALUE!</v>
      </c>
      <c r="GK44" s="1218" t="e">
        <f t="shared" si="166"/>
        <v>#VALUE!</v>
      </c>
      <c r="GL44" s="1218" t="e">
        <f t="shared" si="167"/>
        <v>#VALUE!</v>
      </c>
      <c r="GM44" s="1218" t="e">
        <f t="shared" si="168"/>
        <v>#VALUE!</v>
      </c>
    </row>
    <row r="45" spans="1:195" ht="16.5" customHeight="1">
      <c r="A45" s="1631">
        <v>219</v>
      </c>
      <c r="B45" s="1905"/>
      <c r="C45" s="1450" t="s">
        <v>296</v>
      </c>
      <c r="D45" s="1451"/>
      <c r="E45" s="1452"/>
      <c r="F45" s="1452"/>
      <c r="G45" s="1452"/>
      <c r="H45" s="1452"/>
      <c r="I45" s="1452"/>
      <c r="J45" s="1452"/>
      <c r="K45" s="1452"/>
      <c r="L45" s="1452"/>
      <c r="M45" s="1452"/>
      <c r="N45" s="1452">
        <f>IF(($AC45&lt;10),SUM(((AO45+(ROUNDUP(($AC45*BJ45),2)))/100)),SUM(((AO45+(ROUNDUP(((9*BJ45)+GE45),2)))/100)))</f>
        <v>-0.22500000000000001</v>
      </c>
      <c r="O45" s="1452">
        <f>IF(($AC45&lt;10),SUM(((AP45+(ROUNDUP(($AC45*BK45),2)))/100)),SUM(((AP45+(ROUNDUP(((9*BK45)+GF45),2)))/100)))</f>
        <v>-0.22500000000000001</v>
      </c>
      <c r="P45" s="1452">
        <f>IF(($AC45&lt;10),SUM(((AQ45+(ROUNDUP(($AC45*BL45),2)))/100)),SUM(((AQ45+(ROUNDUP(((9*BL45)+GG45),2)))/100)))</f>
        <v>-0.22500000000000001</v>
      </c>
      <c r="Q45" s="1409" t="str">
        <f t="shared" si="269"/>
        <v>Selected</v>
      </c>
      <c r="R45" s="1454"/>
      <c r="S45" s="1409">
        <f t="shared" si="270"/>
        <v>1500</v>
      </c>
      <c r="T45" s="1454">
        <f t="shared" si="271"/>
        <v>10</v>
      </c>
      <c r="U45" s="1454">
        <f t="shared" si="272"/>
        <v>60</v>
      </c>
      <c r="V45" s="1409">
        <f t="shared" si="273"/>
        <v>40</v>
      </c>
      <c r="W45" s="1409">
        <f t="shared" si="143"/>
        <v>7500</v>
      </c>
      <c r="X45" s="1409"/>
      <c r="Y45" s="1409"/>
      <c r="Z45" s="1409"/>
      <c r="AA45" s="1405"/>
      <c r="AB45" s="1218"/>
      <c r="AC45" s="1218">
        <f t="shared" si="30"/>
        <v>0</v>
      </c>
      <c r="AD45" s="1218"/>
      <c r="AE45" s="1406"/>
      <c r="AF45" s="1406"/>
      <c r="AG45" s="1406"/>
      <c r="AH45" s="1406"/>
      <c r="AI45" s="1406"/>
      <c r="AJ45" s="1406"/>
      <c r="AK45" s="1406"/>
      <c r="AL45" s="1406"/>
      <c r="AM45" s="1406"/>
      <c r="AN45" s="1406"/>
      <c r="AO45" s="1406">
        <v>-22.5</v>
      </c>
      <c r="AP45" s="1406">
        <v>-22.5</v>
      </c>
      <c r="AQ45" s="1406">
        <v>-22.5</v>
      </c>
      <c r="AR45" s="1406" t="s">
        <v>283</v>
      </c>
      <c r="AS45" s="1407"/>
      <c r="AT45" s="1406">
        <v>1500</v>
      </c>
      <c r="AU45" s="1406">
        <v>10</v>
      </c>
      <c r="AV45" s="1406">
        <v>60</v>
      </c>
      <c r="AW45" s="1406">
        <v>40</v>
      </c>
      <c r="AX45" s="1406">
        <v>7500</v>
      </c>
      <c r="AY45" s="1218"/>
      <c r="AZ45" s="1218"/>
      <c r="BA45" s="1218"/>
      <c r="BB45" s="1218"/>
      <c r="BC45" s="1218"/>
      <c r="BD45" s="1218"/>
      <c r="BE45" s="1406"/>
      <c r="BF45" s="1406"/>
      <c r="BG45" s="1218"/>
      <c r="BH45" s="1218"/>
      <c r="BI45" s="1218"/>
      <c r="BJ45" s="1218">
        <f>SUM((AO45/27))</f>
        <v>-0.83333333333333337</v>
      </c>
      <c r="BK45" s="1218">
        <f>SUM((AP45/27))</f>
        <v>-0.83333333333333337</v>
      </c>
      <c r="BL45" s="1218">
        <f>SUM((AQ45/27))</f>
        <v>-0.83333333333333337</v>
      </c>
      <c r="BM45" s="1218"/>
      <c r="BN45" s="1218"/>
      <c r="BO45" s="1218"/>
      <c r="BP45" s="1218">
        <f t="shared" si="274"/>
        <v>-3.3333333333333335</v>
      </c>
      <c r="BQ45" s="1218"/>
      <c r="BR45" s="1218">
        <f t="shared" si="144"/>
        <v>833.33333333333337</v>
      </c>
      <c r="BS45" s="1218"/>
      <c r="BT45" s="1408">
        <v>2.33</v>
      </c>
      <c r="BU45" s="1218">
        <f t="shared" si="189"/>
        <v>0</v>
      </c>
      <c r="BV45" s="1218">
        <f t="shared" si="190"/>
        <v>0</v>
      </c>
      <c r="BW45" s="1218">
        <f t="shared" si="191"/>
        <v>0</v>
      </c>
      <c r="BX45" s="1218">
        <f t="shared" si="192"/>
        <v>0</v>
      </c>
      <c r="BY45" s="1218">
        <f t="shared" si="193"/>
        <v>0</v>
      </c>
      <c r="BZ45" s="1218">
        <f t="shared" si="194"/>
        <v>0</v>
      </c>
      <c r="CA45" s="1218">
        <f t="shared" si="195"/>
        <v>0</v>
      </c>
      <c r="CB45" s="1218">
        <f t="shared" si="196"/>
        <v>0</v>
      </c>
      <c r="CC45" s="1218">
        <f t="shared" si="197"/>
        <v>0</v>
      </c>
      <c r="CD45" s="1218">
        <f t="shared" si="198"/>
        <v>0</v>
      </c>
      <c r="CE45" s="1218">
        <f t="shared" si="199"/>
        <v>-0.75</v>
      </c>
      <c r="CF45" s="1411">
        <f t="shared" si="200"/>
        <v>-0.75</v>
      </c>
      <c r="CG45" s="1411">
        <f t="shared" si="201"/>
        <v>-0.75</v>
      </c>
      <c r="CH45" s="1218">
        <f t="shared" si="202"/>
        <v>0</v>
      </c>
      <c r="CI45" s="1218">
        <f t="shared" si="203"/>
        <v>0</v>
      </c>
      <c r="CJ45" s="1218">
        <f t="shared" si="204"/>
        <v>0</v>
      </c>
      <c r="CK45" s="1408">
        <f t="shared" si="275"/>
        <v>-1.43</v>
      </c>
      <c r="CL45" s="1218">
        <f t="shared" si="184"/>
        <v>0</v>
      </c>
      <c r="CM45" s="1218">
        <f t="shared" si="171"/>
        <v>750</v>
      </c>
      <c r="CN45" s="1218"/>
      <c r="CO45" s="1408">
        <v>2.84</v>
      </c>
      <c r="CP45" s="1218">
        <f t="shared" si="205"/>
        <v>0</v>
      </c>
      <c r="CQ45" s="1218">
        <f t="shared" si="206"/>
        <v>0</v>
      </c>
      <c r="CR45" s="1218">
        <f t="shared" si="207"/>
        <v>0</v>
      </c>
      <c r="CS45" s="1218">
        <f t="shared" si="208"/>
        <v>0</v>
      </c>
      <c r="CT45" s="1218">
        <f t="shared" si="209"/>
        <v>0</v>
      </c>
      <c r="CU45" s="1218">
        <f t="shared" si="210"/>
        <v>0</v>
      </c>
      <c r="CV45" s="1218">
        <f t="shared" si="211"/>
        <v>0</v>
      </c>
      <c r="CW45" s="1218">
        <f t="shared" si="212"/>
        <v>0</v>
      </c>
      <c r="CX45" s="1218">
        <f t="shared" si="213"/>
        <v>0</v>
      </c>
      <c r="CY45" s="1218">
        <f t="shared" si="214"/>
        <v>0</v>
      </c>
      <c r="CZ45" s="1218">
        <f t="shared" si="215"/>
        <v>-0.67500000000000004</v>
      </c>
      <c r="DA45" s="1218">
        <f t="shared" si="216"/>
        <v>-0.67500000000000004</v>
      </c>
      <c r="DB45" s="1218">
        <f t="shared" si="217"/>
        <v>-0.67500000000000004</v>
      </c>
      <c r="DC45" s="1218">
        <f t="shared" si="218"/>
        <v>0</v>
      </c>
      <c r="DD45" s="1218">
        <f t="shared" si="219"/>
        <v>0</v>
      </c>
      <c r="DE45" s="1218">
        <f t="shared" si="220"/>
        <v>0</v>
      </c>
      <c r="DF45" s="1408">
        <f t="shared" si="276"/>
        <v>-1.17</v>
      </c>
      <c r="DG45" s="1218">
        <f t="shared" si="185"/>
        <v>0</v>
      </c>
      <c r="DH45" s="1218">
        <f t="shared" si="174"/>
        <v>675</v>
      </c>
      <c r="DI45" s="1218"/>
      <c r="DJ45" s="1408">
        <v>3.45</v>
      </c>
      <c r="DK45" s="1218">
        <f t="shared" si="221"/>
        <v>0</v>
      </c>
      <c r="DL45" s="1218">
        <f t="shared" si="222"/>
        <v>0</v>
      </c>
      <c r="DM45" s="1218">
        <f t="shared" si="223"/>
        <v>0</v>
      </c>
      <c r="DN45" s="1218">
        <f t="shared" si="224"/>
        <v>0</v>
      </c>
      <c r="DO45" s="1218">
        <f t="shared" si="225"/>
        <v>0</v>
      </c>
      <c r="DP45" s="1218">
        <f t="shared" si="226"/>
        <v>0</v>
      </c>
      <c r="DQ45" s="1218">
        <f t="shared" si="227"/>
        <v>0</v>
      </c>
      <c r="DR45" s="1218">
        <f t="shared" si="228"/>
        <v>0</v>
      </c>
      <c r="DS45" s="1218">
        <f t="shared" si="229"/>
        <v>0</v>
      </c>
      <c r="DT45" s="1218">
        <f t="shared" si="230"/>
        <v>0</v>
      </c>
      <c r="DU45" s="1218">
        <f t="shared" si="231"/>
        <v>-0.60000000000000009</v>
      </c>
      <c r="DV45" s="1218">
        <f t="shared" si="232"/>
        <v>-0.60000000000000009</v>
      </c>
      <c r="DW45" s="1218">
        <f t="shared" si="233"/>
        <v>-0.60000000000000009</v>
      </c>
      <c r="DX45" s="1218">
        <f t="shared" si="234"/>
        <v>0</v>
      </c>
      <c r="DY45" s="1218">
        <f t="shared" si="235"/>
        <v>0</v>
      </c>
      <c r="DZ45" s="1218">
        <f t="shared" si="236"/>
        <v>0</v>
      </c>
      <c r="EA45" s="1408">
        <f t="shared" si="277"/>
        <v>-0.97</v>
      </c>
      <c r="EB45" s="1218">
        <f t="shared" si="186"/>
        <v>0</v>
      </c>
      <c r="EC45" s="1218">
        <f t="shared" si="177"/>
        <v>600</v>
      </c>
      <c r="ED45" s="1218"/>
      <c r="EE45" s="1408">
        <v>4.2300000000000004</v>
      </c>
      <c r="EF45" s="1218">
        <f t="shared" si="237"/>
        <v>0</v>
      </c>
      <c r="EG45" s="1218">
        <f t="shared" si="238"/>
        <v>0</v>
      </c>
      <c r="EH45" s="1218">
        <f t="shared" si="239"/>
        <v>0</v>
      </c>
      <c r="EI45" s="1218">
        <f t="shared" si="240"/>
        <v>0</v>
      </c>
      <c r="EJ45" s="1218">
        <f t="shared" si="241"/>
        <v>0</v>
      </c>
      <c r="EK45" s="1218">
        <f t="shared" si="242"/>
        <v>0</v>
      </c>
      <c r="EL45" s="1218">
        <f t="shared" si="243"/>
        <v>0</v>
      </c>
      <c r="EM45" s="1218">
        <f t="shared" si="244"/>
        <v>0</v>
      </c>
      <c r="EN45" s="1218">
        <f t="shared" si="245"/>
        <v>0</v>
      </c>
      <c r="EO45" s="1218">
        <f t="shared" si="246"/>
        <v>0</v>
      </c>
      <c r="EP45" s="1218">
        <f t="shared" si="247"/>
        <v>-0.52499999999999991</v>
      </c>
      <c r="EQ45" s="1218">
        <f t="shared" si="248"/>
        <v>-0.52499999999999991</v>
      </c>
      <c r="ER45" s="1218">
        <f t="shared" si="249"/>
        <v>-0.52499999999999991</v>
      </c>
      <c r="ES45" s="1218">
        <f t="shared" si="250"/>
        <v>0</v>
      </c>
      <c r="ET45" s="1218">
        <f t="shared" si="251"/>
        <v>0</v>
      </c>
      <c r="EU45" s="1218">
        <f t="shared" si="252"/>
        <v>0</v>
      </c>
      <c r="EV45" s="1408">
        <f t="shared" si="278"/>
        <v>-0.79</v>
      </c>
      <c r="EW45" s="1218">
        <f t="shared" si="187"/>
        <v>0</v>
      </c>
      <c r="EX45" s="1218">
        <f t="shared" si="180"/>
        <v>525</v>
      </c>
      <c r="EY45" s="1218"/>
      <c r="EZ45" s="1408">
        <v>5.2</v>
      </c>
      <c r="FA45" s="1218">
        <f t="shared" si="253"/>
        <v>0</v>
      </c>
      <c r="FB45" s="1218">
        <f t="shared" si="254"/>
        <v>0</v>
      </c>
      <c r="FC45" s="1218">
        <f t="shared" si="255"/>
        <v>0</v>
      </c>
      <c r="FD45" s="1218">
        <f t="shared" si="256"/>
        <v>0</v>
      </c>
      <c r="FE45" s="1218">
        <f t="shared" si="257"/>
        <v>0</v>
      </c>
      <c r="FF45" s="1218">
        <f t="shared" si="258"/>
        <v>0</v>
      </c>
      <c r="FG45" s="1218">
        <f t="shared" si="259"/>
        <v>0</v>
      </c>
      <c r="FH45" s="1218">
        <f t="shared" si="260"/>
        <v>0</v>
      </c>
      <c r="FI45" s="1218">
        <f t="shared" si="261"/>
        <v>0</v>
      </c>
      <c r="FJ45" s="1218">
        <f t="shared" si="262"/>
        <v>0</v>
      </c>
      <c r="FK45" s="1218">
        <f t="shared" si="263"/>
        <v>-0.44999999999999996</v>
      </c>
      <c r="FL45" s="1218">
        <f t="shared" si="264"/>
        <v>-0.44999999999999996</v>
      </c>
      <c r="FM45" s="1218">
        <f t="shared" si="265"/>
        <v>-0.44999999999999996</v>
      </c>
      <c r="FN45" s="1218">
        <f t="shared" si="266"/>
        <v>0</v>
      </c>
      <c r="FO45" s="1218">
        <f t="shared" si="267"/>
        <v>0</v>
      </c>
      <c r="FP45" s="1218">
        <f t="shared" si="268"/>
        <v>0</v>
      </c>
      <c r="FQ45" s="1408">
        <f t="shared" si="279"/>
        <v>-0.64</v>
      </c>
      <c r="FR45" s="1218">
        <f t="shared" si="188"/>
        <v>0</v>
      </c>
      <c r="FS45" s="1218">
        <f t="shared" si="183"/>
        <v>450</v>
      </c>
      <c r="FT45" s="1218"/>
      <c r="FU45" s="1218" t="e">
        <f t="shared" si="150"/>
        <v>#VALUE!</v>
      </c>
      <c r="FV45" s="1218" t="e">
        <f t="shared" si="151"/>
        <v>#VALUE!</v>
      </c>
      <c r="FW45" s="1218" t="e">
        <f t="shared" si="152"/>
        <v>#VALUE!</v>
      </c>
      <c r="FX45" s="1218" t="e">
        <f t="shared" si="153"/>
        <v>#VALUE!</v>
      </c>
      <c r="FY45" s="1218" t="e">
        <f t="shared" si="154"/>
        <v>#VALUE!</v>
      </c>
      <c r="FZ45" s="1218" t="e">
        <f t="shared" si="155"/>
        <v>#VALUE!</v>
      </c>
      <c r="GA45" s="1218" t="e">
        <f t="shared" si="156"/>
        <v>#VALUE!</v>
      </c>
      <c r="GB45" s="1218" t="e">
        <f t="shared" si="157"/>
        <v>#VALUE!</v>
      </c>
      <c r="GC45" s="1218" t="e">
        <f t="shared" si="158"/>
        <v>#VALUE!</v>
      </c>
      <c r="GD45" s="1218" t="e">
        <f t="shared" si="159"/>
        <v>#VALUE!</v>
      </c>
      <c r="GE45" s="1218" t="e">
        <f t="shared" si="160"/>
        <v>#VALUE!</v>
      </c>
      <c r="GF45" s="1218" t="e">
        <f t="shared" si="161"/>
        <v>#VALUE!</v>
      </c>
      <c r="GG45" s="1218" t="e">
        <f t="shared" si="162"/>
        <v>#VALUE!</v>
      </c>
      <c r="GH45" s="1218" t="e">
        <f t="shared" si="163"/>
        <v>#VALUE!</v>
      </c>
      <c r="GI45" s="1218" t="e">
        <f t="shared" si="164"/>
        <v>#VALUE!</v>
      </c>
      <c r="GJ45" s="1218" t="e">
        <f t="shared" si="165"/>
        <v>#VALUE!</v>
      </c>
      <c r="GK45" s="1218" t="e">
        <f t="shared" si="166"/>
        <v>#VALUE!</v>
      </c>
      <c r="GL45" s="1218" t="e">
        <f t="shared" si="167"/>
        <v>#VALUE!</v>
      </c>
      <c r="GM45" s="1218" t="e">
        <f t="shared" si="168"/>
        <v>#VALUE!</v>
      </c>
    </row>
    <row r="46" spans="1:195" ht="33" customHeight="1">
      <c r="B46" s="1481"/>
      <c r="C46" s="1482"/>
      <c r="D46" s="1868" t="s">
        <v>109</v>
      </c>
      <c r="E46" s="1869"/>
      <c r="F46" s="1870"/>
      <c r="G46" s="1870"/>
      <c r="H46" s="1870"/>
      <c r="I46" s="1870"/>
      <c r="J46" s="1870"/>
      <c r="K46" s="1870"/>
      <c r="L46" s="1870"/>
      <c r="M46" s="1870"/>
      <c r="N46" s="1870"/>
      <c r="O46" s="1870"/>
      <c r="P46" s="1870"/>
      <c r="Q46" s="1871"/>
      <c r="R46" s="1872"/>
      <c r="S46" s="1871"/>
      <c r="T46" s="1872"/>
      <c r="U46" s="1872"/>
      <c r="V46" s="1871"/>
      <c r="W46" s="1871"/>
      <c r="X46" s="1483"/>
      <c r="Y46" s="1483"/>
      <c r="Z46" s="1483"/>
      <c r="AA46" s="1484"/>
      <c r="AB46" s="1485"/>
      <c r="AC46" s="1485">
        <f t="shared" si="30"/>
        <v>0</v>
      </c>
      <c r="AD46" s="1485"/>
      <c r="AE46" s="1486"/>
      <c r="AF46" s="1486"/>
      <c r="AG46" s="1486"/>
      <c r="AH46" s="1486"/>
      <c r="AI46" s="1486"/>
      <c r="AJ46" s="1486"/>
      <c r="AK46" s="1486"/>
      <c r="AL46" s="1486"/>
      <c r="AM46" s="1486"/>
      <c r="AN46" s="1486"/>
      <c r="AO46" s="1486"/>
      <c r="AP46" s="1486"/>
      <c r="AQ46" s="1486"/>
      <c r="AR46" s="1486"/>
      <c r="AS46" s="1487"/>
      <c r="AT46" s="1486"/>
      <c r="AU46" s="1486"/>
      <c r="AV46" s="1486"/>
      <c r="AW46" s="1486"/>
      <c r="AX46" s="1486"/>
      <c r="AY46" s="1488"/>
      <c r="AZ46" s="1485"/>
      <c r="BA46" s="1485"/>
      <c r="BB46" s="1485"/>
      <c r="BC46" s="1485"/>
      <c r="BD46" s="1485"/>
      <c r="BE46" s="1486"/>
      <c r="BF46" s="1486"/>
      <c r="BG46" s="1485"/>
      <c r="BH46" s="1485"/>
      <c r="BI46" s="1485"/>
      <c r="BJ46" s="1485"/>
      <c r="BK46" s="1485"/>
      <c r="BL46" s="1485"/>
      <c r="BM46" s="1485"/>
      <c r="BN46" s="1485"/>
      <c r="BO46" s="1485"/>
      <c r="BP46" s="1485"/>
      <c r="BQ46" s="1485"/>
      <c r="BR46" s="1485"/>
      <c r="BS46" s="1485"/>
      <c r="BT46" s="1488"/>
      <c r="BU46" s="1485"/>
      <c r="BV46" s="1485"/>
      <c r="BW46" s="1485"/>
      <c r="BX46" s="1485"/>
      <c r="BY46" s="1485"/>
      <c r="BZ46" s="1485"/>
      <c r="CA46" s="1485"/>
      <c r="CB46" s="1485"/>
      <c r="CC46" s="1485"/>
      <c r="CD46" s="1485"/>
      <c r="CE46" s="1485"/>
      <c r="CF46" s="1489"/>
      <c r="CG46" s="1490"/>
      <c r="CH46" s="1485"/>
      <c r="CI46" s="1485"/>
      <c r="CJ46" s="1485"/>
      <c r="CK46" s="1485"/>
      <c r="CL46" s="1485"/>
      <c r="CM46" s="1485"/>
      <c r="CN46" s="1485"/>
      <c r="CO46" s="1488"/>
      <c r="CP46" s="1485"/>
      <c r="CQ46" s="1485"/>
      <c r="CR46" s="1485"/>
      <c r="CS46" s="1485"/>
      <c r="CT46" s="1485"/>
      <c r="CU46" s="1485"/>
      <c r="CV46" s="1485"/>
      <c r="CW46" s="1485"/>
      <c r="CX46" s="1485"/>
      <c r="CY46" s="1485"/>
      <c r="CZ46" s="1485"/>
      <c r="DA46" s="1485"/>
      <c r="DB46" s="1485"/>
      <c r="DC46" s="1485"/>
      <c r="DD46" s="1485"/>
      <c r="DE46" s="1485"/>
      <c r="DF46" s="1485"/>
      <c r="DG46" s="1485"/>
      <c r="DH46" s="1485"/>
      <c r="DI46" s="1485"/>
      <c r="DJ46" s="1488"/>
      <c r="DK46" s="1485"/>
      <c r="DL46" s="1485"/>
      <c r="DM46" s="1485"/>
      <c r="DN46" s="1485"/>
      <c r="DO46" s="1485"/>
      <c r="DP46" s="1485"/>
      <c r="DQ46" s="1485"/>
      <c r="DR46" s="1485"/>
      <c r="DS46" s="1485"/>
      <c r="DT46" s="1485"/>
      <c r="DU46" s="1485"/>
      <c r="DV46" s="1485"/>
      <c r="DW46" s="1485"/>
      <c r="DX46" s="1485"/>
      <c r="DY46" s="1485"/>
      <c r="DZ46" s="1485"/>
      <c r="EA46" s="1485"/>
      <c r="EB46" s="1485"/>
      <c r="EC46" s="1485"/>
      <c r="ED46" s="1485"/>
      <c r="EE46" s="1488"/>
      <c r="EF46" s="1485"/>
      <c r="EG46" s="1485"/>
      <c r="EH46" s="1485"/>
      <c r="EI46" s="1485"/>
      <c r="EJ46" s="1485"/>
      <c r="EK46" s="1485"/>
      <c r="EL46" s="1485"/>
      <c r="EM46" s="1485"/>
      <c r="EN46" s="1485"/>
      <c r="EO46" s="1485"/>
      <c r="EP46" s="1485"/>
      <c r="EQ46" s="1485"/>
      <c r="ER46" s="1485"/>
      <c r="ES46" s="1485"/>
      <c r="ET46" s="1485"/>
      <c r="EU46" s="1485"/>
      <c r="EV46" s="1485"/>
      <c r="EW46" s="1485"/>
      <c r="EX46" s="1485"/>
      <c r="EY46" s="1485"/>
      <c r="EZ46" s="1488"/>
      <c r="FA46" s="1485"/>
      <c r="FB46" s="1485"/>
      <c r="FC46" s="1485"/>
      <c r="FD46" s="1485"/>
      <c r="FE46" s="1485"/>
      <c r="FF46" s="1485"/>
      <c r="FG46" s="1485"/>
      <c r="FH46" s="1485"/>
      <c r="FI46" s="1485"/>
      <c r="FJ46" s="1485"/>
      <c r="FK46" s="1485"/>
      <c r="FL46" s="1485"/>
      <c r="FM46" s="1485"/>
      <c r="FN46" s="1485"/>
      <c r="FO46" s="1485"/>
      <c r="FP46" s="1485"/>
      <c r="FQ46" s="1485"/>
      <c r="FR46" s="1485"/>
      <c r="FS46" s="1485"/>
      <c r="FT46" s="1485"/>
      <c r="FU46" s="1485"/>
      <c r="FV46" s="1485"/>
      <c r="FW46" s="1485"/>
      <c r="FX46" s="1485"/>
      <c r="FY46" s="1485"/>
      <c r="FZ46" s="1485"/>
      <c r="GA46" s="1485"/>
      <c r="GB46" s="1485"/>
      <c r="GC46" s="1485"/>
      <c r="GD46" s="1485"/>
      <c r="GE46" s="1485"/>
      <c r="GF46" s="1485"/>
      <c r="GG46" s="1485"/>
      <c r="GH46" s="1485"/>
      <c r="GI46" s="1485"/>
      <c r="GJ46" s="1485"/>
      <c r="GK46" s="1485"/>
      <c r="GL46" s="1485"/>
      <c r="GM46" s="1485"/>
    </row>
    <row r="47" spans="1:195" ht="16.5" customHeight="1">
      <c r="A47" s="1631">
        <v>301</v>
      </c>
      <c r="B47" s="1892" t="s">
        <v>1098</v>
      </c>
      <c r="C47" s="1482"/>
      <c r="D47" s="1491"/>
      <c r="E47" s="1491"/>
      <c r="F47" s="1491"/>
      <c r="G47" s="1491"/>
      <c r="H47" s="1491"/>
      <c r="I47" s="1491"/>
      <c r="J47" s="1491"/>
      <c r="K47" s="1491"/>
      <c r="L47" s="1491"/>
      <c r="M47" s="1491"/>
      <c r="N47" s="1491"/>
      <c r="O47" s="1491"/>
      <c r="P47" s="1491"/>
      <c r="Q47" s="1491"/>
      <c r="R47" s="1491"/>
      <c r="S47" s="1491"/>
      <c r="T47" s="1491"/>
      <c r="U47" s="1491"/>
      <c r="V47" s="1491"/>
      <c r="W47" s="1491"/>
      <c r="X47" s="1491"/>
      <c r="Y47" s="1491"/>
      <c r="Z47" s="1491"/>
      <c r="AA47" s="1484"/>
      <c r="AB47" s="1485"/>
      <c r="AC47" s="1485">
        <f t="shared" si="30"/>
        <v>0</v>
      </c>
      <c r="AD47" s="1485"/>
      <c r="AE47" s="1486"/>
      <c r="AF47" s="1486"/>
      <c r="AG47" s="1486"/>
      <c r="AH47" s="1486"/>
      <c r="AI47" s="1486"/>
      <c r="AJ47" s="1486"/>
      <c r="AK47" s="1486"/>
      <c r="AL47" s="1486"/>
      <c r="AM47" s="1486"/>
      <c r="AN47" s="1486"/>
      <c r="AO47" s="1486"/>
      <c r="AP47" s="1486"/>
      <c r="AQ47" s="1486"/>
      <c r="AR47" s="1486"/>
      <c r="AS47" s="1487"/>
      <c r="AT47" s="1486"/>
      <c r="AU47" s="1486"/>
      <c r="AV47" s="1486"/>
      <c r="AW47" s="1486"/>
      <c r="AX47" s="1486"/>
      <c r="AY47" s="1488"/>
      <c r="AZ47" s="1485"/>
      <c r="BA47" s="1485"/>
      <c r="BB47" s="1485"/>
      <c r="BC47" s="1485"/>
      <c r="BD47" s="1485"/>
      <c r="BE47" s="1486"/>
      <c r="BF47" s="1486"/>
      <c r="BG47" s="1485"/>
      <c r="BH47" s="1485"/>
      <c r="BI47" s="1485"/>
      <c r="BJ47" s="1485"/>
      <c r="BK47" s="1485"/>
      <c r="BL47" s="1485"/>
      <c r="BM47" s="1485"/>
      <c r="BN47" s="1485"/>
      <c r="BO47" s="1485"/>
      <c r="BP47" s="1485"/>
      <c r="BQ47" s="1485"/>
      <c r="BR47" s="1485"/>
      <c r="BS47" s="1485"/>
      <c r="BT47" s="1488"/>
      <c r="BU47" s="1485"/>
      <c r="BV47" s="1485"/>
      <c r="BW47" s="1485"/>
      <c r="BX47" s="1485"/>
      <c r="BY47" s="1485"/>
      <c r="BZ47" s="1485"/>
      <c r="CA47" s="1485"/>
      <c r="CB47" s="1485"/>
      <c r="CC47" s="1485"/>
      <c r="CD47" s="1485"/>
      <c r="CE47" s="1485"/>
      <c r="CF47" s="1492"/>
      <c r="CG47" s="1493"/>
      <c r="CH47" s="1485"/>
      <c r="CI47" s="1485"/>
      <c r="CJ47" s="1485"/>
      <c r="CK47" s="1485"/>
      <c r="CL47" s="1485"/>
      <c r="CM47" s="1485"/>
      <c r="CN47" s="1485"/>
      <c r="CO47" s="1488"/>
      <c r="CP47" s="1485"/>
      <c r="CQ47" s="1485"/>
      <c r="CR47" s="1485"/>
      <c r="CS47" s="1485"/>
      <c r="CT47" s="1485"/>
      <c r="CU47" s="1485"/>
      <c r="CV47" s="1485"/>
      <c r="CW47" s="1485"/>
      <c r="CX47" s="1485"/>
      <c r="CY47" s="1485"/>
      <c r="CZ47" s="1485"/>
      <c r="DA47" s="1485"/>
      <c r="DB47" s="1485"/>
      <c r="DC47" s="1485"/>
      <c r="DD47" s="1485"/>
      <c r="DE47" s="1485"/>
      <c r="DF47" s="1485"/>
      <c r="DG47" s="1485"/>
      <c r="DH47" s="1485"/>
      <c r="DI47" s="1485"/>
      <c r="DJ47" s="1488"/>
      <c r="DK47" s="1485"/>
      <c r="DL47" s="1485"/>
      <c r="DM47" s="1485"/>
      <c r="DN47" s="1485"/>
      <c r="DO47" s="1485"/>
      <c r="DP47" s="1485"/>
      <c r="DQ47" s="1485"/>
      <c r="DR47" s="1485"/>
      <c r="DS47" s="1485"/>
      <c r="DT47" s="1485"/>
      <c r="DU47" s="1485"/>
      <c r="DV47" s="1485"/>
      <c r="DW47" s="1485"/>
      <c r="DX47" s="1485"/>
      <c r="DY47" s="1485"/>
      <c r="DZ47" s="1485"/>
      <c r="EA47" s="1485"/>
      <c r="EB47" s="1485"/>
      <c r="EC47" s="1485"/>
      <c r="ED47" s="1485"/>
      <c r="EE47" s="1488"/>
      <c r="EF47" s="1485"/>
      <c r="EG47" s="1485"/>
      <c r="EH47" s="1485"/>
      <c r="EI47" s="1485"/>
      <c r="EJ47" s="1485"/>
      <c r="EK47" s="1485"/>
      <c r="EL47" s="1485"/>
      <c r="EM47" s="1485"/>
      <c r="EN47" s="1485"/>
      <c r="EO47" s="1485"/>
      <c r="EP47" s="1485"/>
      <c r="EQ47" s="1485"/>
      <c r="ER47" s="1485"/>
      <c r="ES47" s="1485"/>
      <c r="ET47" s="1485"/>
      <c r="EU47" s="1485"/>
      <c r="EV47" s="1485"/>
      <c r="EW47" s="1485"/>
      <c r="EX47" s="1485"/>
      <c r="EY47" s="1485"/>
      <c r="EZ47" s="1488"/>
      <c r="FA47" s="1485"/>
      <c r="FB47" s="1485"/>
      <c r="FC47" s="1485"/>
      <c r="FD47" s="1485"/>
      <c r="FE47" s="1485"/>
      <c r="FF47" s="1485"/>
      <c r="FG47" s="1485"/>
      <c r="FH47" s="1485"/>
      <c r="FI47" s="1485"/>
      <c r="FJ47" s="1485"/>
      <c r="FK47" s="1485"/>
      <c r="FL47" s="1485"/>
      <c r="FM47" s="1485"/>
      <c r="FN47" s="1485"/>
      <c r="FO47" s="1485"/>
      <c r="FP47" s="1485"/>
      <c r="FQ47" s="1485"/>
      <c r="FR47" s="1485"/>
      <c r="FS47" s="1485"/>
      <c r="FT47" s="1485"/>
      <c r="FU47" s="1485"/>
      <c r="FV47" s="1485"/>
      <c r="FW47" s="1485"/>
      <c r="FX47" s="1485"/>
      <c r="FY47" s="1485"/>
      <c r="FZ47" s="1485"/>
      <c r="GA47" s="1485"/>
      <c r="GB47" s="1485"/>
      <c r="GC47" s="1485"/>
      <c r="GD47" s="1485"/>
      <c r="GE47" s="1485"/>
      <c r="GF47" s="1485"/>
      <c r="GG47" s="1485"/>
      <c r="GH47" s="1485"/>
      <c r="GI47" s="1485"/>
      <c r="GJ47" s="1485"/>
      <c r="GK47" s="1485"/>
      <c r="GL47" s="1485"/>
      <c r="GM47" s="1485"/>
    </row>
    <row r="48" spans="1:195" ht="16.5" customHeight="1">
      <c r="A48" s="1631">
        <v>302</v>
      </c>
      <c r="B48" s="1893"/>
      <c r="C48" s="1494" t="s">
        <v>302</v>
      </c>
      <c r="D48" s="1495"/>
      <c r="E48" s="1496"/>
      <c r="F48" s="1497"/>
      <c r="G48" s="1497"/>
      <c r="H48" s="1497"/>
      <c r="I48" s="1497"/>
      <c r="J48" s="1497"/>
      <c r="K48" s="1497"/>
      <c r="L48" s="1497"/>
      <c r="M48" s="1497"/>
      <c r="N48" s="1497">
        <f>IF((AC48&lt;10),SUM((AO48+(ROUNDUP((AC48*BJ48),2)))),SUM((AO48+(ROUNDUP(((9*BJ48)+GE48),2)))))</f>
        <v>350</v>
      </c>
      <c r="O48" s="1497"/>
      <c r="P48" s="1497"/>
      <c r="Q48" s="1497"/>
      <c r="R48" s="1498"/>
      <c r="S48" s="1497"/>
      <c r="T48" s="1498"/>
      <c r="U48" s="1498"/>
      <c r="V48" s="1497"/>
      <c r="W48" s="1497">
        <f t="shared" ref="W48:W65" si="280">IF((AC48&lt;10),SUM((AX48+(ROUNDUP((AC48*BR48),2)))),SUM((AX48+(ROUNDUP(((9*BR48)+GM48),2)))))</f>
        <v>17500</v>
      </c>
      <c r="X48" s="1497"/>
      <c r="Y48" s="1497"/>
      <c r="Z48" s="1497"/>
      <c r="AA48" s="1484"/>
      <c r="AB48" s="1485"/>
      <c r="AC48" s="1485">
        <f t="shared" si="30"/>
        <v>0</v>
      </c>
      <c r="AD48" s="1485"/>
      <c r="AE48" s="1486"/>
      <c r="AF48" s="1486"/>
      <c r="AG48" s="1486"/>
      <c r="AH48" s="1486"/>
      <c r="AI48" s="1486"/>
      <c r="AJ48" s="1486"/>
      <c r="AK48" s="1486"/>
      <c r="AL48" s="1486"/>
      <c r="AM48" s="1486"/>
      <c r="AN48" s="1486"/>
      <c r="AO48" s="1486">
        <v>350</v>
      </c>
      <c r="AP48" s="1486"/>
      <c r="AQ48" s="1486"/>
      <c r="AR48" s="1486"/>
      <c r="AS48" s="1487"/>
      <c r="AT48" s="1486"/>
      <c r="AU48" s="1486"/>
      <c r="AV48" s="1486"/>
      <c r="AW48" s="1486"/>
      <c r="AX48" s="1486">
        <v>17500</v>
      </c>
      <c r="AY48" s="1488"/>
      <c r="AZ48" s="1485"/>
      <c r="BA48" s="1485"/>
      <c r="BB48" s="1485"/>
      <c r="BC48" s="1485"/>
      <c r="BD48" s="1485"/>
      <c r="BE48" s="1486"/>
      <c r="BF48" s="1486"/>
      <c r="BG48" s="1485"/>
      <c r="BH48" s="1485"/>
      <c r="BI48" s="1485"/>
      <c r="BJ48" s="1485">
        <f>SUM((AO48/9))</f>
        <v>38.888888888888886</v>
      </c>
      <c r="BK48" s="1485"/>
      <c r="BL48" s="1485"/>
      <c r="BM48" s="1485"/>
      <c r="BN48" s="1485"/>
      <c r="BO48" s="1485"/>
      <c r="BP48" s="1485"/>
      <c r="BQ48" s="1485"/>
      <c r="BR48" s="1485">
        <f t="shared" ref="BR48:BR65" si="281">SUM((AX48/9))</f>
        <v>1944.4444444444443</v>
      </c>
      <c r="BS48" s="1485"/>
      <c r="BT48" s="1488"/>
      <c r="BU48" s="1485">
        <f t="shared" ref="BU48:CM48" si="282">SUM(((AZ48*0.9)*1))</f>
        <v>0</v>
      </c>
      <c r="BV48" s="1485">
        <f t="shared" si="282"/>
        <v>0</v>
      </c>
      <c r="BW48" s="1485">
        <f t="shared" si="282"/>
        <v>0</v>
      </c>
      <c r="BX48" s="1485">
        <f t="shared" si="282"/>
        <v>0</v>
      </c>
      <c r="BY48" s="1485">
        <f t="shared" si="282"/>
        <v>0</v>
      </c>
      <c r="BZ48" s="1485">
        <f t="shared" si="282"/>
        <v>0</v>
      </c>
      <c r="CA48" s="1485">
        <f t="shared" si="282"/>
        <v>0</v>
      </c>
      <c r="CB48" s="1485">
        <f t="shared" si="282"/>
        <v>0</v>
      </c>
      <c r="CC48" s="1485">
        <f t="shared" si="282"/>
        <v>0</v>
      </c>
      <c r="CD48" s="1485">
        <f t="shared" si="282"/>
        <v>0</v>
      </c>
      <c r="CE48" s="1485">
        <f t="shared" si="282"/>
        <v>35</v>
      </c>
      <c r="CF48" s="1490">
        <f t="shared" si="282"/>
        <v>0</v>
      </c>
      <c r="CG48" s="1485">
        <f t="shared" si="282"/>
        <v>0</v>
      </c>
      <c r="CH48" s="1485">
        <f t="shared" si="282"/>
        <v>0</v>
      </c>
      <c r="CI48" s="1485">
        <f t="shared" si="282"/>
        <v>0</v>
      </c>
      <c r="CJ48" s="1485">
        <f t="shared" si="282"/>
        <v>0</v>
      </c>
      <c r="CK48" s="1485">
        <f t="shared" si="282"/>
        <v>0</v>
      </c>
      <c r="CL48" s="1485">
        <f t="shared" si="282"/>
        <v>0</v>
      </c>
      <c r="CM48" s="1485">
        <f t="shared" si="282"/>
        <v>1750</v>
      </c>
      <c r="CN48" s="1485"/>
      <c r="CO48" s="1488"/>
      <c r="CP48" s="1485">
        <f t="shared" ref="CP48:DH48" si="283">SUM(((AZ48*0.9)*0.9))</f>
        <v>0</v>
      </c>
      <c r="CQ48" s="1485">
        <f t="shared" si="283"/>
        <v>0</v>
      </c>
      <c r="CR48" s="1485">
        <f t="shared" si="283"/>
        <v>0</v>
      </c>
      <c r="CS48" s="1485">
        <f t="shared" si="283"/>
        <v>0</v>
      </c>
      <c r="CT48" s="1485">
        <f t="shared" si="283"/>
        <v>0</v>
      </c>
      <c r="CU48" s="1485">
        <f t="shared" si="283"/>
        <v>0</v>
      </c>
      <c r="CV48" s="1485">
        <f t="shared" si="283"/>
        <v>0</v>
      </c>
      <c r="CW48" s="1485">
        <f t="shared" si="283"/>
        <v>0</v>
      </c>
      <c r="CX48" s="1485">
        <f t="shared" si="283"/>
        <v>0</v>
      </c>
      <c r="CY48" s="1485">
        <f t="shared" si="283"/>
        <v>0</v>
      </c>
      <c r="CZ48" s="1485">
        <f t="shared" si="283"/>
        <v>31.5</v>
      </c>
      <c r="DA48" s="1485">
        <f t="shared" si="283"/>
        <v>0</v>
      </c>
      <c r="DB48" s="1485">
        <f t="shared" si="283"/>
        <v>0</v>
      </c>
      <c r="DC48" s="1485">
        <f t="shared" si="283"/>
        <v>0</v>
      </c>
      <c r="DD48" s="1485">
        <f t="shared" si="283"/>
        <v>0</v>
      </c>
      <c r="DE48" s="1485">
        <f t="shared" si="283"/>
        <v>0</v>
      </c>
      <c r="DF48" s="1485">
        <f t="shared" si="283"/>
        <v>0</v>
      </c>
      <c r="DG48" s="1485">
        <f t="shared" si="283"/>
        <v>0</v>
      </c>
      <c r="DH48" s="1485">
        <f t="shared" si="283"/>
        <v>1575</v>
      </c>
      <c r="DI48" s="1485"/>
      <c r="DJ48" s="1488"/>
      <c r="DK48" s="1485">
        <f t="shared" ref="DK48:EC48" si="284">SUM(((AZ48*0.9)*0.8))</f>
        <v>0</v>
      </c>
      <c r="DL48" s="1485">
        <f t="shared" si="284"/>
        <v>0</v>
      </c>
      <c r="DM48" s="1485">
        <f t="shared" si="284"/>
        <v>0</v>
      </c>
      <c r="DN48" s="1485">
        <f t="shared" si="284"/>
        <v>0</v>
      </c>
      <c r="DO48" s="1485">
        <f t="shared" si="284"/>
        <v>0</v>
      </c>
      <c r="DP48" s="1485">
        <f t="shared" si="284"/>
        <v>0</v>
      </c>
      <c r="DQ48" s="1485">
        <f t="shared" si="284"/>
        <v>0</v>
      </c>
      <c r="DR48" s="1485">
        <f t="shared" si="284"/>
        <v>0</v>
      </c>
      <c r="DS48" s="1485">
        <f t="shared" si="284"/>
        <v>0</v>
      </c>
      <c r="DT48" s="1485">
        <f t="shared" si="284"/>
        <v>0</v>
      </c>
      <c r="DU48" s="1485">
        <f t="shared" si="284"/>
        <v>28</v>
      </c>
      <c r="DV48" s="1485">
        <f t="shared" si="284"/>
        <v>0</v>
      </c>
      <c r="DW48" s="1485">
        <f t="shared" si="284"/>
        <v>0</v>
      </c>
      <c r="DX48" s="1485">
        <f t="shared" si="284"/>
        <v>0</v>
      </c>
      <c r="DY48" s="1485">
        <f t="shared" si="284"/>
        <v>0</v>
      </c>
      <c r="DZ48" s="1485">
        <f t="shared" si="284"/>
        <v>0</v>
      </c>
      <c r="EA48" s="1485">
        <f t="shared" si="284"/>
        <v>0</v>
      </c>
      <c r="EB48" s="1485">
        <f t="shared" si="284"/>
        <v>0</v>
      </c>
      <c r="EC48" s="1485">
        <f t="shared" si="284"/>
        <v>1400</v>
      </c>
      <c r="ED48" s="1485"/>
      <c r="EE48" s="1488"/>
      <c r="EF48" s="1485">
        <f t="shared" ref="EF48:EX48" si="285">SUM(((AZ48*0.9)*0.7))</f>
        <v>0</v>
      </c>
      <c r="EG48" s="1485">
        <f t="shared" si="285"/>
        <v>0</v>
      </c>
      <c r="EH48" s="1485">
        <f t="shared" si="285"/>
        <v>0</v>
      </c>
      <c r="EI48" s="1485">
        <f t="shared" si="285"/>
        <v>0</v>
      </c>
      <c r="EJ48" s="1485">
        <f t="shared" si="285"/>
        <v>0</v>
      </c>
      <c r="EK48" s="1485">
        <f t="shared" si="285"/>
        <v>0</v>
      </c>
      <c r="EL48" s="1485">
        <f t="shared" si="285"/>
        <v>0</v>
      </c>
      <c r="EM48" s="1485">
        <f t="shared" si="285"/>
        <v>0</v>
      </c>
      <c r="EN48" s="1485">
        <f t="shared" si="285"/>
        <v>0</v>
      </c>
      <c r="EO48" s="1485">
        <f t="shared" si="285"/>
        <v>0</v>
      </c>
      <c r="EP48" s="1485">
        <f t="shared" si="285"/>
        <v>24.5</v>
      </c>
      <c r="EQ48" s="1485">
        <f t="shared" si="285"/>
        <v>0</v>
      </c>
      <c r="ER48" s="1485">
        <f t="shared" si="285"/>
        <v>0</v>
      </c>
      <c r="ES48" s="1485">
        <f t="shared" si="285"/>
        <v>0</v>
      </c>
      <c r="ET48" s="1485">
        <f t="shared" si="285"/>
        <v>0</v>
      </c>
      <c r="EU48" s="1485">
        <f t="shared" si="285"/>
        <v>0</v>
      </c>
      <c r="EV48" s="1485">
        <f t="shared" si="285"/>
        <v>0</v>
      </c>
      <c r="EW48" s="1485">
        <f t="shared" si="285"/>
        <v>0</v>
      </c>
      <c r="EX48" s="1485">
        <f t="shared" si="285"/>
        <v>1225</v>
      </c>
      <c r="EY48" s="1485"/>
      <c r="EZ48" s="1488"/>
      <c r="FA48" s="1485">
        <f t="shared" ref="FA48:FS48" si="286">SUM(((AZ48*0.9)*0.6))</f>
        <v>0</v>
      </c>
      <c r="FB48" s="1485">
        <f t="shared" si="286"/>
        <v>0</v>
      </c>
      <c r="FC48" s="1485">
        <f t="shared" si="286"/>
        <v>0</v>
      </c>
      <c r="FD48" s="1485">
        <f t="shared" si="286"/>
        <v>0</v>
      </c>
      <c r="FE48" s="1485">
        <f t="shared" si="286"/>
        <v>0</v>
      </c>
      <c r="FF48" s="1485">
        <f t="shared" si="286"/>
        <v>0</v>
      </c>
      <c r="FG48" s="1485">
        <f t="shared" si="286"/>
        <v>0</v>
      </c>
      <c r="FH48" s="1485">
        <f t="shared" si="286"/>
        <v>0</v>
      </c>
      <c r="FI48" s="1485">
        <f t="shared" si="286"/>
        <v>0</v>
      </c>
      <c r="FJ48" s="1485">
        <f t="shared" si="286"/>
        <v>0</v>
      </c>
      <c r="FK48" s="1485">
        <f t="shared" si="286"/>
        <v>21</v>
      </c>
      <c r="FL48" s="1485">
        <f t="shared" si="286"/>
        <v>0</v>
      </c>
      <c r="FM48" s="1485">
        <f t="shared" si="286"/>
        <v>0</v>
      </c>
      <c r="FN48" s="1485">
        <f t="shared" si="286"/>
        <v>0</v>
      </c>
      <c r="FO48" s="1485">
        <f t="shared" si="286"/>
        <v>0</v>
      </c>
      <c r="FP48" s="1485">
        <f t="shared" si="286"/>
        <v>0</v>
      </c>
      <c r="FQ48" s="1485">
        <f t="shared" si="286"/>
        <v>0</v>
      </c>
      <c r="FR48" s="1485">
        <f t="shared" si="286"/>
        <v>0</v>
      </c>
      <c r="FS48" s="1485">
        <f t="shared" si="286"/>
        <v>1050</v>
      </c>
      <c r="FT48" s="1485"/>
      <c r="FU48" s="1485" t="e">
        <f t="shared" ref="FU48:FU65" si="287">CHOOSE((AC48-9),BU48,(BU48+CP48),((BU48+CP48)+DK48),(((BU48+CP48)+DK48)+EF48),((((BU48+CP48)+DK48)+EF48)+FA48),)</f>
        <v>#VALUE!</v>
      </c>
      <c r="FV48" s="1485" t="e">
        <f t="shared" ref="FV48:FV65" si="288">CHOOSE((AC48-9),BV48,(BV48+CQ48),((BV48+CQ48)+DL48),(((BV48+CQ48)+DL48)+EG48),((((BV48+CQ48)+DL48)+EG48)+FB48),)</f>
        <v>#VALUE!</v>
      </c>
      <c r="FW48" s="1485" t="e">
        <f t="shared" ref="FW48:FW65" si="289">CHOOSE((AC48-9),BW48,(BW48+CR48),((BW48+CR48)+DM48),(((BW48+CR48)+DM48)+EH48),((((BW48+CR48)+DM48)+EH48)+FC48),)</f>
        <v>#VALUE!</v>
      </c>
      <c r="FX48" s="1485" t="e">
        <f t="shared" ref="FX48:FX65" si="290">CHOOSE((AC48-9),BX48,(BX48+CS48),((BX48+CS48)+DN48),(((BX48+CS48)+DN48)+EI48),((((BX48+CS48)+DN48)+EI48)+FD48),)</f>
        <v>#VALUE!</v>
      </c>
      <c r="FY48" s="1485" t="e">
        <f t="shared" ref="FY48:FY65" si="291">CHOOSE((AC48-9),BY48,(BY48+CT48),((BY48+CT48)+DO48),(((BY48+CT48)+DO48)+EJ48),((((BY48+CT48)+DO48)+EJ48)+FE48),)</f>
        <v>#VALUE!</v>
      </c>
      <c r="FZ48" s="1485" t="e">
        <f t="shared" ref="FZ48:FZ65" si="292">CHOOSE((AC48-9),BZ48,(BZ48+CU48),((BZ48+CU48)+DP48),(((BZ48+CU48)+DP48)+EK48),((((BZ48+CU48)+DP48)+EK48)+FF48),)</f>
        <v>#VALUE!</v>
      </c>
      <c r="GA48" s="1485" t="e">
        <f t="shared" ref="GA48:GA65" si="293">CHOOSE((AC48-9),CA48,(CA48+CV48),((CA48+CV48)+DQ48),(((CA48+CV48)+DQ48)+EL48),((((CA48+CV48)+DQ48)+EL48)+FG48),)</f>
        <v>#VALUE!</v>
      </c>
      <c r="GB48" s="1485" t="e">
        <f t="shared" ref="GB48:GB65" si="294">CHOOSE((AC48-9),CB48,(CB48+CW48),((CB48+CW48)+DR48),(((CB48+CW48)+DR48)+EM48),((((CB48+CW48)+DR48)+EM48)+FH48),)</f>
        <v>#VALUE!</v>
      </c>
      <c r="GC48" s="1485" t="e">
        <f t="shared" ref="GC48:GC65" si="295">CHOOSE((AC48-9),CC48,(CC48+CX48),((CC48+CX48)+DS48),(((CC48+CX48)+DS48)+EN48),((((CC48+CX48)+DS48)+EN48)+FI48),)</f>
        <v>#VALUE!</v>
      </c>
      <c r="GD48" s="1485" t="e">
        <f t="shared" ref="GD48:GD65" si="296">CHOOSE((AC48-9),CD48,(CD48+CY48),((CD48+CY48)+DT48),(((CD48+CY48)+DT48)+EO48),((((CD48+CY48)+DT48)+EO48)+FJ48),)</f>
        <v>#VALUE!</v>
      </c>
      <c r="GE48" s="1485" t="e">
        <f t="shared" ref="GE48:GE65" si="297">CHOOSE((AC48-9),CE48,(CE48+CZ48),((CE48+CZ48)+DU48),(((CE48+CZ48)+DU48)+EP48),((((CE48+CZ48)+DU48)+EP48)+FK48),)</f>
        <v>#VALUE!</v>
      </c>
      <c r="GF48" s="1485" t="e">
        <f t="shared" ref="GF48:GF65" si="298">CHOOSE((AC48-9),CF48,(CF48+DA48),((CF48+DA48)+DV48),(((CF48+DA48)+DV48)+EQ48),((((CF48+DA48)+DV48)+EQ48)+FL48),)</f>
        <v>#VALUE!</v>
      </c>
      <c r="GG48" s="1485" t="e">
        <f t="shared" ref="GG48:GG65" si="299">CHOOSE((AC48-9),CG48,(CG48+DB48),((CG48+DB48)+DW48),(((CG48+DB48)+DW48)+ER48),((((CG48+DB48)+DW48)+ER48)+FM48),)</f>
        <v>#VALUE!</v>
      </c>
      <c r="GH48" s="1485" t="e">
        <f t="shared" ref="GH48:GH65" si="300">CHOOSE((AC48-9),CH48,(CH48+DC48),((CH48+DC48)+DX48),(((CH48+DC48)+DX48)+ES48),((((CH48+DC48)+DX48)+ES48)+FN48),)</f>
        <v>#VALUE!</v>
      </c>
      <c r="GI48" s="1485" t="e">
        <f t="shared" ref="GI48:GI65" si="301">CHOOSE((AC48-9),CI48,(CI48+DD48),((CI48+DD48)+DY48),(((CI48+DD48)+DY48)+ET48),((((CI48+DD48)+DY48)+ET48)+FO48),)</f>
        <v>#VALUE!</v>
      </c>
      <c r="GJ48" s="1485" t="e">
        <f t="shared" ref="GJ48:GJ65" si="302">CHOOSE((AC48-9),CJ48,(CJ48+DE48),((CJ48+DE48)+DZ48),(((CJ48+DE48)+DZ48)+EU48),((((CJ48+DE48)+DZ48)+EU48)+FP48),)</f>
        <v>#VALUE!</v>
      </c>
      <c r="GK48" s="1485" t="e">
        <f t="shared" ref="GK48:GK65" si="303">CHOOSE((AC48-9),CK48,(CK48+DF48),((CK48+DF48)+EA48),(((CK48+DF48)+EA48)+EV48),((((CK48+DF48)+EA48)+EV48)+FQ48),)</f>
        <v>#VALUE!</v>
      </c>
      <c r="GL48" s="1485" t="e">
        <f t="shared" ref="GL48:GL65" si="304">CHOOSE((AC48-9),CL48,(CL48+DG48),((CL48+DG48)+EB48),(((CL48+DG48)+EB48)+EW48),((((CL48+DG48)+EB48)+EW48)+FR48),)</f>
        <v>#VALUE!</v>
      </c>
      <c r="GM48" s="1485" t="e">
        <f t="shared" ref="GM48:GM65" si="305">CHOOSE((AC48-9),CM48,(CM48+DH48),((CM48+DH48)+EC48),(((CM48+DH48)+EC48)+EX48),((((CM48+DH48)+EC48)+EX48)+FS48),)</f>
        <v>#VALUE!</v>
      </c>
    </row>
    <row r="49" spans="1:195" ht="16.5" customHeight="1">
      <c r="A49" s="1631">
        <v>303</v>
      </c>
      <c r="B49" s="1893"/>
      <c r="C49" s="1499" t="s">
        <v>1090</v>
      </c>
      <c r="D49" s="1500"/>
      <c r="E49" s="1501"/>
      <c r="F49" s="1501"/>
      <c r="G49" s="1501"/>
      <c r="H49" s="1501"/>
      <c r="I49" s="1501"/>
      <c r="J49" s="1501"/>
      <c r="K49" s="1501"/>
      <c r="L49" s="1501"/>
      <c r="M49" s="1501"/>
      <c r="N49" s="1501"/>
      <c r="O49" s="1501"/>
      <c r="P49" s="1501"/>
      <c r="Q49" s="1501" t="str">
        <f>AR49</f>
        <v>Selected</v>
      </c>
      <c r="R49" s="1502"/>
      <c r="S49" s="1501">
        <f>IF((AC49&lt;10),SUM((AT49+(ROUNDUP((AC49*BN49),2)))),SUM((AT49+(ROUNDUP(((9*BN49)+GI49),2)))))</f>
        <v>4000</v>
      </c>
      <c r="T49" s="1502"/>
      <c r="U49" s="1502">
        <f>IF((AC49&lt;10),SUM((AV49+(ROUNDUP((AC49*BP49),2)))),SUM((AV49+(ROUNDUP(((9*BP49)+GK49),2)))))</f>
        <v>1</v>
      </c>
      <c r="V49" s="1501">
        <f>IF((AC49&lt;10),SUM((AW49+(ROUNDUP((AC49*BQ49),2)))),SUM((AW49+(ROUNDUP(((9*BQ49)+GL49),2)))))</f>
        <v>250</v>
      </c>
      <c r="W49" s="1501">
        <f t="shared" si="280"/>
        <v>17500</v>
      </c>
      <c r="X49" s="1501"/>
      <c r="Y49" s="1501"/>
      <c r="Z49" s="1501"/>
      <c r="AA49" s="1484"/>
      <c r="AB49" s="1485"/>
      <c r="AC49" s="1485">
        <f t="shared" si="30"/>
        <v>0</v>
      </c>
      <c r="AD49" s="1485"/>
      <c r="AE49" s="1486"/>
      <c r="AF49" s="1486"/>
      <c r="AG49" s="1486"/>
      <c r="AH49" s="1486"/>
      <c r="AI49" s="1486"/>
      <c r="AJ49" s="1486"/>
      <c r="AK49" s="1486"/>
      <c r="AL49" s="1486"/>
      <c r="AM49" s="1486"/>
      <c r="AN49" s="1486"/>
      <c r="AO49" s="1486"/>
      <c r="AP49" s="1486"/>
      <c r="AQ49" s="1486"/>
      <c r="AR49" s="1486" t="s">
        <v>283</v>
      </c>
      <c r="AS49" s="1487"/>
      <c r="AT49" s="1486">
        <v>4000</v>
      </c>
      <c r="AU49" s="1486"/>
      <c r="AV49" s="1486">
        <v>1</v>
      </c>
      <c r="AW49" s="1486">
        <v>250</v>
      </c>
      <c r="AX49" s="1486">
        <v>17500</v>
      </c>
      <c r="AY49" s="1485"/>
      <c r="AZ49" s="1485"/>
      <c r="BA49" s="1485"/>
      <c r="BB49" s="1485"/>
      <c r="BC49" s="1485"/>
      <c r="BD49" s="1485"/>
      <c r="BE49" s="1486"/>
      <c r="BF49" s="1486"/>
      <c r="BG49" s="1485"/>
      <c r="BH49" s="1485"/>
      <c r="BI49" s="1485"/>
      <c r="BJ49" s="1485"/>
      <c r="BK49" s="1485"/>
      <c r="BL49" s="1485"/>
      <c r="BM49" s="1485"/>
      <c r="BN49" s="1485"/>
      <c r="BO49" s="1485"/>
      <c r="BP49" s="1485"/>
      <c r="BQ49" s="1485">
        <f>SUM((-AW49/12))</f>
        <v>-20.833333333333332</v>
      </c>
      <c r="BR49" s="1485">
        <f t="shared" si="281"/>
        <v>1944.4444444444443</v>
      </c>
      <c r="BS49" s="1485"/>
      <c r="BT49" s="1488"/>
      <c r="BU49" s="1485">
        <f t="shared" ref="BU49:CD51" si="306">SUM(((AZ49*0.9)*1))</f>
        <v>0</v>
      </c>
      <c r="BV49" s="1485">
        <f t="shared" si="306"/>
        <v>0</v>
      </c>
      <c r="BW49" s="1485">
        <f t="shared" si="306"/>
        <v>0</v>
      </c>
      <c r="BX49" s="1485">
        <f t="shared" si="306"/>
        <v>0</v>
      </c>
      <c r="BY49" s="1485">
        <f t="shared" si="306"/>
        <v>0</v>
      </c>
      <c r="BZ49" s="1485">
        <f t="shared" si="306"/>
        <v>0</v>
      </c>
      <c r="CA49" s="1485">
        <f t="shared" si="306"/>
        <v>0</v>
      </c>
      <c r="CB49" s="1485">
        <f t="shared" si="306"/>
        <v>0</v>
      </c>
      <c r="CC49" s="1485">
        <f t="shared" si="306"/>
        <v>0</v>
      </c>
      <c r="CD49" s="1485">
        <f t="shared" si="306"/>
        <v>0</v>
      </c>
      <c r="CE49" s="1485">
        <f t="shared" ref="CE49:CK51" si="307">SUM(((BJ49*0.9)*1))</f>
        <v>0</v>
      </c>
      <c r="CF49" s="1485">
        <f t="shared" si="307"/>
        <v>0</v>
      </c>
      <c r="CG49" s="1485">
        <f t="shared" si="307"/>
        <v>0</v>
      </c>
      <c r="CH49" s="1485">
        <f t="shared" si="307"/>
        <v>0</v>
      </c>
      <c r="CI49" s="1485">
        <f t="shared" si="307"/>
        <v>0</v>
      </c>
      <c r="CJ49" s="1485">
        <f t="shared" si="307"/>
        <v>0</v>
      </c>
      <c r="CK49" s="1485">
        <f t="shared" si="307"/>
        <v>0</v>
      </c>
      <c r="CL49" s="1485">
        <f>SUM(((-AW49/50)*CEILING((60/100),0.01)))</f>
        <v>-3</v>
      </c>
      <c r="CM49" s="1485">
        <f t="shared" ref="CM49:CM65" si="308">SUM(((BR49*0.9)*1))</f>
        <v>1750</v>
      </c>
      <c r="CN49" s="1485"/>
      <c r="CO49" s="1488"/>
      <c r="CP49" s="1485">
        <f t="shared" ref="CP49:CY51" si="309">SUM(((AZ49*0.9)*0.9))</f>
        <v>0</v>
      </c>
      <c r="CQ49" s="1485">
        <f t="shared" si="309"/>
        <v>0</v>
      </c>
      <c r="CR49" s="1485">
        <f t="shared" si="309"/>
        <v>0</v>
      </c>
      <c r="CS49" s="1485">
        <f t="shared" si="309"/>
        <v>0</v>
      </c>
      <c r="CT49" s="1485">
        <f t="shared" si="309"/>
        <v>0</v>
      </c>
      <c r="CU49" s="1485">
        <f t="shared" si="309"/>
        <v>0</v>
      </c>
      <c r="CV49" s="1485">
        <f t="shared" si="309"/>
        <v>0</v>
      </c>
      <c r="CW49" s="1485">
        <f t="shared" si="309"/>
        <v>0</v>
      </c>
      <c r="CX49" s="1485">
        <f t="shared" si="309"/>
        <v>0</v>
      </c>
      <c r="CY49" s="1485">
        <f t="shared" si="309"/>
        <v>0</v>
      </c>
      <c r="CZ49" s="1485">
        <f t="shared" ref="CZ49:DF51" si="310">SUM(((BJ49*0.9)*0.9))</f>
        <v>0</v>
      </c>
      <c r="DA49" s="1485">
        <f t="shared" si="310"/>
        <v>0</v>
      </c>
      <c r="DB49" s="1485">
        <f t="shared" si="310"/>
        <v>0</v>
      </c>
      <c r="DC49" s="1485">
        <f t="shared" si="310"/>
        <v>0</v>
      </c>
      <c r="DD49" s="1485">
        <f t="shared" si="310"/>
        <v>0</v>
      </c>
      <c r="DE49" s="1485">
        <f t="shared" si="310"/>
        <v>0</v>
      </c>
      <c r="DF49" s="1485">
        <f t="shared" si="310"/>
        <v>0</v>
      </c>
      <c r="DG49" s="1485">
        <f>SUM(((-AW49/50)*CEILING((48/100),0.01)))</f>
        <v>-2.4</v>
      </c>
      <c r="DH49" s="1485">
        <f t="shared" ref="DH49:DH65" si="311">SUM(((BR49*0.9)*0.9))</f>
        <v>1575</v>
      </c>
      <c r="DI49" s="1485"/>
      <c r="DJ49" s="1488"/>
      <c r="DK49" s="1485">
        <f t="shared" ref="DK49:DT51" si="312">SUM(((AZ49*0.9)*0.8))</f>
        <v>0</v>
      </c>
      <c r="DL49" s="1485">
        <f t="shared" si="312"/>
        <v>0</v>
      </c>
      <c r="DM49" s="1485">
        <f t="shared" si="312"/>
        <v>0</v>
      </c>
      <c r="DN49" s="1485">
        <f t="shared" si="312"/>
        <v>0</v>
      </c>
      <c r="DO49" s="1485">
        <f t="shared" si="312"/>
        <v>0</v>
      </c>
      <c r="DP49" s="1485">
        <f t="shared" si="312"/>
        <v>0</v>
      </c>
      <c r="DQ49" s="1485">
        <f t="shared" si="312"/>
        <v>0</v>
      </c>
      <c r="DR49" s="1485">
        <f t="shared" si="312"/>
        <v>0</v>
      </c>
      <c r="DS49" s="1485">
        <f t="shared" si="312"/>
        <v>0</v>
      </c>
      <c r="DT49" s="1485">
        <f t="shared" si="312"/>
        <v>0</v>
      </c>
      <c r="DU49" s="1485">
        <f t="shared" ref="DU49:EA51" si="313">SUM(((BJ49*0.9)*0.8))</f>
        <v>0</v>
      </c>
      <c r="DV49" s="1485">
        <f t="shared" si="313"/>
        <v>0</v>
      </c>
      <c r="DW49" s="1485">
        <f t="shared" si="313"/>
        <v>0</v>
      </c>
      <c r="DX49" s="1485">
        <f t="shared" si="313"/>
        <v>0</v>
      </c>
      <c r="DY49" s="1485">
        <f t="shared" si="313"/>
        <v>0</v>
      </c>
      <c r="DZ49" s="1485">
        <f t="shared" si="313"/>
        <v>0</v>
      </c>
      <c r="EA49" s="1485">
        <f t="shared" si="313"/>
        <v>0</v>
      </c>
      <c r="EB49" s="1485">
        <f>SUM(((-AW49/50)*CEILING((40.5/100),0.01)))</f>
        <v>-2.0500000000000003</v>
      </c>
      <c r="EC49" s="1485">
        <f t="shared" ref="EC49:EC65" si="314">SUM(((BR49*0.9)*0.8))</f>
        <v>1400</v>
      </c>
      <c r="ED49" s="1485"/>
      <c r="EE49" s="1488"/>
      <c r="EF49" s="1485">
        <f t="shared" ref="EF49:EO51" si="315">SUM(((AZ49*0.9)*0.7))</f>
        <v>0</v>
      </c>
      <c r="EG49" s="1485">
        <f t="shared" si="315"/>
        <v>0</v>
      </c>
      <c r="EH49" s="1485">
        <f t="shared" si="315"/>
        <v>0</v>
      </c>
      <c r="EI49" s="1485">
        <f t="shared" si="315"/>
        <v>0</v>
      </c>
      <c r="EJ49" s="1485">
        <f t="shared" si="315"/>
        <v>0</v>
      </c>
      <c r="EK49" s="1485">
        <f t="shared" si="315"/>
        <v>0</v>
      </c>
      <c r="EL49" s="1485">
        <f t="shared" si="315"/>
        <v>0</v>
      </c>
      <c r="EM49" s="1485">
        <f t="shared" si="315"/>
        <v>0</v>
      </c>
      <c r="EN49" s="1485">
        <f t="shared" si="315"/>
        <v>0</v>
      </c>
      <c r="EO49" s="1485">
        <f t="shared" si="315"/>
        <v>0</v>
      </c>
      <c r="EP49" s="1485">
        <f t="shared" ref="EP49:EV51" si="316">SUM(((BJ49*0.9)*0.7))</f>
        <v>0</v>
      </c>
      <c r="EQ49" s="1485">
        <f t="shared" si="316"/>
        <v>0</v>
      </c>
      <c r="ER49" s="1485">
        <f t="shared" si="316"/>
        <v>0</v>
      </c>
      <c r="ES49" s="1485">
        <f t="shared" si="316"/>
        <v>0</v>
      </c>
      <c r="ET49" s="1485">
        <f t="shared" si="316"/>
        <v>0</v>
      </c>
      <c r="EU49" s="1485">
        <f t="shared" si="316"/>
        <v>0</v>
      </c>
      <c r="EV49" s="1485">
        <f t="shared" si="316"/>
        <v>0</v>
      </c>
      <c r="EW49" s="1485">
        <f>SUM(((-AW49/50)*CEILING((33/100),0.01)))</f>
        <v>-1.6500000000000001</v>
      </c>
      <c r="EX49" s="1485">
        <f t="shared" ref="EX49:EX65" si="317">SUM(((BR49*0.9)*0.7))</f>
        <v>1225</v>
      </c>
      <c r="EY49" s="1485"/>
      <c r="EZ49" s="1488"/>
      <c r="FA49" s="1485">
        <f t="shared" ref="FA49:FJ51" si="318">SUM(((AZ49*0.9)*0.6))</f>
        <v>0</v>
      </c>
      <c r="FB49" s="1485">
        <f t="shared" si="318"/>
        <v>0</v>
      </c>
      <c r="FC49" s="1485">
        <f t="shared" si="318"/>
        <v>0</v>
      </c>
      <c r="FD49" s="1485">
        <f t="shared" si="318"/>
        <v>0</v>
      </c>
      <c r="FE49" s="1485">
        <f t="shared" si="318"/>
        <v>0</v>
      </c>
      <c r="FF49" s="1485">
        <f t="shared" si="318"/>
        <v>0</v>
      </c>
      <c r="FG49" s="1485">
        <f t="shared" si="318"/>
        <v>0</v>
      </c>
      <c r="FH49" s="1485">
        <f t="shared" si="318"/>
        <v>0</v>
      </c>
      <c r="FI49" s="1485">
        <f t="shared" si="318"/>
        <v>0</v>
      </c>
      <c r="FJ49" s="1485">
        <f t="shared" si="318"/>
        <v>0</v>
      </c>
      <c r="FK49" s="1485">
        <f t="shared" ref="FK49:FQ51" si="319">SUM(((BJ49*0.9)*0.6))</f>
        <v>0</v>
      </c>
      <c r="FL49" s="1485">
        <f t="shared" si="319"/>
        <v>0</v>
      </c>
      <c r="FM49" s="1485">
        <f t="shared" si="319"/>
        <v>0</v>
      </c>
      <c r="FN49" s="1485">
        <f t="shared" si="319"/>
        <v>0</v>
      </c>
      <c r="FO49" s="1485">
        <f t="shared" si="319"/>
        <v>0</v>
      </c>
      <c r="FP49" s="1485">
        <f t="shared" si="319"/>
        <v>0</v>
      </c>
      <c r="FQ49" s="1485">
        <f t="shared" si="319"/>
        <v>0</v>
      </c>
      <c r="FR49" s="1485">
        <f>SUM(((-AW49/50)*CEILING((25.5/100),0.01)))</f>
        <v>-1.3</v>
      </c>
      <c r="FS49" s="1485">
        <f t="shared" ref="FS49:FS65" si="320">SUM(((BR49*0.9)*0.6))</f>
        <v>1050</v>
      </c>
      <c r="FT49" s="1485"/>
      <c r="FU49" s="1485" t="e">
        <f t="shared" si="287"/>
        <v>#VALUE!</v>
      </c>
      <c r="FV49" s="1485" t="e">
        <f t="shared" si="288"/>
        <v>#VALUE!</v>
      </c>
      <c r="FW49" s="1485" t="e">
        <f t="shared" si="289"/>
        <v>#VALUE!</v>
      </c>
      <c r="FX49" s="1485" t="e">
        <f t="shared" si="290"/>
        <v>#VALUE!</v>
      </c>
      <c r="FY49" s="1485" t="e">
        <f t="shared" si="291"/>
        <v>#VALUE!</v>
      </c>
      <c r="FZ49" s="1485" t="e">
        <f t="shared" si="292"/>
        <v>#VALUE!</v>
      </c>
      <c r="GA49" s="1485" t="e">
        <f t="shared" si="293"/>
        <v>#VALUE!</v>
      </c>
      <c r="GB49" s="1485" t="e">
        <f t="shared" si="294"/>
        <v>#VALUE!</v>
      </c>
      <c r="GC49" s="1485" t="e">
        <f t="shared" si="295"/>
        <v>#VALUE!</v>
      </c>
      <c r="GD49" s="1485" t="e">
        <f t="shared" si="296"/>
        <v>#VALUE!</v>
      </c>
      <c r="GE49" s="1485" t="e">
        <f t="shared" si="297"/>
        <v>#VALUE!</v>
      </c>
      <c r="GF49" s="1485" t="e">
        <f t="shared" si="298"/>
        <v>#VALUE!</v>
      </c>
      <c r="GG49" s="1485" t="e">
        <f t="shared" si="299"/>
        <v>#VALUE!</v>
      </c>
      <c r="GH49" s="1485" t="e">
        <f t="shared" si="300"/>
        <v>#VALUE!</v>
      </c>
      <c r="GI49" s="1485" t="e">
        <f t="shared" si="301"/>
        <v>#VALUE!</v>
      </c>
      <c r="GJ49" s="1485" t="e">
        <f t="shared" si="302"/>
        <v>#VALUE!</v>
      </c>
      <c r="GK49" s="1485" t="e">
        <f t="shared" si="303"/>
        <v>#VALUE!</v>
      </c>
      <c r="GL49" s="1485" t="e">
        <f t="shared" si="304"/>
        <v>#VALUE!</v>
      </c>
      <c r="GM49" s="1485" t="e">
        <f t="shared" si="305"/>
        <v>#VALUE!</v>
      </c>
    </row>
    <row r="50" spans="1:195" ht="16.5" customHeight="1">
      <c r="A50" s="1631">
        <v>304</v>
      </c>
      <c r="B50" s="1893"/>
      <c r="C50" s="1499" t="s">
        <v>1092</v>
      </c>
      <c r="D50" s="1496"/>
      <c r="E50" s="1497"/>
      <c r="F50" s="1497"/>
      <c r="G50" s="1497"/>
      <c r="H50" s="1497"/>
      <c r="I50" s="1497"/>
      <c r="J50" s="1497"/>
      <c r="K50" s="1497"/>
      <c r="L50" s="1497"/>
      <c r="M50" s="1497"/>
      <c r="N50" s="1497"/>
      <c r="O50" s="1497"/>
      <c r="P50" s="1497"/>
      <c r="Q50" s="1497" t="str">
        <f>AR50</f>
        <v>Area</v>
      </c>
      <c r="R50" s="1498"/>
      <c r="S50" s="1497">
        <f>IF((AC50&lt;10),SUM((AT50+(ROUNDUP((AC50*BN50),2)))),SUM((AT50+(ROUNDUP(((9*BN50)+GI50),2)))))</f>
        <v>500</v>
      </c>
      <c r="T50" s="1498"/>
      <c r="U50" s="1498">
        <f>IF((AC50&lt;10),SUM((AV50+(ROUNDUP((AC50*BP50),2)))),SUM((AV50+(ROUNDUP(((9*BP50)+GK50),2)))))</f>
        <v>1</v>
      </c>
      <c r="V50" s="1497">
        <f>IF((AC50&lt;10),SUM((AW50+(ROUNDUP((AC50*BQ50),2)))),SUM((AW50+(ROUNDUP(((9*BQ50)+GL50),2)))))</f>
        <v>250</v>
      </c>
      <c r="W50" s="1497">
        <f t="shared" si="280"/>
        <v>17500</v>
      </c>
      <c r="X50" s="1497"/>
      <c r="Y50" s="1497"/>
      <c r="Z50" s="1497"/>
      <c r="AA50" s="1484"/>
      <c r="AB50" s="1485"/>
      <c r="AC50" s="1485">
        <f t="shared" si="30"/>
        <v>0</v>
      </c>
      <c r="AD50" s="1485"/>
      <c r="AE50" s="1486"/>
      <c r="AF50" s="1486"/>
      <c r="AG50" s="1486"/>
      <c r="AH50" s="1486"/>
      <c r="AI50" s="1486"/>
      <c r="AJ50" s="1486"/>
      <c r="AK50" s="1486"/>
      <c r="AL50" s="1486"/>
      <c r="AM50" s="1486"/>
      <c r="AN50" s="1486"/>
      <c r="AO50" s="1486"/>
      <c r="AP50" s="1486"/>
      <c r="AQ50" s="1486"/>
      <c r="AR50" s="1486" t="s">
        <v>284</v>
      </c>
      <c r="AS50" s="1487"/>
      <c r="AT50" s="1486">
        <v>500</v>
      </c>
      <c r="AU50" s="1486"/>
      <c r="AV50" s="1486">
        <v>1</v>
      </c>
      <c r="AW50" s="1486">
        <v>250</v>
      </c>
      <c r="AX50" s="1486">
        <v>17500</v>
      </c>
      <c r="AY50" s="1485"/>
      <c r="AZ50" s="1485"/>
      <c r="BA50" s="1485"/>
      <c r="BB50" s="1485"/>
      <c r="BC50" s="1485"/>
      <c r="BD50" s="1485"/>
      <c r="BE50" s="1486"/>
      <c r="BF50" s="1486"/>
      <c r="BG50" s="1485"/>
      <c r="BH50" s="1485"/>
      <c r="BI50" s="1485"/>
      <c r="BJ50" s="1485"/>
      <c r="BK50" s="1485"/>
      <c r="BL50" s="1485"/>
      <c r="BM50" s="1485"/>
      <c r="BN50" s="1485"/>
      <c r="BO50" s="1485"/>
      <c r="BP50" s="1485"/>
      <c r="BQ50" s="1485">
        <f>SUM((-AW50/12))</f>
        <v>-20.833333333333332</v>
      </c>
      <c r="BR50" s="1485">
        <f t="shared" si="281"/>
        <v>1944.4444444444443</v>
      </c>
      <c r="BS50" s="1485"/>
      <c r="BT50" s="1488"/>
      <c r="BU50" s="1485">
        <f t="shared" si="306"/>
        <v>0</v>
      </c>
      <c r="BV50" s="1485">
        <f t="shared" si="306"/>
        <v>0</v>
      </c>
      <c r="BW50" s="1485">
        <f t="shared" si="306"/>
        <v>0</v>
      </c>
      <c r="BX50" s="1485">
        <f t="shared" si="306"/>
        <v>0</v>
      </c>
      <c r="BY50" s="1485">
        <f t="shared" si="306"/>
        <v>0</v>
      </c>
      <c r="BZ50" s="1485">
        <f t="shared" si="306"/>
        <v>0</v>
      </c>
      <c r="CA50" s="1485">
        <f t="shared" si="306"/>
        <v>0</v>
      </c>
      <c r="CB50" s="1485">
        <f t="shared" si="306"/>
        <v>0</v>
      </c>
      <c r="CC50" s="1485">
        <f t="shared" si="306"/>
        <v>0</v>
      </c>
      <c r="CD50" s="1485">
        <f t="shared" si="306"/>
        <v>0</v>
      </c>
      <c r="CE50" s="1485">
        <f t="shared" si="307"/>
        <v>0</v>
      </c>
      <c r="CF50" s="1485">
        <f t="shared" si="307"/>
        <v>0</v>
      </c>
      <c r="CG50" s="1485">
        <f t="shared" si="307"/>
        <v>0</v>
      </c>
      <c r="CH50" s="1485">
        <f t="shared" si="307"/>
        <v>0</v>
      </c>
      <c r="CI50" s="1485">
        <f t="shared" si="307"/>
        <v>0</v>
      </c>
      <c r="CJ50" s="1485">
        <f t="shared" si="307"/>
        <v>0</v>
      </c>
      <c r="CK50" s="1485">
        <f t="shared" si="307"/>
        <v>0</v>
      </c>
      <c r="CL50" s="1485">
        <f>SUM(((-AW50/50)*CEILING((60/100),0.01)))</f>
        <v>-3</v>
      </c>
      <c r="CM50" s="1485">
        <f t="shared" si="308"/>
        <v>1750</v>
      </c>
      <c r="CN50" s="1485"/>
      <c r="CO50" s="1488"/>
      <c r="CP50" s="1485">
        <f t="shared" si="309"/>
        <v>0</v>
      </c>
      <c r="CQ50" s="1485">
        <f t="shared" si="309"/>
        <v>0</v>
      </c>
      <c r="CR50" s="1485">
        <f t="shared" si="309"/>
        <v>0</v>
      </c>
      <c r="CS50" s="1485">
        <f t="shared" si="309"/>
        <v>0</v>
      </c>
      <c r="CT50" s="1485">
        <f t="shared" si="309"/>
        <v>0</v>
      </c>
      <c r="CU50" s="1485">
        <f t="shared" si="309"/>
        <v>0</v>
      </c>
      <c r="CV50" s="1485">
        <f t="shared" si="309"/>
        <v>0</v>
      </c>
      <c r="CW50" s="1485">
        <f t="shared" si="309"/>
        <v>0</v>
      </c>
      <c r="CX50" s="1485">
        <f t="shared" si="309"/>
        <v>0</v>
      </c>
      <c r="CY50" s="1485">
        <f t="shared" si="309"/>
        <v>0</v>
      </c>
      <c r="CZ50" s="1485">
        <f t="shared" si="310"/>
        <v>0</v>
      </c>
      <c r="DA50" s="1485">
        <f t="shared" si="310"/>
        <v>0</v>
      </c>
      <c r="DB50" s="1485">
        <f t="shared" si="310"/>
        <v>0</v>
      </c>
      <c r="DC50" s="1485">
        <f t="shared" si="310"/>
        <v>0</v>
      </c>
      <c r="DD50" s="1485">
        <f t="shared" si="310"/>
        <v>0</v>
      </c>
      <c r="DE50" s="1485">
        <f t="shared" si="310"/>
        <v>0</v>
      </c>
      <c r="DF50" s="1485">
        <f t="shared" si="310"/>
        <v>0</v>
      </c>
      <c r="DG50" s="1485">
        <f>SUM(((-AW50/50)*CEILING((48/100),0.01)))</f>
        <v>-2.4</v>
      </c>
      <c r="DH50" s="1485">
        <f t="shared" si="311"/>
        <v>1575</v>
      </c>
      <c r="DI50" s="1485"/>
      <c r="DJ50" s="1488"/>
      <c r="DK50" s="1485">
        <f t="shared" si="312"/>
        <v>0</v>
      </c>
      <c r="DL50" s="1485">
        <f t="shared" si="312"/>
        <v>0</v>
      </c>
      <c r="DM50" s="1485">
        <f t="shared" si="312"/>
        <v>0</v>
      </c>
      <c r="DN50" s="1485">
        <f t="shared" si="312"/>
        <v>0</v>
      </c>
      <c r="DO50" s="1485">
        <f t="shared" si="312"/>
        <v>0</v>
      </c>
      <c r="DP50" s="1485">
        <f t="shared" si="312"/>
        <v>0</v>
      </c>
      <c r="DQ50" s="1485">
        <f t="shared" si="312"/>
        <v>0</v>
      </c>
      <c r="DR50" s="1485">
        <f t="shared" si="312"/>
        <v>0</v>
      </c>
      <c r="DS50" s="1485">
        <f t="shared" si="312"/>
        <v>0</v>
      </c>
      <c r="DT50" s="1485">
        <f t="shared" si="312"/>
        <v>0</v>
      </c>
      <c r="DU50" s="1485">
        <f t="shared" si="313"/>
        <v>0</v>
      </c>
      <c r="DV50" s="1485">
        <f t="shared" si="313"/>
        <v>0</v>
      </c>
      <c r="DW50" s="1485">
        <f t="shared" si="313"/>
        <v>0</v>
      </c>
      <c r="DX50" s="1485">
        <f t="shared" si="313"/>
        <v>0</v>
      </c>
      <c r="DY50" s="1485">
        <f t="shared" si="313"/>
        <v>0</v>
      </c>
      <c r="DZ50" s="1485">
        <f t="shared" si="313"/>
        <v>0</v>
      </c>
      <c r="EA50" s="1485">
        <f t="shared" si="313"/>
        <v>0</v>
      </c>
      <c r="EB50" s="1485">
        <f>SUM(((-AW50/50)*CEILING((40.5/100),0.01)))</f>
        <v>-2.0500000000000003</v>
      </c>
      <c r="EC50" s="1485">
        <f t="shared" si="314"/>
        <v>1400</v>
      </c>
      <c r="ED50" s="1485"/>
      <c r="EE50" s="1488"/>
      <c r="EF50" s="1485">
        <f t="shared" si="315"/>
        <v>0</v>
      </c>
      <c r="EG50" s="1485">
        <f t="shared" si="315"/>
        <v>0</v>
      </c>
      <c r="EH50" s="1485">
        <f t="shared" si="315"/>
        <v>0</v>
      </c>
      <c r="EI50" s="1485">
        <f t="shared" si="315"/>
        <v>0</v>
      </c>
      <c r="EJ50" s="1485">
        <f t="shared" si="315"/>
        <v>0</v>
      </c>
      <c r="EK50" s="1485">
        <f t="shared" si="315"/>
        <v>0</v>
      </c>
      <c r="EL50" s="1485">
        <f t="shared" si="315"/>
        <v>0</v>
      </c>
      <c r="EM50" s="1485">
        <f t="shared" si="315"/>
        <v>0</v>
      </c>
      <c r="EN50" s="1485">
        <f t="shared" si="315"/>
        <v>0</v>
      </c>
      <c r="EO50" s="1485">
        <f t="shared" si="315"/>
        <v>0</v>
      </c>
      <c r="EP50" s="1485">
        <f t="shared" si="316"/>
        <v>0</v>
      </c>
      <c r="EQ50" s="1485">
        <f t="shared" si="316"/>
        <v>0</v>
      </c>
      <c r="ER50" s="1485">
        <f t="shared" si="316"/>
        <v>0</v>
      </c>
      <c r="ES50" s="1485">
        <f t="shared" si="316"/>
        <v>0</v>
      </c>
      <c r="ET50" s="1485">
        <f t="shared" si="316"/>
        <v>0</v>
      </c>
      <c r="EU50" s="1485">
        <f t="shared" si="316"/>
        <v>0</v>
      </c>
      <c r="EV50" s="1485">
        <f t="shared" si="316"/>
        <v>0</v>
      </c>
      <c r="EW50" s="1485">
        <f>SUM(((-AW50/50)*CEILING((33/100),0.01)))</f>
        <v>-1.6500000000000001</v>
      </c>
      <c r="EX50" s="1485">
        <f t="shared" si="317"/>
        <v>1225</v>
      </c>
      <c r="EY50" s="1485"/>
      <c r="EZ50" s="1488"/>
      <c r="FA50" s="1485">
        <f t="shared" si="318"/>
        <v>0</v>
      </c>
      <c r="FB50" s="1485">
        <f t="shared" si="318"/>
        <v>0</v>
      </c>
      <c r="FC50" s="1485">
        <f t="shared" si="318"/>
        <v>0</v>
      </c>
      <c r="FD50" s="1485">
        <f t="shared" si="318"/>
        <v>0</v>
      </c>
      <c r="FE50" s="1485">
        <f t="shared" si="318"/>
        <v>0</v>
      </c>
      <c r="FF50" s="1485">
        <f t="shared" si="318"/>
        <v>0</v>
      </c>
      <c r="FG50" s="1485">
        <f t="shared" si="318"/>
        <v>0</v>
      </c>
      <c r="FH50" s="1485">
        <f t="shared" si="318"/>
        <v>0</v>
      </c>
      <c r="FI50" s="1485">
        <f t="shared" si="318"/>
        <v>0</v>
      </c>
      <c r="FJ50" s="1485">
        <f t="shared" si="318"/>
        <v>0</v>
      </c>
      <c r="FK50" s="1485">
        <f t="shared" si="319"/>
        <v>0</v>
      </c>
      <c r="FL50" s="1485">
        <f t="shared" si="319"/>
        <v>0</v>
      </c>
      <c r="FM50" s="1485">
        <f t="shared" si="319"/>
        <v>0</v>
      </c>
      <c r="FN50" s="1485">
        <f t="shared" si="319"/>
        <v>0</v>
      </c>
      <c r="FO50" s="1485">
        <f t="shared" si="319"/>
        <v>0</v>
      </c>
      <c r="FP50" s="1485">
        <f t="shared" si="319"/>
        <v>0</v>
      </c>
      <c r="FQ50" s="1485">
        <f t="shared" si="319"/>
        <v>0</v>
      </c>
      <c r="FR50" s="1485">
        <f>SUM(((-AW50/50)*CEILING((25.5/100),0.01)))</f>
        <v>-1.3</v>
      </c>
      <c r="FS50" s="1485">
        <f t="shared" si="320"/>
        <v>1050</v>
      </c>
      <c r="FT50" s="1485"/>
      <c r="FU50" s="1485" t="e">
        <f t="shared" si="287"/>
        <v>#VALUE!</v>
      </c>
      <c r="FV50" s="1485" t="e">
        <f t="shared" si="288"/>
        <v>#VALUE!</v>
      </c>
      <c r="FW50" s="1485" t="e">
        <f t="shared" si="289"/>
        <v>#VALUE!</v>
      </c>
      <c r="FX50" s="1485" t="e">
        <f t="shared" si="290"/>
        <v>#VALUE!</v>
      </c>
      <c r="FY50" s="1485" t="e">
        <f t="shared" si="291"/>
        <v>#VALUE!</v>
      </c>
      <c r="FZ50" s="1485" t="e">
        <f t="shared" si="292"/>
        <v>#VALUE!</v>
      </c>
      <c r="GA50" s="1485" t="e">
        <f t="shared" si="293"/>
        <v>#VALUE!</v>
      </c>
      <c r="GB50" s="1485" t="e">
        <f t="shared" si="294"/>
        <v>#VALUE!</v>
      </c>
      <c r="GC50" s="1485" t="e">
        <f t="shared" si="295"/>
        <v>#VALUE!</v>
      </c>
      <c r="GD50" s="1485" t="e">
        <f t="shared" si="296"/>
        <v>#VALUE!</v>
      </c>
      <c r="GE50" s="1485" t="e">
        <f t="shared" si="297"/>
        <v>#VALUE!</v>
      </c>
      <c r="GF50" s="1485" t="e">
        <f t="shared" si="298"/>
        <v>#VALUE!</v>
      </c>
      <c r="GG50" s="1485" t="e">
        <f t="shared" si="299"/>
        <v>#VALUE!</v>
      </c>
      <c r="GH50" s="1485" t="e">
        <f t="shared" si="300"/>
        <v>#VALUE!</v>
      </c>
      <c r="GI50" s="1485" t="e">
        <f t="shared" si="301"/>
        <v>#VALUE!</v>
      </c>
      <c r="GJ50" s="1485" t="e">
        <f t="shared" si="302"/>
        <v>#VALUE!</v>
      </c>
      <c r="GK50" s="1485" t="e">
        <f t="shared" si="303"/>
        <v>#VALUE!</v>
      </c>
      <c r="GL50" s="1485" t="e">
        <f t="shared" si="304"/>
        <v>#VALUE!</v>
      </c>
      <c r="GM50" s="1485" t="e">
        <f t="shared" si="305"/>
        <v>#VALUE!</v>
      </c>
    </row>
    <row r="51" spans="1:195" ht="16.5" customHeight="1">
      <c r="A51" s="1631">
        <v>305</v>
      </c>
      <c r="B51" s="1893"/>
      <c r="C51" s="1499" t="s">
        <v>1093</v>
      </c>
      <c r="D51" s="1500"/>
      <c r="E51" s="1501"/>
      <c r="F51" s="1501">
        <f>IF((AC51&lt;10),SUM((AG51+(ROUNDUP((AC51*BB51),2)))),SUM((AG51+(ROUNDUP(((9*BB51)+FW51),2)))))</f>
        <v>25</v>
      </c>
      <c r="G51" s="1501"/>
      <c r="H51" s="1501"/>
      <c r="I51" s="1501"/>
      <c r="J51" s="1501"/>
      <c r="K51" s="1501"/>
      <c r="L51" s="1501"/>
      <c r="M51" s="1501"/>
      <c r="N51" s="1501"/>
      <c r="O51" s="1501"/>
      <c r="P51" s="1501"/>
      <c r="Q51" s="1501"/>
      <c r="R51" s="1502"/>
      <c r="S51" s="1501"/>
      <c r="T51" s="1502"/>
      <c r="U51" s="1502"/>
      <c r="V51" s="1501"/>
      <c r="W51" s="1501">
        <f t="shared" si="280"/>
        <v>17500</v>
      </c>
      <c r="X51" s="1501"/>
      <c r="Y51" s="1501"/>
      <c r="Z51" s="1501"/>
      <c r="AA51" s="1484"/>
      <c r="AB51" s="1485"/>
      <c r="AC51" s="1485">
        <f t="shared" si="30"/>
        <v>0</v>
      </c>
      <c r="AD51" s="1485"/>
      <c r="AE51" s="1486"/>
      <c r="AF51" s="1486"/>
      <c r="AG51" s="1486">
        <v>25</v>
      </c>
      <c r="AH51" s="1486"/>
      <c r="AI51" s="1486"/>
      <c r="AJ51" s="1486"/>
      <c r="AK51" s="1486"/>
      <c r="AL51" s="1486"/>
      <c r="AM51" s="1486"/>
      <c r="AN51" s="1486"/>
      <c r="AO51" s="1486"/>
      <c r="AP51" s="1486"/>
      <c r="AQ51" s="1486"/>
      <c r="AR51" s="1486"/>
      <c r="AS51" s="1487"/>
      <c r="AT51" s="1486"/>
      <c r="AU51" s="1486"/>
      <c r="AV51" s="1486"/>
      <c r="AW51" s="1486"/>
      <c r="AX51" s="1486">
        <v>17500</v>
      </c>
      <c r="AY51" s="1485"/>
      <c r="AZ51" s="1485"/>
      <c r="BA51" s="1485"/>
      <c r="BB51" s="1485">
        <f>SUM((AG51/9))</f>
        <v>2.7777777777777777</v>
      </c>
      <c r="BC51" s="1485"/>
      <c r="BD51" s="1485"/>
      <c r="BE51" s="1486"/>
      <c r="BF51" s="1486"/>
      <c r="BG51" s="1485"/>
      <c r="BH51" s="1485"/>
      <c r="BI51" s="1485"/>
      <c r="BJ51" s="1485"/>
      <c r="BK51" s="1485"/>
      <c r="BL51" s="1485"/>
      <c r="BM51" s="1485"/>
      <c r="BN51" s="1485"/>
      <c r="BO51" s="1485"/>
      <c r="BP51" s="1485"/>
      <c r="BQ51" s="1485"/>
      <c r="BR51" s="1485">
        <f t="shared" si="281"/>
        <v>1944.4444444444443</v>
      </c>
      <c r="BS51" s="1485"/>
      <c r="BT51" s="1488"/>
      <c r="BU51" s="1485">
        <f t="shared" si="306"/>
        <v>0</v>
      </c>
      <c r="BV51" s="1485">
        <f t="shared" si="306"/>
        <v>0</v>
      </c>
      <c r="BW51" s="1485">
        <f t="shared" si="306"/>
        <v>2.5</v>
      </c>
      <c r="BX51" s="1485">
        <f t="shared" si="306"/>
        <v>0</v>
      </c>
      <c r="BY51" s="1485">
        <f t="shared" si="306"/>
        <v>0</v>
      </c>
      <c r="BZ51" s="1485">
        <f t="shared" si="306"/>
        <v>0</v>
      </c>
      <c r="CA51" s="1485">
        <f t="shared" si="306"/>
        <v>0</v>
      </c>
      <c r="CB51" s="1485">
        <f t="shared" si="306"/>
        <v>0</v>
      </c>
      <c r="CC51" s="1485">
        <f t="shared" si="306"/>
        <v>0</v>
      </c>
      <c r="CD51" s="1485">
        <f t="shared" si="306"/>
        <v>0</v>
      </c>
      <c r="CE51" s="1485">
        <f t="shared" si="307"/>
        <v>0</v>
      </c>
      <c r="CF51" s="1485">
        <f t="shared" si="307"/>
        <v>0</v>
      </c>
      <c r="CG51" s="1485">
        <f t="shared" si="307"/>
        <v>0</v>
      </c>
      <c r="CH51" s="1485">
        <f t="shared" si="307"/>
        <v>0</v>
      </c>
      <c r="CI51" s="1485">
        <f t="shared" si="307"/>
        <v>0</v>
      </c>
      <c r="CJ51" s="1485">
        <f t="shared" si="307"/>
        <v>0</v>
      </c>
      <c r="CK51" s="1485">
        <f t="shared" si="307"/>
        <v>0</v>
      </c>
      <c r="CL51" s="1485">
        <f t="shared" ref="CL51:CL65" si="321">SUM(((BQ51*0.9)*1))</f>
        <v>0</v>
      </c>
      <c r="CM51" s="1485">
        <f t="shared" si="308"/>
        <v>1750</v>
      </c>
      <c r="CN51" s="1485"/>
      <c r="CO51" s="1488"/>
      <c r="CP51" s="1485">
        <f t="shared" si="309"/>
        <v>0</v>
      </c>
      <c r="CQ51" s="1485">
        <f t="shared" si="309"/>
        <v>0</v>
      </c>
      <c r="CR51" s="1485">
        <f t="shared" si="309"/>
        <v>2.25</v>
      </c>
      <c r="CS51" s="1485">
        <f t="shared" si="309"/>
        <v>0</v>
      </c>
      <c r="CT51" s="1485">
        <f t="shared" si="309"/>
        <v>0</v>
      </c>
      <c r="CU51" s="1485">
        <f t="shared" si="309"/>
        <v>0</v>
      </c>
      <c r="CV51" s="1485">
        <f t="shared" si="309"/>
        <v>0</v>
      </c>
      <c r="CW51" s="1485">
        <f t="shared" si="309"/>
        <v>0</v>
      </c>
      <c r="CX51" s="1485">
        <f t="shared" si="309"/>
        <v>0</v>
      </c>
      <c r="CY51" s="1485">
        <f t="shared" si="309"/>
        <v>0</v>
      </c>
      <c r="CZ51" s="1485">
        <f t="shared" si="310"/>
        <v>0</v>
      </c>
      <c r="DA51" s="1485">
        <f t="shared" si="310"/>
        <v>0</v>
      </c>
      <c r="DB51" s="1485">
        <f t="shared" si="310"/>
        <v>0</v>
      </c>
      <c r="DC51" s="1485">
        <f t="shared" si="310"/>
        <v>0</v>
      </c>
      <c r="DD51" s="1485">
        <f t="shared" si="310"/>
        <v>0</v>
      </c>
      <c r="DE51" s="1485">
        <f t="shared" si="310"/>
        <v>0</v>
      </c>
      <c r="DF51" s="1485">
        <f t="shared" si="310"/>
        <v>0</v>
      </c>
      <c r="DG51" s="1485">
        <f t="shared" ref="DG51:DG65" si="322">SUM(((BQ51*0.9)*0.9))</f>
        <v>0</v>
      </c>
      <c r="DH51" s="1485">
        <f t="shared" si="311"/>
        <v>1575</v>
      </c>
      <c r="DI51" s="1485"/>
      <c r="DJ51" s="1488"/>
      <c r="DK51" s="1485">
        <f t="shared" si="312"/>
        <v>0</v>
      </c>
      <c r="DL51" s="1485">
        <f t="shared" si="312"/>
        <v>0</v>
      </c>
      <c r="DM51" s="1485">
        <f t="shared" si="312"/>
        <v>2</v>
      </c>
      <c r="DN51" s="1485">
        <f t="shared" si="312"/>
        <v>0</v>
      </c>
      <c r="DO51" s="1485">
        <f t="shared" si="312"/>
        <v>0</v>
      </c>
      <c r="DP51" s="1485">
        <f t="shared" si="312"/>
        <v>0</v>
      </c>
      <c r="DQ51" s="1485">
        <f t="shared" si="312"/>
        <v>0</v>
      </c>
      <c r="DR51" s="1485">
        <f t="shared" si="312"/>
        <v>0</v>
      </c>
      <c r="DS51" s="1485">
        <f t="shared" si="312"/>
        <v>0</v>
      </c>
      <c r="DT51" s="1485">
        <f t="shared" si="312"/>
        <v>0</v>
      </c>
      <c r="DU51" s="1485">
        <f t="shared" si="313"/>
        <v>0</v>
      </c>
      <c r="DV51" s="1485">
        <f t="shared" si="313"/>
        <v>0</v>
      </c>
      <c r="DW51" s="1485">
        <f t="shared" si="313"/>
        <v>0</v>
      </c>
      <c r="DX51" s="1485">
        <f t="shared" si="313"/>
        <v>0</v>
      </c>
      <c r="DY51" s="1485">
        <f t="shared" si="313"/>
        <v>0</v>
      </c>
      <c r="DZ51" s="1485">
        <f t="shared" si="313"/>
        <v>0</v>
      </c>
      <c r="EA51" s="1485">
        <f t="shared" si="313"/>
        <v>0</v>
      </c>
      <c r="EB51" s="1485">
        <f t="shared" ref="EB51:EB65" si="323">SUM(((BQ51*0.9)*0.8))</f>
        <v>0</v>
      </c>
      <c r="EC51" s="1485">
        <f t="shared" si="314"/>
        <v>1400</v>
      </c>
      <c r="ED51" s="1485"/>
      <c r="EE51" s="1488"/>
      <c r="EF51" s="1485">
        <f t="shared" si="315"/>
        <v>0</v>
      </c>
      <c r="EG51" s="1485">
        <f t="shared" si="315"/>
        <v>0</v>
      </c>
      <c r="EH51" s="1485">
        <f t="shared" si="315"/>
        <v>1.75</v>
      </c>
      <c r="EI51" s="1485">
        <f t="shared" si="315"/>
        <v>0</v>
      </c>
      <c r="EJ51" s="1485">
        <f t="shared" si="315"/>
        <v>0</v>
      </c>
      <c r="EK51" s="1485">
        <f t="shared" si="315"/>
        <v>0</v>
      </c>
      <c r="EL51" s="1485">
        <f t="shared" si="315"/>
        <v>0</v>
      </c>
      <c r="EM51" s="1485">
        <f t="shared" si="315"/>
        <v>0</v>
      </c>
      <c r="EN51" s="1485">
        <f t="shared" si="315"/>
        <v>0</v>
      </c>
      <c r="EO51" s="1485">
        <f t="shared" si="315"/>
        <v>0</v>
      </c>
      <c r="EP51" s="1485">
        <f t="shared" si="316"/>
        <v>0</v>
      </c>
      <c r="EQ51" s="1485">
        <f t="shared" si="316"/>
        <v>0</v>
      </c>
      <c r="ER51" s="1485">
        <f t="shared" si="316"/>
        <v>0</v>
      </c>
      <c r="ES51" s="1485">
        <f t="shared" si="316"/>
        <v>0</v>
      </c>
      <c r="ET51" s="1485">
        <f t="shared" si="316"/>
        <v>0</v>
      </c>
      <c r="EU51" s="1485">
        <f t="shared" si="316"/>
        <v>0</v>
      </c>
      <c r="EV51" s="1485">
        <f t="shared" si="316"/>
        <v>0</v>
      </c>
      <c r="EW51" s="1485">
        <f t="shared" ref="EW51:EW65" si="324">SUM(((BQ51*0.9)*0.7))</f>
        <v>0</v>
      </c>
      <c r="EX51" s="1485">
        <f t="shared" si="317"/>
        <v>1225</v>
      </c>
      <c r="EY51" s="1485"/>
      <c r="EZ51" s="1488"/>
      <c r="FA51" s="1485">
        <f t="shared" si="318"/>
        <v>0</v>
      </c>
      <c r="FB51" s="1485">
        <f t="shared" si="318"/>
        <v>0</v>
      </c>
      <c r="FC51" s="1485">
        <f t="shared" si="318"/>
        <v>1.5</v>
      </c>
      <c r="FD51" s="1485">
        <f t="shared" si="318"/>
        <v>0</v>
      </c>
      <c r="FE51" s="1485">
        <f t="shared" si="318"/>
        <v>0</v>
      </c>
      <c r="FF51" s="1485">
        <f t="shared" si="318"/>
        <v>0</v>
      </c>
      <c r="FG51" s="1485">
        <f t="shared" si="318"/>
        <v>0</v>
      </c>
      <c r="FH51" s="1485">
        <f t="shared" si="318"/>
        <v>0</v>
      </c>
      <c r="FI51" s="1485">
        <f t="shared" si="318"/>
        <v>0</v>
      </c>
      <c r="FJ51" s="1485">
        <f t="shared" si="318"/>
        <v>0</v>
      </c>
      <c r="FK51" s="1485">
        <f t="shared" si="319"/>
        <v>0</v>
      </c>
      <c r="FL51" s="1485">
        <f t="shared" si="319"/>
        <v>0</v>
      </c>
      <c r="FM51" s="1485">
        <f t="shared" si="319"/>
        <v>0</v>
      </c>
      <c r="FN51" s="1485">
        <f t="shared" si="319"/>
        <v>0</v>
      </c>
      <c r="FO51" s="1485">
        <f t="shared" si="319"/>
        <v>0</v>
      </c>
      <c r="FP51" s="1485">
        <f t="shared" si="319"/>
        <v>0</v>
      </c>
      <c r="FQ51" s="1485">
        <f t="shared" si="319"/>
        <v>0</v>
      </c>
      <c r="FR51" s="1485">
        <f t="shared" ref="FR51:FR65" si="325">SUM(((BQ51*0.9)*0.6))</f>
        <v>0</v>
      </c>
      <c r="FS51" s="1485">
        <f t="shared" si="320"/>
        <v>1050</v>
      </c>
      <c r="FT51" s="1485"/>
      <c r="FU51" s="1485" t="e">
        <f t="shared" si="287"/>
        <v>#VALUE!</v>
      </c>
      <c r="FV51" s="1485" t="e">
        <f t="shared" si="288"/>
        <v>#VALUE!</v>
      </c>
      <c r="FW51" s="1485" t="e">
        <f t="shared" si="289"/>
        <v>#VALUE!</v>
      </c>
      <c r="FX51" s="1485" t="e">
        <f t="shared" si="290"/>
        <v>#VALUE!</v>
      </c>
      <c r="FY51" s="1485" t="e">
        <f t="shared" si="291"/>
        <v>#VALUE!</v>
      </c>
      <c r="FZ51" s="1485" t="e">
        <f t="shared" si="292"/>
        <v>#VALUE!</v>
      </c>
      <c r="GA51" s="1485" t="e">
        <f t="shared" si="293"/>
        <v>#VALUE!</v>
      </c>
      <c r="GB51" s="1485" t="e">
        <f t="shared" si="294"/>
        <v>#VALUE!</v>
      </c>
      <c r="GC51" s="1485" t="e">
        <f t="shared" si="295"/>
        <v>#VALUE!</v>
      </c>
      <c r="GD51" s="1485" t="e">
        <f t="shared" si="296"/>
        <v>#VALUE!</v>
      </c>
      <c r="GE51" s="1485" t="e">
        <f t="shared" si="297"/>
        <v>#VALUE!</v>
      </c>
      <c r="GF51" s="1485" t="e">
        <f t="shared" si="298"/>
        <v>#VALUE!</v>
      </c>
      <c r="GG51" s="1485" t="e">
        <f t="shared" si="299"/>
        <v>#VALUE!</v>
      </c>
      <c r="GH51" s="1485" t="e">
        <f t="shared" si="300"/>
        <v>#VALUE!</v>
      </c>
      <c r="GI51" s="1485" t="e">
        <f t="shared" si="301"/>
        <v>#VALUE!</v>
      </c>
      <c r="GJ51" s="1485" t="e">
        <f t="shared" si="302"/>
        <v>#VALUE!</v>
      </c>
      <c r="GK51" s="1485" t="e">
        <f t="shared" si="303"/>
        <v>#VALUE!</v>
      </c>
      <c r="GL51" s="1485" t="e">
        <f t="shared" si="304"/>
        <v>#VALUE!</v>
      </c>
      <c r="GM51" s="1485" t="e">
        <f t="shared" si="305"/>
        <v>#VALUE!</v>
      </c>
    </row>
    <row r="52" spans="1:195" ht="16.5" customHeight="1">
      <c r="A52" s="1631">
        <v>306</v>
      </c>
      <c r="B52" s="1893"/>
      <c r="C52" s="1499" t="s">
        <v>1094</v>
      </c>
      <c r="D52" s="1496"/>
      <c r="E52" s="1497"/>
      <c r="F52" s="1497"/>
      <c r="G52" s="1497"/>
      <c r="H52" s="1497"/>
      <c r="I52" s="1497"/>
      <c r="J52" s="1497"/>
      <c r="K52" s="1497"/>
      <c r="L52" s="1497"/>
      <c r="M52" s="1497"/>
      <c r="N52" s="1497"/>
      <c r="O52" s="1497"/>
      <c r="P52" s="1497"/>
      <c r="Q52" s="1497" t="str">
        <f>AR52</f>
        <v>Ignore</v>
      </c>
      <c r="R52" s="1498"/>
      <c r="S52" s="1497"/>
      <c r="T52" s="1498"/>
      <c r="U52" s="1498">
        <f>IF((AC52&lt;10),SUM((AV52+(ROUNDUP((AC52*BP52),2)))),SUM((AV52+(ROUNDUP(((9*BP52)+GK52),2)))))</f>
        <v>120</v>
      </c>
      <c r="V52" s="1497">
        <f>IF((AC52&lt;10),SUM((AW52+(ROUNDUP((AC52*BQ52),2)))),SUM((AW52+(ROUNDUP(((9*BQ52)+GL52),2)))))</f>
        <v>500</v>
      </c>
      <c r="W52" s="1497">
        <f t="shared" si="280"/>
        <v>17500</v>
      </c>
      <c r="X52" s="1497"/>
      <c r="Y52" s="1497"/>
      <c r="Z52" s="1497"/>
      <c r="AA52" s="1484"/>
      <c r="AB52" s="1485"/>
      <c r="AC52" s="1485">
        <f t="shared" si="30"/>
        <v>0</v>
      </c>
      <c r="AD52" s="1485"/>
      <c r="AE52" s="1486"/>
      <c r="AF52" s="1486">
        <v>0</v>
      </c>
      <c r="AG52" s="1486"/>
      <c r="AH52" s="1486"/>
      <c r="AI52" s="1486"/>
      <c r="AJ52" s="1486"/>
      <c r="AK52" s="1486"/>
      <c r="AL52" s="1486"/>
      <c r="AM52" s="1486"/>
      <c r="AN52" s="1486"/>
      <c r="AO52" s="1486"/>
      <c r="AP52" s="1486"/>
      <c r="AQ52" s="1486"/>
      <c r="AR52" s="1486" t="s">
        <v>285</v>
      </c>
      <c r="AS52" s="1487"/>
      <c r="AT52" s="1486"/>
      <c r="AU52" s="1486">
        <v>0</v>
      </c>
      <c r="AV52" s="1486">
        <v>120</v>
      </c>
      <c r="AW52" s="1486">
        <v>500</v>
      </c>
      <c r="AX52" s="1486">
        <v>17500</v>
      </c>
      <c r="AY52" s="1485"/>
      <c r="AZ52" s="1485"/>
      <c r="BA52" s="1485"/>
      <c r="BB52" s="1485"/>
      <c r="BC52" s="1485"/>
      <c r="BD52" s="1485"/>
      <c r="BE52" s="1486"/>
      <c r="BF52" s="1486"/>
      <c r="BG52" s="1485"/>
      <c r="BH52" s="1485"/>
      <c r="BI52" s="1485"/>
      <c r="BJ52" s="1485"/>
      <c r="BK52" s="1485"/>
      <c r="BL52" s="1485"/>
      <c r="BM52" s="1485"/>
      <c r="BN52" s="1485"/>
      <c r="BO52" s="1485"/>
      <c r="BP52" s="1485">
        <f>SUM((-AV52/18))</f>
        <v>-6.666666666666667</v>
      </c>
      <c r="BQ52" s="1485"/>
      <c r="BR52" s="1485">
        <f t="shared" si="281"/>
        <v>1944.4444444444443</v>
      </c>
      <c r="BS52" s="1485"/>
      <c r="BT52" s="1503">
        <v>2.33</v>
      </c>
      <c r="BU52" s="1485">
        <f t="shared" ref="BU52:BU65" si="326">SUM(((AZ52*0.9)*1))</f>
        <v>0</v>
      </c>
      <c r="BV52" s="1485">
        <f t="shared" ref="BV52:BV65" si="327">SUM(((BA52*0.9)*1))</f>
        <v>0</v>
      </c>
      <c r="BW52" s="1485">
        <f t="shared" ref="BW52:BW65" si="328">SUM(((BB52*0.9)*1))</f>
        <v>0</v>
      </c>
      <c r="BX52" s="1485">
        <f t="shared" ref="BX52:BX65" si="329">SUM(((BC52*0.9)*1))</f>
        <v>0</v>
      </c>
      <c r="BY52" s="1485">
        <f t="shared" ref="BY52:BY65" si="330">SUM(((BD52*0.9)*1))</f>
        <v>0</v>
      </c>
      <c r="BZ52" s="1485">
        <f t="shared" ref="BZ52:BZ65" si="331">SUM(((BE52*0.9)*1))</f>
        <v>0</v>
      </c>
      <c r="CA52" s="1485">
        <f t="shared" ref="CA52:CA65" si="332">SUM(((BF52*0.9)*1))</f>
        <v>0</v>
      </c>
      <c r="CB52" s="1485">
        <f t="shared" ref="CB52:CB65" si="333">SUM(((BG52*0.9)*1))</f>
        <v>0</v>
      </c>
      <c r="CC52" s="1485">
        <f t="shared" ref="CC52:CC65" si="334">SUM(((BH52*0.9)*1))</f>
        <v>0</v>
      </c>
      <c r="CD52" s="1485">
        <f t="shared" ref="CD52:CD65" si="335">SUM(((BI52*0.9)*1))</f>
        <v>0</v>
      </c>
      <c r="CE52" s="1485">
        <f t="shared" ref="CE52:CE65" si="336">SUM(((BJ52*0.9)*1))</f>
        <v>0</v>
      </c>
      <c r="CF52" s="1485">
        <f t="shared" ref="CF52:CF65" si="337">SUM(((BK52*0.9)*1))</f>
        <v>0</v>
      </c>
      <c r="CG52" s="1485">
        <f t="shared" ref="CG52:CG65" si="338">SUM(((BL52*0.9)*1))</f>
        <v>0</v>
      </c>
      <c r="CH52" s="1485">
        <f t="shared" ref="CH52:CH65" si="339">SUM(((BM52*0.9)*1))</f>
        <v>0</v>
      </c>
      <c r="CI52" s="1485">
        <f t="shared" ref="CI52:CI65" si="340">SUM(((BN52*0.9)*1))</f>
        <v>0</v>
      </c>
      <c r="CJ52" s="1485">
        <f t="shared" ref="CJ52:CJ65" si="341">SUM(((BO52*0.9)*1))</f>
        <v>0</v>
      </c>
      <c r="CK52" s="1503">
        <f>SUM(ROUND((BP52/BT52),2))</f>
        <v>-2.86</v>
      </c>
      <c r="CL52" s="1485">
        <f t="shared" si="321"/>
        <v>0</v>
      </c>
      <c r="CM52" s="1485">
        <f t="shared" si="308"/>
        <v>1750</v>
      </c>
      <c r="CN52" s="1485"/>
      <c r="CO52" s="1503">
        <v>2.84</v>
      </c>
      <c r="CP52" s="1485">
        <f t="shared" ref="CP52:CP65" si="342">SUM(((AZ52*0.9)*0.9))</f>
        <v>0</v>
      </c>
      <c r="CQ52" s="1485">
        <f t="shared" ref="CQ52:CQ65" si="343">SUM(((BA52*0.9)*0.9))</f>
        <v>0</v>
      </c>
      <c r="CR52" s="1485">
        <f t="shared" ref="CR52:CR65" si="344">SUM(((BB52*0.9)*0.9))</f>
        <v>0</v>
      </c>
      <c r="CS52" s="1485">
        <f t="shared" ref="CS52:CS65" si="345">SUM(((BC52*0.9)*0.9))</f>
        <v>0</v>
      </c>
      <c r="CT52" s="1485">
        <f t="shared" ref="CT52:CT65" si="346">SUM(((BD52*0.9)*0.9))</f>
        <v>0</v>
      </c>
      <c r="CU52" s="1485">
        <f t="shared" ref="CU52:CU65" si="347">SUM(((BE52*0.9)*0.9))</f>
        <v>0</v>
      </c>
      <c r="CV52" s="1485">
        <f t="shared" ref="CV52:CV65" si="348">SUM(((BF52*0.9)*0.9))</f>
        <v>0</v>
      </c>
      <c r="CW52" s="1485">
        <f t="shared" ref="CW52:CW65" si="349">SUM(((BG52*0.9)*0.9))</f>
        <v>0</v>
      </c>
      <c r="CX52" s="1485">
        <f t="shared" ref="CX52:CX65" si="350">SUM(((BH52*0.9)*0.9))</f>
        <v>0</v>
      </c>
      <c r="CY52" s="1485">
        <f t="shared" ref="CY52:CY65" si="351">SUM(((BI52*0.9)*0.9))</f>
        <v>0</v>
      </c>
      <c r="CZ52" s="1485">
        <f t="shared" ref="CZ52:CZ65" si="352">SUM(((BJ52*0.9)*0.9))</f>
        <v>0</v>
      </c>
      <c r="DA52" s="1485">
        <f t="shared" ref="DA52:DA65" si="353">SUM(((BK52*0.9)*0.9))</f>
        <v>0</v>
      </c>
      <c r="DB52" s="1485">
        <f t="shared" ref="DB52:DB65" si="354">SUM(((BL52*0.9)*0.9))</f>
        <v>0</v>
      </c>
      <c r="DC52" s="1485">
        <f t="shared" ref="DC52:DC65" si="355">SUM(((BM52*0.9)*0.9))</f>
        <v>0</v>
      </c>
      <c r="DD52" s="1485">
        <f t="shared" ref="DD52:DD65" si="356">SUM(((BN52*0.9)*0.9))</f>
        <v>0</v>
      </c>
      <c r="DE52" s="1485">
        <f t="shared" ref="DE52:DE65" si="357">SUM(((BO52*0.9)*0.9))</f>
        <v>0</v>
      </c>
      <c r="DF52" s="1503">
        <f>SUM(ROUND((BP52/CO52),2))</f>
        <v>-2.35</v>
      </c>
      <c r="DG52" s="1485">
        <f t="shared" si="322"/>
        <v>0</v>
      </c>
      <c r="DH52" s="1485">
        <f t="shared" si="311"/>
        <v>1575</v>
      </c>
      <c r="DI52" s="1485"/>
      <c r="DJ52" s="1503">
        <v>3.45</v>
      </c>
      <c r="DK52" s="1485">
        <f t="shared" ref="DK52:DK65" si="358">SUM(((AZ52*0.9)*0.8))</f>
        <v>0</v>
      </c>
      <c r="DL52" s="1485">
        <f t="shared" ref="DL52:DL65" si="359">SUM(((BA52*0.9)*0.8))</f>
        <v>0</v>
      </c>
      <c r="DM52" s="1485">
        <f t="shared" ref="DM52:DM65" si="360">SUM(((BB52*0.9)*0.8))</f>
        <v>0</v>
      </c>
      <c r="DN52" s="1485">
        <f t="shared" ref="DN52:DN65" si="361">SUM(((BC52*0.9)*0.8))</f>
        <v>0</v>
      </c>
      <c r="DO52" s="1485">
        <f t="shared" ref="DO52:DO65" si="362">SUM(((BD52*0.9)*0.8))</f>
        <v>0</v>
      </c>
      <c r="DP52" s="1485">
        <f t="shared" ref="DP52:DP65" si="363">SUM(((BE52*0.9)*0.8))</f>
        <v>0</v>
      </c>
      <c r="DQ52" s="1485">
        <f t="shared" ref="DQ52:DQ65" si="364">SUM(((BF52*0.9)*0.8))</f>
        <v>0</v>
      </c>
      <c r="DR52" s="1485">
        <f t="shared" ref="DR52:DR65" si="365">SUM(((BG52*0.9)*0.8))</f>
        <v>0</v>
      </c>
      <c r="DS52" s="1485">
        <f t="shared" ref="DS52:DS65" si="366">SUM(((BH52*0.9)*0.8))</f>
        <v>0</v>
      </c>
      <c r="DT52" s="1485">
        <f t="shared" ref="DT52:DT65" si="367">SUM(((BI52*0.9)*0.8))</f>
        <v>0</v>
      </c>
      <c r="DU52" s="1485">
        <f t="shared" ref="DU52:DU65" si="368">SUM(((BJ52*0.9)*0.8))</f>
        <v>0</v>
      </c>
      <c r="DV52" s="1485">
        <f t="shared" ref="DV52:DV65" si="369">SUM(((BK52*0.9)*0.8))</f>
        <v>0</v>
      </c>
      <c r="DW52" s="1485">
        <f t="shared" ref="DW52:DW65" si="370">SUM(((BL52*0.9)*0.8))</f>
        <v>0</v>
      </c>
      <c r="DX52" s="1485">
        <f t="shared" ref="DX52:DX65" si="371">SUM(((BM52*0.9)*0.8))</f>
        <v>0</v>
      </c>
      <c r="DY52" s="1485">
        <f t="shared" ref="DY52:DY65" si="372">SUM(((BN52*0.9)*0.8))</f>
        <v>0</v>
      </c>
      <c r="DZ52" s="1485">
        <f t="shared" ref="DZ52:DZ65" si="373">SUM(((BO52*0.9)*0.8))</f>
        <v>0</v>
      </c>
      <c r="EA52" s="1503">
        <f>SUM(ROUND((BP52/DJ52),2))</f>
        <v>-1.93</v>
      </c>
      <c r="EB52" s="1485">
        <f t="shared" si="323"/>
        <v>0</v>
      </c>
      <c r="EC52" s="1485">
        <f t="shared" si="314"/>
        <v>1400</v>
      </c>
      <c r="ED52" s="1485"/>
      <c r="EE52" s="1503">
        <v>4.2300000000000004</v>
      </c>
      <c r="EF52" s="1485">
        <f t="shared" ref="EF52:EF65" si="374">SUM(((AZ52*0.9)*0.7))</f>
        <v>0</v>
      </c>
      <c r="EG52" s="1485">
        <f t="shared" ref="EG52:EG65" si="375">SUM(((BA52*0.9)*0.7))</f>
        <v>0</v>
      </c>
      <c r="EH52" s="1485">
        <f t="shared" ref="EH52:EH65" si="376">SUM(((BB52*0.9)*0.7))</f>
        <v>0</v>
      </c>
      <c r="EI52" s="1485">
        <f t="shared" ref="EI52:EI65" si="377">SUM(((BC52*0.9)*0.7))</f>
        <v>0</v>
      </c>
      <c r="EJ52" s="1485">
        <f t="shared" ref="EJ52:EJ65" si="378">SUM(((BD52*0.9)*0.7))</f>
        <v>0</v>
      </c>
      <c r="EK52" s="1485">
        <f t="shared" ref="EK52:EK65" si="379">SUM(((BE52*0.9)*0.7))</f>
        <v>0</v>
      </c>
      <c r="EL52" s="1485">
        <f t="shared" ref="EL52:EL65" si="380">SUM(((BF52*0.9)*0.7))</f>
        <v>0</v>
      </c>
      <c r="EM52" s="1485">
        <f t="shared" ref="EM52:EM65" si="381">SUM(((BG52*0.9)*0.7))</f>
        <v>0</v>
      </c>
      <c r="EN52" s="1485">
        <f t="shared" ref="EN52:EN65" si="382">SUM(((BH52*0.9)*0.7))</f>
        <v>0</v>
      </c>
      <c r="EO52" s="1485">
        <f t="shared" ref="EO52:EO65" si="383">SUM(((BI52*0.9)*0.7))</f>
        <v>0</v>
      </c>
      <c r="EP52" s="1485">
        <f t="shared" ref="EP52:EP65" si="384">SUM(((BJ52*0.9)*0.7))</f>
        <v>0</v>
      </c>
      <c r="EQ52" s="1485">
        <f t="shared" ref="EQ52:EQ65" si="385">SUM(((BK52*0.9)*0.7))</f>
        <v>0</v>
      </c>
      <c r="ER52" s="1485">
        <f t="shared" ref="ER52:ER65" si="386">SUM(((BL52*0.9)*0.7))</f>
        <v>0</v>
      </c>
      <c r="ES52" s="1485">
        <f t="shared" ref="ES52:ES65" si="387">SUM(((BM52*0.9)*0.7))</f>
        <v>0</v>
      </c>
      <c r="ET52" s="1485">
        <f t="shared" ref="ET52:ET65" si="388">SUM(((BN52*0.9)*0.7))</f>
        <v>0</v>
      </c>
      <c r="EU52" s="1485">
        <f t="shared" ref="EU52:EU65" si="389">SUM(((BO52*0.9)*0.7))</f>
        <v>0</v>
      </c>
      <c r="EV52" s="1503">
        <f>SUM(ROUND((BP52/EE52),2))</f>
        <v>-1.58</v>
      </c>
      <c r="EW52" s="1485">
        <f t="shared" si="324"/>
        <v>0</v>
      </c>
      <c r="EX52" s="1485">
        <f t="shared" si="317"/>
        <v>1225</v>
      </c>
      <c r="EY52" s="1485"/>
      <c r="EZ52" s="1503">
        <v>5.2</v>
      </c>
      <c r="FA52" s="1485">
        <f t="shared" ref="FA52:FA65" si="390">SUM(((AZ52*0.9)*0.6))</f>
        <v>0</v>
      </c>
      <c r="FB52" s="1485">
        <f t="shared" ref="FB52:FB65" si="391">SUM(((BA52*0.9)*0.6))</f>
        <v>0</v>
      </c>
      <c r="FC52" s="1485">
        <f t="shared" ref="FC52:FC65" si="392">SUM(((BB52*0.9)*0.6))</f>
        <v>0</v>
      </c>
      <c r="FD52" s="1485">
        <f t="shared" ref="FD52:FD65" si="393">SUM(((BC52*0.9)*0.6))</f>
        <v>0</v>
      </c>
      <c r="FE52" s="1485">
        <f t="shared" ref="FE52:FE65" si="394">SUM(((BD52*0.9)*0.6))</f>
        <v>0</v>
      </c>
      <c r="FF52" s="1485">
        <f t="shared" ref="FF52:FF65" si="395">SUM(((BE52*0.9)*0.6))</f>
        <v>0</v>
      </c>
      <c r="FG52" s="1485">
        <f t="shared" ref="FG52:FG65" si="396">SUM(((BF52*0.9)*0.6))</f>
        <v>0</v>
      </c>
      <c r="FH52" s="1485">
        <f t="shared" ref="FH52:FH65" si="397">SUM(((BG52*0.9)*0.6))</f>
        <v>0</v>
      </c>
      <c r="FI52" s="1485">
        <f t="shared" ref="FI52:FI65" si="398">SUM(((BH52*0.9)*0.6))</f>
        <v>0</v>
      </c>
      <c r="FJ52" s="1485">
        <f t="shared" ref="FJ52:FJ65" si="399">SUM(((BI52*0.9)*0.6))</f>
        <v>0</v>
      </c>
      <c r="FK52" s="1485">
        <f t="shared" ref="FK52:FK65" si="400">SUM(((BJ52*0.9)*0.6))</f>
        <v>0</v>
      </c>
      <c r="FL52" s="1485">
        <f t="shared" ref="FL52:FL65" si="401">SUM(((BK52*0.9)*0.6))</f>
        <v>0</v>
      </c>
      <c r="FM52" s="1485">
        <f t="shared" ref="FM52:FM65" si="402">SUM(((BL52*0.9)*0.6))</f>
        <v>0</v>
      </c>
      <c r="FN52" s="1485">
        <f t="shared" ref="FN52:FN65" si="403">SUM(((BM52*0.9)*0.6))</f>
        <v>0</v>
      </c>
      <c r="FO52" s="1485">
        <f t="shared" ref="FO52:FO65" si="404">SUM(((BN52*0.9)*0.6))</f>
        <v>0</v>
      </c>
      <c r="FP52" s="1485">
        <f t="shared" ref="FP52:FP65" si="405">SUM(((BO52*0.9)*0.6))</f>
        <v>0</v>
      </c>
      <c r="FQ52" s="1503">
        <f>SUM(ROUND((BP52/EZ52),2))</f>
        <v>-1.28</v>
      </c>
      <c r="FR52" s="1485">
        <f t="shared" si="325"/>
        <v>0</v>
      </c>
      <c r="FS52" s="1485">
        <f t="shared" si="320"/>
        <v>1050</v>
      </c>
      <c r="FT52" s="1485"/>
      <c r="FU52" s="1485" t="e">
        <f t="shared" si="287"/>
        <v>#VALUE!</v>
      </c>
      <c r="FV52" s="1485" t="e">
        <f t="shared" si="288"/>
        <v>#VALUE!</v>
      </c>
      <c r="FW52" s="1485" t="e">
        <f t="shared" si="289"/>
        <v>#VALUE!</v>
      </c>
      <c r="FX52" s="1485" t="e">
        <f t="shared" si="290"/>
        <v>#VALUE!</v>
      </c>
      <c r="FY52" s="1485" t="e">
        <f t="shared" si="291"/>
        <v>#VALUE!</v>
      </c>
      <c r="FZ52" s="1485" t="e">
        <f t="shared" si="292"/>
        <v>#VALUE!</v>
      </c>
      <c r="GA52" s="1485" t="e">
        <f t="shared" si="293"/>
        <v>#VALUE!</v>
      </c>
      <c r="GB52" s="1485" t="e">
        <f t="shared" si="294"/>
        <v>#VALUE!</v>
      </c>
      <c r="GC52" s="1485" t="e">
        <f t="shared" si="295"/>
        <v>#VALUE!</v>
      </c>
      <c r="GD52" s="1485" t="e">
        <f t="shared" si="296"/>
        <v>#VALUE!</v>
      </c>
      <c r="GE52" s="1485" t="e">
        <f t="shared" si="297"/>
        <v>#VALUE!</v>
      </c>
      <c r="GF52" s="1485" t="e">
        <f t="shared" si="298"/>
        <v>#VALUE!</v>
      </c>
      <c r="GG52" s="1485" t="e">
        <f t="shared" si="299"/>
        <v>#VALUE!</v>
      </c>
      <c r="GH52" s="1485" t="e">
        <f t="shared" si="300"/>
        <v>#VALUE!</v>
      </c>
      <c r="GI52" s="1485" t="e">
        <f t="shared" si="301"/>
        <v>#VALUE!</v>
      </c>
      <c r="GJ52" s="1485" t="e">
        <f t="shared" si="302"/>
        <v>#VALUE!</v>
      </c>
      <c r="GK52" s="1485" t="e">
        <f t="shared" si="303"/>
        <v>#VALUE!</v>
      </c>
      <c r="GL52" s="1485" t="e">
        <f t="shared" si="304"/>
        <v>#VALUE!</v>
      </c>
      <c r="GM52" s="1485" t="e">
        <f t="shared" si="305"/>
        <v>#VALUE!</v>
      </c>
    </row>
    <row r="53" spans="1:195" ht="16.5" customHeight="1">
      <c r="A53" s="1631">
        <v>307</v>
      </c>
      <c r="B53" s="1893"/>
      <c r="C53" s="1499" t="s">
        <v>1095</v>
      </c>
      <c r="D53" s="1500"/>
      <c r="E53" s="1501"/>
      <c r="F53" s="1501"/>
      <c r="G53" s="1501">
        <f>IF((AC53&lt;10),SUM((AH53+(ROUNDUP((AC53*BC53),2)))),SUM((AH53+(ROUNDUP(((9*BC53)+FX53),2)))))</f>
        <v>105</v>
      </c>
      <c r="H53" s="1501"/>
      <c r="I53" s="1501"/>
      <c r="J53" s="1501"/>
      <c r="K53" s="1501"/>
      <c r="L53" s="1501"/>
      <c r="M53" s="1501"/>
      <c r="N53" s="1501"/>
      <c r="O53" s="1501"/>
      <c r="P53" s="1501"/>
      <c r="Q53" s="1501"/>
      <c r="R53" s="1502"/>
      <c r="S53" s="1501"/>
      <c r="T53" s="1502"/>
      <c r="U53" s="1502">
        <f>IF((AC53&lt;10),SUM((AV53+(ROUNDUP((AC53*BP53),2)))),SUM((AV53+(ROUNDUP(((9*BP53)+GK53),2)))))</f>
        <v>60</v>
      </c>
      <c r="V53" s="1501">
        <f>IF((AC53&lt;10),SUM((AW53+(ROUNDUP((AC53*BQ53),2)))),SUM((AW53+(ROUNDUP(((9*BQ53)+GL53),2)))))</f>
        <v>5</v>
      </c>
      <c r="W53" s="1501">
        <f t="shared" si="280"/>
        <v>17500</v>
      </c>
      <c r="X53" s="1501"/>
      <c r="Y53" s="1501"/>
      <c r="Z53" s="1501"/>
      <c r="AA53" s="1484"/>
      <c r="AB53" s="1485"/>
      <c r="AC53" s="1485">
        <f t="shared" si="30"/>
        <v>0</v>
      </c>
      <c r="AD53" s="1485"/>
      <c r="AE53" s="1486"/>
      <c r="AF53" s="1486"/>
      <c r="AG53" s="1486"/>
      <c r="AH53" s="1486">
        <v>105</v>
      </c>
      <c r="AI53" s="1486"/>
      <c r="AJ53" s="1486"/>
      <c r="AK53" s="1486"/>
      <c r="AL53" s="1486"/>
      <c r="AM53" s="1486"/>
      <c r="AN53" s="1486"/>
      <c r="AO53" s="1486"/>
      <c r="AP53" s="1486"/>
      <c r="AQ53" s="1486"/>
      <c r="AR53" s="1486"/>
      <c r="AS53" s="1487"/>
      <c r="AT53" s="1486"/>
      <c r="AU53" s="1486"/>
      <c r="AV53" s="1486">
        <v>60</v>
      </c>
      <c r="AW53" s="1486">
        <v>5</v>
      </c>
      <c r="AX53" s="1486">
        <v>17500</v>
      </c>
      <c r="AY53" s="1485"/>
      <c r="AZ53" s="1485"/>
      <c r="BA53" s="1485"/>
      <c r="BB53" s="1485"/>
      <c r="BC53" s="1485"/>
      <c r="BD53" s="1485"/>
      <c r="BE53" s="1486"/>
      <c r="BF53" s="1486"/>
      <c r="BG53" s="1485"/>
      <c r="BH53" s="1485"/>
      <c r="BI53" s="1485"/>
      <c r="BJ53" s="1485"/>
      <c r="BK53" s="1485"/>
      <c r="BL53" s="1485"/>
      <c r="BM53" s="1485"/>
      <c r="BN53" s="1485"/>
      <c r="BO53" s="1485"/>
      <c r="BP53" s="1485">
        <f>SUM((-AV53/18))</f>
        <v>-3.3333333333333335</v>
      </c>
      <c r="BQ53" s="1485"/>
      <c r="BR53" s="1485">
        <f t="shared" si="281"/>
        <v>1944.4444444444443</v>
      </c>
      <c r="BS53" s="1485"/>
      <c r="BT53" s="1503">
        <v>2.33</v>
      </c>
      <c r="BU53" s="1485">
        <f t="shared" si="326"/>
        <v>0</v>
      </c>
      <c r="BV53" s="1485">
        <f t="shared" si="327"/>
        <v>0</v>
      </c>
      <c r="BW53" s="1485">
        <f t="shared" si="328"/>
        <v>0</v>
      </c>
      <c r="BX53" s="1485">
        <f t="shared" si="329"/>
        <v>0</v>
      </c>
      <c r="BY53" s="1485">
        <f t="shared" si="330"/>
        <v>0</v>
      </c>
      <c r="BZ53" s="1485">
        <f t="shared" si="331"/>
        <v>0</v>
      </c>
      <c r="CA53" s="1485">
        <f t="shared" si="332"/>
        <v>0</v>
      </c>
      <c r="CB53" s="1485">
        <f t="shared" si="333"/>
        <v>0</v>
      </c>
      <c r="CC53" s="1485">
        <f t="shared" si="334"/>
        <v>0</v>
      </c>
      <c r="CD53" s="1485">
        <f t="shared" si="335"/>
        <v>0</v>
      </c>
      <c r="CE53" s="1485">
        <f t="shared" si="336"/>
        <v>0</v>
      </c>
      <c r="CF53" s="1485">
        <f t="shared" si="337"/>
        <v>0</v>
      </c>
      <c r="CG53" s="1485">
        <f t="shared" si="338"/>
        <v>0</v>
      </c>
      <c r="CH53" s="1485">
        <f t="shared" si="339"/>
        <v>0</v>
      </c>
      <c r="CI53" s="1485">
        <f t="shared" si="340"/>
        <v>0</v>
      </c>
      <c r="CJ53" s="1485">
        <f t="shared" si="341"/>
        <v>0</v>
      </c>
      <c r="CK53" s="1503">
        <f>SUM(ROUND((BP53/BT53),2))</f>
        <v>-1.43</v>
      </c>
      <c r="CL53" s="1485">
        <f t="shared" si="321"/>
        <v>0</v>
      </c>
      <c r="CM53" s="1485">
        <f t="shared" si="308"/>
        <v>1750</v>
      </c>
      <c r="CN53" s="1485"/>
      <c r="CO53" s="1503">
        <v>2.84</v>
      </c>
      <c r="CP53" s="1485">
        <f t="shared" si="342"/>
        <v>0</v>
      </c>
      <c r="CQ53" s="1485">
        <f t="shared" si="343"/>
        <v>0</v>
      </c>
      <c r="CR53" s="1485">
        <f t="shared" si="344"/>
        <v>0</v>
      </c>
      <c r="CS53" s="1485">
        <f t="shared" si="345"/>
        <v>0</v>
      </c>
      <c r="CT53" s="1485">
        <f t="shared" si="346"/>
        <v>0</v>
      </c>
      <c r="CU53" s="1485">
        <f t="shared" si="347"/>
        <v>0</v>
      </c>
      <c r="CV53" s="1485">
        <f t="shared" si="348"/>
        <v>0</v>
      </c>
      <c r="CW53" s="1485">
        <f t="shared" si="349"/>
        <v>0</v>
      </c>
      <c r="CX53" s="1485">
        <f t="shared" si="350"/>
        <v>0</v>
      </c>
      <c r="CY53" s="1485">
        <f t="shared" si="351"/>
        <v>0</v>
      </c>
      <c r="CZ53" s="1485">
        <f t="shared" si="352"/>
        <v>0</v>
      </c>
      <c r="DA53" s="1485">
        <f t="shared" si="353"/>
        <v>0</v>
      </c>
      <c r="DB53" s="1485">
        <f t="shared" si="354"/>
        <v>0</v>
      </c>
      <c r="DC53" s="1485">
        <f t="shared" si="355"/>
        <v>0</v>
      </c>
      <c r="DD53" s="1485">
        <f t="shared" si="356"/>
        <v>0</v>
      </c>
      <c r="DE53" s="1485">
        <f t="shared" si="357"/>
        <v>0</v>
      </c>
      <c r="DF53" s="1503">
        <f>SUM(ROUND((BP53/CO53),2))</f>
        <v>-1.17</v>
      </c>
      <c r="DG53" s="1485">
        <f t="shared" si="322"/>
        <v>0</v>
      </c>
      <c r="DH53" s="1485">
        <f t="shared" si="311"/>
        <v>1575</v>
      </c>
      <c r="DI53" s="1485"/>
      <c r="DJ53" s="1503">
        <v>3.45</v>
      </c>
      <c r="DK53" s="1485">
        <f t="shared" si="358"/>
        <v>0</v>
      </c>
      <c r="DL53" s="1485">
        <f t="shared" si="359"/>
        <v>0</v>
      </c>
      <c r="DM53" s="1485">
        <f t="shared" si="360"/>
        <v>0</v>
      </c>
      <c r="DN53" s="1485">
        <f t="shared" si="361"/>
        <v>0</v>
      </c>
      <c r="DO53" s="1485">
        <f t="shared" si="362"/>
        <v>0</v>
      </c>
      <c r="DP53" s="1485">
        <f t="shared" si="363"/>
        <v>0</v>
      </c>
      <c r="DQ53" s="1485">
        <f t="shared" si="364"/>
        <v>0</v>
      </c>
      <c r="DR53" s="1485">
        <f t="shared" si="365"/>
        <v>0</v>
      </c>
      <c r="DS53" s="1485">
        <f t="shared" si="366"/>
        <v>0</v>
      </c>
      <c r="DT53" s="1485">
        <f t="shared" si="367"/>
        <v>0</v>
      </c>
      <c r="DU53" s="1485">
        <f t="shared" si="368"/>
        <v>0</v>
      </c>
      <c r="DV53" s="1485">
        <f t="shared" si="369"/>
        <v>0</v>
      </c>
      <c r="DW53" s="1485">
        <f t="shared" si="370"/>
        <v>0</v>
      </c>
      <c r="DX53" s="1485">
        <f t="shared" si="371"/>
        <v>0</v>
      </c>
      <c r="DY53" s="1485">
        <f t="shared" si="372"/>
        <v>0</v>
      </c>
      <c r="DZ53" s="1485">
        <f t="shared" si="373"/>
        <v>0</v>
      </c>
      <c r="EA53" s="1503">
        <f>SUM(ROUND((BP53/DJ53),2))</f>
        <v>-0.97</v>
      </c>
      <c r="EB53" s="1485">
        <f t="shared" si="323"/>
        <v>0</v>
      </c>
      <c r="EC53" s="1485">
        <f t="shared" si="314"/>
        <v>1400</v>
      </c>
      <c r="ED53" s="1485"/>
      <c r="EE53" s="1503">
        <v>4.2300000000000004</v>
      </c>
      <c r="EF53" s="1485">
        <f t="shared" si="374"/>
        <v>0</v>
      </c>
      <c r="EG53" s="1485">
        <f t="shared" si="375"/>
        <v>0</v>
      </c>
      <c r="EH53" s="1485">
        <f t="shared" si="376"/>
        <v>0</v>
      </c>
      <c r="EI53" s="1485">
        <f t="shared" si="377"/>
        <v>0</v>
      </c>
      <c r="EJ53" s="1485">
        <f t="shared" si="378"/>
        <v>0</v>
      </c>
      <c r="EK53" s="1485">
        <f t="shared" si="379"/>
        <v>0</v>
      </c>
      <c r="EL53" s="1485">
        <f t="shared" si="380"/>
        <v>0</v>
      </c>
      <c r="EM53" s="1485">
        <f t="shared" si="381"/>
        <v>0</v>
      </c>
      <c r="EN53" s="1485">
        <f t="shared" si="382"/>
        <v>0</v>
      </c>
      <c r="EO53" s="1485">
        <f t="shared" si="383"/>
        <v>0</v>
      </c>
      <c r="EP53" s="1485">
        <f t="shared" si="384"/>
        <v>0</v>
      </c>
      <c r="EQ53" s="1485">
        <f t="shared" si="385"/>
        <v>0</v>
      </c>
      <c r="ER53" s="1485">
        <f t="shared" si="386"/>
        <v>0</v>
      </c>
      <c r="ES53" s="1485">
        <f t="shared" si="387"/>
        <v>0</v>
      </c>
      <c r="ET53" s="1485">
        <f t="shared" si="388"/>
        <v>0</v>
      </c>
      <c r="EU53" s="1485">
        <f t="shared" si="389"/>
        <v>0</v>
      </c>
      <c r="EV53" s="1503">
        <f>SUM(ROUND((BP53/EE53),2))</f>
        <v>-0.79</v>
      </c>
      <c r="EW53" s="1485">
        <f t="shared" si="324"/>
        <v>0</v>
      </c>
      <c r="EX53" s="1485">
        <f t="shared" si="317"/>
        <v>1225</v>
      </c>
      <c r="EY53" s="1485"/>
      <c r="EZ53" s="1503">
        <v>5.2</v>
      </c>
      <c r="FA53" s="1485">
        <f t="shared" si="390"/>
        <v>0</v>
      </c>
      <c r="FB53" s="1485">
        <f t="shared" si="391"/>
        <v>0</v>
      </c>
      <c r="FC53" s="1485">
        <f t="shared" si="392"/>
        <v>0</v>
      </c>
      <c r="FD53" s="1485">
        <f t="shared" si="393"/>
        <v>0</v>
      </c>
      <c r="FE53" s="1485">
        <f t="shared" si="394"/>
        <v>0</v>
      </c>
      <c r="FF53" s="1485">
        <f t="shared" si="395"/>
        <v>0</v>
      </c>
      <c r="FG53" s="1485">
        <f t="shared" si="396"/>
        <v>0</v>
      </c>
      <c r="FH53" s="1485">
        <f t="shared" si="397"/>
        <v>0</v>
      </c>
      <c r="FI53" s="1485">
        <f t="shared" si="398"/>
        <v>0</v>
      </c>
      <c r="FJ53" s="1485">
        <f t="shared" si="399"/>
        <v>0</v>
      </c>
      <c r="FK53" s="1485">
        <f t="shared" si="400"/>
        <v>0</v>
      </c>
      <c r="FL53" s="1485">
        <f t="shared" si="401"/>
        <v>0</v>
      </c>
      <c r="FM53" s="1485">
        <f t="shared" si="402"/>
        <v>0</v>
      </c>
      <c r="FN53" s="1485">
        <f t="shared" si="403"/>
        <v>0</v>
      </c>
      <c r="FO53" s="1485">
        <f t="shared" si="404"/>
        <v>0</v>
      </c>
      <c r="FP53" s="1485">
        <f t="shared" si="405"/>
        <v>0</v>
      </c>
      <c r="FQ53" s="1503">
        <f>SUM(ROUND((BP53/EZ53),2))</f>
        <v>-0.64</v>
      </c>
      <c r="FR53" s="1485">
        <f t="shared" si="325"/>
        <v>0</v>
      </c>
      <c r="FS53" s="1485">
        <f t="shared" si="320"/>
        <v>1050</v>
      </c>
      <c r="FT53" s="1485"/>
      <c r="FU53" s="1485" t="e">
        <f t="shared" si="287"/>
        <v>#VALUE!</v>
      </c>
      <c r="FV53" s="1485" t="e">
        <f t="shared" si="288"/>
        <v>#VALUE!</v>
      </c>
      <c r="FW53" s="1485" t="e">
        <f t="shared" si="289"/>
        <v>#VALUE!</v>
      </c>
      <c r="FX53" s="1485" t="e">
        <f t="shared" si="290"/>
        <v>#VALUE!</v>
      </c>
      <c r="FY53" s="1485" t="e">
        <f t="shared" si="291"/>
        <v>#VALUE!</v>
      </c>
      <c r="FZ53" s="1485" t="e">
        <f t="shared" si="292"/>
        <v>#VALUE!</v>
      </c>
      <c r="GA53" s="1485" t="e">
        <f t="shared" si="293"/>
        <v>#VALUE!</v>
      </c>
      <c r="GB53" s="1485" t="e">
        <f t="shared" si="294"/>
        <v>#VALUE!</v>
      </c>
      <c r="GC53" s="1485" t="e">
        <f t="shared" si="295"/>
        <v>#VALUE!</v>
      </c>
      <c r="GD53" s="1485" t="e">
        <f t="shared" si="296"/>
        <v>#VALUE!</v>
      </c>
      <c r="GE53" s="1485" t="e">
        <f t="shared" si="297"/>
        <v>#VALUE!</v>
      </c>
      <c r="GF53" s="1485" t="e">
        <f t="shared" si="298"/>
        <v>#VALUE!</v>
      </c>
      <c r="GG53" s="1485" t="e">
        <f t="shared" si="299"/>
        <v>#VALUE!</v>
      </c>
      <c r="GH53" s="1485" t="e">
        <f t="shared" si="300"/>
        <v>#VALUE!</v>
      </c>
      <c r="GI53" s="1485" t="e">
        <f t="shared" si="301"/>
        <v>#VALUE!</v>
      </c>
      <c r="GJ53" s="1485" t="e">
        <f t="shared" si="302"/>
        <v>#VALUE!</v>
      </c>
      <c r="GK53" s="1485" t="e">
        <f t="shared" si="303"/>
        <v>#VALUE!</v>
      </c>
      <c r="GL53" s="1485" t="e">
        <f t="shared" si="304"/>
        <v>#VALUE!</v>
      </c>
      <c r="GM53" s="1485" t="e">
        <f t="shared" si="305"/>
        <v>#VALUE!</v>
      </c>
    </row>
    <row r="54" spans="1:195" ht="16.5" customHeight="1">
      <c r="A54" s="1631">
        <v>308</v>
      </c>
      <c r="B54" s="1893"/>
      <c r="C54" s="1499" t="s">
        <v>667</v>
      </c>
      <c r="D54" s="1496"/>
      <c r="E54" s="1497"/>
      <c r="F54" s="1497"/>
      <c r="G54" s="1497"/>
      <c r="H54" s="1497"/>
      <c r="I54" s="1497"/>
      <c r="J54" s="1497"/>
      <c r="K54" s="1497"/>
      <c r="L54" s="1497"/>
      <c r="M54" s="1497"/>
      <c r="N54" s="1497"/>
      <c r="O54" s="1497">
        <f>IF((AC54&lt;10),SUM((AP54+(ROUNDUP((AC54*BK54),2)))),SUM((AP54+(ROUNDUP(((9*BK54)+GF54),2)))))</f>
        <v>25</v>
      </c>
      <c r="P54" s="1497"/>
      <c r="Q54" s="1497"/>
      <c r="R54" s="1498"/>
      <c r="S54" s="1497"/>
      <c r="T54" s="1498"/>
      <c r="U54" s="1498"/>
      <c r="V54" s="1497"/>
      <c r="W54" s="1497">
        <f t="shared" si="280"/>
        <v>17500</v>
      </c>
      <c r="X54" s="1497"/>
      <c r="Y54" s="1497"/>
      <c r="Z54" s="1497"/>
      <c r="AA54" s="1484"/>
      <c r="AB54" s="1485"/>
      <c r="AC54" s="1485">
        <f t="shared" si="30"/>
        <v>0</v>
      </c>
      <c r="AD54" s="1485"/>
      <c r="AE54" s="1486"/>
      <c r="AF54" s="1486"/>
      <c r="AG54" s="1486"/>
      <c r="AH54" s="1486"/>
      <c r="AI54" s="1486"/>
      <c r="AJ54" s="1486"/>
      <c r="AK54" s="1486"/>
      <c r="AL54" s="1486"/>
      <c r="AM54" s="1486"/>
      <c r="AN54" s="1486"/>
      <c r="AO54" s="1486"/>
      <c r="AP54" s="1486">
        <v>25</v>
      </c>
      <c r="AQ54" s="1486"/>
      <c r="AR54" s="1486"/>
      <c r="AS54" s="1487"/>
      <c r="AT54" s="1486"/>
      <c r="AU54" s="1486"/>
      <c r="AV54" s="1486"/>
      <c r="AW54" s="1486"/>
      <c r="AX54" s="1486">
        <v>17500</v>
      </c>
      <c r="AY54" s="1488"/>
      <c r="AZ54" s="1485"/>
      <c r="BA54" s="1485"/>
      <c r="BB54" s="1485"/>
      <c r="BC54" s="1485"/>
      <c r="BD54" s="1485"/>
      <c r="BE54" s="1486"/>
      <c r="BF54" s="1486"/>
      <c r="BG54" s="1485"/>
      <c r="BH54" s="1485"/>
      <c r="BI54" s="1485"/>
      <c r="BJ54" s="1485"/>
      <c r="BK54" s="1485">
        <f>SUM((AP54/9))</f>
        <v>2.7777777777777777</v>
      </c>
      <c r="BL54" s="1485"/>
      <c r="BM54" s="1485"/>
      <c r="BN54" s="1485"/>
      <c r="BO54" s="1485"/>
      <c r="BP54" s="1485"/>
      <c r="BQ54" s="1485"/>
      <c r="BR54" s="1485">
        <f t="shared" si="281"/>
        <v>1944.4444444444443</v>
      </c>
      <c r="BS54" s="1485"/>
      <c r="BT54" s="1488"/>
      <c r="BU54" s="1485">
        <f t="shared" si="326"/>
        <v>0</v>
      </c>
      <c r="BV54" s="1485">
        <f t="shared" si="327"/>
        <v>0</v>
      </c>
      <c r="BW54" s="1485">
        <f t="shared" si="328"/>
        <v>0</v>
      </c>
      <c r="BX54" s="1485">
        <f t="shared" si="329"/>
        <v>0</v>
      </c>
      <c r="BY54" s="1485">
        <f t="shared" si="330"/>
        <v>0</v>
      </c>
      <c r="BZ54" s="1485">
        <f t="shared" si="331"/>
        <v>0</v>
      </c>
      <c r="CA54" s="1485">
        <f t="shared" si="332"/>
        <v>0</v>
      </c>
      <c r="CB54" s="1485">
        <f t="shared" si="333"/>
        <v>0</v>
      </c>
      <c r="CC54" s="1485">
        <f t="shared" si="334"/>
        <v>0</v>
      </c>
      <c r="CD54" s="1485">
        <f t="shared" si="335"/>
        <v>0</v>
      </c>
      <c r="CE54" s="1485">
        <f t="shared" si="336"/>
        <v>0</v>
      </c>
      <c r="CF54" s="1485">
        <f t="shared" si="337"/>
        <v>2.5</v>
      </c>
      <c r="CG54" s="1485">
        <f t="shared" si="338"/>
        <v>0</v>
      </c>
      <c r="CH54" s="1485">
        <f t="shared" si="339"/>
        <v>0</v>
      </c>
      <c r="CI54" s="1485">
        <f t="shared" si="340"/>
        <v>0</v>
      </c>
      <c r="CJ54" s="1485">
        <f t="shared" si="341"/>
        <v>0</v>
      </c>
      <c r="CK54" s="1485">
        <f>SUM(((BP54*0.9)*1))</f>
        <v>0</v>
      </c>
      <c r="CL54" s="1485">
        <f t="shared" si="321"/>
        <v>0</v>
      </c>
      <c r="CM54" s="1485">
        <f t="shared" si="308"/>
        <v>1750</v>
      </c>
      <c r="CN54" s="1485"/>
      <c r="CO54" s="1488"/>
      <c r="CP54" s="1485">
        <f t="shared" si="342"/>
        <v>0</v>
      </c>
      <c r="CQ54" s="1485">
        <f t="shared" si="343"/>
        <v>0</v>
      </c>
      <c r="CR54" s="1485">
        <f t="shared" si="344"/>
        <v>0</v>
      </c>
      <c r="CS54" s="1485">
        <f t="shared" si="345"/>
        <v>0</v>
      </c>
      <c r="CT54" s="1485">
        <f t="shared" si="346"/>
        <v>0</v>
      </c>
      <c r="CU54" s="1485">
        <f t="shared" si="347"/>
        <v>0</v>
      </c>
      <c r="CV54" s="1485">
        <f t="shared" si="348"/>
        <v>0</v>
      </c>
      <c r="CW54" s="1485">
        <f t="shared" si="349"/>
        <v>0</v>
      </c>
      <c r="CX54" s="1485">
        <f t="shared" si="350"/>
        <v>0</v>
      </c>
      <c r="CY54" s="1485">
        <f t="shared" si="351"/>
        <v>0</v>
      </c>
      <c r="CZ54" s="1485">
        <f t="shared" si="352"/>
        <v>0</v>
      </c>
      <c r="DA54" s="1485">
        <f t="shared" si="353"/>
        <v>2.25</v>
      </c>
      <c r="DB54" s="1485">
        <f t="shared" si="354"/>
        <v>0</v>
      </c>
      <c r="DC54" s="1485">
        <f t="shared" si="355"/>
        <v>0</v>
      </c>
      <c r="DD54" s="1485">
        <f t="shared" si="356"/>
        <v>0</v>
      </c>
      <c r="DE54" s="1485">
        <f t="shared" si="357"/>
        <v>0</v>
      </c>
      <c r="DF54" s="1485">
        <f>SUM(((BP54*0.9)*0.9))</f>
        <v>0</v>
      </c>
      <c r="DG54" s="1485">
        <f t="shared" si="322"/>
        <v>0</v>
      </c>
      <c r="DH54" s="1485">
        <f t="shared" si="311"/>
        <v>1575</v>
      </c>
      <c r="DI54" s="1485"/>
      <c r="DJ54" s="1488"/>
      <c r="DK54" s="1485">
        <f t="shared" si="358"/>
        <v>0</v>
      </c>
      <c r="DL54" s="1485">
        <f t="shared" si="359"/>
        <v>0</v>
      </c>
      <c r="DM54" s="1485">
        <f t="shared" si="360"/>
        <v>0</v>
      </c>
      <c r="DN54" s="1485">
        <f t="shared" si="361"/>
        <v>0</v>
      </c>
      <c r="DO54" s="1485">
        <f t="shared" si="362"/>
        <v>0</v>
      </c>
      <c r="DP54" s="1485">
        <f t="shared" si="363"/>
        <v>0</v>
      </c>
      <c r="DQ54" s="1485">
        <f t="shared" si="364"/>
        <v>0</v>
      </c>
      <c r="DR54" s="1485">
        <f t="shared" si="365"/>
        <v>0</v>
      </c>
      <c r="DS54" s="1485">
        <f t="shared" si="366"/>
        <v>0</v>
      </c>
      <c r="DT54" s="1485">
        <f t="shared" si="367"/>
        <v>0</v>
      </c>
      <c r="DU54" s="1485">
        <f t="shared" si="368"/>
        <v>0</v>
      </c>
      <c r="DV54" s="1485">
        <f t="shared" si="369"/>
        <v>2</v>
      </c>
      <c r="DW54" s="1485">
        <f t="shared" si="370"/>
        <v>0</v>
      </c>
      <c r="DX54" s="1485">
        <f t="shared" si="371"/>
        <v>0</v>
      </c>
      <c r="DY54" s="1485">
        <f t="shared" si="372"/>
        <v>0</v>
      </c>
      <c r="DZ54" s="1485">
        <f t="shared" si="373"/>
        <v>0</v>
      </c>
      <c r="EA54" s="1485">
        <f>SUM(((BP54*0.9)*0.8))</f>
        <v>0</v>
      </c>
      <c r="EB54" s="1485">
        <f t="shared" si="323"/>
        <v>0</v>
      </c>
      <c r="EC54" s="1485">
        <f t="shared" si="314"/>
        <v>1400</v>
      </c>
      <c r="ED54" s="1485"/>
      <c r="EE54" s="1488"/>
      <c r="EF54" s="1485">
        <f t="shared" si="374"/>
        <v>0</v>
      </c>
      <c r="EG54" s="1485">
        <f t="shared" si="375"/>
        <v>0</v>
      </c>
      <c r="EH54" s="1485">
        <f t="shared" si="376"/>
        <v>0</v>
      </c>
      <c r="EI54" s="1485">
        <f t="shared" si="377"/>
        <v>0</v>
      </c>
      <c r="EJ54" s="1485">
        <f t="shared" si="378"/>
        <v>0</v>
      </c>
      <c r="EK54" s="1485">
        <f t="shared" si="379"/>
        <v>0</v>
      </c>
      <c r="EL54" s="1485">
        <f t="shared" si="380"/>
        <v>0</v>
      </c>
      <c r="EM54" s="1485">
        <f t="shared" si="381"/>
        <v>0</v>
      </c>
      <c r="EN54" s="1485">
        <f t="shared" si="382"/>
        <v>0</v>
      </c>
      <c r="EO54" s="1485">
        <f t="shared" si="383"/>
        <v>0</v>
      </c>
      <c r="EP54" s="1485">
        <f t="shared" si="384"/>
        <v>0</v>
      </c>
      <c r="EQ54" s="1485">
        <f t="shared" si="385"/>
        <v>1.75</v>
      </c>
      <c r="ER54" s="1485">
        <f t="shared" si="386"/>
        <v>0</v>
      </c>
      <c r="ES54" s="1485">
        <f t="shared" si="387"/>
        <v>0</v>
      </c>
      <c r="ET54" s="1485">
        <f t="shared" si="388"/>
        <v>0</v>
      </c>
      <c r="EU54" s="1485">
        <f t="shared" si="389"/>
        <v>0</v>
      </c>
      <c r="EV54" s="1485">
        <f>SUM(((BP54*0.9)*0.7))</f>
        <v>0</v>
      </c>
      <c r="EW54" s="1485">
        <f t="shared" si="324"/>
        <v>0</v>
      </c>
      <c r="EX54" s="1485">
        <f t="shared" si="317"/>
        <v>1225</v>
      </c>
      <c r="EY54" s="1485"/>
      <c r="EZ54" s="1488"/>
      <c r="FA54" s="1485">
        <f t="shared" si="390"/>
        <v>0</v>
      </c>
      <c r="FB54" s="1485">
        <f t="shared" si="391"/>
        <v>0</v>
      </c>
      <c r="FC54" s="1485">
        <f t="shared" si="392"/>
        <v>0</v>
      </c>
      <c r="FD54" s="1485">
        <f t="shared" si="393"/>
        <v>0</v>
      </c>
      <c r="FE54" s="1485">
        <f t="shared" si="394"/>
        <v>0</v>
      </c>
      <c r="FF54" s="1485">
        <f t="shared" si="395"/>
        <v>0</v>
      </c>
      <c r="FG54" s="1485">
        <f t="shared" si="396"/>
        <v>0</v>
      </c>
      <c r="FH54" s="1485">
        <f t="shared" si="397"/>
        <v>0</v>
      </c>
      <c r="FI54" s="1485">
        <f t="shared" si="398"/>
        <v>0</v>
      </c>
      <c r="FJ54" s="1485">
        <f t="shared" si="399"/>
        <v>0</v>
      </c>
      <c r="FK54" s="1485">
        <f t="shared" si="400"/>
        <v>0</v>
      </c>
      <c r="FL54" s="1485">
        <f t="shared" si="401"/>
        <v>1.5</v>
      </c>
      <c r="FM54" s="1485">
        <f t="shared" si="402"/>
        <v>0</v>
      </c>
      <c r="FN54" s="1485">
        <f t="shared" si="403"/>
        <v>0</v>
      </c>
      <c r="FO54" s="1485">
        <f t="shared" si="404"/>
        <v>0</v>
      </c>
      <c r="FP54" s="1485">
        <f t="shared" si="405"/>
        <v>0</v>
      </c>
      <c r="FQ54" s="1485">
        <f>SUM(((BP54*0.9)*0.6))</f>
        <v>0</v>
      </c>
      <c r="FR54" s="1485">
        <f t="shared" si="325"/>
        <v>0</v>
      </c>
      <c r="FS54" s="1485">
        <f t="shared" si="320"/>
        <v>1050</v>
      </c>
      <c r="FT54" s="1485"/>
      <c r="FU54" s="1485" t="e">
        <f t="shared" si="287"/>
        <v>#VALUE!</v>
      </c>
      <c r="FV54" s="1485" t="e">
        <f t="shared" si="288"/>
        <v>#VALUE!</v>
      </c>
      <c r="FW54" s="1485" t="e">
        <f t="shared" si="289"/>
        <v>#VALUE!</v>
      </c>
      <c r="FX54" s="1485" t="e">
        <f t="shared" si="290"/>
        <v>#VALUE!</v>
      </c>
      <c r="FY54" s="1485" t="e">
        <f t="shared" si="291"/>
        <v>#VALUE!</v>
      </c>
      <c r="FZ54" s="1485" t="e">
        <f t="shared" si="292"/>
        <v>#VALUE!</v>
      </c>
      <c r="GA54" s="1485" t="e">
        <f t="shared" si="293"/>
        <v>#VALUE!</v>
      </c>
      <c r="GB54" s="1485" t="e">
        <f t="shared" si="294"/>
        <v>#VALUE!</v>
      </c>
      <c r="GC54" s="1485" t="e">
        <f t="shared" si="295"/>
        <v>#VALUE!</v>
      </c>
      <c r="GD54" s="1485" t="e">
        <f t="shared" si="296"/>
        <v>#VALUE!</v>
      </c>
      <c r="GE54" s="1485" t="e">
        <f t="shared" si="297"/>
        <v>#VALUE!</v>
      </c>
      <c r="GF54" s="1485" t="e">
        <f t="shared" si="298"/>
        <v>#VALUE!</v>
      </c>
      <c r="GG54" s="1485" t="e">
        <f t="shared" si="299"/>
        <v>#VALUE!</v>
      </c>
      <c r="GH54" s="1485" t="e">
        <f t="shared" si="300"/>
        <v>#VALUE!</v>
      </c>
      <c r="GI54" s="1485" t="e">
        <f t="shared" si="301"/>
        <v>#VALUE!</v>
      </c>
      <c r="GJ54" s="1485" t="e">
        <f t="shared" si="302"/>
        <v>#VALUE!</v>
      </c>
      <c r="GK54" s="1485" t="e">
        <f t="shared" si="303"/>
        <v>#VALUE!</v>
      </c>
      <c r="GL54" s="1485" t="e">
        <f t="shared" si="304"/>
        <v>#VALUE!</v>
      </c>
      <c r="GM54" s="1485" t="e">
        <f t="shared" si="305"/>
        <v>#VALUE!</v>
      </c>
    </row>
    <row r="55" spans="1:195" ht="16.5" customHeight="1">
      <c r="A55" s="1631">
        <v>309</v>
      </c>
      <c r="B55" s="1893"/>
      <c r="C55" s="1499" t="s">
        <v>1096</v>
      </c>
      <c r="D55" s="1500"/>
      <c r="E55" s="1501"/>
      <c r="F55" s="1501"/>
      <c r="G55" s="1501"/>
      <c r="H55" s="1501"/>
      <c r="I55" s="1501"/>
      <c r="J55" s="1501"/>
      <c r="K55" s="1501"/>
      <c r="L55" s="1501"/>
      <c r="M55" s="1501"/>
      <c r="N55" s="1501"/>
      <c r="O55" s="1501"/>
      <c r="P55" s="1501">
        <f>IF((AC55&lt;10),SUM((AQ55+(ROUNDUP((AC55*BL55),2)))),SUM((AQ55+(ROUNDUP(((9*BL55)+GG55),2)))))</f>
        <v>25</v>
      </c>
      <c r="Q55" s="1501"/>
      <c r="R55" s="1502"/>
      <c r="S55" s="1501"/>
      <c r="T55" s="1502"/>
      <c r="U55" s="1502"/>
      <c r="V55" s="1501"/>
      <c r="W55" s="1501">
        <f t="shared" si="280"/>
        <v>17500</v>
      </c>
      <c r="X55" s="1501"/>
      <c r="Y55" s="1501"/>
      <c r="Z55" s="1501"/>
      <c r="AA55" s="1484"/>
      <c r="AB55" s="1485"/>
      <c r="AC55" s="1485">
        <f t="shared" si="30"/>
        <v>0</v>
      </c>
      <c r="AD55" s="1485"/>
      <c r="AE55" s="1486"/>
      <c r="AF55" s="1486"/>
      <c r="AG55" s="1486"/>
      <c r="AH55" s="1486"/>
      <c r="AI55" s="1486"/>
      <c r="AJ55" s="1486"/>
      <c r="AK55" s="1486"/>
      <c r="AL55" s="1486"/>
      <c r="AM55" s="1486"/>
      <c r="AN55" s="1486"/>
      <c r="AO55" s="1486"/>
      <c r="AP55" s="1486"/>
      <c r="AQ55" s="1486">
        <v>25</v>
      </c>
      <c r="AR55" s="1486"/>
      <c r="AS55" s="1487"/>
      <c r="AT55" s="1486"/>
      <c r="AU55" s="1486"/>
      <c r="AV55" s="1486"/>
      <c r="AW55" s="1486"/>
      <c r="AX55" s="1486">
        <v>17500</v>
      </c>
      <c r="AY55" s="1485"/>
      <c r="AZ55" s="1485"/>
      <c r="BA55" s="1485"/>
      <c r="BB55" s="1485"/>
      <c r="BC55" s="1485"/>
      <c r="BD55" s="1485"/>
      <c r="BE55" s="1486"/>
      <c r="BF55" s="1486"/>
      <c r="BG55" s="1485"/>
      <c r="BH55" s="1485"/>
      <c r="BI55" s="1485"/>
      <c r="BJ55" s="1485"/>
      <c r="BK55" s="1485"/>
      <c r="BL55" s="1485">
        <f>SUM((AQ55/9))</f>
        <v>2.7777777777777777</v>
      </c>
      <c r="BM55" s="1485"/>
      <c r="BN55" s="1485"/>
      <c r="BO55" s="1485"/>
      <c r="BP55" s="1485"/>
      <c r="BQ55" s="1485"/>
      <c r="BR55" s="1485">
        <f t="shared" si="281"/>
        <v>1944.4444444444443</v>
      </c>
      <c r="BS55" s="1485"/>
      <c r="BT55" s="1488"/>
      <c r="BU55" s="1485">
        <f t="shared" si="326"/>
        <v>0</v>
      </c>
      <c r="BV55" s="1485">
        <f t="shared" si="327"/>
        <v>0</v>
      </c>
      <c r="BW55" s="1485">
        <f t="shared" si="328"/>
        <v>0</v>
      </c>
      <c r="BX55" s="1485">
        <f t="shared" si="329"/>
        <v>0</v>
      </c>
      <c r="BY55" s="1485">
        <f t="shared" si="330"/>
        <v>0</v>
      </c>
      <c r="BZ55" s="1485">
        <f t="shared" si="331"/>
        <v>0</v>
      </c>
      <c r="CA55" s="1485">
        <f t="shared" si="332"/>
        <v>0</v>
      </c>
      <c r="CB55" s="1485">
        <f t="shared" si="333"/>
        <v>0</v>
      </c>
      <c r="CC55" s="1485">
        <f t="shared" si="334"/>
        <v>0</v>
      </c>
      <c r="CD55" s="1485">
        <f t="shared" si="335"/>
        <v>0</v>
      </c>
      <c r="CE55" s="1485">
        <f t="shared" si="336"/>
        <v>0</v>
      </c>
      <c r="CF55" s="1485">
        <f t="shared" si="337"/>
        <v>0</v>
      </c>
      <c r="CG55" s="1485">
        <f t="shared" si="338"/>
        <v>2.5</v>
      </c>
      <c r="CH55" s="1485">
        <f t="shared" si="339"/>
        <v>0</v>
      </c>
      <c r="CI55" s="1485">
        <f t="shared" si="340"/>
        <v>0</v>
      </c>
      <c r="CJ55" s="1485">
        <f t="shared" si="341"/>
        <v>0</v>
      </c>
      <c r="CK55" s="1485">
        <f>SUM(((BP55*0.9)*1))</f>
        <v>0</v>
      </c>
      <c r="CL55" s="1485">
        <f t="shared" si="321"/>
        <v>0</v>
      </c>
      <c r="CM55" s="1485">
        <f t="shared" si="308"/>
        <v>1750</v>
      </c>
      <c r="CN55" s="1485"/>
      <c r="CO55" s="1488"/>
      <c r="CP55" s="1485">
        <f t="shared" si="342"/>
        <v>0</v>
      </c>
      <c r="CQ55" s="1485">
        <f t="shared" si="343"/>
        <v>0</v>
      </c>
      <c r="CR55" s="1485">
        <f t="shared" si="344"/>
        <v>0</v>
      </c>
      <c r="CS55" s="1485">
        <f t="shared" si="345"/>
        <v>0</v>
      </c>
      <c r="CT55" s="1485">
        <f t="shared" si="346"/>
        <v>0</v>
      </c>
      <c r="CU55" s="1485">
        <f t="shared" si="347"/>
        <v>0</v>
      </c>
      <c r="CV55" s="1485">
        <f t="shared" si="348"/>
        <v>0</v>
      </c>
      <c r="CW55" s="1485">
        <f t="shared" si="349"/>
        <v>0</v>
      </c>
      <c r="CX55" s="1485">
        <f t="shared" si="350"/>
        <v>0</v>
      </c>
      <c r="CY55" s="1485">
        <f t="shared" si="351"/>
        <v>0</v>
      </c>
      <c r="CZ55" s="1485">
        <f t="shared" si="352"/>
        <v>0</v>
      </c>
      <c r="DA55" s="1485">
        <f t="shared" si="353"/>
        <v>0</v>
      </c>
      <c r="DB55" s="1485">
        <f t="shared" si="354"/>
        <v>2.25</v>
      </c>
      <c r="DC55" s="1485">
        <f t="shared" si="355"/>
        <v>0</v>
      </c>
      <c r="DD55" s="1485">
        <f t="shared" si="356"/>
        <v>0</v>
      </c>
      <c r="DE55" s="1485">
        <f t="shared" si="357"/>
        <v>0</v>
      </c>
      <c r="DF55" s="1485">
        <f>SUM(((BP55*0.9)*0.9))</f>
        <v>0</v>
      </c>
      <c r="DG55" s="1485">
        <f t="shared" si="322"/>
        <v>0</v>
      </c>
      <c r="DH55" s="1485">
        <f t="shared" si="311"/>
        <v>1575</v>
      </c>
      <c r="DI55" s="1485"/>
      <c r="DJ55" s="1488"/>
      <c r="DK55" s="1485">
        <f t="shared" si="358"/>
        <v>0</v>
      </c>
      <c r="DL55" s="1485">
        <f t="shared" si="359"/>
        <v>0</v>
      </c>
      <c r="DM55" s="1485">
        <f t="shared" si="360"/>
        <v>0</v>
      </c>
      <c r="DN55" s="1485">
        <f t="shared" si="361"/>
        <v>0</v>
      </c>
      <c r="DO55" s="1485">
        <f t="shared" si="362"/>
        <v>0</v>
      </c>
      <c r="DP55" s="1485">
        <f t="shared" si="363"/>
        <v>0</v>
      </c>
      <c r="DQ55" s="1485">
        <f t="shared" si="364"/>
        <v>0</v>
      </c>
      <c r="DR55" s="1485">
        <f t="shared" si="365"/>
        <v>0</v>
      </c>
      <c r="DS55" s="1485">
        <f t="shared" si="366"/>
        <v>0</v>
      </c>
      <c r="DT55" s="1485">
        <f t="shared" si="367"/>
        <v>0</v>
      </c>
      <c r="DU55" s="1485">
        <f t="shared" si="368"/>
        <v>0</v>
      </c>
      <c r="DV55" s="1485">
        <f t="shared" si="369"/>
        <v>0</v>
      </c>
      <c r="DW55" s="1485">
        <f t="shared" si="370"/>
        <v>2</v>
      </c>
      <c r="DX55" s="1485">
        <f t="shared" si="371"/>
        <v>0</v>
      </c>
      <c r="DY55" s="1485">
        <f t="shared" si="372"/>
        <v>0</v>
      </c>
      <c r="DZ55" s="1485">
        <f t="shared" si="373"/>
        <v>0</v>
      </c>
      <c r="EA55" s="1485">
        <f>SUM(((BP55*0.9)*0.8))</f>
        <v>0</v>
      </c>
      <c r="EB55" s="1485">
        <f t="shared" si="323"/>
        <v>0</v>
      </c>
      <c r="EC55" s="1485">
        <f t="shared" si="314"/>
        <v>1400</v>
      </c>
      <c r="ED55" s="1485"/>
      <c r="EE55" s="1488"/>
      <c r="EF55" s="1485">
        <f t="shared" si="374"/>
        <v>0</v>
      </c>
      <c r="EG55" s="1485">
        <f t="shared" si="375"/>
        <v>0</v>
      </c>
      <c r="EH55" s="1485">
        <f t="shared" si="376"/>
        <v>0</v>
      </c>
      <c r="EI55" s="1485">
        <f t="shared" si="377"/>
        <v>0</v>
      </c>
      <c r="EJ55" s="1485">
        <f t="shared" si="378"/>
        <v>0</v>
      </c>
      <c r="EK55" s="1485">
        <f t="shared" si="379"/>
        <v>0</v>
      </c>
      <c r="EL55" s="1485">
        <f t="shared" si="380"/>
        <v>0</v>
      </c>
      <c r="EM55" s="1485">
        <f t="shared" si="381"/>
        <v>0</v>
      </c>
      <c r="EN55" s="1485">
        <f t="shared" si="382"/>
        <v>0</v>
      </c>
      <c r="EO55" s="1485">
        <f t="shared" si="383"/>
        <v>0</v>
      </c>
      <c r="EP55" s="1485">
        <f t="shared" si="384"/>
        <v>0</v>
      </c>
      <c r="EQ55" s="1485">
        <f t="shared" si="385"/>
        <v>0</v>
      </c>
      <c r="ER55" s="1485">
        <f t="shared" si="386"/>
        <v>1.75</v>
      </c>
      <c r="ES55" s="1485">
        <f t="shared" si="387"/>
        <v>0</v>
      </c>
      <c r="ET55" s="1485">
        <f t="shared" si="388"/>
        <v>0</v>
      </c>
      <c r="EU55" s="1485">
        <f t="shared" si="389"/>
        <v>0</v>
      </c>
      <c r="EV55" s="1485">
        <f>SUM(((BP55*0.9)*0.7))</f>
        <v>0</v>
      </c>
      <c r="EW55" s="1485">
        <f t="shared" si="324"/>
        <v>0</v>
      </c>
      <c r="EX55" s="1485">
        <f t="shared" si="317"/>
        <v>1225</v>
      </c>
      <c r="EY55" s="1485"/>
      <c r="EZ55" s="1488"/>
      <c r="FA55" s="1485">
        <f t="shared" si="390"/>
        <v>0</v>
      </c>
      <c r="FB55" s="1485">
        <f t="shared" si="391"/>
        <v>0</v>
      </c>
      <c r="FC55" s="1485">
        <f t="shared" si="392"/>
        <v>0</v>
      </c>
      <c r="FD55" s="1485">
        <f t="shared" si="393"/>
        <v>0</v>
      </c>
      <c r="FE55" s="1485">
        <f t="shared" si="394"/>
        <v>0</v>
      </c>
      <c r="FF55" s="1485">
        <f t="shared" si="395"/>
        <v>0</v>
      </c>
      <c r="FG55" s="1485">
        <f t="shared" si="396"/>
        <v>0</v>
      </c>
      <c r="FH55" s="1485">
        <f t="shared" si="397"/>
        <v>0</v>
      </c>
      <c r="FI55" s="1485">
        <f t="shared" si="398"/>
        <v>0</v>
      </c>
      <c r="FJ55" s="1485">
        <f t="shared" si="399"/>
        <v>0</v>
      </c>
      <c r="FK55" s="1485">
        <f t="shared" si="400"/>
        <v>0</v>
      </c>
      <c r="FL55" s="1485">
        <f t="shared" si="401"/>
        <v>0</v>
      </c>
      <c r="FM55" s="1485">
        <f t="shared" si="402"/>
        <v>1.5</v>
      </c>
      <c r="FN55" s="1485">
        <f t="shared" si="403"/>
        <v>0</v>
      </c>
      <c r="FO55" s="1485">
        <f t="shared" si="404"/>
        <v>0</v>
      </c>
      <c r="FP55" s="1485">
        <f t="shared" si="405"/>
        <v>0</v>
      </c>
      <c r="FQ55" s="1485">
        <f>SUM(((BP55*0.9)*0.6))</f>
        <v>0</v>
      </c>
      <c r="FR55" s="1485">
        <f t="shared" si="325"/>
        <v>0</v>
      </c>
      <c r="FS55" s="1485">
        <f t="shared" si="320"/>
        <v>1050</v>
      </c>
      <c r="FT55" s="1485"/>
      <c r="FU55" s="1485" t="e">
        <f t="shared" si="287"/>
        <v>#VALUE!</v>
      </c>
      <c r="FV55" s="1485" t="e">
        <f t="shared" si="288"/>
        <v>#VALUE!</v>
      </c>
      <c r="FW55" s="1485" t="e">
        <f t="shared" si="289"/>
        <v>#VALUE!</v>
      </c>
      <c r="FX55" s="1485" t="e">
        <f t="shared" si="290"/>
        <v>#VALUE!</v>
      </c>
      <c r="FY55" s="1485" t="e">
        <f t="shared" si="291"/>
        <v>#VALUE!</v>
      </c>
      <c r="FZ55" s="1485" t="e">
        <f t="shared" si="292"/>
        <v>#VALUE!</v>
      </c>
      <c r="GA55" s="1485" t="e">
        <f t="shared" si="293"/>
        <v>#VALUE!</v>
      </c>
      <c r="GB55" s="1485" t="e">
        <f t="shared" si="294"/>
        <v>#VALUE!</v>
      </c>
      <c r="GC55" s="1485" t="e">
        <f t="shared" si="295"/>
        <v>#VALUE!</v>
      </c>
      <c r="GD55" s="1485" t="e">
        <f t="shared" si="296"/>
        <v>#VALUE!</v>
      </c>
      <c r="GE55" s="1485" t="e">
        <f t="shared" si="297"/>
        <v>#VALUE!</v>
      </c>
      <c r="GF55" s="1485" t="e">
        <f t="shared" si="298"/>
        <v>#VALUE!</v>
      </c>
      <c r="GG55" s="1485" t="e">
        <f t="shared" si="299"/>
        <v>#VALUE!</v>
      </c>
      <c r="GH55" s="1485" t="e">
        <f t="shared" si="300"/>
        <v>#VALUE!</v>
      </c>
      <c r="GI55" s="1485" t="e">
        <f t="shared" si="301"/>
        <v>#VALUE!</v>
      </c>
      <c r="GJ55" s="1485" t="e">
        <f t="shared" si="302"/>
        <v>#VALUE!</v>
      </c>
      <c r="GK55" s="1485" t="e">
        <f t="shared" si="303"/>
        <v>#VALUE!</v>
      </c>
      <c r="GL55" s="1485" t="e">
        <f t="shared" si="304"/>
        <v>#VALUE!</v>
      </c>
      <c r="GM55" s="1485" t="e">
        <f t="shared" si="305"/>
        <v>#VALUE!</v>
      </c>
    </row>
    <row r="56" spans="1:195" ht="16.5" customHeight="1">
      <c r="A56" s="1631">
        <v>310</v>
      </c>
      <c r="B56" s="1894"/>
      <c r="C56" s="1504" t="s">
        <v>306</v>
      </c>
      <c r="D56" s="1505"/>
      <c r="E56" s="1506"/>
      <c r="F56" s="1506"/>
      <c r="G56" s="1506"/>
      <c r="H56" s="1506"/>
      <c r="I56" s="1506"/>
      <c r="J56" s="1506"/>
      <c r="K56" s="1506"/>
      <c r="L56" s="1506"/>
      <c r="M56" s="1506"/>
      <c r="N56" s="1506"/>
      <c r="O56" s="1506">
        <f>IF((AC56&lt;10),SUM((AP56+(ROUNDUP((AC56*BK56),2)))),SUM((AP56+(ROUNDUP(((9*BK56)+GF56),2)))))</f>
        <v>12.5</v>
      </c>
      <c r="P56" s="1506">
        <f>IF((AC56&lt;10),SUM((AQ56+(ROUNDUP((AC56*BL56),2)))),SUM((AQ56+(ROUNDUP(((9*BL56)+GG56),2)))))</f>
        <v>12.5</v>
      </c>
      <c r="Q56" s="1506"/>
      <c r="R56" s="1507"/>
      <c r="S56" s="1506"/>
      <c r="T56" s="1507"/>
      <c r="U56" s="1507"/>
      <c r="V56" s="1506"/>
      <c r="W56" s="1506">
        <f t="shared" si="280"/>
        <v>17500</v>
      </c>
      <c r="X56" s="1506"/>
      <c r="Y56" s="1506"/>
      <c r="Z56" s="1506"/>
      <c r="AA56" s="1484"/>
      <c r="AB56" s="1485"/>
      <c r="AC56" s="1485">
        <f t="shared" si="30"/>
        <v>0</v>
      </c>
      <c r="AD56" s="1485"/>
      <c r="AE56" s="1486"/>
      <c r="AF56" s="1486"/>
      <c r="AG56" s="1486"/>
      <c r="AH56" s="1486"/>
      <c r="AI56" s="1486"/>
      <c r="AJ56" s="1486"/>
      <c r="AK56" s="1486"/>
      <c r="AL56" s="1486"/>
      <c r="AM56" s="1486"/>
      <c r="AN56" s="1486"/>
      <c r="AO56" s="1486"/>
      <c r="AP56" s="1486">
        <v>12.5</v>
      </c>
      <c r="AQ56" s="1486">
        <v>12.5</v>
      </c>
      <c r="AR56" s="1486"/>
      <c r="AS56" s="1487"/>
      <c r="AT56" s="1486"/>
      <c r="AU56" s="1486"/>
      <c r="AV56" s="1486"/>
      <c r="AW56" s="1486"/>
      <c r="AX56" s="1486">
        <v>17500</v>
      </c>
      <c r="AY56" s="1485"/>
      <c r="AZ56" s="1485"/>
      <c r="BA56" s="1485"/>
      <c r="BB56" s="1485"/>
      <c r="BC56" s="1485"/>
      <c r="BD56" s="1485"/>
      <c r="BE56" s="1486"/>
      <c r="BF56" s="1486"/>
      <c r="BG56" s="1485"/>
      <c r="BH56" s="1485"/>
      <c r="BI56" s="1485"/>
      <c r="BJ56" s="1485"/>
      <c r="BK56" s="1485">
        <f>SUM((AP56/9))</f>
        <v>1.3888888888888888</v>
      </c>
      <c r="BL56" s="1485">
        <f>SUM((AQ56/9))</f>
        <v>1.3888888888888888</v>
      </c>
      <c r="BM56" s="1485"/>
      <c r="BN56" s="1485"/>
      <c r="BO56" s="1485"/>
      <c r="BP56" s="1485"/>
      <c r="BQ56" s="1485"/>
      <c r="BR56" s="1485">
        <f t="shared" si="281"/>
        <v>1944.4444444444443</v>
      </c>
      <c r="BS56" s="1485"/>
      <c r="BT56" s="1488"/>
      <c r="BU56" s="1485">
        <f t="shared" si="326"/>
        <v>0</v>
      </c>
      <c r="BV56" s="1485">
        <f t="shared" si="327"/>
        <v>0</v>
      </c>
      <c r="BW56" s="1485">
        <f t="shared" si="328"/>
        <v>0</v>
      </c>
      <c r="BX56" s="1485">
        <f t="shared" si="329"/>
        <v>0</v>
      </c>
      <c r="BY56" s="1485">
        <f t="shared" si="330"/>
        <v>0</v>
      </c>
      <c r="BZ56" s="1485">
        <f t="shared" si="331"/>
        <v>0</v>
      </c>
      <c r="CA56" s="1485">
        <f t="shared" si="332"/>
        <v>0</v>
      </c>
      <c r="CB56" s="1485">
        <f t="shared" si="333"/>
        <v>0</v>
      </c>
      <c r="CC56" s="1485">
        <f t="shared" si="334"/>
        <v>0</v>
      </c>
      <c r="CD56" s="1485">
        <f t="shared" si="335"/>
        <v>0</v>
      </c>
      <c r="CE56" s="1485">
        <f t="shared" si="336"/>
        <v>0</v>
      </c>
      <c r="CF56" s="1485">
        <f t="shared" si="337"/>
        <v>1.25</v>
      </c>
      <c r="CG56" s="1485">
        <f t="shared" si="338"/>
        <v>1.25</v>
      </c>
      <c r="CH56" s="1485">
        <f t="shared" si="339"/>
        <v>0</v>
      </c>
      <c r="CI56" s="1485">
        <f t="shared" si="340"/>
        <v>0</v>
      </c>
      <c r="CJ56" s="1485">
        <f t="shared" si="341"/>
        <v>0</v>
      </c>
      <c r="CK56" s="1485">
        <f>SUM(((BP56*0.9)*1))</f>
        <v>0</v>
      </c>
      <c r="CL56" s="1485">
        <f t="shared" si="321"/>
        <v>0</v>
      </c>
      <c r="CM56" s="1485">
        <f t="shared" si="308"/>
        <v>1750</v>
      </c>
      <c r="CN56" s="1485"/>
      <c r="CO56" s="1488"/>
      <c r="CP56" s="1485">
        <f t="shared" si="342"/>
        <v>0</v>
      </c>
      <c r="CQ56" s="1485">
        <f t="shared" si="343"/>
        <v>0</v>
      </c>
      <c r="CR56" s="1485">
        <f t="shared" si="344"/>
        <v>0</v>
      </c>
      <c r="CS56" s="1485">
        <f t="shared" si="345"/>
        <v>0</v>
      </c>
      <c r="CT56" s="1485">
        <f t="shared" si="346"/>
        <v>0</v>
      </c>
      <c r="CU56" s="1485">
        <f t="shared" si="347"/>
        <v>0</v>
      </c>
      <c r="CV56" s="1485">
        <f t="shared" si="348"/>
        <v>0</v>
      </c>
      <c r="CW56" s="1485">
        <f t="shared" si="349"/>
        <v>0</v>
      </c>
      <c r="CX56" s="1485">
        <f t="shared" si="350"/>
        <v>0</v>
      </c>
      <c r="CY56" s="1485">
        <f t="shared" si="351"/>
        <v>0</v>
      </c>
      <c r="CZ56" s="1485">
        <f t="shared" si="352"/>
        <v>0</v>
      </c>
      <c r="DA56" s="1485">
        <f t="shared" si="353"/>
        <v>1.125</v>
      </c>
      <c r="DB56" s="1485">
        <f t="shared" si="354"/>
        <v>1.125</v>
      </c>
      <c r="DC56" s="1485">
        <f t="shared" si="355"/>
        <v>0</v>
      </c>
      <c r="DD56" s="1485">
        <f t="shared" si="356"/>
        <v>0</v>
      </c>
      <c r="DE56" s="1485">
        <f t="shared" si="357"/>
        <v>0</v>
      </c>
      <c r="DF56" s="1485">
        <f>SUM(((BP56*0.9)*0.9))</f>
        <v>0</v>
      </c>
      <c r="DG56" s="1485">
        <f t="shared" si="322"/>
        <v>0</v>
      </c>
      <c r="DH56" s="1485">
        <f t="shared" si="311"/>
        <v>1575</v>
      </c>
      <c r="DI56" s="1485"/>
      <c r="DJ56" s="1488"/>
      <c r="DK56" s="1485">
        <f t="shared" si="358"/>
        <v>0</v>
      </c>
      <c r="DL56" s="1485">
        <f t="shared" si="359"/>
        <v>0</v>
      </c>
      <c r="DM56" s="1485">
        <f t="shared" si="360"/>
        <v>0</v>
      </c>
      <c r="DN56" s="1485">
        <f t="shared" si="361"/>
        <v>0</v>
      </c>
      <c r="DO56" s="1485">
        <f t="shared" si="362"/>
        <v>0</v>
      </c>
      <c r="DP56" s="1485">
        <f t="shared" si="363"/>
        <v>0</v>
      </c>
      <c r="DQ56" s="1485">
        <f t="shared" si="364"/>
        <v>0</v>
      </c>
      <c r="DR56" s="1485">
        <f t="shared" si="365"/>
        <v>0</v>
      </c>
      <c r="DS56" s="1485">
        <f t="shared" si="366"/>
        <v>0</v>
      </c>
      <c r="DT56" s="1485">
        <f t="shared" si="367"/>
        <v>0</v>
      </c>
      <c r="DU56" s="1485">
        <f t="shared" si="368"/>
        <v>0</v>
      </c>
      <c r="DV56" s="1485">
        <f t="shared" si="369"/>
        <v>1</v>
      </c>
      <c r="DW56" s="1485">
        <f t="shared" si="370"/>
        <v>1</v>
      </c>
      <c r="DX56" s="1485">
        <f t="shared" si="371"/>
        <v>0</v>
      </c>
      <c r="DY56" s="1485">
        <f t="shared" si="372"/>
        <v>0</v>
      </c>
      <c r="DZ56" s="1485">
        <f t="shared" si="373"/>
        <v>0</v>
      </c>
      <c r="EA56" s="1485">
        <f>SUM(((BP56*0.9)*0.8))</f>
        <v>0</v>
      </c>
      <c r="EB56" s="1485">
        <f t="shared" si="323"/>
        <v>0</v>
      </c>
      <c r="EC56" s="1485">
        <f t="shared" si="314"/>
        <v>1400</v>
      </c>
      <c r="ED56" s="1485"/>
      <c r="EE56" s="1488"/>
      <c r="EF56" s="1485">
        <f t="shared" si="374"/>
        <v>0</v>
      </c>
      <c r="EG56" s="1485">
        <f t="shared" si="375"/>
        <v>0</v>
      </c>
      <c r="EH56" s="1485">
        <f t="shared" si="376"/>
        <v>0</v>
      </c>
      <c r="EI56" s="1485">
        <f t="shared" si="377"/>
        <v>0</v>
      </c>
      <c r="EJ56" s="1485">
        <f t="shared" si="378"/>
        <v>0</v>
      </c>
      <c r="EK56" s="1485">
        <f t="shared" si="379"/>
        <v>0</v>
      </c>
      <c r="EL56" s="1485">
        <f t="shared" si="380"/>
        <v>0</v>
      </c>
      <c r="EM56" s="1485">
        <f t="shared" si="381"/>
        <v>0</v>
      </c>
      <c r="EN56" s="1485">
        <f t="shared" si="382"/>
        <v>0</v>
      </c>
      <c r="EO56" s="1485">
        <f t="shared" si="383"/>
        <v>0</v>
      </c>
      <c r="EP56" s="1485">
        <f t="shared" si="384"/>
        <v>0</v>
      </c>
      <c r="EQ56" s="1485">
        <f t="shared" si="385"/>
        <v>0.875</v>
      </c>
      <c r="ER56" s="1485">
        <f t="shared" si="386"/>
        <v>0.875</v>
      </c>
      <c r="ES56" s="1485">
        <f t="shared" si="387"/>
        <v>0</v>
      </c>
      <c r="ET56" s="1485">
        <f t="shared" si="388"/>
        <v>0</v>
      </c>
      <c r="EU56" s="1485">
        <f t="shared" si="389"/>
        <v>0</v>
      </c>
      <c r="EV56" s="1485">
        <f>SUM(((BP56*0.9)*0.7))</f>
        <v>0</v>
      </c>
      <c r="EW56" s="1485">
        <f t="shared" si="324"/>
        <v>0</v>
      </c>
      <c r="EX56" s="1485">
        <f t="shared" si="317"/>
        <v>1225</v>
      </c>
      <c r="EY56" s="1485"/>
      <c r="EZ56" s="1488"/>
      <c r="FA56" s="1485">
        <f t="shared" si="390"/>
        <v>0</v>
      </c>
      <c r="FB56" s="1485">
        <f t="shared" si="391"/>
        <v>0</v>
      </c>
      <c r="FC56" s="1485">
        <f t="shared" si="392"/>
        <v>0</v>
      </c>
      <c r="FD56" s="1485">
        <f t="shared" si="393"/>
        <v>0</v>
      </c>
      <c r="FE56" s="1485">
        <f t="shared" si="394"/>
        <v>0</v>
      </c>
      <c r="FF56" s="1485">
        <f t="shared" si="395"/>
        <v>0</v>
      </c>
      <c r="FG56" s="1485">
        <f t="shared" si="396"/>
        <v>0</v>
      </c>
      <c r="FH56" s="1485">
        <f t="shared" si="397"/>
        <v>0</v>
      </c>
      <c r="FI56" s="1485">
        <f t="shared" si="398"/>
        <v>0</v>
      </c>
      <c r="FJ56" s="1485">
        <f t="shared" si="399"/>
        <v>0</v>
      </c>
      <c r="FK56" s="1485">
        <f t="shared" si="400"/>
        <v>0</v>
      </c>
      <c r="FL56" s="1485">
        <f t="shared" si="401"/>
        <v>0.75</v>
      </c>
      <c r="FM56" s="1485">
        <f t="shared" si="402"/>
        <v>0.75</v>
      </c>
      <c r="FN56" s="1485">
        <f t="shared" si="403"/>
        <v>0</v>
      </c>
      <c r="FO56" s="1485">
        <f t="shared" si="404"/>
        <v>0</v>
      </c>
      <c r="FP56" s="1485">
        <f t="shared" si="405"/>
        <v>0</v>
      </c>
      <c r="FQ56" s="1485">
        <f>SUM(((BP56*0.9)*0.6))</f>
        <v>0</v>
      </c>
      <c r="FR56" s="1485">
        <f t="shared" si="325"/>
        <v>0</v>
      </c>
      <c r="FS56" s="1485">
        <f t="shared" si="320"/>
        <v>1050</v>
      </c>
      <c r="FT56" s="1485"/>
      <c r="FU56" s="1485" t="e">
        <f t="shared" si="287"/>
        <v>#VALUE!</v>
      </c>
      <c r="FV56" s="1485" t="e">
        <f t="shared" si="288"/>
        <v>#VALUE!</v>
      </c>
      <c r="FW56" s="1485" t="e">
        <f t="shared" si="289"/>
        <v>#VALUE!</v>
      </c>
      <c r="FX56" s="1485" t="e">
        <f t="shared" si="290"/>
        <v>#VALUE!</v>
      </c>
      <c r="FY56" s="1485" t="e">
        <f t="shared" si="291"/>
        <v>#VALUE!</v>
      </c>
      <c r="FZ56" s="1485" t="e">
        <f t="shared" si="292"/>
        <v>#VALUE!</v>
      </c>
      <c r="GA56" s="1485" t="e">
        <f t="shared" si="293"/>
        <v>#VALUE!</v>
      </c>
      <c r="GB56" s="1485" t="e">
        <f t="shared" si="294"/>
        <v>#VALUE!</v>
      </c>
      <c r="GC56" s="1485" t="e">
        <f t="shared" si="295"/>
        <v>#VALUE!</v>
      </c>
      <c r="GD56" s="1485" t="e">
        <f t="shared" si="296"/>
        <v>#VALUE!</v>
      </c>
      <c r="GE56" s="1485" t="e">
        <f t="shared" si="297"/>
        <v>#VALUE!</v>
      </c>
      <c r="GF56" s="1485" t="e">
        <f t="shared" si="298"/>
        <v>#VALUE!</v>
      </c>
      <c r="GG56" s="1485" t="e">
        <f t="shared" si="299"/>
        <v>#VALUE!</v>
      </c>
      <c r="GH56" s="1485" t="e">
        <f t="shared" si="300"/>
        <v>#VALUE!</v>
      </c>
      <c r="GI56" s="1485" t="e">
        <f t="shared" si="301"/>
        <v>#VALUE!</v>
      </c>
      <c r="GJ56" s="1485" t="e">
        <f t="shared" si="302"/>
        <v>#VALUE!</v>
      </c>
      <c r="GK56" s="1485" t="e">
        <f t="shared" si="303"/>
        <v>#VALUE!</v>
      </c>
      <c r="GL56" s="1485" t="e">
        <f t="shared" si="304"/>
        <v>#VALUE!</v>
      </c>
      <c r="GM56" s="1485" t="e">
        <f t="shared" si="305"/>
        <v>#VALUE!</v>
      </c>
    </row>
    <row r="57" spans="1:195" ht="16.5" customHeight="1">
      <c r="A57" s="1631">
        <v>311</v>
      </c>
      <c r="B57" s="1873" t="s">
        <v>286</v>
      </c>
      <c r="C57" s="1419" t="s">
        <v>287</v>
      </c>
      <c r="D57" s="1420">
        <f>IF(($AC57&lt;10),SUM(((AE57+(ROUNDUP(($AC57*AZ57),2)))/100)),SUM(((AE57+(ROUNDUP(((9*AZ57)+FU57),2)))/100)))</f>
        <v>0.15</v>
      </c>
      <c r="E57" s="1421">
        <f>IF(($AC57&lt;10),SUM(((AF57+(ROUNDUP(($AC57*BA57),2)))/100)),SUM(((AF57+(ROUNDUP(((9*BA57)+FV57),2)))/100)))</f>
        <v>0.15</v>
      </c>
      <c r="F57" s="1422"/>
      <c r="G57" s="1422"/>
      <c r="H57" s="1423"/>
      <c r="I57" s="1422"/>
      <c r="J57" s="1422"/>
      <c r="K57" s="1422"/>
      <c r="L57" s="1422"/>
      <c r="M57" s="1422"/>
      <c r="N57" s="1422"/>
      <c r="O57" s="1422"/>
      <c r="P57" s="1422"/>
      <c r="Q57" s="1395" t="str">
        <f t="shared" ref="Q57:Q65" si="406">AR57</f>
        <v>Area</v>
      </c>
      <c r="R57" s="1424"/>
      <c r="S57" s="1395">
        <f t="shared" ref="S57:S65" si="407">IF((AC57&lt;10),SUM((AT57+(ROUNDUP((AC57*BN57),2)))),SUM((AT57+(ROUNDUP(((9*BN57)+GI57),2)))))</f>
        <v>1000</v>
      </c>
      <c r="T57" s="1424">
        <f t="shared" ref="T57:T65" si="408">IF((AC57&lt;10),SUM((AU57+(ROUNDUP((AC57*BO57),2)))),SUM((AU57+(ROUNDUP(((9*BO57)+GJ57),2)))))</f>
        <v>15</v>
      </c>
      <c r="U57" s="1424">
        <f t="shared" ref="U57:U65" si="409">IF((AC57&lt;10),SUM((AV57+(ROUNDUP((AC57*BP57),2)))),SUM((AV57+(ROUNDUP(((9*BP57)+GK57),2)))))</f>
        <v>60</v>
      </c>
      <c r="V57" s="1395">
        <f t="shared" ref="V57:V65" si="410">IF((AC57&lt;10),SUM((AW57+(ROUNDUP((AC57*BQ57),2)))),SUM((AW57+(ROUNDUP(((9*BQ57)+GL57),2)))))</f>
        <v>62.5</v>
      </c>
      <c r="W57" s="1395">
        <f t="shared" si="280"/>
        <v>17500</v>
      </c>
      <c r="X57" s="1395"/>
      <c r="Y57" s="1395"/>
      <c r="Z57" s="1395"/>
      <c r="AA57" s="1396"/>
      <c r="AB57" s="1256"/>
      <c r="AC57" s="1256">
        <f t="shared" si="30"/>
        <v>0</v>
      </c>
      <c r="AD57" s="1256"/>
      <c r="AE57" s="1397">
        <v>15</v>
      </c>
      <c r="AF57" s="1397">
        <v>15</v>
      </c>
      <c r="AG57" s="1397"/>
      <c r="AH57" s="1397"/>
      <c r="AI57" s="1397"/>
      <c r="AJ57" s="1397"/>
      <c r="AK57" s="1397"/>
      <c r="AL57" s="1397"/>
      <c r="AM57" s="1397"/>
      <c r="AN57" s="1397"/>
      <c r="AO57" s="1397"/>
      <c r="AP57" s="1397"/>
      <c r="AQ57" s="1397"/>
      <c r="AR57" s="1397" t="s">
        <v>284</v>
      </c>
      <c r="AS57" s="1398"/>
      <c r="AT57" s="1397">
        <v>1000</v>
      </c>
      <c r="AU57" s="1397">
        <v>15</v>
      </c>
      <c r="AV57" s="1397">
        <v>60</v>
      </c>
      <c r="AW57" s="1397">
        <v>62.5</v>
      </c>
      <c r="AX57" s="1397">
        <v>17500</v>
      </c>
      <c r="AY57" s="1256"/>
      <c r="AZ57" s="1256">
        <f>SUM((AE57/27))</f>
        <v>0.55555555555555558</v>
      </c>
      <c r="BA57" s="1256">
        <f>SUM((AF57/27))</f>
        <v>0.55555555555555558</v>
      </c>
      <c r="BB57" s="1256"/>
      <c r="BC57" s="1256"/>
      <c r="BD57" s="1256"/>
      <c r="BE57" s="1397"/>
      <c r="BF57" s="1397"/>
      <c r="BG57" s="1256"/>
      <c r="BH57" s="1256"/>
      <c r="BI57" s="1256"/>
      <c r="BJ57" s="1256"/>
      <c r="BK57" s="1256"/>
      <c r="BL57" s="1256"/>
      <c r="BM57" s="1256"/>
      <c r="BN57" s="1256"/>
      <c r="BO57" s="1256"/>
      <c r="BP57" s="1256">
        <f t="shared" ref="BP57:BP65" si="411">SUM((-AV57/18))</f>
        <v>-3.3333333333333335</v>
      </c>
      <c r="BQ57" s="1256"/>
      <c r="BR57" s="1256">
        <f t="shared" si="281"/>
        <v>1944.4444444444443</v>
      </c>
      <c r="BS57" s="1256"/>
      <c r="BT57" s="1399">
        <v>2.33</v>
      </c>
      <c r="BU57" s="1256">
        <f t="shared" si="326"/>
        <v>0.5</v>
      </c>
      <c r="BV57" s="1256">
        <f t="shared" si="327"/>
        <v>0.5</v>
      </c>
      <c r="BW57" s="1256">
        <f t="shared" si="328"/>
        <v>0</v>
      </c>
      <c r="BX57" s="1256">
        <f t="shared" si="329"/>
        <v>0</v>
      </c>
      <c r="BY57" s="1256">
        <f t="shared" si="330"/>
        <v>0</v>
      </c>
      <c r="BZ57" s="1256">
        <f t="shared" si="331"/>
        <v>0</v>
      </c>
      <c r="CA57" s="1256">
        <f t="shared" si="332"/>
        <v>0</v>
      </c>
      <c r="CB57" s="1256">
        <f t="shared" si="333"/>
        <v>0</v>
      </c>
      <c r="CC57" s="1256">
        <f t="shared" si="334"/>
        <v>0</v>
      </c>
      <c r="CD57" s="1256">
        <f t="shared" si="335"/>
        <v>0</v>
      </c>
      <c r="CE57" s="1256">
        <f t="shared" si="336"/>
        <v>0</v>
      </c>
      <c r="CF57" s="1256">
        <f t="shared" si="337"/>
        <v>0</v>
      </c>
      <c r="CG57" s="1256">
        <f t="shared" si="338"/>
        <v>0</v>
      </c>
      <c r="CH57" s="1256">
        <f t="shared" si="339"/>
        <v>0</v>
      </c>
      <c r="CI57" s="1256">
        <f t="shared" si="340"/>
        <v>0</v>
      </c>
      <c r="CJ57" s="1256">
        <f t="shared" si="341"/>
        <v>0</v>
      </c>
      <c r="CK57" s="1399">
        <f t="shared" ref="CK57:CK65" si="412">SUM(ROUND((BP57/BT57),2))</f>
        <v>-1.43</v>
      </c>
      <c r="CL57" s="1256">
        <f t="shared" si="321"/>
        <v>0</v>
      </c>
      <c r="CM57" s="1256">
        <f t="shared" si="308"/>
        <v>1750</v>
      </c>
      <c r="CN57" s="1256"/>
      <c r="CO57" s="1399">
        <v>2.84</v>
      </c>
      <c r="CP57" s="1256">
        <f t="shared" si="342"/>
        <v>0.45</v>
      </c>
      <c r="CQ57" s="1256">
        <f t="shared" si="343"/>
        <v>0.45</v>
      </c>
      <c r="CR57" s="1256">
        <f t="shared" si="344"/>
        <v>0</v>
      </c>
      <c r="CS57" s="1256">
        <f t="shared" si="345"/>
        <v>0</v>
      </c>
      <c r="CT57" s="1256">
        <f t="shared" si="346"/>
        <v>0</v>
      </c>
      <c r="CU57" s="1256">
        <f t="shared" si="347"/>
        <v>0</v>
      </c>
      <c r="CV57" s="1256">
        <f t="shared" si="348"/>
        <v>0</v>
      </c>
      <c r="CW57" s="1256">
        <f t="shared" si="349"/>
        <v>0</v>
      </c>
      <c r="CX57" s="1256">
        <f t="shared" si="350"/>
        <v>0</v>
      </c>
      <c r="CY57" s="1256">
        <f t="shared" si="351"/>
        <v>0</v>
      </c>
      <c r="CZ57" s="1256">
        <f t="shared" si="352"/>
        <v>0</v>
      </c>
      <c r="DA57" s="1256">
        <f t="shared" si="353"/>
        <v>0</v>
      </c>
      <c r="DB57" s="1256">
        <f t="shared" si="354"/>
        <v>0</v>
      </c>
      <c r="DC57" s="1256">
        <f t="shared" si="355"/>
        <v>0</v>
      </c>
      <c r="DD57" s="1256">
        <f t="shared" si="356"/>
        <v>0</v>
      </c>
      <c r="DE57" s="1256">
        <f t="shared" si="357"/>
        <v>0</v>
      </c>
      <c r="DF57" s="1399">
        <f t="shared" ref="DF57:DF65" si="413">SUM(ROUND((BP57/CO57),2))</f>
        <v>-1.17</v>
      </c>
      <c r="DG57" s="1256">
        <f t="shared" si="322"/>
        <v>0</v>
      </c>
      <c r="DH57" s="1256">
        <f t="shared" si="311"/>
        <v>1575</v>
      </c>
      <c r="DI57" s="1256"/>
      <c r="DJ57" s="1399">
        <v>3.45</v>
      </c>
      <c r="DK57" s="1256">
        <f t="shared" si="358"/>
        <v>0.4</v>
      </c>
      <c r="DL57" s="1256">
        <f t="shared" si="359"/>
        <v>0.4</v>
      </c>
      <c r="DM57" s="1256">
        <f t="shared" si="360"/>
        <v>0</v>
      </c>
      <c r="DN57" s="1256">
        <f t="shared" si="361"/>
        <v>0</v>
      </c>
      <c r="DO57" s="1256">
        <f t="shared" si="362"/>
        <v>0</v>
      </c>
      <c r="DP57" s="1256">
        <f t="shared" si="363"/>
        <v>0</v>
      </c>
      <c r="DQ57" s="1256">
        <f t="shared" si="364"/>
        <v>0</v>
      </c>
      <c r="DR57" s="1256">
        <f t="shared" si="365"/>
        <v>0</v>
      </c>
      <c r="DS57" s="1256">
        <f t="shared" si="366"/>
        <v>0</v>
      </c>
      <c r="DT57" s="1256">
        <f t="shared" si="367"/>
        <v>0</v>
      </c>
      <c r="DU57" s="1256">
        <f t="shared" si="368"/>
        <v>0</v>
      </c>
      <c r="DV57" s="1256">
        <f t="shared" si="369"/>
        <v>0</v>
      </c>
      <c r="DW57" s="1256">
        <f t="shared" si="370"/>
        <v>0</v>
      </c>
      <c r="DX57" s="1256">
        <f t="shared" si="371"/>
        <v>0</v>
      </c>
      <c r="DY57" s="1256">
        <f t="shared" si="372"/>
        <v>0</v>
      </c>
      <c r="DZ57" s="1256">
        <f t="shared" si="373"/>
        <v>0</v>
      </c>
      <c r="EA57" s="1399">
        <f t="shared" ref="EA57:EA65" si="414">SUM(ROUND((BP57/DJ57),2))</f>
        <v>-0.97</v>
      </c>
      <c r="EB57" s="1256">
        <f t="shared" si="323"/>
        <v>0</v>
      </c>
      <c r="EC57" s="1256">
        <f t="shared" si="314"/>
        <v>1400</v>
      </c>
      <c r="ED57" s="1256"/>
      <c r="EE57" s="1399">
        <v>4.2300000000000004</v>
      </c>
      <c r="EF57" s="1256">
        <f t="shared" si="374"/>
        <v>0.35</v>
      </c>
      <c r="EG57" s="1256">
        <f t="shared" si="375"/>
        <v>0.35</v>
      </c>
      <c r="EH57" s="1256">
        <f t="shared" si="376"/>
        <v>0</v>
      </c>
      <c r="EI57" s="1256">
        <f t="shared" si="377"/>
        <v>0</v>
      </c>
      <c r="EJ57" s="1256">
        <f t="shared" si="378"/>
        <v>0</v>
      </c>
      <c r="EK57" s="1256">
        <f t="shared" si="379"/>
        <v>0</v>
      </c>
      <c r="EL57" s="1256">
        <f t="shared" si="380"/>
        <v>0</v>
      </c>
      <c r="EM57" s="1256">
        <f t="shared" si="381"/>
        <v>0</v>
      </c>
      <c r="EN57" s="1256">
        <f t="shared" si="382"/>
        <v>0</v>
      </c>
      <c r="EO57" s="1256">
        <f t="shared" si="383"/>
        <v>0</v>
      </c>
      <c r="EP57" s="1256">
        <f t="shared" si="384"/>
        <v>0</v>
      </c>
      <c r="EQ57" s="1256">
        <f t="shared" si="385"/>
        <v>0</v>
      </c>
      <c r="ER57" s="1256">
        <f t="shared" si="386"/>
        <v>0</v>
      </c>
      <c r="ES57" s="1256">
        <f t="shared" si="387"/>
        <v>0</v>
      </c>
      <c r="ET57" s="1256">
        <f t="shared" si="388"/>
        <v>0</v>
      </c>
      <c r="EU57" s="1256">
        <f t="shared" si="389"/>
        <v>0</v>
      </c>
      <c r="EV57" s="1399">
        <f t="shared" ref="EV57:EV65" si="415">SUM(ROUND((BP57/EE57),2))</f>
        <v>-0.79</v>
      </c>
      <c r="EW57" s="1256">
        <f t="shared" si="324"/>
        <v>0</v>
      </c>
      <c r="EX57" s="1256">
        <f t="shared" si="317"/>
        <v>1225</v>
      </c>
      <c r="EY57" s="1256"/>
      <c r="EZ57" s="1399">
        <v>5.2</v>
      </c>
      <c r="FA57" s="1256">
        <f t="shared" si="390"/>
        <v>0.3</v>
      </c>
      <c r="FB57" s="1256">
        <f t="shared" si="391"/>
        <v>0.3</v>
      </c>
      <c r="FC57" s="1256">
        <f t="shared" si="392"/>
        <v>0</v>
      </c>
      <c r="FD57" s="1256">
        <f t="shared" si="393"/>
        <v>0</v>
      </c>
      <c r="FE57" s="1256">
        <f t="shared" si="394"/>
        <v>0</v>
      </c>
      <c r="FF57" s="1256">
        <f t="shared" si="395"/>
        <v>0</v>
      </c>
      <c r="FG57" s="1256">
        <f t="shared" si="396"/>
        <v>0</v>
      </c>
      <c r="FH57" s="1256">
        <f t="shared" si="397"/>
        <v>0</v>
      </c>
      <c r="FI57" s="1256">
        <f t="shared" si="398"/>
        <v>0</v>
      </c>
      <c r="FJ57" s="1256">
        <f t="shared" si="399"/>
        <v>0</v>
      </c>
      <c r="FK57" s="1256">
        <f t="shared" si="400"/>
        <v>0</v>
      </c>
      <c r="FL57" s="1256">
        <f t="shared" si="401"/>
        <v>0</v>
      </c>
      <c r="FM57" s="1256">
        <f t="shared" si="402"/>
        <v>0</v>
      </c>
      <c r="FN57" s="1256">
        <f t="shared" si="403"/>
        <v>0</v>
      </c>
      <c r="FO57" s="1256">
        <f t="shared" si="404"/>
        <v>0</v>
      </c>
      <c r="FP57" s="1256">
        <f t="shared" si="405"/>
        <v>0</v>
      </c>
      <c r="FQ57" s="1399">
        <f t="shared" ref="FQ57:FQ65" si="416">SUM(ROUND((BP57/EZ57),2))</f>
        <v>-0.64</v>
      </c>
      <c r="FR57" s="1256">
        <f t="shared" si="325"/>
        <v>0</v>
      </c>
      <c r="FS57" s="1256">
        <f t="shared" si="320"/>
        <v>1050</v>
      </c>
      <c r="FT57" s="1256"/>
      <c r="FU57" s="1256" t="e">
        <f t="shared" si="287"/>
        <v>#VALUE!</v>
      </c>
      <c r="FV57" s="1256" t="e">
        <f t="shared" si="288"/>
        <v>#VALUE!</v>
      </c>
      <c r="FW57" s="1256" t="e">
        <f t="shared" si="289"/>
        <v>#VALUE!</v>
      </c>
      <c r="FX57" s="1256" t="e">
        <f t="shared" si="290"/>
        <v>#VALUE!</v>
      </c>
      <c r="FY57" s="1256" t="e">
        <f t="shared" si="291"/>
        <v>#VALUE!</v>
      </c>
      <c r="FZ57" s="1256" t="e">
        <f t="shared" si="292"/>
        <v>#VALUE!</v>
      </c>
      <c r="GA57" s="1256" t="e">
        <f t="shared" si="293"/>
        <v>#VALUE!</v>
      </c>
      <c r="GB57" s="1256" t="e">
        <f t="shared" si="294"/>
        <v>#VALUE!</v>
      </c>
      <c r="GC57" s="1256" t="e">
        <f t="shared" si="295"/>
        <v>#VALUE!</v>
      </c>
      <c r="GD57" s="1256" t="e">
        <f t="shared" si="296"/>
        <v>#VALUE!</v>
      </c>
      <c r="GE57" s="1256" t="e">
        <f t="shared" si="297"/>
        <v>#VALUE!</v>
      </c>
      <c r="GF57" s="1256" t="e">
        <f t="shared" si="298"/>
        <v>#VALUE!</v>
      </c>
      <c r="GG57" s="1256" t="e">
        <f t="shared" si="299"/>
        <v>#VALUE!</v>
      </c>
      <c r="GH57" s="1256" t="e">
        <f t="shared" si="300"/>
        <v>#VALUE!</v>
      </c>
      <c r="GI57" s="1256" t="e">
        <f t="shared" si="301"/>
        <v>#VALUE!</v>
      </c>
      <c r="GJ57" s="1256" t="e">
        <f t="shared" si="302"/>
        <v>#VALUE!</v>
      </c>
      <c r="GK57" s="1256" t="e">
        <f t="shared" si="303"/>
        <v>#VALUE!</v>
      </c>
      <c r="GL57" s="1256" t="e">
        <f t="shared" si="304"/>
        <v>#VALUE!</v>
      </c>
      <c r="GM57" s="1256" t="e">
        <f t="shared" si="305"/>
        <v>#VALUE!</v>
      </c>
    </row>
    <row r="58" spans="1:195" ht="16.5" customHeight="1">
      <c r="A58" s="1631">
        <v>312</v>
      </c>
      <c r="B58" s="1874"/>
      <c r="C58" s="1425" t="s">
        <v>288</v>
      </c>
      <c r="D58" s="1426">
        <f>IF(($AC58&lt;10),SUM(((AE58+(ROUNDUP(($AC58*AZ58),2)))/100)),SUM(((AE58+(ROUNDUP(((9*AZ58)+FU58),2)))/100)))</f>
        <v>7.4999999999999997E-2</v>
      </c>
      <c r="E58" s="1427">
        <f>IF(($AC58&lt;10),SUM(((AF58+(ROUNDUP(($AC58*BA58),2)))/100)),SUM(((AF58+(ROUNDUP(((9*BA58)+FV58),2)))/100)))</f>
        <v>7.4999999999999997E-2</v>
      </c>
      <c r="F58" s="1428"/>
      <c r="G58" s="1429"/>
      <c r="H58" s="1430">
        <f>IF(($AC58&lt;10),SUM(((AI58+(ROUNDUP(($AC58*BD58),2)))/100)),SUM(((AI58+(ROUNDUP(((9*BD58)+FY58),2)))/100)))</f>
        <v>3.7499999999999999E-2</v>
      </c>
      <c r="I58" s="1428"/>
      <c r="J58" s="1428"/>
      <c r="K58" s="1428"/>
      <c r="L58" s="1428"/>
      <c r="M58" s="1428"/>
      <c r="N58" s="1428"/>
      <c r="O58" s="1428"/>
      <c r="P58" s="1428"/>
      <c r="Q58" s="1400" t="str">
        <f t="shared" si="406"/>
        <v>Area</v>
      </c>
      <c r="R58" s="1431"/>
      <c r="S58" s="1400">
        <f t="shared" si="407"/>
        <v>1000</v>
      </c>
      <c r="T58" s="1431">
        <f t="shared" si="408"/>
        <v>15</v>
      </c>
      <c r="U58" s="1431">
        <f t="shared" si="409"/>
        <v>60</v>
      </c>
      <c r="V58" s="1400">
        <f t="shared" si="410"/>
        <v>62.5</v>
      </c>
      <c r="W58" s="1400">
        <f t="shared" si="280"/>
        <v>17500</v>
      </c>
      <c r="X58" s="1400"/>
      <c r="Y58" s="1400"/>
      <c r="Z58" s="1400"/>
      <c r="AA58" s="1396"/>
      <c r="AB58" s="1256"/>
      <c r="AC58" s="1256">
        <f t="shared" si="30"/>
        <v>0</v>
      </c>
      <c r="AD58" s="1256"/>
      <c r="AE58" s="1397">
        <f>SUM(ROUNDDOWN((AE57/2),2))</f>
        <v>7.5</v>
      </c>
      <c r="AF58" s="1397">
        <f>SUM(ROUNDDOWN((AF57/2),2))</f>
        <v>7.5</v>
      </c>
      <c r="AG58" s="1397"/>
      <c r="AH58" s="1397"/>
      <c r="AI58" s="1397">
        <f>SUM(ROUNDDOWN((AI59/2),2))</f>
        <v>3.75</v>
      </c>
      <c r="AJ58" s="1397"/>
      <c r="AK58" s="1397"/>
      <c r="AL58" s="1397"/>
      <c r="AM58" s="1397"/>
      <c r="AN58" s="1397"/>
      <c r="AO58" s="1397"/>
      <c r="AP58" s="1397"/>
      <c r="AQ58" s="1397"/>
      <c r="AR58" s="1397" t="s">
        <v>284</v>
      </c>
      <c r="AS58" s="1398"/>
      <c r="AT58" s="1397">
        <v>1000</v>
      </c>
      <c r="AU58" s="1397">
        <v>15</v>
      </c>
      <c r="AV58" s="1397">
        <v>60</v>
      </c>
      <c r="AW58" s="1397">
        <v>62.5</v>
      </c>
      <c r="AX58" s="1397">
        <v>17500</v>
      </c>
      <c r="AY58" s="1256"/>
      <c r="AZ58" s="1256">
        <f>SUM((AE58/27))</f>
        <v>0.27777777777777779</v>
      </c>
      <c r="BA58" s="1256">
        <f>SUM((AF58/27))</f>
        <v>0.27777777777777779</v>
      </c>
      <c r="BB58" s="1256"/>
      <c r="BC58" s="1256"/>
      <c r="BD58" s="1256">
        <f>SUM((AI58/27))</f>
        <v>0.1388888888888889</v>
      </c>
      <c r="BE58" s="1397"/>
      <c r="BF58" s="1397"/>
      <c r="BG58" s="1256"/>
      <c r="BH58" s="1256"/>
      <c r="BI58" s="1256"/>
      <c r="BJ58" s="1256"/>
      <c r="BK58" s="1256"/>
      <c r="BL58" s="1256"/>
      <c r="BM58" s="1256"/>
      <c r="BN58" s="1256"/>
      <c r="BO58" s="1256"/>
      <c r="BP58" s="1256">
        <f t="shared" si="411"/>
        <v>-3.3333333333333335</v>
      </c>
      <c r="BQ58" s="1256"/>
      <c r="BR58" s="1256">
        <f t="shared" si="281"/>
        <v>1944.4444444444443</v>
      </c>
      <c r="BS58" s="1256"/>
      <c r="BT58" s="1399">
        <v>2.33</v>
      </c>
      <c r="BU58" s="1256">
        <f t="shared" si="326"/>
        <v>0.25</v>
      </c>
      <c r="BV58" s="1256">
        <f t="shared" si="327"/>
        <v>0.25</v>
      </c>
      <c r="BW58" s="1256">
        <f t="shared" si="328"/>
        <v>0</v>
      </c>
      <c r="BX58" s="1256">
        <f t="shared" si="329"/>
        <v>0</v>
      </c>
      <c r="BY58" s="1256">
        <f t="shared" si="330"/>
        <v>0.125</v>
      </c>
      <c r="BZ58" s="1256">
        <f t="shared" si="331"/>
        <v>0</v>
      </c>
      <c r="CA58" s="1256">
        <f t="shared" si="332"/>
        <v>0</v>
      </c>
      <c r="CB58" s="1256">
        <f t="shared" si="333"/>
        <v>0</v>
      </c>
      <c r="CC58" s="1256">
        <f t="shared" si="334"/>
        <v>0</v>
      </c>
      <c r="CD58" s="1256">
        <f t="shared" si="335"/>
        <v>0</v>
      </c>
      <c r="CE58" s="1256">
        <f t="shared" si="336"/>
        <v>0</v>
      </c>
      <c r="CF58" s="1256">
        <f t="shared" si="337"/>
        <v>0</v>
      </c>
      <c r="CG58" s="1256">
        <f t="shared" si="338"/>
        <v>0</v>
      </c>
      <c r="CH58" s="1256">
        <f t="shared" si="339"/>
        <v>0</v>
      </c>
      <c r="CI58" s="1256">
        <f t="shared" si="340"/>
        <v>0</v>
      </c>
      <c r="CJ58" s="1256">
        <f t="shared" si="341"/>
        <v>0</v>
      </c>
      <c r="CK58" s="1399">
        <f t="shared" si="412"/>
        <v>-1.43</v>
      </c>
      <c r="CL58" s="1256">
        <f t="shared" si="321"/>
        <v>0</v>
      </c>
      <c r="CM58" s="1256">
        <f t="shared" si="308"/>
        <v>1750</v>
      </c>
      <c r="CN58" s="1256"/>
      <c r="CO58" s="1399">
        <v>2.84</v>
      </c>
      <c r="CP58" s="1256">
        <f t="shared" si="342"/>
        <v>0.22500000000000001</v>
      </c>
      <c r="CQ58" s="1256">
        <f t="shared" si="343"/>
        <v>0.22500000000000001</v>
      </c>
      <c r="CR58" s="1256">
        <f t="shared" si="344"/>
        <v>0</v>
      </c>
      <c r="CS58" s="1256">
        <f t="shared" si="345"/>
        <v>0</v>
      </c>
      <c r="CT58" s="1256">
        <f t="shared" si="346"/>
        <v>0.1125</v>
      </c>
      <c r="CU58" s="1256">
        <f t="shared" si="347"/>
        <v>0</v>
      </c>
      <c r="CV58" s="1256">
        <f t="shared" si="348"/>
        <v>0</v>
      </c>
      <c r="CW58" s="1256">
        <f t="shared" si="349"/>
        <v>0</v>
      </c>
      <c r="CX58" s="1256">
        <f t="shared" si="350"/>
        <v>0</v>
      </c>
      <c r="CY58" s="1256">
        <f t="shared" si="351"/>
        <v>0</v>
      </c>
      <c r="CZ58" s="1256">
        <f t="shared" si="352"/>
        <v>0</v>
      </c>
      <c r="DA58" s="1256">
        <f t="shared" si="353"/>
        <v>0</v>
      </c>
      <c r="DB58" s="1256">
        <f t="shared" si="354"/>
        <v>0</v>
      </c>
      <c r="DC58" s="1256">
        <f t="shared" si="355"/>
        <v>0</v>
      </c>
      <c r="DD58" s="1256">
        <f t="shared" si="356"/>
        <v>0</v>
      </c>
      <c r="DE58" s="1256">
        <f t="shared" si="357"/>
        <v>0</v>
      </c>
      <c r="DF58" s="1399">
        <f t="shared" si="413"/>
        <v>-1.17</v>
      </c>
      <c r="DG58" s="1256">
        <f t="shared" si="322"/>
        <v>0</v>
      </c>
      <c r="DH58" s="1256">
        <f t="shared" si="311"/>
        <v>1575</v>
      </c>
      <c r="DI58" s="1256"/>
      <c r="DJ58" s="1399">
        <v>3.45</v>
      </c>
      <c r="DK58" s="1256">
        <f t="shared" si="358"/>
        <v>0.2</v>
      </c>
      <c r="DL58" s="1256">
        <f t="shared" si="359"/>
        <v>0.2</v>
      </c>
      <c r="DM58" s="1256">
        <f t="shared" si="360"/>
        <v>0</v>
      </c>
      <c r="DN58" s="1256">
        <f t="shared" si="361"/>
        <v>0</v>
      </c>
      <c r="DO58" s="1256">
        <f t="shared" si="362"/>
        <v>0.1</v>
      </c>
      <c r="DP58" s="1256">
        <f t="shared" si="363"/>
        <v>0</v>
      </c>
      <c r="DQ58" s="1256">
        <f t="shared" si="364"/>
        <v>0</v>
      </c>
      <c r="DR58" s="1256">
        <f t="shared" si="365"/>
        <v>0</v>
      </c>
      <c r="DS58" s="1256">
        <f t="shared" si="366"/>
        <v>0</v>
      </c>
      <c r="DT58" s="1256">
        <f t="shared" si="367"/>
        <v>0</v>
      </c>
      <c r="DU58" s="1256">
        <f t="shared" si="368"/>
        <v>0</v>
      </c>
      <c r="DV58" s="1256">
        <f t="shared" si="369"/>
        <v>0</v>
      </c>
      <c r="DW58" s="1256">
        <f t="shared" si="370"/>
        <v>0</v>
      </c>
      <c r="DX58" s="1256">
        <f t="shared" si="371"/>
        <v>0</v>
      </c>
      <c r="DY58" s="1256">
        <f t="shared" si="372"/>
        <v>0</v>
      </c>
      <c r="DZ58" s="1256">
        <f t="shared" si="373"/>
        <v>0</v>
      </c>
      <c r="EA58" s="1399">
        <f t="shared" si="414"/>
        <v>-0.97</v>
      </c>
      <c r="EB58" s="1256">
        <f t="shared" si="323"/>
        <v>0</v>
      </c>
      <c r="EC58" s="1256">
        <f t="shared" si="314"/>
        <v>1400</v>
      </c>
      <c r="ED58" s="1256"/>
      <c r="EE58" s="1399">
        <v>4.2300000000000004</v>
      </c>
      <c r="EF58" s="1256">
        <f t="shared" si="374"/>
        <v>0.17499999999999999</v>
      </c>
      <c r="EG58" s="1256">
        <f t="shared" si="375"/>
        <v>0.17499999999999999</v>
      </c>
      <c r="EH58" s="1256">
        <f t="shared" si="376"/>
        <v>0</v>
      </c>
      <c r="EI58" s="1256">
        <f t="shared" si="377"/>
        <v>0</v>
      </c>
      <c r="EJ58" s="1256">
        <f t="shared" si="378"/>
        <v>8.7499999999999994E-2</v>
      </c>
      <c r="EK58" s="1256">
        <f t="shared" si="379"/>
        <v>0</v>
      </c>
      <c r="EL58" s="1256">
        <f t="shared" si="380"/>
        <v>0</v>
      </c>
      <c r="EM58" s="1256">
        <f t="shared" si="381"/>
        <v>0</v>
      </c>
      <c r="EN58" s="1256">
        <f t="shared" si="382"/>
        <v>0</v>
      </c>
      <c r="EO58" s="1256">
        <f t="shared" si="383"/>
        <v>0</v>
      </c>
      <c r="EP58" s="1256">
        <f t="shared" si="384"/>
        <v>0</v>
      </c>
      <c r="EQ58" s="1256">
        <f t="shared" si="385"/>
        <v>0</v>
      </c>
      <c r="ER58" s="1256">
        <f t="shared" si="386"/>
        <v>0</v>
      </c>
      <c r="ES58" s="1256">
        <f t="shared" si="387"/>
        <v>0</v>
      </c>
      <c r="ET58" s="1256">
        <f t="shared" si="388"/>
        <v>0</v>
      </c>
      <c r="EU58" s="1256">
        <f t="shared" si="389"/>
        <v>0</v>
      </c>
      <c r="EV58" s="1399">
        <f t="shared" si="415"/>
        <v>-0.79</v>
      </c>
      <c r="EW58" s="1256">
        <f t="shared" si="324"/>
        <v>0</v>
      </c>
      <c r="EX58" s="1256">
        <f t="shared" si="317"/>
        <v>1225</v>
      </c>
      <c r="EY58" s="1256"/>
      <c r="EZ58" s="1399">
        <v>5.2</v>
      </c>
      <c r="FA58" s="1256">
        <f t="shared" si="390"/>
        <v>0.15</v>
      </c>
      <c r="FB58" s="1256">
        <f t="shared" si="391"/>
        <v>0.15</v>
      </c>
      <c r="FC58" s="1256">
        <f t="shared" si="392"/>
        <v>0</v>
      </c>
      <c r="FD58" s="1256">
        <f t="shared" si="393"/>
        <v>0</v>
      </c>
      <c r="FE58" s="1256">
        <f t="shared" si="394"/>
        <v>7.4999999999999997E-2</v>
      </c>
      <c r="FF58" s="1256">
        <f t="shared" si="395"/>
        <v>0</v>
      </c>
      <c r="FG58" s="1256">
        <f t="shared" si="396"/>
        <v>0</v>
      </c>
      <c r="FH58" s="1256">
        <f t="shared" si="397"/>
        <v>0</v>
      </c>
      <c r="FI58" s="1256">
        <f t="shared" si="398"/>
        <v>0</v>
      </c>
      <c r="FJ58" s="1256">
        <f t="shared" si="399"/>
        <v>0</v>
      </c>
      <c r="FK58" s="1256">
        <f t="shared" si="400"/>
        <v>0</v>
      </c>
      <c r="FL58" s="1256">
        <f t="shared" si="401"/>
        <v>0</v>
      </c>
      <c r="FM58" s="1256">
        <f t="shared" si="402"/>
        <v>0</v>
      </c>
      <c r="FN58" s="1256">
        <f t="shared" si="403"/>
        <v>0</v>
      </c>
      <c r="FO58" s="1256">
        <f t="shared" si="404"/>
        <v>0</v>
      </c>
      <c r="FP58" s="1256">
        <f t="shared" si="405"/>
        <v>0</v>
      </c>
      <c r="FQ58" s="1399">
        <f t="shared" si="416"/>
        <v>-0.64</v>
      </c>
      <c r="FR58" s="1256">
        <f t="shared" si="325"/>
        <v>0</v>
      </c>
      <c r="FS58" s="1256">
        <f t="shared" si="320"/>
        <v>1050</v>
      </c>
      <c r="FT58" s="1256"/>
      <c r="FU58" s="1256" t="e">
        <f t="shared" si="287"/>
        <v>#VALUE!</v>
      </c>
      <c r="FV58" s="1256" t="e">
        <f t="shared" si="288"/>
        <v>#VALUE!</v>
      </c>
      <c r="FW58" s="1256" t="e">
        <f t="shared" si="289"/>
        <v>#VALUE!</v>
      </c>
      <c r="FX58" s="1256" t="e">
        <f t="shared" si="290"/>
        <v>#VALUE!</v>
      </c>
      <c r="FY58" s="1256" t="e">
        <f t="shared" si="291"/>
        <v>#VALUE!</v>
      </c>
      <c r="FZ58" s="1256" t="e">
        <f t="shared" si="292"/>
        <v>#VALUE!</v>
      </c>
      <c r="GA58" s="1256" t="e">
        <f t="shared" si="293"/>
        <v>#VALUE!</v>
      </c>
      <c r="GB58" s="1256" t="e">
        <f t="shared" si="294"/>
        <v>#VALUE!</v>
      </c>
      <c r="GC58" s="1256" t="e">
        <f t="shared" si="295"/>
        <v>#VALUE!</v>
      </c>
      <c r="GD58" s="1256" t="e">
        <f t="shared" si="296"/>
        <v>#VALUE!</v>
      </c>
      <c r="GE58" s="1256" t="e">
        <f t="shared" si="297"/>
        <v>#VALUE!</v>
      </c>
      <c r="GF58" s="1256" t="e">
        <f t="shared" si="298"/>
        <v>#VALUE!</v>
      </c>
      <c r="GG58" s="1256" t="e">
        <f t="shared" si="299"/>
        <v>#VALUE!</v>
      </c>
      <c r="GH58" s="1256" t="e">
        <f t="shared" si="300"/>
        <v>#VALUE!</v>
      </c>
      <c r="GI58" s="1256" t="e">
        <f t="shared" si="301"/>
        <v>#VALUE!</v>
      </c>
      <c r="GJ58" s="1256" t="e">
        <f t="shared" si="302"/>
        <v>#VALUE!</v>
      </c>
      <c r="GK58" s="1256" t="e">
        <f t="shared" si="303"/>
        <v>#VALUE!</v>
      </c>
      <c r="GL58" s="1256" t="e">
        <f t="shared" si="304"/>
        <v>#VALUE!</v>
      </c>
      <c r="GM58" s="1256" t="e">
        <f t="shared" si="305"/>
        <v>#VALUE!</v>
      </c>
    </row>
    <row r="59" spans="1:195" ht="16.5" customHeight="1">
      <c r="A59" s="1631">
        <v>313</v>
      </c>
      <c r="B59" s="1873"/>
      <c r="C59" s="1432" t="s">
        <v>289</v>
      </c>
      <c r="D59" s="1433"/>
      <c r="E59" s="1434"/>
      <c r="F59" s="1434"/>
      <c r="G59" s="1435"/>
      <c r="H59" s="1421">
        <f>IF(($AC59&lt;10),SUM(((AI59+(ROUNDUP(($AC59*BD59),2)))/100)),SUM(((AI59+(ROUNDUP(((9*BD59)+FY59),2)))/100)))</f>
        <v>7.4999999999999997E-2</v>
      </c>
      <c r="I59" s="1434"/>
      <c r="J59" s="1434"/>
      <c r="K59" s="1436"/>
      <c r="L59" s="1436"/>
      <c r="M59" s="1436"/>
      <c r="N59" s="1434"/>
      <c r="O59" s="1434"/>
      <c r="P59" s="1434"/>
      <c r="Q59" s="1401" t="str">
        <f t="shared" si="406"/>
        <v>Area</v>
      </c>
      <c r="R59" s="1437"/>
      <c r="S59" s="1401">
        <f t="shared" si="407"/>
        <v>1000</v>
      </c>
      <c r="T59" s="1437">
        <f t="shared" si="408"/>
        <v>15</v>
      </c>
      <c r="U59" s="1437">
        <f t="shared" si="409"/>
        <v>60</v>
      </c>
      <c r="V59" s="1401">
        <f t="shared" si="410"/>
        <v>62.5</v>
      </c>
      <c r="W59" s="1401">
        <f t="shared" si="280"/>
        <v>17500</v>
      </c>
      <c r="X59" s="1401"/>
      <c r="Y59" s="1401"/>
      <c r="Z59" s="1401"/>
      <c r="AA59" s="1396"/>
      <c r="AB59" s="1256"/>
      <c r="AC59" s="1256">
        <f t="shared" si="30"/>
        <v>0</v>
      </c>
      <c r="AD59" s="1256"/>
      <c r="AE59" s="1397"/>
      <c r="AF59" s="1397"/>
      <c r="AG59" s="1397"/>
      <c r="AH59" s="1397"/>
      <c r="AI59" s="1397">
        <v>7.5</v>
      </c>
      <c r="AJ59" s="1397"/>
      <c r="AK59" s="1397"/>
      <c r="AL59" s="1397"/>
      <c r="AM59" s="1397"/>
      <c r="AN59" s="1397"/>
      <c r="AO59" s="1397"/>
      <c r="AP59" s="1397"/>
      <c r="AQ59" s="1397"/>
      <c r="AR59" s="1397" t="s">
        <v>284</v>
      </c>
      <c r="AS59" s="1398"/>
      <c r="AT59" s="1397">
        <v>1000</v>
      </c>
      <c r="AU59" s="1397">
        <v>15</v>
      </c>
      <c r="AV59" s="1397">
        <v>60</v>
      </c>
      <c r="AW59" s="1397">
        <v>62.5</v>
      </c>
      <c r="AX59" s="1397">
        <v>17500</v>
      </c>
      <c r="AY59" s="1256"/>
      <c r="AZ59" s="1256"/>
      <c r="BA59" s="1256"/>
      <c r="BB59" s="1256"/>
      <c r="BC59" s="1256"/>
      <c r="BD59" s="1256">
        <f>SUM((AI59/27))</f>
        <v>0.27777777777777779</v>
      </c>
      <c r="BE59" s="1397"/>
      <c r="BF59" s="1397"/>
      <c r="BG59" s="1256"/>
      <c r="BH59" s="1256"/>
      <c r="BI59" s="1256"/>
      <c r="BJ59" s="1256"/>
      <c r="BK59" s="1256"/>
      <c r="BL59" s="1256"/>
      <c r="BM59" s="1256"/>
      <c r="BN59" s="1256"/>
      <c r="BO59" s="1256"/>
      <c r="BP59" s="1256">
        <f t="shared" si="411"/>
        <v>-3.3333333333333335</v>
      </c>
      <c r="BQ59" s="1256"/>
      <c r="BR59" s="1256">
        <f t="shared" si="281"/>
        <v>1944.4444444444443</v>
      </c>
      <c r="BS59" s="1256"/>
      <c r="BT59" s="1399">
        <v>2.33</v>
      </c>
      <c r="BU59" s="1256">
        <f t="shared" si="326"/>
        <v>0</v>
      </c>
      <c r="BV59" s="1256">
        <f t="shared" si="327"/>
        <v>0</v>
      </c>
      <c r="BW59" s="1256">
        <f t="shared" si="328"/>
        <v>0</v>
      </c>
      <c r="BX59" s="1256">
        <f t="shared" si="329"/>
        <v>0</v>
      </c>
      <c r="BY59" s="1256">
        <f t="shared" si="330"/>
        <v>0.25</v>
      </c>
      <c r="BZ59" s="1256">
        <f t="shared" si="331"/>
        <v>0</v>
      </c>
      <c r="CA59" s="1256">
        <f t="shared" si="332"/>
        <v>0</v>
      </c>
      <c r="CB59" s="1256">
        <f t="shared" si="333"/>
        <v>0</v>
      </c>
      <c r="CC59" s="1256">
        <f t="shared" si="334"/>
        <v>0</v>
      </c>
      <c r="CD59" s="1256">
        <f t="shared" si="335"/>
        <v>0</v>
      </c>
      <c r="CE59" s="1256">
        <f t="shared" si="336"/>
        <v>0</v>
      </c>
      <c r="CF59" s="1256">
        <f t="shared" si="337"/>
        <v>0</v>
      </c>
      <c r="CG59" s="1256">
        <f t="shared" si="338"/>
        <v>0</v>
      </c>
      <c r="CH59" s="1256">
        <f t="shared" si="339"/>
        <v>0</v>
      </c>
      <c r="CI59" s="1256">
        <f t="shared" si="340"/>
        <v>0</v>
      </c>
      <c r="CJ59" s="1256">
        <f t="shared" si="341"/>
        <v>0</v>
      </c>
      <c r="CK59" s="1399">
        <f t="shared" si="412"/>
        <v>-1.43</v>
      </c>
      <c r="CL59" s="1256">
        <f t="shared" si="321"/>
        <v>0</v>
      </c>
      <c r="CM59" s="1256">
        <f t="shared" si="308"/>
        <v>1750</v>
      </c>
      <c r="CN59" s="1256"/>
      <c r="CO59" s="1399">
        <v>2.84</v>
      </c>
      <c r="CP59" s="1256">
        <f t="shared" si="342"/>
        <v>0</v>
      </c>
      <c r="CQ59" s="1256">
        <f t="shared" si="343"/>
        <v>0</v>
      </c>
      <c r="CR59" s="1256">
        <f t="shared" si="344"/>
        <v>0</v>
      </c>
      <c r="CS59" s="1256">
        <f t="shared" si="345"/>
        <v>0</v>
      </c>
      <c r="CT59" s="1256">
        <f t="shared" si="346"/>
        <v>0.22500000000000001</v>
      </c>
      <c r="CU59" s="1256">
        <f t="shared" si="347"/>
        <v>0</v>
      </c>
      <c r="CV59" s="1256">
        <f t="shared" si="348"/>
        <v>0</v>
      </c>
      <c r="CW59" s="1256">
        <f t="shared" si="349"/>
        <v>0</v>
      </c>
      <c r="CX59" s="1256">
        <f t="shared" si="350"/>
        <v>0</v>
      </c>
      <c r="CY59" s="1256">
        <f t="shared" si="351"/>
        <v>0</v>
      </c>
      <c r="CZ59" s="1256">
        <f t="shared" si="352"/>
        <v>0</v>
      </c>
      <c r="DA59" s="1256">
        <f t="shared" si="353"/>
        <v>0</v>
      </c>
      <c r="DB59" s="1256">
        <f t="shared" si="354"/>
        <v>0</v>
      </c>
      <c r="DC59" s="1256">
        <f t="shared" si="355"/>
        <v>0</v>
      </c>
      <c r="DD59" s="1256">
        <f t="shared" si="356"/>
        <v>0</v>
      </c>
      <c r="DE59" s="1256">
        <f t="shared" si="357"/>
        <v>0</v>
      </c>
      <c r="DF59" s="1399">
        <f t="shared" si="413"/>
        <v>-1.17</v>
      </c>
      <c r="DG59" s="1256">
        <f t="shared" si="322"/>
        <v>0</v>
      </c>
      <c r="DH59" s="1256">
        <f t="shared" si="311"/>
        <v>1575</v>
      </c>
      <c r="DI59" s="1256"/>
      <c r="DJ59" s="1399">
        <v>3.45</v>
      </c>
      <c r="DK59" s="1256">
        <f t="shared" si="358"/>
        <v>0</v>
      </c>
      <c r="DL59" s="1256">
        <f t="shared" si="359"/>
        <v>0</v>
      </c>
      <c r="DM59" s="1256">
        <f t="shared" si="360"/>
        <v>0</v>
      </c>
      <c r="DN59" s="1256">
        <f t="shared" si="361"/>
        <v>0</v>
      </c>
      <c r="DO59" s="1256">
        <f t="shared" si="362"/>
        <v>0.2</v>
      </c>
      <c r="DP59" s="1256">
        <f t="shared" si="363"/>
        <v>0</v>
      </c>
      <c r="DQ59" s="1256">
        <f t="shared" si="364"/>
        <v>0</v>
      </c>
      <c r="DR59" s="1256">
        <f t="shared" si="365"/>
        <v>0</v>
      </c>
      <c r="DS59" s="1256">
        <f t="shared" si="366"/>
        <v>0</v>
      </c>
      <c r="DT59" s="1256">
        <f t="shared" si="367"/>
        <v>0</v>
      </c>
      <c r="DU59" s="1256">
        <f t="shared" si="368"/>
        <v>0</v>
      </c>
      <c r="DV59" s="1256">
        <f t="shared" si="369"/>
        <v>0</v>
      </c>
      <c r="DW59" s="1256">
        <f t="shared" si="370"/>
        <v>0</v>
      </c>
      <c r="DX59" s="1256">
        <f t="shared" si="371"/>
        <v>0</v>
      </c>
      <c r="DY59" s="1256">
        <f t="shared" si="372"/>
        <v>0</v>
      </c>
      <c r="DZ59" s="1256">
        <f t="shared" si="373"/>
        <v>0</v>
      </c>
      <c r="EA59" s="1399">
        <f t="shared" si="414"/>
        <v>-0.97</v>
      </c>
      <c r="EB59" s="1256">
        <f t="shared" si="323"/>
        <v>0</v>
      </c>
      <c r="EC59" s="1256">
        <f t="shared" si="314"/>
        <v>1400</v>
      </c>
      <c r="ED59" s="1256"/>
      <c r="EE59" s="1399">
        <v>4.2300000000000004</v>
      </c>
      <c r="EF59" s="1256">
        <f t="shared" si="374"/>
        <v>0</v>
      </c>
      <c r="EG59" s="1256">
        <f t="shared" si="375"/>
        <v>0</v>
      </c>
      <c r="EH59" s="1256">
        <f t="shared" si="376"/>
        <v>0</v>
      </c>
      <c r="EI59" s="1256">
        <f t="shared" si="377"/>
        <v>0</v>
      </c>
      <c r="EJ59" s="1256">
        <f t="shared" si="378"/>
        <v>0.17499999999999999</v>
      </c>
      <c r="EK59" s="1256">
        <f t="shared" si="379"/>
        <v>0</v>
      </c>
      <c r="EL59" s="1256">
        <f t="shared" si="380"/>
        <v>0</v>
      </c>
      <c r="EM59" s="1256">
        <f t="shared" si="381"/>
        <v>0</v>
      </c>
      <c r="EN59" s="1256">
        <f t="shared" si="382"/>
        <v>0</v>
      </c>
      <c r="EO59" s="1256">
        <f t="shared" si="383"/>
        <v>0</v>
      </c>
      <c r="EP59" s="1256">
        <f t="shared" si="384"/>
        <v>0</v>
      </c>
      <c r="EQ59" s="1256">
        <f t="shared" si="385"/>
        <v>0</v>
      </c>
      <c r="ER59" s="1256">
        <f t="shared" si="386"/>
        <v>0</v>
      </c>
      <c r="ES59" s="1256">
        <f t="shared" si="387"/>
        <v>0</v>
      </c>
      <c r="ET59" s="1256">
        <f t="shared" si="388"/>
        <v>0</v>
      </c>
      <c r="EU59" s="1256">
        <f t="shared" si="389"/>
        <v>0</v>
      </c>
      <c r="EV59" s="1399">
        <f t="shared" si="415"/>
        <v>-0.79</v>
      </c>
      <c r="EW59" s="1256">
        <f t="shared" si="324"/>
        <v>0</v>
      </c>
      <c r="EX59" s="1256">
        <f t="shared" si="317"/>
        <v>1225</v>
      </c>
      <c r="EY59" s="1256"/>
      <c r="EZ59" s="1399">
        <v>5.2</v>
      </c>
      <c r="FA59" s="1256">
        <f t="shared" si="390"/>
        <v>0</v>
      </c>
      <c r="FB59" s="1256">
        <f t="shared" si="391"/>
        <v>0</v>
      </c>
      <c r="FC59" s="1256">
        <f t="shared" si="392"/>
        <v>0</v>
      </c>
      <c r="FD59" s="1256">
        <f t="shared" si="393"/>
        <v>0</v>
      </c>
      <c r="FE59" s="1256">
        <f t="shared" si="394"/>
        <v>0.15</v>
      </c>
      <c r="FF59" s="1256">
        <f t="shared" si="395"/>
        <v>0</v>
      </c>
      <c r="FG59" s="1256">
        <f t="shared" si="396"/>
        <v>0</v>
      </c>
      <c r="FH59" s="1256">
        <f t="shared" si="397"/>
        <v>0</v>
      </c>
      <c r="FI59" s="1256">
        <f t="shared" si="398"/>
        <v>0</v>
      </c>
      <c r="FJ59" s="1256">
        <f t="shared" si="399"/>
        <v>0</v>
      </c>
      <c r="FK59" s="1256">
        <f t="shared" si="400"/>
        <v>0</v>
      </c>
      <c r="FL59" s="1256">
        <f t="shared" si="401"/>
        <v>0</v>
      </c>
      <c r="FM59" s="1256">
        <f t="shared" si="402"/>
        <v>0</v>
      </c>
      <c r="FN59" s="1256">
        <f t="shared" si="403"/>
        <v>0</v>
      </c>
      <c r="FO59" s="1256">
        <f t="shared" si="404"/>
        <v>0</v>
      </c>
      <c r="FP59" s="1256">
        <f t="shared" si="405"/>
        <v>0</v>
      </c>
      <c r="FQ59" s="1399">
        <f t="shared" si="416"/>
        <v>-0.64</v>
      </c>
      <c r="FR59" s="1256">
        <f t="shared" si="325"/>
        <v>0</v>
      </c>
      <c r="FS59" s="1256">
        <f t="shared" si="320"/>
        <v>1050</v>
      </c>
      <c r="FT59" s="1256"/>
      <c r="FU59" s="1256" t="e">
        <f t="shared" si="287"/>
        <v>#VALUE!</v>
      </c>
      <c r="FV59" s="1256" t="e">
        <f t="shared" si="288"/>
        <v>#VALUE!</v>
      </c>
      <c r="FW59" s="1256" t="e">
        <f t="shared" si="289"/>
        <v>#VALUE!</v>
      </c>
      <c r="FX59" s="1256" t="e">
        <f t="shared" si="290"/>
        <v>#VALUE!</v>
      </c>
      <c r="FY59" s="1256" t="e">
        <f t="shared" si="291"/>
        <v>#VALUE!</v>
      </c>
      <c r="FZ59" s="1256" t="e">
        <f t="shared" si="292"/>
        <v>#VALUE!</v>
      </c>
      <c r="GA59" s="1256" t="e">
        <f t="shared" si="293"/>
        <v>#VALUE!</v>
      </c>
      <c r="GB59" s="1256" t="e">
        <f t="shared" si="294"/>
        <v>#VALUE!</v>
      </c>
      <c r="GC59" s="1256" t="e">
        <f t="shared" si="295"/>
        <v>#VALUE!</v>
      </c>
      <c r="GD59" s="1256" t="e">
        <f t="shared" si="296"/>
        <v>#VALUE!</v>
      </c>
      <c r="GE59" s="1256" t="e">
        <f t="shared" si="297"/>
        <v>#VALUE!</v>
      </c>
      <c r="GF59" s="1256" t="e">
        <f t="shared" si="298"/>
        <v>#VALUE!</v>
      </c>
      <c r="GG59" s="1256" t="e">
        <f t="shared" si="299"/>
        <v>#VALUE!</v>
      </c>
      <c r="GH59" s="1256" t="e">
        <f t="shared" si="300"/>
        <v>#VALUE!</v>
      </c>
      <c r="GI59" s="1256" t="e">
        <f t="shared" si="301"/>
        <v>#VALUE!</v>
      </c>
      <c r="GJ59" s="1256" t="e">
        <f t="shared" si="302"/>
        <v>#VALUE!</v>
      </c>
      <c r="GK59" s="1256" t="e">
        <f t="shared" si="303"/>
        <v>#VALUE!</v>
      </c>
      <c r="GL59" s="1256" t="e">
        <f t="shared" si="304"/>
        <v>#VALUE!</v>
      </c>
      <c r="GM59" s="1256" t="e">
        <f t="shared" si="305"/>
        <v>#VALUE!</v>
      </c>
    </row>
    <row r="60" spans="1:195" ht="16.5" customHeight="1">
      <c r="A60" s="1631">
        <v>314</v>
      </c>
      <c r="B60" s="1873"/>
      <c r="C60" s="1425" t="s">
        <v>290</v>
      </c>
      <c r="D60" s="1438"/>
      <c r="E60" s="1428"/>
      <c r="F60" s="1428"/>
      <c r="G60" s="1428"/>
      <c r="H60" s="1439"/>
      <c r="I60" s="1428"/>
      <c r="J60" s="1429"/>
      <c r="K60" s="1426">
        <f>IF(($AC60&lt;10),SUM(((AL60+(ROUNDUP(($AC60*BG60),2)))/100)),SUM(((AL60+(ROUNDUP(((9*BG60)+GB60),2)))/100)))</f>
        <v>0.15</v>
      </c>
      <c r="L60" s="1426">
        <f>IF(($AC60&lt;10),SUM(((AM60+(ROUNDUP(($AC60*BH60),2)))/100)),SUM(((AM60+(ROUNDUP(((9*BH60)+GC60),2)))/100)))</f>
        <v>7.4999999999999997E-2</v>
      </c>
      <c r="M60" s="1427">
        <f>IF(($AC60&lt;10),SUM(((AN60+(ROUNDUP(($AC60*BI60),2)))/100)),SUM(((AN60+(ROUNDUP(((9*BI60)+GD60),2)))/100)))</f>
        <v>0.15</v>
      </c>
      <c r="N60" s="1440"/>
      <c r="O60" s="1440"/>
      <c r="P60" s="1440"/>
      <c r="Q60" s="1400" t="str">
        <f t="shared" si="406"/>
        <v>Area</v>
      </c>
      <c r="R60" s="1431"/>
      <c r="S60" s="1400">
        <f t="shared" si="407"/>
        <v>1000</v>
      </c>
      <c r="T60" s="1431">
        <f t="shared" si="408"/>
        <v>15</v>
      </c>
      <c r="U60" s="1431">
        <f t="shared" si="409"/>
        <v>60</v>
      </c>
      <c r="V60" s="1400">
        <f t="shared" si="410"/>
        <v>62.5</v>
      </c>
      <c r="W60" s="1400">
        <f t="shared" si="280"/>
        <v>17500</v>
      </c>
      <c r="X60" s="1400"/>
      <c r="Y60" s="1400"/>
      <c r="Z60" s="1400"/>
      <c r="AA60" s="1396"/>
      <c r="AB60" s="1256"/>
      <c r="AC60" s="1256">
        <f t="shared" si="30"/>
        <v>0</v>
      </c>
      <c r="AD60" s="1256"/>
      <c r="AE60" s="1397"/>
      <c r="AF60" s="1397"/>
      <c r="AG60" s="1397"/>
      <c r="AH60" s="1397"/>
      <c r="AI60" s="1397"/>
      <c r="AJ60" s="1397"/>
      <c r="AK60" s="1397"/>
      <c r="AL60" s="1397">
        <v>15</v>
      </c>
      <c r="AM60" s="1397">
        <v>7.5</v>
      </c>
      <c r="AN60" s="1397">
        <v>15</v>
      </c>
      <c r="AO60" s="1397"/>
      <c r="AP60" s="1397"/>
      <c r="AQ60" s="1397"/>
      <c r="AR60" s="1397" t="s">
        <v>284</v>
      </c>
      <c r="AS60" s="1398"/>
      <c r="AT60" s="1397">
        <v>1000</v>
      </c>
      <c r="AU60" s="1397">
        <v>15</v>
      </c>
      <c r="AV60" s="1397">
        <v>60</v>
      </c>
      <c r="AW60" s="1397">
        <v>62.5</v>
      </c>
      <c r="AX60" s="1397">
        <v>17500</v>
      </c>
      <c r="AY60" s="1256"/>
      <c r="AZ60" s="1256"/>
      <c r="BA60" s="1256"/>
      <c r="BB60" s="1256"/>
      <c r="BC60" s="1256"/>
      <c r="BD60" s="1256"/>
      <c r="BE60" s="1397"/>
      <c r="BF60" s="1397"/>
      <c r="BG60" s="1256">
        <f>SUM((AL60/27))</f>
        <v>0.55555555555555558</v>
      </c>
      <c r="BH60" s="1256">
        <f>SUM((AM60/27))</f>
        <v>0.27777777777777779</v>
      </c>
      <c r="BI60" s="1256">
        <f>SUM((AN60/27))</f>
        <v>0.55555555555555558</v>
      </c>
      <c r="BJ60" s="1256"/>
      <c r="BK60" s="1256"/>
      <c r="BL60" s="1256"/>
      <c r="BM60" s="1256"/>
      <c r="BN60" s="1256"/>
      <c r="BO60" s="1256"/>
      <c r="BP60" s="1256">
        <f t="shared" si="411"/>
        <v>-3.3333333333333335</v>
      </c>
      <c r="BQ60" s="1256"/>
      <c r="BR60" s="1256">
        <f t="shared" si="281"/>
        <v>1944.4444444444443</v>
      </c>
      <c r="BS60" s="1256"/>
      <c r="BT60" s="1399">
        <v>2.33</v>
      </c>
      <c r="BU60" s="1256">
        <f t="shared" si="326"/>
        <v>0</v>
      </c>
      <c r="BV60" s="1256">
        <f t="shared" si="327"/>
        <v>0</v>
      </c>
      <c r="BW60" s="1256">
        <f t="shared" si="328"/>
        <v>0</v>
      </c>
      <c r="BX60" s="1256">
        <f t="shared" si="329"/>
        <v>0</v>
      </c>
      <c r="BY60" s="1256">
        <f t="shared" si="330"/>
        <v>0</v>
      </c>
      <c r="BZ60" s="1256">
        <f t="shared" si="331"/>
        <v>0</v>
      </c>
      <c r="CA60" s="1256">
        <f t="shared" si="332"/>
        <v>0</v>
      </c>
      <c r="CB60" s="1256">
        <f t="shared" si="333"/>
        <v>0.5</v>
      </c>
      <c r="CC60" s="1256">
        <f t="shared" si="334"/>
        <v>0.25</v>
      </c>
      <c r="CD60" s="1256">
        <f t="shared" si="335"/>
        <v>0.5</v>
      </c>
      <c r="CE60" s="1256">
        <f t="shared" si="336"/>
        <v>0</v>
      </c>
      <c r="CF60" s="1256">
        <f t="shared" si="337"/>
        <v>0</v>
      </c>
      <c r="CG60" s="1256">
        <f t="shared" si="338"/>
        <v>0</v>
      </c>
      <c r="CH60" s="1256">
        <f t="shared" si="339"/>
        <v>0</v>
      </c>
      <c r="CI60" s="1256">
        <f t="shared" si="340"/>
        <v>0</v>
      </c>
      <c r="CJ60" s="1256">
        <f t="shared" si="341"/>
        <v>0</v>
      </c>
      <c r="CK60" s="1399">
        <f t="shared" si="412"/>
        <v>-1.43</v>
      </c>
      <c r="CL60" s="1256">
        <f t="shared" si="321"/>
        <v>0</v>
      </c>
      <c r="CM60" s="1256">
        <f t="shared" si="308"/>
        <v>1750</v>
      </c>
      <c r="CN60" s="1256"/>
      <c r="CO60" s="1399">
        <v>2.84</v>
      </c>
      <c r="CP60" s="1256">
        <f t="shared" si="342"/>
        <v>0</v>
      </c>
      <c r="CQ60" s="1256">
        <f t="shared" si="343"/>
        <v>0</v>
      </c>
      <c r="CR60" s="1256">
        <f t="shared" si="344"/>
        <v>0</v>
      </c>
      <c r="CS60" s="1256">
        <f t="shared" si="345"/>
        <v>0</v>
      </c>
      <c r="CT60" s="1256">
        <f t="shared" si="346"/>
        <v>0</v>
      </c>
      <c r="CU60" s="1256">
        <f t="shared" si="347"/>
        <v>0</v>
      </c>
      <c r="CV60" s="1256">
        <f t="shared" si="348"/>
        <v>0</v>
      </c>
      <c r="CW60" s="1256">
        <f t="shared" si="349"/>
        <v>0.45</v>
      </c>
      <c r="CX60" s="1256">
        <f t="shared" si="350"/>
        <v>0.22500000000000001</v>
      </c>
      <c r="CY60" s="1256">
        <f t="shared" si="351"/>
        <v>0.45</v>
      </c>
      <c r="CZ60" s="1256">
        <f t="shared" si="352"/>
        <v>0</v>
      </c>
      <c r="DA60" s="1256">
        <f t="shared" si="353"/>
        <v>0</v>
      </c>
      <c r="DB60" s="1256">
        <f t="shared" si="354"/>
        <v>0</v>
      </c>
      <c r="DC60" s="1256">
        <f t="shared" si="355"/>
        <v>0</v>
      </c>
      <c r="DD60" s="1256">
        <f t="shared" si="356"/>
        <v>0</v>
      </c>
      <c r="DE60" s="1256">
        <f t="shared" si="357"/>
        <v>0</v>
      </c>
      <c r="DF60" s="1399">
        <f t="shared" si="413"/>
        <v>-1.17</v>
      </c>
      <c r="DG60" s="1256">
        <f t="shared" si="322"/>
        <v>0</v>
      </c>
      <c r="DH60" s="1256">
        <f t="shared" si="311"/>
        <v>1575</v>
      </c>
      <c r="DI60" s="1256"/>
      <c r="DJ60" s="1399">
        <v>3.45</v>
      </c>
      <c r="DK60" s="1256">
        <f t="shared" si="358"/>
        <v>0</v>
      </c>
      <c r="DL60" s="1256">
        <f t="shared" si="359"/>
        <v>0</v>
      </c>
      <c r="DM60" s="1256">
        <f t="shared" si="360"/>
        <v>0</v>
      </c>
      <c r="DN60" s="1256">
        <f t="shared" si="361"/>
        <v>0</v>
      </c>
      <c r="DO60" s="1256">
        <f t="shared" si="362"/>
        <v>0</v>
      </c>
      <c r="DP60" s="1256">
        <f t="shared" si="363"/>
        <v>0</v>
      </c>
      <c r="DQ60" s="1256">
        <f t="shared" si="364"/>
        <v>0</v>
      </c>
      <c r="DR60" s="1256">
        <f t="shared" si="365"/>
        <v>0.4</v>
      </c>
      <c r="DS60" s="1256">
        <f t="shared" si="366"/>
        <v>0.2</v>
      </c>
      <c r="DT60" s="1256">
        <f t="shared" si="367"/>
        <v>0.4</v>
      </c>
      <c r="DU60" s="1256">
        <f t="shared" si="368"/>
        <v>0</v>
      </c>
      <c r="DV60" s="1256">
        <f t="shared" si="369"/>
        <v>0</v>
      </c>
      <c r="DW60" s="1256">
        <f t="shared" si="370"/>
        <v>0</v>
      </c>
      <c r="DX60" s="1256">
        <f t="shared" si="371"/>
        <v>0</v>
      </c>
      <c r="DY60" s="1256">
        <f t="shared" si="372"/>
        <v>0</v>
      </c>
      <c r="DZ60" s="1256">
        <f t="shared" si="373"/>
        <v>0</v>
      </c>
      <c r="EA60" s="1399">
        <f t="shared" si="414"/>
        <v>-0.97</v>
      </c>
      <c r="EB60" s="1256">
        <f t="shared" si="323"/>
        <v>0</v>
      </c>
      <c r="EC60" s="1256">
        <f t="shared" si="314"/>
        <v>1400</v>
      </c>
      <c r="ED60" s="1256"/>
      <c r="EE60" s="1399">
        <v>4.2300000000000004</v>
      </c>
      <c r="EF60" s="1256">
        <f t="shared" si="374"/>
        <v>0</v>
      </c>
      <c r="EG60" s="1256">
        <f t="shared" si="375"/>
        <v>0</v>
      </c>
      <c r="EH60" s="1256">
        <f t="shared" si="376"/>
        <v>0</v>
      </c>
      <c r="EI60" s="1256">
        <f t="shared" si="377"/>
        <v>0</v>
      </c>
      <c r="EJ60" s="1256">
        <f t="shared" si="378"/>
        <v>0</v>
      </c>
      <c r="EK60" s="1256">
        <f t="shared" si="379"/>
        <v>0</v>
      </c>
      <c r="EL60" s="1256">
        <f t="shared" si="380"/>
        <v>0</v>
      </c>
      <c r="EM60" s="1256">
        <f t="shared" si="381"/>
        <v>0.35</v>
      </c>
      <c r="EN60" s="1256">
        <f t="shared" si="382"/>
        <v>0.17499999999999999</v>
      </c>
      <c r="EO60" s="1256">
        <f t="shared" si="383"/>
        <v>0.35</v>
      </c>
      <c r="EP60" s="1256">
        <f t="shared" si="384"/>
        <v>0</v>
      </c>
      <c r="EQ60" s="1256">
        <f t="shared" si="385"/>
        <v>0</v>
      </c>
      <c r="ER60" s="1256">
        <f t="shared" si="386"/>
        <v>0</v>
      </c>
      <c r="ES60" s="1256">
        <f t="shared" si="387"/>
        <v>0</v>
      </c>
      <c r="ET60" s="1256">
        <f t="shared" si="388"/>
        <v>0</v>
      </c>
      <c r="EU60" s="1256">
        <f t="shared" si="389"/>
        <v>0</v>
      </c>
      <c r="EV60" s="1399">
        <f t="shared" si="415"/>
        <v>-0.79</v>
      </c>
      <c r="EW60" s="1256">
        <f t="shared" si="324"/>
        <v>0</v>
      </c>
      <c r="EX60" s="1256">
        <f t="shared" si="317"/>
        <v>1225</v>
      </c>
      <c r="EY60" s="1256"/>
      <c r="EZ60" s="1399">
        <v>5.2</v>
      </c>
      <c r="FA60" s="1256">
        <f t="shared" si="390"/>
        <v>0</v>
      </c>
      <c r="FB60" s="1256">
        <f t="shared" si="391"/>
        <v>0</v>
      </c>
      <c r="FC60" s="1256">
        <f t="shared" si="392"/>
        <v>0</v>
      </c>
      <c r="FD60" s="1256">
        <f t="shared" si="393"/>
        <v>0</v>
      </c>
      <c r="FE60" s="1256">
        <f t="shared" si="394"/>
        <v>0</v>
      </c>
      <c r="FF60" s="1256">
        <f t="shared" si="395"/>
        <v>0</v>
      </c>
      <c r="FG60" s="1256">
        <f t="shared" si="396"/>
        <v>0</v>
      </c>
      <c r="FH60" s="1256">
        <f t="shared" si="397"/>
        <v>0.3</v>
      </c>
      <c r="FI60" s="1256">
        <f t="shared" si="398"/>
        <v>0.15</v>
      </c>
      <c r="FJ60" s="1256">
        <f t="shared" si="399"/>
        <v>0.3</v>
      </c>
      <c r="FK60" s="1256">
        <f t="shared" si="400"/>
        <v>0</v>
      </c>
      <c r="FL60" s="1256">
        <f t="shared" si="401"/>
        <v>0</v>
      </c>
      <c r="FM60" s="1256">
        <f t="shared" si="402"/>
        <v>0</v>
      </c>
      <c r="FN60" s="1256">
        <f t="shared" si="403"/>
        <v>0</v>
      </c>
      <c r="FO60" s="1256">
        <f t="shared" si="404"/>
        <v>0</v>
      </c>
      <c r="FP60" s="1256">
        <f t="shared" si="405"/>
        <v>0</v>
      </c>
      <c r="FQ60" s="1399">
        <f t="shared" si="416"/>
        <v>-0.64</v>
      </c>
      <c r="FR60" s="1256">
        <f t="shared" si="325"/>
        <v>0</v>
      </c>
      <c r="FS60" s="1256">
        <f t="shared" si="320"/>
        <v>1050</v>
      </c>
      <c r="FT60" s="1256"/>
      <c r="FU60" s="1256" t="e">
        <f t="shared" si="287"/>
        <v>#VALUE!</v>
      </c>
      <c r="FV60" s="1256" t="e">
        <f t="shared" si="288"/>
        <v>#VALUE!</v>
      </c>
      <c r="FW60" s="1256" t="e">
        <f t="shared" si="289"/>
        <v>#VALUE!</v>
      </c>
      <c r="FX60" s="1256" t="e">
        <f t="shared" si="290"/>
        <v>#VALUE!</v>
      </c>
      <c r="FY60" s="1256" t="e">
        <f t="shared" si="291"/>
        <v>#VALUE!</v>
      </c>
      <c r="FZ60" s="1256" t="e">
        <f t="shared" si="292"/>
        <v>#VALUE!</v>
      </c>
      <c r="GA60" s="1256" t="e">
        <f t="shared" si="293"/>
        <v>#VALUE!</v>
      </c>
      <c r="GB60" s="1256" t="e">
        <f t="shared" si="294"/>
        <v>#VALUE!</v>
      </c>
      <c r="GC60" s="1256" t="e">
        <f t="shared" si="295"/>
        <v>#VALUE!</v>
      </c>
      <c r="GD60" s="1256" t="e">
        <f t="shared" si="296"/>
        <v>#VALUE!</v>
      </c>
      <c r="GE60" s="1256" t="e">
        <f t="shared" si="297"/>
        <v>#VALUE!</v>
      </c>
      <c r="GF60" s="1256" t="e">
        <f t="shared" si="298"/>
        <v>#VALUE!</v>
      </c>
      <c r="GG60" s="1256" t="e">
        <f t="shared" si="299"/>
        <v>#VALUE!</v>
      </c>
      <c r="GH60" s="1256" t="e">
        <f t="shared" si="300"/>
        <v>#VALUE!</v>
      </c>
      <c r="GI60" s="1256" t="e">
        <f t="shared" si="301"/>
        <v>#VALUE!</v>
      </c>
      <c r="GJ60" s="1256" t="e">
        <f t="shared" si="302"/>
        <v>#VALUE!</v>
      </c>
      <c r="GK60" s="1256" t="e">
        <f t="shared" si="303"/>
        <v>#VALUE!</v>
      </c>
      <c r="GL60" s="1256" t="e">
        <f t="shared" si="304"/>
        <v>#VALUE!</v>
      </c>
      <c r="GM60" s="1256" t="e">
        <f t="shared" si="305"/>
        <v>#VALUE!</v>
      </c>
    </row>
    <row r="61" spans="1:195" ht="16.5" customHeight="1">
      <c r="A61" s="1631">
        <v>315</v>
      </c>
      <c r="B61" s="1873"/>
      <c r="C61" s="1441" t="s">
        <v>291</v>
      </c>
      <c r="D61" s="1442"/>
      <c r="E61" s="1436"/>
      <c r="F61" s="1436"/>
      <c r="G61" s="1436"/>
      <c r="H61" s="1436"/>
      <c r="I61" s="1436"/>
      <c r="J61" s="1436"/>
      <c r="K61" s="1436"/>
      <c r="L61" s="1436"/>
      <c r="M61" s="1443"/>
      <c r="N61" s="1420">
        <f>IF(($AC61&lt;10),SUM(((AO61+(ROUNDUP(($AC61*BJ61),2)))/100)),SUM(((AO61+(ROUNDUP(((9*BJ61)+GE61),2)))/100)))</f>
        <v>0.15</v>
      </c>
      <c r="O61" s="1420">
        <f>IF(($AC61&lt;10),SUM(((AP61+(ROUNDUP(($AC61*BK61),2)))/100)),SUM(((AP61+(ROUNDUP(((9*BK61)+GF61),2)))/100)))</f>
        <v>0.15</v>
      </c>
      <c r="P61" s="1421">
        <f>IF(($AC61&lt;10),SUM(((AQ61+(ROUNDUP(($AC61*BL61),2)))/100)),SUM(((AQ61+(ROUNDUP(((9*BL61)+GG61),2)))/100)))</f>
        <v>0.15</v>
      </c>
      <c r="Q61" s="1403" t="str">
        <f t="shared" si="406"/>
        <v>Area</v>
      </c>
      <c r="R61" s="1444"/>
      <c r="S61" s="1403">
        <f t="shared" si="407"/>
        <v>1000</v>
      </c>
      <c r="T61" s="1444">
        <f t="shared" si="408"/>
        <v>15</v>
      </c>
      <c r="U61" s="1444">
        <f t="shared" si="409"/>
        <v>60</v>
      </c>
      <c r="V61" s="1403">
        <f t="shared" si="410"/>
        <v>62.5</v>
      </c>
      <c r="W61" s="1403">
        <f t="shared" si="280"/>
        <v>17500</v>
      </c>
      <c r="X61" s="1403"/>
      <c r="Y61" s="1403"/>
      <c r="Z61" s="1403"/>
      <c r="AA61" s="1396"/>
      <c r="AB61" s="1256"/>
      <c r="AC61" s="1256">
        <f t="shared" si="30"/>
        <v>0</v>
      </c>
      <c r="AD61" s="1256"/>
      <c r="AE61" s="1397"/>
      <c r="AF61" s="1397"/>
      <c r="AG61" s="1397"/>
      <c r="AH61" s="1397"/>
      <c r="AI61" s="1397"/>
      <c r="AJ61" s="1397"/>
      <c r="AK61" s="1397"/>
      <c r="AL61" s="1397"/>
      <c r="AM61" s="1397"/>
      <c r="AN61" s="1397"/>
      <c r="AO61" s="1397">
        <v>15</v>
      </c>
      <c r="AP61" s="1397">
        <v>15</v>
      </c>
      <c r="AQ61" s="1397">
        <v>15</v>
      </c>
      <c r="AR61" s="1397" t="s">
        <v>284</v>
      </c>
      <c r="AS61" s="1398"/>
      <c r="AT61" s="1397">
        <v>1000</v>
      </c>
      <c r="AU61" s="1397">
        <v>15</v>
      </c>
      <c r="AV61" s="1397">
        <v>60</v>
      </c>
      <c r="AW61" s="1397">
        <v>62.5</v>
      </c>
      <c r="AX61" s="1397">
        <v>17500</v>
      </c>
      <c r="AY61" s="1256"/>
      <c r="AZ61" s="1256"/>
      <c r="BA61" s="1256"/>
      <c r="BB61" s="1256"/>
      <c r="BC61" s="1256"/>
      <c r="BD61" s="1256"/>
      <c r="BE61" s="1397"/>
      <c r="BF61" s="1397"/>
      <c r="BG61" s="1256"/>
      <c r="BH61" s="1256"/>
      <c r="BI61" s="1256"/>
      <c r="BJ61" s="1256">
        <f>SUM((AO61/27))</f>
        <v>0.55555555555555558</v>
      </c>
      <c r="BK61" s="1256">
        <f>SUM((AP61/27))</f>
        <v>0.55555555555555558</v>
      </c>
      <c r="BL61" s="1256">
        <f>SUM((AQ61/27))</f>
        <v>0.55555555555555558</v>
      </c>
      <c r="BM61" s="1256"/>
      <c r="BN61" s="1256"/>
      <c r="BO61" s="1256"/>
      <c r="BP61" s="1256">
        <f t="shared" si="411"/>
        <v>-3.3333333333333335</v>
      </c>
      <c r="BQ61" s="1256"/>
      <c r="BR61" s="1256">
        <f t="shared" si="281"/>
        <v>1944.4444444444443</v>
      </c>
      <c r="BS61" s="1256"/>
      <c r="BT61" s="1399">
        <v>2.33</v>
      </c>
      <c r="BU61" s="1256">
        <f t="shared" si="326"/>
        <v>0</v>
      </c>
      <c r="BV61" s="1256">
        <f t="shared" si="327"/>
        <v>0</v>
      </c>
      <c r="BW61" s="1256">
        <f t="shared" si="328"/>
        <v>0</v>
      </c>
      <c r="BX61" s="1256">
        <f t="shared" si="329"/>
        <v>0</v>
      </c>
      <c r="BY61" s="1256">
        <f t="shared" si="330"/>
        <v>0</v>
      </c>
      <c r="BZ61" s="1256">
        <f t="shared" si="331"/>
        <v>0</v>
      </c>
      <c r="CA61" s="1256">
        <f t="shared" si="332"/>
        <v>0</v>
      </c>
      <c r="CB61" s="1256">
        <f t="shared" si="333"/>
        <v>0</v>
      </c>
      <c r="CC61" s="1256">
        <f t="shared" si="334"/>
        <v>0</v>
      </c>
      <c r="CD61" s="1256">
        <f t="shared" si="335"/>
        <v>0</v>
      </c>
      <c r="CE61" s="1256">
        <f t="shared" si="336"/>
        <v>0.5</v>
      </c>
      <c r="CF61" s="1256">
        <f t="shared" si="337"/>
        <v>0.5</v>
      </c>
      <c r="CG61" s="1256">
        <f t="shared" si="338"/>
        <v>0.5</v>
      </c>
      <c r="CH61" s="1256">
        <f t="shared" si="339"/>
        <v>0</v>
      </c>
      <c r="CI61" s="1256">
        <f t="shared" si="340"/>
        <v>0</v>
      </c>
      <c r="CJ61" s="1256">
        <f t="shared" si="341"/>
        <v>0</v>
      </c>
      <c r="CK61" s="1399">
        <f t="shared" si="412"/>
        <v>-1.43</v>
      </c>
      <c r="CL61" s="1256">
        <f t="shared" si="321"/>
        <v>0</v>
      </c>
      <c r="CM61" s="1256">
        <f t="shared" si="308"/>
        <v>1750</v>
      </c>
      <c r="CN61" s="1256"/>
      <c r="CO61" s="1399">
        <v>2.84</v>
      </c>
      <c r="CP61" s="1256">
        <f t="shared" si="342"/>
        <v>0</v>
      </c>
      <c r="CQ61" s="1256">
        <f t="shared" si="343"/>
        <v>0</v>
      </c>
      <c r="CR61" s="1256">
        <f t="shared" si="344"/>
        <v>0</v>
      </c>
      <c r="CS61" s="1256">
        <f t="shared" si="345"/>
        <v>0</v>
      </c>
      <c r="CT61" s="1256">
        <f t="shared" si="346"/>
        <v>0</v>
      </c>
      <c r="CU61" s="1256">
        <f t="shared" si="347"/>
        <v>0</v>
      </c>
      <c r="CV61" s="1256">
        <f t="shared" si="348"/>
        <v>0</v>
      </c>
      <c r="CW61" s="1256">
        <f t="shared" si="349"/>
        <v>0</v>
      </c>
      <c r="CX61" s="1256">
        <f t="shared" si="350"/>
        <v>0</v>
      </c>
      <c r="CY61" s="1256">
        <f t="shared" si="351"/>
        <v>0</v>
      </c>
      <c r="CZ61" s="1256">
        <f t="shared" si="352"/>
        <v>0.45</v>
      </c>
      <c r="DA61" s="1256">
        <f t="shared" si="353"/>
        <v>0.45</v>
      </c>
      <c r="DB61" s="1256">
        <f t="shared" si="354"/>
        <v>0.45</v>
      </c>
      <c r="DC61" s="1256">
        <f t="shared" si="355"/>
        <v>0</v>
      </c>
      <c r="DD61" s="1256">
        <f t="shared" si="356"/>
        <v>0</v>
      </c>
      <c r="DE61" s="1256">
        <f t="shared" si="357"/>
        <v>0</v>
      </c>
      <c r="DF61" s="1399">
        <f t="shared" si="413"/>
        <v>-1.17</v>
      </c>
      <c r="DG61" s="1256">
        <f t="shared" si="322"/>
        <v>0</v>
      </c>
      <c r="DH61" s="1256">
        <f t="shared" si="311"/>
        <v>1575</v>
      </c>
      <c r="DI61" s="1256"/>
      <c r="DJ61" s="1399">
        <v>3.45</v>
      </c>
      <c r="DK61" s="1256">
        <f t="shared" si="358"/>
        <v>0</v>
      </c>
      <c r="DL61" s="1256">
        <f t="shared" si="359"/>
        <v>0</v>
      </c>
      <c r="DM61" s="1256">
        <f t="shared" si="360"/>
        <v>0</v>
      </c>
      <c r="DN61" s="1256">
        <f t="shared" si="361"/>
        <v>0</v>
      </c>
      <c r="DO61" s="1256">
        <f t="shared" si="362"/>
        <v>0</v>
      </c>
      <c r="DP61" s="1256">
        <f t="shared" si="363"/>
        <v>0</v>
      </c>
      <c r="DQ61" s="1256">
        <f t="shared" si="364"/>
        <v>0</v>
      </c>
      <c r="DR61" s="1256">
        <f t="shared" si="365"/>
        <v>0</v>
      </c>
      <c r="DS61" s="1256">
        <f t="shared" si="366"/>
        <v>0</v>
      </c>
      <c r="DT61" s="1256">
        <f t="shared" si="367"/>
        <v>0</v>
      </c>
      <c r="DU61" s="1256">
        <f t="shared" si="368"/>
        <v>0.4</v>
      </c>
      <c r="DV61" s="1256">
        <f t="shared" si="369"/>
        <v>0.4</v>
      </c>
      <c r="DW61" s="1256">
        <f t="shared" si="370"/>
        <v>0.4</v>
      </c>
      <c r="DX61" s="1256">
        <f t="shared" si="371"/>
        <v>0</v>
      </c>
      <c r="DY61" s="1256">
        <f t="shared" si="372"/>
        <v>0</v>
      </c>
      <c r="DZ61" s="1256">
        <f t="shared" si="373"/>
        <v>0</v>
      </c>
      <c r="EA61" s="1399">
        <f t="shared" si="414"/>
        <v>-0.97</v>
      </c>
      <c r="EB61" s="1256">
        <f t="shared" si="323"/>
        <v>0</v>
      </c>
      <c r="EC61" s="1256">
        <f t="shared" si="314"/>
        <v>1400</v>
      </c>
      <c r="ED61" s="1256"/>
      <c r="EE61" s="1399">
        <v>4.2300000000000004</v>
      </c>
      <c r="EF61" s="1256">
        <f t="shared" si="374"/>
        <v>0</v>
      </c>
      <c r="EG61" s="1256">
        <f t="shared" si="375"/>
        <v>0</v>
      </c>
      <c r="EH61" s="1256">
        <f t="shared" si="376"/>
        <v>0</v>
      </c>
      <c r="EI61" s="1256">
        <f t="shared" si="377"/>
        <v>0</v>
      </c>
      <c r="EJ61" s="1256">
        <f t="shared" si="378"/>
        <v>0</v>
      </c>
      <c r="EK61" s="1256">
        <f t="shared" si="379"/>
        <v>0</v>
      </c>
      <c r="EL61" s="1256">
        <f t="shared" si="380"/>
        <v>0</v>
      </c>
      <c r="EM61" s="1256">
        <f t="shared" si="381"/>
        <v>0</v>
      </c>
      <c r="EN61" s="1256">
        <f t="shared" si="382"/>
        <v>0</v>
      </c>
      <c r="EO61" s="1256">
        <f t="shared" si="383"/>
        <v>0</v>
      </c>
      <c r="EP61" s="1256">
        <f t="shared" si="384"/>
        <v>0.35</v>
      </c>
      <c r="EQ61" s="1256">
        <f t="shared" si="385"/>
        <v>0.35</v>
      </c>
      <c r="ER61" s="1256">
        <f t="shared" si="386"/>
        <v>0.35</v>
      </c>
      <c r="ES61" s="1256">
        <f t="shared" si="387"/>
        <v>0</v>
      </c>
      <c r="ET61" s="1256">
        <f t="shared" si="388"/>
        <v>0</v>
      </c>
      <c r="EU61" s="1256">
        <f t="shared" si="389"/>
        <v>0</v>
      </c>
      <c r="EV61" s="1399">
        <f t="shared" si="415"/>
        <v>-0.79</v>
      </c>
      <c r="EW61" s="1256">
        <f t="shared" si="324"/>
        <v>0</v>
      </c>
      <c r="EX61" s="1256">
        <f t="shared" si="317"/>
        <v>1225</v>
      </c>
      <c r="EY61" s="1256"/>
      <c r="EZ61" s="1399">
        <v>5.2</v>
      </c>
      <c r="FA61" s="1256">
        <f t="shared" si="390"/>
        <v>0</v>
      </c>
      <c r="FB61" s="1256">
        <f t="shared" si="391"/>
        <v>0</v>
      </c>
      <c r="FC61" s="1256">
        <f t="shared" si="392"/>
        <v>0</v>
      </c>
      <c r="FD61" s="1256">
        <f t="shared" si="393"/>
        <v>0</v>
      </c>
      <c r="FE61" s="1256">
        <f t="shared" si="394"/>
        <v>0</v>
      </c>
      <c r="FF61" s="1256">
        <f t="shared" si="395"/>
        <v>0</v>
      </c>
      <c r="FG61" s="1256">
        <f t="shared" si="396"/>
        <v>0</v>
      </c>
      <c r="FH61" s="1256">
        <f t="shared" si="397"/>
        <v>0</v>
      </c>
      <c r="FI61" s="1256">
        <f t="shared" si="398"/>
        <v>0</v>
      </c>
      <c r="FJ61" s="1256">
        <f t="shared" si="399"/>
        <v>0</v>
      </c>
      <c r="FK61" s="1256">
        <f t="shared" si="400"/>
        <v>0.3</v>
      </c>
      <c r="FL61" s="1256">
        <f t="shared" si="401"/>
        <v>0.3</v>
      </c>
      <c r="FM61" s="1256">
        <f t="shared" si="402"/>
        <v>0.3</v>
      </c>
      <c r="FN61" s="1256">
        <f t="shared" si="403"/>
        <v>0</v>
      </c>
      <c r="FO61" s="1256">
        <f t="shared" si="404"/>
        <v>0</v>
      </c>
      <c r="FP61" s="1256">
        <f t="shared" si="405"/>
        <v>0</v>
      </c>
      <c r="FQ61" s="1399">
        <f t="shared" si="416"/>
        <v>-0.64</v>
      </c>
      <c r="FR61" s="1256">
        <f t="shared" si="325"/>
        <v>0</v>
      </c>
      <c r="FS61" s="1256">
        <f t="shared" si="320"/>
        <v>1050</v>
      </c>
      <c r="FT61" s="1256"/>
      <c r="FU61" s="1256" t="e">
        <f t="shared" si="287"/>
        <v>#VALUE!</v>
      </c>
      <c r="FV61" s="1256" t="e">
        <f t="shared" si="288"/>
        <v>#VALUE!</v>
      </c>
      <c r="FW61" s="1256" t="e">
        <f t="shared" si="289"/>
        <v>#VALUE!</v>
      </c>
      <c r="FX61" s="1256" t="e">
        <f t="shared" si="290"/>
        <v>#VALUE!</v>
      </c>
      <c r="FY61" s="1256" t="e">
        <f t="shared" si="291"/>
        <v>#VALUE!</v>
      </c>
      <c r="FZ61" s="1256" t="e">
        <f t="shared" si="292"/>
        <v>#VALUE!</v>
      </c>
      <c r="GA61" s="1256" t="e">
        <f t="shared" si="293"/>
        <v>#VALUE!</v>
      </c>
      <c r="GB61" s="1256" t="e">
        <f t="shared" si="294"/>
        <v>#VALUE!</v>
      </c>
      <c r="GC61" s="1256" t="e">
        <f t="shared" si="295"/>
        <v>#VALUE!</v>
      </c>
      <c r="GD61" s="1256" t="e">
        <f t="shared" si="296"/>
        <v>#VALUE!</v>
      </c>
      <c r="GE61" s="1256" t="e">
        <f t="shared" si="297"/>
        <v>#VALUE!</v>
      </c>
      <c r="GF61" s="1256" t="e">
        <f t="shared" si="298"/>
        <v>#VALUE!</v>
      </c>
      <c r="GG61" s="1256" t="e">
        <f t="shared" si="299"/>
        <v>#VALUE!</v>
      </c>
      <c r="GH61" s="1256" t="e">
        <f t="shared" si="300"/>
        <v>#VALUE!</v>
      </c>
      <c r="GI61" s="1256" t="e">
        <f t="shared" si="301"/>
        <v>#VALUE!</v>
      </c>
      <c r="GJ61" s="1256" t="e">
        <f t="shared" si="302"/>
        <v>#VALUE!</v>
      </c>
      <c r="GK61" s="1256" t="e">
        <f t="shared" si="303"/>
        <v>#VALUE!</v>
      </c>
      <c r="GL61" s="1256" t="e">
        <f t="shared" si="304"/>
        <v>#VALUE!</v>
      </c>
      <c r="GM61" s="1256" t="e">
        <f t="shared" si="305"/>
        <v>#VALUE!</v>
      </c>
    </row>
    <row r="62" spans="1:195" ht="16.5" customHeight="1">
      <c r="A62" s="1631">
        <v>316</v>
      </c>
      <c r="B62" s="1886" t="s">
        <v>292</v>
      </c>
      <c r="C62" s="1445" t="s">
        <v>293</v>
      </c>
      <c r="D62" s="1446">
        <f>IF(($AC62&lt;10),SUM(((AE62+(ROUNDUP(($AC62*AZ62),2)))/100)),SUM(((AE62+(ROUNDUP(((9*AZ62)+FU62),2)))/100)))</f>
        <v>-0.15</v>
      </c>
      <c r="E62" s="1447">
        <f>IF(($AC62&lt;10),SUM(((AF62+(ROUNDUP(($AC62*BA62),2)))/100)),SUM(((AF62+(ROUNDUP(((9*BA62)+FV62),2)))/100)))</f>
        <v>-0.15</v>
      </c>
      <c r="F62" s="1448"/>
      <c r="G62" s="1448"/>
      <c r="H62" s="1448"/>
      <c r="I62" s="1448"/>
      <c r="J62" s="1448"/>
      <c r="K62" s="1448"/>
      <c r="L62" s="1448"/>
      <c r="M62" s="1448"/>
      <c r="N62" s="1448"/>
      <c r="O62" s="1448"/>
      <c r="P62" s="1448"/>
      <c r="Q62" s="1404" t="str">
        <f t="shared" si="406"/>
        <v>Selected</v>
      </c>
      <c r="R62" s="1449"/>
      <c r="S62" s="1404">
        <f t="shared" si="407"/>
        <v>2000</v>
      </c>
      <c r="T62" s="1449">
        <f t="shared" si="408"/>
        <v>15</v>
      </c>
      <c r="U62" s="1449">
        <f t="shared" si="409"/>
        <v>60</v>
      </c>
      <c r="V62" s="1404">
        <f t="shared" si="410"/>
        <v>62.5</v>
      </c>
      <c r="W62" s="1404">
        <f t="shared" si="280"/>
        <v>17500</v>
      </c>
      <c r="X62" s="1404"/>
      <c r="Y62" s="1404"/>
      <c r="Z62" s="1404"/>
      <c r="AA62" s="1405"/>
      <c r="AB62" s="1218"/>
      <c r="AC62" s="1218">
        <f t="shared" si="30"/>
        <v>0</v>
      </c>
      <c r="AD62" s="1218"/>
      <c r="AE62" s="1406">
        <v>-15</v>
      </c>
      <c r="AF62" s="1406">
        <v>-15</v>
      </c>
      <c r="AG62" s="1406"/>
      <c r="AH62" s="1406"/>
      <c r="AI62" s="1406"/>
      <c r="AJ62" s="1406"/>
      <c r="AK62" s="1406"/>
      <c r="AL62" s="1406"/>
      <c r="AM62" s="1406"/>
      <c r="AN62" s="1406"/>
      <c r="AO62" s="1406"/>
      <c r="AP62" s="1406"/>
      <c r="AQ62" s="1406"/>
      <c r="AR62" s="1406" t="s">
        <v>283</v>
      </c>
      <c r="AS62" s="1407"/>
      <c r="AT62" s="1406">
        <v>2000</v>
      </c>
      <c r="AU62" s="1406">
        <v>15</v>
      </c>
      <c r="AV62" s="1406">
        <v>60</v>
      </c>
      <c r="AW62" s="1406">
        <v>62.5</v>
      </c>
      <c r="AX62" s="1406">
        <v>17500</v>
      </c>
      <c r="AY62" s="1218"/>
      <c r="AZ62" s="1218">
        <f>SUM((AE62/27))</f>
        <v>-0.55555555555555558</v>
      </c>
      <c r="BA62" s="1218">
        <f>SUM((AF62/27))</f>
        <v>-0.55555555555555558</v>
      </c>
      <c r="BB62" s="1218"/>
      <c r="BC62" s="1218"/>
      <c r="BD62" s="1218"/>
      <c r="BE62" s="1406"/>
      <c r="BF62" s="1406"/>
      <c r="BG62" s="1218"/>
      <c r="BH62" s="1218"/>
      <c r="BI62" s="1218"/>
      <c r="BJ62" s="1218"/>
      <c r="BK62" s="1218"/>
      <c r="BL62" s="1218"/>
      <c r="BM62" s="1218"/>
      <c r="BN62" s="1218"/>
      <c r="BO62" s="1218"/>
      <c r="BP62" s="1218">
        <f t="shared" si="411"/>
        <v>-3.3333333333333335</v>
      </c>
      <c r="BQ62" s="1218"/>
      <c r="BR62" s="1218">
        <f t="shared" si="281"/>
        <v>1944.4444444444443</v>
      </c>
      <c r="BS62" s="1218"/>
      <c r="BT62" s="1408">
        <v>2.33</v>
      </c>
      <c r="BU62" s="1218">
        <f t="shared" si="326"/>
        <v>-0.5</v>
      </c>
      <c r="BV62" s="1218">
        <f t="shared" si="327"/>
        <v>-0.5</v>
      </c>
      <c r="BW62" s="1218">
        <f t="shared" si="328"/>
        <v>0</v>
      </c>
      <c r="BX62" s="1218">
        <f t="shared" si="329"/>
        <v>0</v>
      </c>
      <c r="BY62" s="1218">
        <f t="shared" si="330"/>
        <v>0</v>
      </c>
      <c r="BZ62" s="1218">
        <f t="shared" si="331"/>
        <v>0</v>
      </c>
      <c r="CA62" s="1218">
        <f t="shared" si="332"/>
        <v>0</v>
      </c>
      <c r="CB62" s="1218">
        <f t="shared" si="333"/>
        <v>0</v>
      </c>
      <c r="CC62" s="1218">
        <f t="shared" si="334"/>
        <v>0</v>
      </c>
      <c r="CD62" s="1218">
        <f t="shared" si="335"/>
        <v>0</v>
      </c>
      <c r="CE62" s="1218">
        <f t="shared" si="336"/>
        <v>0</v>
      </c>
      <c r="CF62" s="1218">
        <f t="shared" si="337"/>
        <v>0</v>
      </c>
      <c r="CG62" s="1218">
        <f t="shared" si="338"/>
        <v>0</v>
      </c>
      <c r="CH62" s="1218">
        <f t="shared" si="339"/>
        <v>0</v>
      </c>
      <c r="CI62" s="1218">
        <f t="shared" si="340"/>
        <v>0</v>
      </c>
      <c r="CJ62" s="1218">
        <f t="shared" si="341"/>
        <v>0</v>
      </c>
      <c r="CK62" s="1408">
        <f t="shared" si="412"/>
        <v>-1.43</v>
      </c>
      <c r="CL62" s="1218">
        <f t="shared" si="321"/>
        <v>0</v>
      </c>
      <c r="CM62" s="1218">
        <f t="shared" si="308"/>
        <v>1750</v>
      </c>
      <c r="CN62" s="1218"/>
      <c r="CO62" s="1408">
        <v>2.84</v>
      </c>
      <c r="CP62" s="1218">
        <f t="shared" si="342"/>
        <v>-0.45</v>
      </c>
      <c r="CQ62" s="1218">
        <f t="shared" si="343"/>
        <v>-0.45</v>
      </c>
      <c r="CR62" s="1218">
        <f t="shared" si="344"/>
        <v>0</v>
      </c>
      <c r="CS62" s="1218">
        <f t="shared" si="345"/>
        <v>0</v>
      </c>
      <c r="CT62" s="1218">
        <f t="shared" si="346"/>
        <v>0</v>
      </c>
      <c r="CU62" s="1218">
        <f t="shared" si="347"/>
        <v>0</v>
      </c>
      <c r="CV62" s="1218">
        <f t="shared" si="348"/>
        <v>0</v>
      </c>
      <c r="CW62" s="1218">
        <f t="shared" si="349"/>
        <v>0</v>
      </c>
      <c r="CX62" s="1218">
        <f t="shared" si="350"/>
        <v>0</v>
      </c>
      <c r="CY62" s="1218">
        <f t="shared" si="351"/>
        <v>0</v>
      </c>
      <c r="CZ62" s="1218">
        <f t="shared" si="352"/>
        <v>0</v>
      </c>
      <c r="DA62" s="1218">
        <f t="shared" si="353"/>
        <v>0</v>
      </c>
      <c r="DB62" s="1218">
        <f t="shared" si="354"/>
        <v>0</v>
      </c>
      <c r="DC62" s="1218">
        <f t="shared" si="355"/>
        <v>0</v>
      </c>
      <c r="DD62" s="1218">
        <f t="shared" si="356"/>
        <v>0</v>
      </c>
      <c r="DE62" s="1218">
        <f t="shared" si="357"/>
        <v>0</v>
      </c>
      <c r="DF62" s="1408">
        <f t="shared" si="413"/>
        <v>-1.17</v>
      </c>
      <c r="DG62" s="1218">
        <f t="shared" si="322"/>
        <v>0</v>
      </c>
      <c r="DH62" s="1218">
        <f t="shared" si="311"/>
        <v>1575</v>
      </c>
      <c r="DI62" s="1218"/>
      <c r="DJ62" s="1408">
        <v>3.45</v>
      </c>
      <c r="DK62" s="1218">
        <f t="shared" si="358"/>
        <v>-0.4</v>
      </c>
      <c r="DL62" s="1218">
        <f t="shared" si="359"/>
        <v>-0.4</v>
      </c>
      <c r="DM62" s="1218">
        <f t="shared" si="360"/>
        <v>0</v>
      </c>
      <c r="DN62" s="1218">
        <f t="shared" si="361"/>
        <v>0</v>
      </c>
      <c r="DO62" s="1218">
        <f t="shared" si="362"/>
        <v>0</v>
      </c>
      <c r="DP62" s="1218">
        <f t="shared" si="363"/>
        <v>0</v>
      </c>
      <c r="DQ62" s="1218">
        <f t="shared" si="364"/>
        <v>0</v>
      </c>
      <c r="DR62" s="1218">
        <f t="shared" si="365"/>
        <v>0</v>
      </c>
      <c r="DS62" s="1218">
        <f t="shared" si="366"/>
        <v>0</v>
      </c>
      <c r="DT62" s="1218">
        <f t="shared" si="367"/>
        <v>0</v>
      </c>
      <c r="DU62" s="1218">
        <f t="shared" si="368"/>
        <v>0</v>
      </c>
      <c r="DV62" s="1218">
        <f t="shared" si="369"/>
        <v>0</v>
      </c>
      <c r="DW62" s="1218">
        <f t="shared" si="370"/>
        <v>0</v>
      </c>
      <c r="DX62" s="1218">
        <f t="shared" si="371"/>
        <v>0</v>
      </c>
      <c r="DY62" s="1218">
        <f t="shared" si="372"/>
        <v>0</v>
      </c>
      <c r="DZ62" s="1218">
        <f t="shared" si="373"/>
        <v>0</v>
      </c>
      <c r="EA62" s="1408">
        <f t="shared" si="414"/>
        <v>-0.97</v>
      </c>
      <c r="EB62" s="1218">
        <f t="shared" si="323"/>
        <v>0</v>
      </c>
      <c r="EC62" s="1218">
        <f t="shared" si="314"/>
        <v>1400</v>
      </c>
      <c r="ED62" s="1218"/>
      <c r="EE62" s="1408">
        <v>4.2300000000000004</v>
      </c>
      <c r="EF62" s="1218">
        <f t="shared" si="374"/>
        <v>-0.35</v>
      </c>
      <c r="EG62" s="1218">
        <f t="shared" si="375"/>
        <v>-0.35</v>
      </c>
      <c r="EH62" s="1218">
        <f t="shared" si="376"/>
        <v>0</v>
      </c>
      <c r="EI62" s="1218">
        <f t="shared" si="377"/>
        <v>0</v>
      </c>
      <c r="EJ62" s="1218">
        <f t="shared" si="378"/>
        <v>0</v>
      </c>
      <c r="EK62" s="1218">
        <f t="shared" si="379"/>
        <v>0</v>
      </c>
      <c r="EL62" s="1218">
        <f t="shared" si="380"/>
        <v>0</v>
      </c>
      <c r="EM62" s="1218">
        <f t="shared" si="381"/>
        <v>0</v>
      </c>
      <c r="EN62" s="1218">
        <f t="shared" si="382"/>
        <v>0</v>
      </c>
      <c r="EO62" s="1218">
        <f t="shared" si="383"/>
        <v>0</v>
      </c>
      <c r="EP62" s="1218">
        <f t="shared" si="384"/>
        <v>0</v>
      </c>
      <c r="EQ62" s="1218">
        <f t="shared" si="385"/>
        <v>0</v>
      </c>
      <c r="ER62" s="1218">
        <f t="shared" si="386"/>
        <v>0</v>
      </c>
      <c r="ES62" s="1218">
        <f t="shared" si="387"/>
        <v>0</v>
      </c>
      <c r="ET62" s="1218">
        <f t="shared" si="388"/>
        <v>0</v>
      </c>
      <c r="EU62" s="1218">
        <f t="shared" si="389"/>
        <v>0</v>
      </c>
      <c r="EV62" s="1408">
        <f t="shared" si="415"/>
        <v>-0.79</v>
      </c>
      <c r="EW62" s="1218">
        <f t="shared" si="324"/>
        <v>0</v>
      </c>
      <c r="EX62" s="1218">
        <f t="shared" si="317"/>
        <v>1225</v>
      </c>
      <c r="EY62" s="1218"/>
      <c r="EZ62" s="1408">
        <v>5.2</v>
      </c>
      <c r="FA62" s="1218">
        <f t="shared" si="390"/>
        <v>-0.3</v>
      </c>
      <c r="FB62" s="1218">
        <f t="shared" si="391"/>
        <v>-0.3</v>
      </c>
      <c r="FC62" s="1218">
        <f t="shared" si="392"/>
        <v>0</v>
      </c>
      <c r="FD62" s="1218">
        <f t="shared" si="393"/>
        <v>0</v>
      </c>
      <c r="FE62" s="1218">
        <f t="shared" si="394"/>
        <v>0</v>
      </c>
      <c r="FF62" s="1218">
        <f t="shared" si="395"/>
        <v>0</v>
      </c>
      <c r="FG62" s="1218">
        <f t="shared" si="396"/>
        <v>0</v>
      </c>
      <c r="FH62" s="1218">
        <f t="shared" si="397"/>
        <v>0</v>
      </c>
      <c r="FI62" s="1218">
        <f t="shared" si="398"/>
        <v>0</v>
      </c>
      <c r="FJ62" s="1218">
        <f t="shared" si="399"/>
        <v>0</v>
      </c>
      <c r="FK62" s="1218">
        <f t="shared" si="400"/>
        <v>0</v>
      </c>
      <c r="FL62" s="1218">
        <f t="shared" si="401"/>
        <v>0</v>
      </c>
      <c r="FM62" s="1218">
        <f t="shared" si="402"/>
        <v>0</v>
      </c>
      <c r="FN62" s="1218">
        <f t="shared" si="403"/>
        <v>0</v>
      </c>
      <c r="FO62" s="1218">
        <f t="shared" si="404"/>
        <v>0</v>
      </c>
      <c r="FP62" s="1218">
        <f t="shared" si="405"/>
        <v>0</v>
      </c>
      <c r="FQ62" s="1408">
        <f t="shared" si="416"/>
        <v>-0.64</v>
      </c>
      <c r="FR62" s="1218">
        <f t="shared" si="325"/>
        <v>0</v>
      </c>
      <c r="FS62" s="1218">
        <f t="shared" si="320"/>
        <v>1050</v>
      </c>
      <c r="FT62" s="1218"/>
      <c r="FU62" s="1218" t="e">
        <f t="shared" si="287"/>
        <v>#VALUE!</v>
      </c>
      <c r="FV62" s="1218" t="e">
        <f t="shared" si="288"/>
        <v>#VALUE!</v>
      </c>
      <c r="FW62" s="1218" t="e">
        <f t="shared" si="289"/>
        <v>#VALUE!</v>
      </c>
      <c r="FX62" s="1218" t="e">
        <f t="shared" si="290"/>
        <v>#VALUE!</v>
      </c>
      <c r="FY62" s="1218" t="e">
        <f t="shared" si="291"/>
        <v>#VALUE!</v>
      </c>
      <c r="FZ62" s="1218" t="e">
        <f t="shared" si="292"/>
        <v>#VALUE!</v>
      </c>
      <c r="GA62" s="1218" t="e">
        <f t="shared" si="293"/>
        <v>#VALUE!</v>
      </c>
      <c r="GB62" s="1218" t="e">
        <f t="shared" si="294"/>
        <v>#VALUE!</v>
      </c>
      <c r="GC62" s="1218" t="e">
        <f t="shared" si="295"/>
        <v>#VALUE!</v>
      </c>
      <c r="GD62" s="1218" t="e">
        <f t="shared" si="296"/>
        <v>#VALUE!</v>
      </c>
      <c r="GE62" s="1218" t="e">
        <f t="shared" si="297"/>
        <v>#VALUE!</v>
      </c>
      <c r="GF62" s="1218" t="e">
        <f t="shared" si="298"/>
        <v>#VALUE!</v>
      </c>
      <c r="GG62" s="1218" t="e">
        <f t="shared" si="299"/>
        <v>#VALUE!</v>
      </c>
      <c r="GH62" s="1218" t="e">
        <f t="shared" si="300"/>
        <v>#VALUE!</v>
      </c>
      <c r="GI62" s="1218" t="e">
        <f t="shared" si="301"/>
        <v>#VALUE!</v>
      </c>
      <c r="GJ62" s="1218" t="e">
        <f t="shared" si="302"/>
        <v>#VALUE!</v>
      </c>
      <c r="GK62" s="1218" t="e">
        <f t="shared" si="303"/>
        <v>#VALUE!</v>
      </c>
      <c r="GL62" s="1218" t="e">
        <f t="shared" si="304"/>
        <v>#VALUE!</v>
      </c>
      <c r="GM62" s="1218" t="e">
        <f t="shared" si="305"/>
        <v>#VALUE!</v>
      </c>
    </row>
    <row r="63" spans="1:195" ht="16.5" customHeight="1">
      <c r="A63" s="1631">
        <v>317</v>
      </c>
      <c r="B63" s="1887"/>
      <c r="C63" s="1450" t="s">
        <v>294</v>
      </c>
      <c r="D63" s="1451"/>
      <c r="E63" s="1452"/>
      <c r="F63" s="1452"/>
      <c r="G63" s="1452"/>
      <c r="H63" s="1452">
        <f>IF(($AC63&lt;10),SUM(((AI63+(ROUNDUP(($AC63*BD63),2)))/100)),SUM(((AI63+(ROUNDUP(((9*BD63)+FY63),2)))/100)))</f>
        <v>-7.4999999999999997E-2</v>
      </c>
      <c r="I63" s="1452"/>
      <c r="J63" s="1452"/>
      <c r="K63" s="1453"/>
      <c r="L63" s="1453"/>
      <c r="M63" s="1453"/>
      <c r="N63" s="1452"/>
      <c r="O63" s="1452"/>
      <c r="P63" s="1452"/>
      <c r="Q63" s="1409" t="str">
        <f t="shared" si="406"/>
        <v>Selected</v>
      </c>
      <c r="R63" s="1454"/>
      <c r="S63" s="1409">
        <f t="shared" si="407"/>
        <v>2000</v>
      </c>
      <c r="T63" s="1454">
        <f t="shared" si="408"/>
        <v>15</v>
      </c>
      <c r="U63" s="1454">
        <f t="shared" si="409"/>
        <v>60</v>
      </c>
      <c r="V63" s="1409">
        <f t="shared" si="410"/>
        <v>62.5</v>
      </c>
      <c r="W63" s="1409">
        <f t="shared" si="280"/>
        <v>17500</v>
      </c>
      <c r="X63" s="1409"/>
      <c r="Y63" s="1409"/>
      <c r="Z63" s="1409"/>
      <c r="AA63" s="1405"/>
      <c r="AB63" s="1218"/>
      <c r="AC63" s="1218">
        <f t="shared" si="30"/>
        <v>0</v>
      </c>
      <c r="AD63" s="1218"/>
      <c r="AE63" s="1406"/>
      <c r="AF63" s="1406"/>
      <c r="AG63" s="1406"/>
      <c r="AH63" s="1406"/>
      <c r="AI63" s="1406">
        <v>-7.5</v>
      </c>
      <c r="AJ63" s="1406"/>
      <c r="AK63" s="1406"/>
      <c r="AL63" s="1406"/>
      <c r="AM63" s="1406"/>
      <c r="AN63" s="1406"/>
      <c r="AO63" s="1406"/>
      <c r="AP63" s="1406"/>
      <c r="AQ63" s="1406"/>
      <c r="AR63" s="1406" t="s">
        <v>283</v>
      </c>
      <c r="AS63" s="1407"/>
      <c r="AT63" s="1406">
        <v>2000</v>
      </c>
      <c r="AU63" s="1406">
        <v>15</v>
      </c>
      <c r="AV63" s="1406">
        <v>60</v>
      </c>
      <c r="AW63" s="1406">
        <v>62.5</v>
      </c>
      <c r="AX63" s="1406">
        <v>17500</v>
      </c>
      <c r="AY63" s="1217"/>
      <c r="AZ63" s="1218"/>
      <c r="BA63" s="1218"/>
      <c r="BB63" s="1218"/>
      <c r="BC63" s="1218"/>
      <c r="BD63" s="1218">
        <f>SUM((AI63/27))</f>
        <v>-0.27777777777777779</v>
      </c>
      <c r="BE63" s="1406"/>
      <c r="BF63" s="1406"/>
      <c r="BG63" s="1218"/>
      <c r="BH63" s="1218"/>
      <c r="BI63" s="1218"/>
      <c r="BJ63" s="1218"/>
      <c r="BK63" s="1218"/>
      <c r="BL63" s="1218"/>
      <c r="BM63" s="1218"/>
      <c r="BN63" s="1218"/>
      <c r="BO63" s="1218"/>
      <c r="BP63" s="1218">
        <f t="shared" si="411"/>
        <v>-3.3333333333333335</v>
      </c>
      <c r="BQ63" s="1218"/>
      <c r="BR63" s="1218">
        <f t="shared" si="281"/>
        <v>1944.4444444444443</v>
      </c>
      <c r="BS63" s="1218"/>
      <c r="BT63" s="1408">
        <v>2.33</v>
      </c>
      <c r="BU63" s="1218">
        <f t="shared" si="326"/>
        <v>0</v>
      </c>
      <c r="BV63" s="1218">
        <f t="shared" si="327"/>
        <v>0</v>
      </c>
      <c r="BW63" s="1218">
        <f t="shared" si="328"/>
        <v>0</v>
      </c>
      <c r="BX63" s="1218">
        <f t="shared" si="329"/>
        <v>0</v>
      </c>
      <c r="BY63" s="1218">
        <f t="shared" si="330"/>
        <v>-0.25</v>
      </c>
      <c r="BZ63" s="1218">
        <f t="shared" si="331"/>
        <v>0</v>
      </c>
      <c r="CA63" s="1218">
        <f t="shared" si="332"/>
        <v>0</v>
      </c>
      <c r="CB63" s="1218">
        <f t="shared" si="333"/>
        <v>0</v>
      </c>
      <c r="CC63" s="1218">
        <f t="shared" si="334"/>
        <v>0</v>
      </c>
      <c r="CD63" s="1218">
        <f t="shared" si="335"/>
        <v>0</v>
      </c>
      <c r="CE63" s="1218">
        <f t="shared" si="336"/>
        <v>0</v>
      </c>
      <c r="CF63" s="1218">
        <f t="shared" si="337"/>
        <v>0</v>
      </c>
      <c r="CG63" s="1218">
        <f t="shared" si="338"/>
        <v>0</v>
      </c>
      <c r="CH63" s="1218">
        <f t="shared" si="339"/>
        <v>0</v>
      </c>
      <c r="CI63" s="1218">
        <f t="shared" si="340"/>
        <v>0</v>
      </c>
      <c r="CJ63" s="1218">
        <f t="shared" si="341"/>
        <v>0</v>
      </c>
      <c r="CK63" s="1408">
        <f t="shared" si="412"/>
        <v>-1.43</v>
      </c>
      <c r="CL63" s="1218">
        <f t="shared" si="321"/>
        <v>0</v>
      </c>
      <c r="CM63" s="1218">
        <f t="shared" si="308"/>
        <v>1750</v>
      </c>
      <c r="CN63" s="1218"/>
      <c r="CO63" s="1408">
        <v>2.84</v>
      </c>
      <c r="CP63" s="1218">
        <f t="shared" si="342"/>
        <v>0</v>
      </c>
      <c r="CQ63" s="1218">
        <f t="shared" si="343"/>
        <v>0</v>
      </c>
      <c r="CR63" s="1218">
        <f t="shared" si="344"/>
        <v>0</v>
      </c>
      <c r="CS63" s="1218">
        <f t="shared" si="345"/>
        <v>0</v>
      </c>
      <c r="CT63" s="1218">
        <f t="shared" si="346"/>
        <v>-0.22500000000000001</v>
      </c>
      <c r="CU63" s="1218">
        <f t="shared" si="347"/>
        <v>0</v>
      </c>
      <c r="CV63" s="1218">
        <f t="shared" si="348"/>
        <v>0</v>
      </c>
      <c r="CW63" s="1218">
        <f t="shared" si="349"/>
        <v>0</v>
      </c>
      <c r="CX63" s="1218">
        <f t="shared" si="350"/>
        <v>0</v>
      </c>
      <c r="CY63" s="1218">
        <f t="shared" si="351"/>
        <v>0</v>
      </c>
      <c r="CZ63" s="1218">
        <f t="shared" si="352"/>
        <v>0</v>
      </c>
      <c r="DA63" s="1218">
        <f t="shared" si="353"/>
        <v>0</v>
      </c>
      <c r="DB63" s="1218">
        <f t="shared" si="354"/>
        <v>0</v>
      </c>
      <c r="DC63" s="1218">
        <f t="shared" si="355"/>
        <v>0</v>
      </c>
      <c r="DD63" s="1218">
        <f t="shared" si="356"/>
        <v>0</v>
      </c>
      <c r="DE63" s="1218">
        <f t="shared" si="357"/>
        <v>0</v>
      </c>
      <c r="DF63" s="1408">
        <f t="shared" si="413"/>
        <v>-1.17</v>
      </c>
      <c r="DG63" s="1218">
        <f t="shared" si="322"/>
        <v>0</v>
      </c>
      <c r="DH63" s="1218">
        <f t="shared" si="311"/>
        <v>1575</v>
      </c>
      <c r="DI63" s="1218"/>
      <c r="DJ63" s="1408">
        <v>3.45</v>
      </c>
      <c r="DK63" s="1218">
        <f t="shared" si="358"/>
        <v>0</v>
      </c>
      <c r="DL63" s="1218">
        <f t="shared" si="359"/>
        <v>0</v>
      </c>
      <c r="DM63" s="1218">
        <f t="shared" si="360"/>
        <v>0</v>
      </c>
      <c r="DN63" s="1218">
        <f t="shared" si="361"/>
        <v>0</v>
      </c>
      <c r="DO63" s="1218">
        <f t="shared" si="362"/>
        <v>-0.2</v>
      </c>
      <c r="DP63" s="1218">
        <f t="shared" si="363"/>
        <v>0</v>
      </c>
      <c r="DQ63" s="1218">
        <f t="shared" si="364"/>
        <v>0</v>
      </c>
      <c r="DR63" s="1218">
        <f t="shared" si="365"/>
        <v>0</v>
      </c>
      <c r="DS63" s="1218">
        <f t="shared" si="366"/>
        <v>0</v>
      </c>
      <c r="DT63" s="1218">
        <f t="shared" si="367"/>
        <v>0</v>
      </c>
      <c r="DU63" s="1218">
        <f t="shared" si="368"/>
        <v>0</v>
      </c>
      <c r="DV63" s="1218">
        <f t="shared" si="369"/>
        <v>0</v>
      </c>
      <c r="DW63" s="1218">
        <f t="shared" si="370"/>
        <v>0</v>
      </c>
      <c r="DX63" s="1218">
        <f t="shared" si="371"/>
        <v>0</v>
      </c>
      <c r="DY63" s="1218">
        <f t="shared" si="372"/>
        <v>0</v>
      </c>
      <c r="DZ63" s="1218">
        <f t="shared" si="373"/>
        <v>0</v>
      </c>
      <c r="EA63" s="1408">
        <f t="shared" si="414"/>
        <v>-0.97</v>
      </c>
      <c r="EB63" s="1218">
        <f t="shared" si="323"/>
        <v>0</v>
      </c>
      <c r="EC63" s="1218">
        <f t="shared" si="314"/>
        <v>1400</v>
      </c>
      <c r="ED63" s="1218"/>
      <c r="EE63" s="1408">
        <v>4.2300000000000004</v>
      </c>
      <c r="EF63" s="1218">
        <f t="shared" si="374"/>
        <v>0</v>
      </c>
      <c r="EG63" s="1218">
        <f t="shared" si="375"/>
        <v>0</v>
      </c>
      <c r="EH63" s="1218">
        <f t="shared" si="376"/>
        <v>0</v>
      </c>
      <c r="EI63" s="1218">
        <f t="shared" si="377"/>
        <v>0</v>
      </c>
      <c r="EJ63" s="1218">
        <f t="shared" si="378"/>
        <v>-0.17499999999999999</v>
      </c>
      <c r="EK63" s="1218">
        <f t="shared" si="379"/>
        <v>0</v>
      </c>
      <c r="EL63" s="1218">
        <f t="shared" si="380"/>
        <v>0</v>
      </c>
      <c r="EM63" s="1218">
        <f t="shared" si="381"/>
        <v>0</v>
      </c>
      <c r="EN63" s="1218">
        <f t="shared" si="382"/>
        <v>0</v>
      </c>
      <c r="EO63" s="1218">
        <f t="shared" si="383"/>
        <v>0</v>
      </c>
      <c r="EP63" s="1218">
        <f t="shared" si="384"/>
        <v>0</v>
      </c>
      <c r="EQ63" s="1218">
        <f t="shared" si="385"/>
        <v>0</v>
      </c>
      <c r="ER63" s="1218">
        <f t="shared" si="386"/>
        <v>0</v>
      </c>
      <c r="ES63" s="1218">
        <f t="shared" si="387"/>
        <v>0</v>
      </c>
      <c r="ET63" s="1218">
        <f t="shared" si="388"/>
        <v>0</v>
      </c>
      <c r="EU63" s="1218">
        <f t="shared" si="389"/>
        <v>0</v>
      </c>
      <c r="EV63" s="1408">
        <f t="shared" si="415"/>
        <v>-0.79</v>
      </c>
      <c r="EW63" s="1218">
        <f t="shared" si="324"/>
        <v>0</v>
      </c>
      <c r="EX63" s="1218">
        <f t="shared" si="317"/>
        <v>1225</v>
      </c>
      <c r="EY63" s="1218"/>
      <c r="EZ63" s="1408">
        <v>5.2</v>
      </c>
      <c r="FA63" s="1218">
        <f t="shared" si="390"/>
        <v>0</v>
      </c>
      <c r="FB63" s="1218">
        <f t="shared" si="391"/>
        <v>0</v>
      </c>
      <c r="FC63" s="1218">
        <f t="shared" si="392"/>
        <v>0</v>
      </c>
      <c r="FD63" s="1218">
        <f t="shared" si="393"/>
        <v>0</v>
      </c>
      <c r="FE63" s="1218">
        <f t="shared" si="394"/>
        <v>-0.15</v>
      </c>
      <c r="FF63" s="1218">
        <f t="shared" si="395"/>
        <v>0</v>
      </c>
      <c r="FG63" s="1218">
        <f t="shared" si="396"/>
        <v>0</v>
      </c>
      <c r="FH63" s="1218">
        <f t="shared" si="397"/>
        <v>0</v>
      </c>
      <c r="FI63" s="1218">
        <f t="shared" si="398"/>
        <v>0</v>
      </c>
      <c r="FJ63" s="1218">
        <f t="shared" si="399"/>
        <v>0</v>
      </c>
      <c r="FK63" s="1218">
        <f t="shared" si="400"/>
        <v>0</v>
      </c>
      <c r="FL63" s="1218">
        <f t="shared" si="401"/>
        <v>0</v>
      </c>
      <c r="FM63" s="1218">
        <f t="shared" si="402"/>
        <v>0</v>
      </c>
      <c r="FN63" s="1218">
        <f t="shared" si="403"/>
        <v>0</v>
      </c>
      <c r="FO63" s="1218">
        <f t="shared" si="404"/>
        <v>0</v>
      </c>
      <c r="FP63" s="1218">
        <f t="shared" si="405"/>
        <v>0</v>
      </c>
      <c r="FQ63" s="1408">
        <f t="shared" si="416"/>
        <v>-0.64</v>
      </c>
      <c r="FR63" s="1218">
        <f t="shared" si="325"/>
        <v>0</v>
      </c>
      <c r="FS63" s="1218">
        <f t="shared" si="320"/>
        <v>1050</v>
      </c>
      <c r="FT63" s="1218"/>
      <c r="FU63" s="1218" t="e">
        <f t="shared" si="287"/>
        <v>#VALUE!</v>
      </c>
      <c r="FV63" s="1218" t="e">
        <f t="shared" si="288"/>
        <v>#VALUE!</v>
      </c>
      <c r="FW63" s="1218" t="e">
        <f t="shared" si="289"/>
        <v>#VALUE!</v>
      </c>
      <c r="FX63" s="1218" t="e">
        <f t="shared" si="290"/>
        <v>#VALUE!</v>
      </c>
      <c r="FY63" s="1218" t="e">
        <f t="shared" si="291"/>
        <v>#VALUE!</v>
      </c>
      <c r="FZ63" s="1218" t="e">
        <f t="shared" si="292"/>
        <v>#VALUE!</v>
      </c>
      <c r="GA63" s="1218" t="e">
        <f t="shared" si="293"/>
        <v>#VALUE!</v>
      </c>
      <c r="GB63" s="1218" t="e">
        <f t="shared" si="294"/>
        <v>#VALUE!</v>
      </c>
      <c r="GC63" s="1218" t="e">
        <f t="shared" si="295"/>
        <v>#VALUE!</v>
      </c>
      <c r="GD63" s="1218" t="e">
        <f t="shared" si="296"/>
        <v>#VALUE!</v>
      </c>
      <c r="GE63" s="1218" t="e">
        <f t="shared" si="297"/>
        <v>#VALUE!</v>
      </c>
      <c r="GF63" s="1218" t="e">
        <f t="shared" si="298"/>
        <v>#VALUE!</v>
      </c>
      <c r="GG63" s="1218" t="e">
        <f t="shared" si="299"/>
        <v>#VALUE!</v>
      </c>
      <c r="GH63" s="1218" t="e">
        <f t="shared" si="300"/>
        <v>#VALUE!</v>
      </c>
      <c r="GI63" s="1218" t="e">
        <f t="shared" si="301"/>
        <v>#VALUE!</v>
      </c>
      <c r="GJ63" s="1218" t="e">
        <f t="shared" si="302"/>
        <v>#VALUE!</v>
      </c>
      <c r="GK63" s="1218" t="e">
        <f t="shared" si="303"/>
        <v>#VALUE!</v>
      </c>
      <c r="GL63" s="1218" t="e">
        <f t="shared" si="304"/>
        <v>#VALUE!</v>
      </c>
      <c r="GM63" s="1218" t="e">
        <f t="shared" si="305"/>
        <v>#VALUE!</v>
      </c>
    </row>
    <row r="64" spans="1:195" ht="16.5" customHeight="1">
      <c r="A64" s="1631">
        <v>318</v>
      </c>
      <c r="B64" s="1887"/>
      <c r="C64" s="1455" t="s">
        <v>295</v>
      </c>
      <c r="D64" s="1456"/>
      <c r="E64" s="1457"/>
      <c r="F64" s="1457"/>
      <c r="G64" s="1457"/>
      <c r="H64" s="1457"/>
      <c r="I64" s="1457"/>
      <c r="J64" s="1458"/>
      <c r="K64" s="1446">
        <f>IF(($AC64&lt;10),SUM(((AL64+(ROUNDUP(($AC64*BG64),2)))/100)),SUM(((AL64+(ROUNDUP(((9*BG64)+GB64),2)))/100)))</f>
        <v>-0.15</v>
      </c>
      <c r="L64" s="1446">
        <f>IF(($AC64&lt;10),SUM(((AM64+(ROUNDUP(($AC64*BH64),2)))/100)),SUM(((AM64+(ROUNDUP(((9*BH64)+GC64),2)))/100)))</f>
        <v>-7.4999999999999997E-2</v>
      </c>
      <c r="M64" s="1446">
        <f>IF(($AC64&lt;10),SUM(((AN64+(ROUNDUP(($AC64*BI64),2)))/100)),SUM(((AN64+(ROUNDUP(((9*BI64)+GD64),2)))/100)))</f>
        <v>-0.15</v>
      </c>
      <c r="N64" s="1456"/>
      <c r="O64" s="1457"/>
      <c r="P64" s="1457"/>
      <c r="Q64" s="1410" t="str">
        <f t="shared" si="406"/>
        <v>Selected</v>
      </c>
      <c r="R64" s="1459"/>
      <c r="S64" s="1410">
        <f t="shared" si="407"/>
        <v>2000</v>
      </c>
      <c r="T64" s="1459">
        <f t="shared" si="408"/>
        <v>15</v>
      </c>
      <c r="U64" s="1459">
        <f t="shared" si="409"/>
        <v>60</v>
      </c>
      <c r="V64" s="1410">
        <f t="shared" si="410"/>
        <v>62.5</v>
      </c>
      <c r="W64" s="1410">
        <f t="shared" si="280"/>
        <v>17500</v>
      </c>
      <c r="X64" s="1410"/>
      <c r="Y64" s="1410"/>
      <c r="Z64" s="1410"/>
      <c r="AA64" s="1405"/>
      <c r="AB64" s="1218"/>
      <c r="AC64" s="1218">
        <f t="shared" si="30"/>
        <v>0</v>
      </c>
      <c r="AD64" s="1218"/>
      <c r="AE64" s="1406"/>
      <c r="AF64" s="1406"/>
      <c r="AG64" s="1406"/>
      <c r="AH64" s="1406"/>
      <c r="AI64" s="1406"/>
      <c r="AJ64" s="1406"/>
      <c r="AK64" s="1406"/>
      <c r="AL64" s="1406">
        <v>-15</v>
      </c>
      <c r="AM64" s="1406">
        <v>-7.5</v>
      </c>
      <c r="AN64" s="1406">
        <v>-15</v>
      </c>
      <c r="AO64" s="1406"/>
      <c r="AP64" s="1406"/>
      <c r="AQ64" s="1406"/>
      <c r="AR64" s="1406" t="s">
        <v>283</v>
      </c>
      <c r="AS64" s="1407"/>
      <c r="AT64" s="1406">
        <v>2000</v>
      </c>
      <c r="AU64" s="1406">
        <v>15</v>
      </c>
      <c r="AV64" s="1406">
        <v>60</v>
      </c>
      <c r="AW64" s="1406">
        <v>62.5</v>
      </c>
      <c r="AX64" s="1406">
        <v>17500</v>
      </c>
      <c r="AY64" s="1218"/>
      <c r="AZ64" s="1218"/>
      <c r="BA64" s="1218"/>
      <c r="BB64" s="1218"/>
      <c r="BC64" s="1218"/>
      <c r="BD64" s="1218"/>
      <c r="BE64" s="1406"/>
      <c r="BF64" s="1406"/>
      <c r="BG64" s="1218">
        <f>SUM((AL64/27))</f>
        <v>-0.55555555555555558</v>
      </c>
      <c r="BH64" s="1218">
        <f>SUM((AM64/27))</f>
        <v>-0.27777777777777779</v>
      </c>
      <c r="BI64" s="1218">
        <f>SUM((AN64/27))</f>
        <v>-0.55555555555555558</v>
      </c>
      <c r="BJ64" s="1218"/>
      <c r="BK64" s="1218"/>
      <c r="BL64" s="1218"/>
      <c r="BM64" s="1218"/>
      <c r="BN64" s="1218"/>
      <c r="BO64" s="1218"/>
      <c r="BP64" s="1218">
        <f t="shared" si="411"/>
        <v>-3.3333333333333335</v>
      </c>
      <c r="BQ64" s="1218"/>
      <c r="BR64" s="1218">
        <f t="shared" si="281"/>
        <v>1944.4444444444443</v>
      </c>
      <c r="BS64" s="1218"/>
      <c r="BT64" s="1408">
        <v>2.33</v>
      </c>
      <c r="BU64" s="1218">
        <f t="shared" si="326"/>
        <v>0</v>
      </c>
      <c r="BV64" s="1218">
        <f t="shared" si="327"/>
        <v>0</v>
      </c>
      <c r="BW64" s="1218">
        <f t="shared" si="328"/>
        <v>0</v>
      </c>
      <c r="BX64" s="1218">
        <f t="shared" si="329"/>
        <v>0</v>
      </c>
      <c r="BY64" s="1218">
        <f t="shared" si="330"/>
        <v>0</v>
      </c>
      <c r="BZ64" s="1218">
        <f t="shared" si="331"/>
        <v>0</v>
      </c>
      <c r="CA64" s="1218">
        <f t="shared" si="332"/>
        <v>0</v>
      </c>
      <c r="CB64" s="1218">
        <f t="shared" si="333"/>
        <v>-0.5</v>
      </c>
      <c r="CC64" s="1218">
        <f t="shared" si="334"/>
        <v>-0.25</v>
      </c>
      <c r="CD64" s="1218">
        <f t="shared" si="335"/>
        <v>-0.5</v>
      </c>
      <c r="CE64" s="1218">
        <f t="shared" si="336"/>
        <v>0</v>
      </c>
      <c r="CF64" s="1218">
        <f t="shared" si="337"/>
        <v>0</v>
      </c>
      <c r="CG64" s="1218">
        <f t="shared" si="338"/>
        <v>0</v>
      </c>
      <c r="CH64" s="1218">
        <f t="shared" si="339"/>
        <v>0</v>
      </c>
      <c r="CI64" s="1218">
        <f t="shared" si="340"/>
        <v>0</v>
      </c>
      <c r="CJ64" s="1218">
        <f t="shared" si="341"/>
        <v>0</v>
      </c>
      <c r="CK64" s="1408">
        <f t="shared" si="412"/>
        <v>-1.43</v>
      </c>
      <c r="CL64" s="1218">
        <f t="shared" si="321"/>
        <v>0</v>
      </c>
      <c r="CM64" s="1218">
        <f t="shared" si="308"/>
        <v>1750</v>
      </c>
      <c r="CN64" s="1218"/>
      <c r="CO64" s="1408">
        <v>2.84</v>
      </c>
      <c r="CP64" s="1218">
        <f t="shared" si="342"/>
        <v>0</v>
      </c>
      <c r="CQ64" s="1218">
        <f t="shared" si="343"/>
        <v>0</v>
      </c>
      <c r="CR64" s="1218">
        <f t="shared" si="344"/>
        <v>0</v>
      </c>
      <c r="CS64" s="1218">
        <f t="shared" si="345"/>
        <v>0</v>
      </c>
      <c r="CT64" s="1218">
        <f t="shared" si="346"/>
        <v>0</v>
      </c>
      <c r="CU64" s="1218">
        <f t="shared" si="347"/>
        <v>0</v>
      </c>
      <c r="CV64" s="1218">
        <f t="shared" si="348"/>
        <v>0</v>
      </c>
      <c r="CW64" s="1218">
        <f t="shared" si="349"/>
        <v>-0.45</v>
      </c>
      <c r="CX64" s="1218">
        <f t="shared" si="350"/>
        <v>-0.22500000000000001</v>
      </c>
      <c r="CY64" s="1218">
        <f t="shared" si="351"/>
        <v>-0.45</v>
      </c>
      <c r="CZ64" s="1218">
        <f t="shared" si="352"/>
        <v>0</v>
      </c>
      <c r="DA64" s="1218">
        <f t="shared" si="353"/>
        <v>0</v>
      </c>
      <c r="DB64" s="1218">
        <f t="shared" si="354"/>
        <v>0</v>
      </c>
      <c r="DC64" s="1218">
        <f t="shared" si="355"/>
        <v>0</v>
      </c>
      <c r="DD64" s="1218">
        <f t="shared" si="356"/>
        <v>0</v>
      </c>
      <c r="DE64" s="1218">
        <f t="shared" si="357"/>
        <v>0</v>
      </c>
      <c r="DF64" s="1408">
        <f t="shared" si="413"/>
        <v>-1.17</v>
      </c>
      <c r="DG64" s="1218">
        <f t="shared" si="322"/>
        <v>0</v>
      </c>
      <c r="DH64" s="1218">
        <f t="shared" si="311"/>
        <v>1575</v>
      </c>
      <c r="DI64" s="1218"/>
      <c r="DJ64" s="1408">
        <v>3.45</v>
      </c>
      <c r="DK64" s="1218">
        <f t="shared" si="358"/>
        <v>0</v>
      </c>
      <c r="DL64" s="1218">
        <f t="shared" si="359"/>
        <v>0</v>
      </c>
      <c r="DM64" s="1218">
        <f t="shared" si="360"/>
        <v>0</v>
      </c>
      <c r="DN64" s="1218">
        <f t="shared" si="361"/>
        <v>0</v>
      </c>
      <c r="DO64" s="1218">
        <f t="shared" si="362"/>
        <v>0</v>
      </c>
      <c r="DP64" s="1218">
        <f t="shared" si="363"/>
        <v>0</v>
      </c>
      <c r="DQ64" s="1218">
        <f t="shared" si="364"/>
        <v>0</v>
      </c>
      <c r="DR64" s="1218">
        <f t="shared" si="365"/>
        <v>-0.4</v>
      </c>
      <c r="DS64" s="1218">
        <f t="shared" si="366"/>
        <v>-0.2</v>
      </c>
      <c r="DT64" s="1218">
        <f t="shared" si="367"/>
        <v>-0.4</v>
      </c>
      <c r="DU64" s="1218">
        <f t="shared" si="368"/>
        <v>0</v>
      </c>
      <c r="DV64" s="1218">
        <f t="shared" si="369"/>
        <v>0</v>
      </c>
      <c r="DW64" s="1218">
        <f t="shared" si="370"/>
        <v>0</v>
      </c>
      <c r="DX64" s="1218">
        <f t="shared" si="371"/>
        <v>0</v>
      </c>
      <c r="DY64" s="1218">
        <f t="shared" si="372"/>
        <v>0</v>
      </c>
      <c r="DZ64" s="1218">
        <f t="shared" si="373"/>
        <v>0</v>
      </c>
      <c r="EA64" s="1408">
        <f t="shared" si="414"/>
        <v>-0.97</v>
      </c>
      <c r="EB64" s="1218">
        <f t="shared" si="323"/>
        <v>0</v>
      </c>
      <c r="EC64" s="1218">
        <f t="shared" si="314"/>
        <v>1400</v>
      </c>
      <c r="ED64" s="1218"/>
      <c r="EE64" s="1408">
        <v>4.2300000000000004</v>
      </c>
      <c r="EF64" s="1218">
        <f t="shared" si="374"/>
        <v>0</v>
      </c>
      <c r="EG64" s="1218">
        <f t="shared" si="375"/>
        <v>0</v>
      </c>
      <c r="EH64" s="1218">
        <f t="shared" si="376"/>
        <v>0</v>
      </c>
      <c r="EI64" s="1218">
        <f t="shared" si="377"/>
        <v>0</v>
      </c>
      <c r="EJ64" s="1218">
        <f t="shared" si="378"/>
        <v>0</v>
      </c>
      <c r="EK64" s="1218">
        <f t="shared" si="379"/>
        <v>0</v>
      </c>
      <c r="EL64" s="1218">
        <f t="shared" si="380"/>
        <v>0</v>
      </c>
      <c r="EM64" s="1218">
        <f t="shared" si="381"/>
        <v>-0.35</v>
      </c>
      <c r="EN64" s="1218">
        <f t="shared" si="382"/>
        <v>-0.17499999999999999</v>
      </c>
      <c r="EO64" s="1218">
        <f t="shared" si="383"/>
        <v>-0.35</v>
      </c>
      <c r="EP64" s="1218">
        <f t="shared" si="384"/>
        <v>0</v>
      </c>
      <c r="EQ64" s="1218">
        <f t="shared" si="385"/>
        <v>0</v>
      </c>
      <c r="ER64" s="1218">
        <f t="shared" si="386"/>
        <v>0</v>
      </c>
      <c r="ES64" s="1218">
        <f t="shared" si="387"/>
        <v>0</v>
      </c>
      <c r="ET64" s="1218">
        <f t="shared" si="388"/>
        <v>0</v>
      </c>
      <c r="EU64" s="1218">
        <f t="shared" si="389"/>
        <v>0</v>
      </c>
      <c r="EV64" s="1408">
        <f t="shared" si="415"/>
        <v>-0.79</v>
      </c>
      <c r="EW64" s="1218">
        <f t="shared" si="324"/>
        <v>0</v>
      </c>
      <c r="EX64" s="1218">
        <f t="shared" si="317"/>
        <v>1225</v>
      </c>
      <c r="EY64" s="1218"/>
      <c r="EZ64" s="1408">
        <v>5.2</v>
      </c>
      <c r="FA64" s="1218">
        <f t="shared" si="390"/>
        <v>0</v>
      </c>
      <c r="FB64" s="1218">
        <f t="shared" si="391"/>
        <v>0</v>
      </c>
      <c r="FC64" s="1218">
        <f t="shared" si="392"/>
        <v>0</v>
      </c>
      <c r="FD64" s="1218">
        <f t="shared" si="393"/>
        <v>0</v>
      </c>
      <c r="FE64" s="1218">
        <f t="shared" si="394"/>
        <v>0</v>
      </c>
      <c r="FF64" s="1218">
        <f t="shared" si="395"/>
        <v>0</v>
      </c>
      <c r="FG64" s="1218">
        <f t="shared" si="396"/>
        <v>0</v>
      </c>
      <c r="FH64" s="1218">
        <f t="shared" si="397"/>
        <v>-0.3</v>
      </c>
      <c r="FI64" s="1218">
        <f t="shared" si="398"/>
        <v>-0.15</v>
      </c>
      <c r="FJ64" s="1218">
        <f t="shared" si="399"/>
        <v>-0.3</v>
      </c>
      <c r="FK64" s="1218">
        <f t="shared" si="400"/>
        <v>0</v>
      </c>
      <c r="FL64" s="1218">
        <f t="shared" si="401"/>
        <v>0</v>
      </c>
      <c r="FM64" s="1218">
        <f t="shared" si="402"/>
        <v>0</v>
      </c>
      <c r="FN64" s="1218">
        <f t="shared" si="403"/>
        <v>0</v>
      </c>
      <c r="FO64" s="1218">
        <f t="shared" si="404"/>
        <v>0</v>
      </c>
      <c r="FP64" s="1218">
        <f t="shared" si="405"/>
        <v>0</v>
      </c>
      <c r="FQ64" s="1408">
        <f t="shared" si="416"/>
        <v>-0.64</v>
      </c>
      <c r="FR64" s="1218">
        <f t="shared" si="325"/>
        <v>0</v>
      </c>
      <c r="FS64" s="1218">
        <f t="shared" si="320"/>
        <v>1050</v>
      </c>
      <c r="FT64" s="1218"/>
      <c r="FU64" s="1218" t="e">
        <f t="shared" si="287"/>
        <v>#VALUE!</v>
      </c>
      <c r="FV64" s="1218" t="e">
        <f t="shared" si="288"/>
        <v>#VALUE!</v>
      </c>
      <c r="FW64" s="1218" t="e">
        <f t="shared" si="289"/>
        <v>#VALUE!</v>
      </c>
      <c r="FX64" s="1218" t="e">
        <f t="shared" si="290"/>
        <v>#VALUE!</v>
      </c>
      <c r="FY64" s="1218" t="e">
        <f t="shared" si="291"/>
        <v>#VALUE!</v>
      </c>
      <c r="FZ64" s="1218" t="e">
        <f t="shared" si="292"/>
        <v>#VALUE!</v>
      </c>
      <c r="GA64" s="1218" t="e">
        <f t="shared" si="293"/>
        <v>#VALUE!</v>
      </c>
      <c r="GB64" s="1218" t="e">
        <f t="shared" si="294"/>
        <v>#VALUE!</v>
      </c>
      <c r="GC64" s="1218" t="e">
        <f t="shared" si="295"/>
        <v>#VALUE!</v>
      </c>
      <c r="GD64" s="1218" t="e">
        <f t="shared" si="296"/>
        <v>#VALUE!</v>
      </c>
      <c r="GE64" s="1218" t="e">
        <f t="shared" si="297"/>
        <v>#VALUE!</v>
      </c>
      <c r="GF64" s="1218" t="e">
        <f t="shared" si="298"/>
        <v>#VALUE!</v>
      </c>
      <c r="GG64" s="1218" t="e">
        <f t="shared" si="299"/>
        <v>#VALUE!</v>
      </c>
      <c r="GH64" s="1218" t="e">
        <f t="shared" si="300"/>
        <v>#VALUE!</v>
      </c>
      <c r="GI64" s="1218" t="e">
        <f t="shared" si="301"/>
        <v>#VALUE!</v>
      </c>
      <c r="GJ64" s="1218" t="e">
        <f t="shared" si="302"/>
        <v>#VALUE!</v>
      </c>
      <c r="GK64" s="1218" t="e">
        <f t="shared" si="303"/>
        <v>#VALUE!</v>
      </c>
      <c r="GL64" s="1218" t="e">
        <f t="shared" si="304"/>
        <v>#VALUE!</v>
      </c>
      <c r="GM64" s="1218" t="e">
        <f t="shared" si="305"/>
        <v>#VALUE!</v>
      </c>
    </row>
    <row r="65" spans="1:195" ht="16.5" customHeight="1">
      <c r="A65" s="1631">
        <v>319</v>
      </c>
      <c r="B65" s="1888"/>
      <c r="C65" s="1450" t="s">
        <v>296</v>
      </c>
      <c r="D65" s="1451"/>
      <c r="E65" s="1452"/>
      <c r="F65" s="1452"/>
      <c r="G65" s="1452"/>
      <c r="H65" s="1452"/>
      <c r="I65" s="1452"/>
      <c r="J65" s="1452"/>
      <c r="K65" s="1452"/>
      <c r="L65" s="1452"/>
      <c r="M65" s="1452"/>
      <c r="N65" s="1452">
        <f>IF(($AC65&lt;10),SUM(((AO65+(ROUNDUP(($AC65*BJ65),2)))/100)),SUM(((AO65+(ROUNDUP(((9*BJ65)+GE65),2)))/100)))</f>
        <v>-0.15</v>
      </c>
      <c r="O65" s="1452">
        <f>IF(($AC65&lt;10),SUM(((AP65+(ROUNDUP(($AC65*BK65),2)))/100)),SUM(((AP65+(ROUNDUP(((9*BK65)+GF65),2)))/100)))</f>
        <v>-0.15</v>
      </c>
      <c r="P65" s="1452">
        <f>IF(($AC65&lt;10),SUM(((AQ65+(ROUNDUP(($AC65*BL65),2)))/100)),SUM(((AQ65+(ROUNDUP(((9*BL65)+GG65),2)))/100)))</f>
        <v>-0.15</v>
      </c>
      <c r="Q65" s="1409" t="str">
        <f t="shared" si="406"/>
        <v>Selected</v>
      </c>
      <c r="R65" s="1454"/>
      <c r="S65" s="1409">
        <f t="shared" si="407"/>
        <v>2000</v>
      </c>
      <c r="T65" s="1454">
        <f t="shared" si="408"/>
        <v>15</v>
      </c>
      <c r="U65" s="1454">
        <f t="shared" si="409"/>
        <v>60</v>
      </c>
      <c r="V65" s="1409">
        <f t="shared" si="410"/>
        <v>62.5</v>
      </c>
      <c r="W65" s="1409">
        <f t="shared" si="280"/>
        <v>17500</v>
      </c>
      <c r="X65" s="1409"/>
      <c r="Y65" s="1409"/>
      <c r="Z65" s="1409"/>
      <c r="AA65" s="1405"/>
      <c r="AB65" s="1218"/>
      <c r="AC65" s="1218">
        <f t="shared" si="30"/>
        <v>0</v>
      </c>
      <c r="AD65" s="1218"/>
      <c r="AE65" s="1406"/>
      <c r="AF65" s="1406"/>
      <c r="AG65" s="1406"/>
      <c r="AH65" s="1406"/>
      <c r="AI65" s="1406"/>
      <c r="AJ65" s="1406"/>
      <c r="AK65" s="1406"/>
      <c r="AL65" s="1406"/>
      <c r="AM65" s="1406"/>
      <c r="AN65" s="1406"/>
      <c r="AO65" s="1406">
        <v>-15</v>
      </c>
      <c r="AP65" s="1406">
        <v>-15</v>
      </c>
      <c r="AQ65" s="1406">
        <v>-15</v>
      </c>
      <c r="AR65" s="1406" t="s">
        <v>283</v>
      </c>
      <c r="AS65" s="1407"/>
      <c r="AT65" s="1406">
        <v>2000</v>
      </c>
      <c r="AU65" s="1406">
        <v>15</v>
      </c>
      <c r="AV65" s="1406">
        <v>60</v>
      </c>
      <c r="AW65" s="1406">
        <v>62.5</v>
      </c>
      <c r="AX65" s="1406">
        <v>17500</v>
      </c>
      <c r="AY65" s="1218"/>
      <c r="AZ65" s="1218"/>
      <c r="BA65" s="1218"/>
      <c r="BB65" s="1218"/>
      <c r="BC65" s="1218"/>
      <c r="BD65" s="1218"/>
      <c r="BE65" s="1406"/>
      <c r="BF65" s="1406"/>
      <c r="BG65" s="1218"/>
      <c r="BH65" s="1218"/>
      <c r="BI65" s="1218"/>
      <c r="BJ65" s="1218">
        <f>SUM((AO65/27))</f>
        <v>-0.55555555555555558</v>
      </c>
      <c r="BK65" s="1218">
        <f>SUM((AP65/27))</f>
        <v>-0.55555555555555558</v>
      </c>
      <c r="BL65" s="1218">
        <f>SUM((AQ65/27))</f>
        <v>-0.55555555555555558</v>
      </c>
      <c r="BM65" s="1218"/>
      <c r="BN65" s="1218"/>
      <c r="BO65" s="1218"/>
      <c r="BP65" s="1218">
        <f t="shared" si="411"/>
        <v>-3.3333333333333335</v>
      </c>
      <c r="BQ65" s="1218"/>
      <c r="BR65" s="1218">
        <f t="shared" si="281"/>
        <v>1944.4444444444443</v>
      </c>
      <c r="BS65" s="1218"/>
      <c r="BT65" s="1408">
        <v>2.33</v>
      </c>
      <c r="BU65" s="1218">
        <f t="shared" si="326"/>
        <v>0</v>
      </c>
      <c r="BV65" s="1218">
        <f t="shared" si="327"/>
        <v>0</v>
      </c>
      <c r="BW65" s="1218">
        <f t="shared" si="328"/>
        <v>0</v>
      </c>
      <c r="BX65" s="1218">
        <f t="shared" si="329"/>
        <v>0</v>
      </c>
      <c r="BY65" s="1218">
        <f t="shared" si="330"/>
        <v>0</v>
      </c>
      <c r="BZ65" s="1218">
        <f t="shared" si="331"/>
        <v>0</v>
      </c>
      <c r="CA65" s="1218">
        <f t="shared" si="332"/>
        <v>0</v>
      </c>
      <c r="CB65" s="1218">
        <f t="shared" si="333"/>
        <v>0</v>
      </c>
      <c r="CC65" s="1218">
        <f t="shared" si="334"/>
        <v>0</v>
      </c>
      <c r="CD65" s="1218">
        <f t="shared" si="335"/>
        <v>0</v>
      </c>
      <c r="CE65" s="1218">
        <f t="shared" si="336"/>
        <v>-0.5</v>
      </c>
      <c r="CF65" s="1218">
        <f t="shared" si="337"/>
        <v>-0.5</v>
      </c>
      <c r="CG65" s="1411">
        <f t="shared" si="338"/>
        <v>-0.5</v>
      </c>
      <c r="CH65" s="1218">
        <f t="shared" si="339"/>
        <v>0</v>
      </c>
      <c r="CI65" s="1218">
        <f t="shared" si="340"/>
        <v>0</v>
      </c>
      <c r="CJ65" s="1218">
        <f t="shared" si="341"/>
        <v>0</v>
      </c>
      <c r="CK65" s="1408">
        <f t="shared" si="412"/>
        <v>-1.43</v>
      </c>
      <c r="CL65" s="1218">
        <f t="shared" si="321"/>
        <v>0</v>
      </c>
      <c r="CM65" s="1218">
        <f t="shared" si="308"/>
        <v>1750</v>
      </c>
      <c r="CN65" s="1218"/>
      <c r="CO65" s="1408">
        <v>2.84</v>
      </c>
      <c r="CP65" s="1218">
        <f t="shared" si="342"/>
        <v>0</v>
      </c>
      <c r="CQ65" s="1218">
        <f t="shared" si="343"/>
        <v>0</v>
      </c>
      <c r="CR65" s="1218">
        <f t="shared" si="344"/>
        <v>0</v>
      </c>
      <c r="CS65" s="1218">
        <f t="shared" si="345"/>
        <v>0</v>
      </c>
      <c r="CT65" s="1218">
        <f t="shared" si="346"/>
        <v>0</v>
      </c>
      <c r="CU65" s="1218">
        <f t="shared" si="347"/>
        <v>0</v>
      </c>
      <c r="CV65" s="1218">
        <f t="shared" si="348"/>
        <v>0</v>
      </c>
      <c r="CW65" s="1218">
        <f t="shared" si="349"/>
        <v>0</v>
      </c>
      <c r="CX65" s="1218">
        <f t="shared" si="350"/>
        <v>0</v>
      </c>
      <c r="CY65" s="1218">
        <f t="shared" si="351"/>
        <v>0</v>
      </c>
      <c r="CZ65" s="1218">
        <f t="shared" si="352"/>
        <v>-0.45</v>
      </c>
      <c r="DA65" s="1218">
        <f t="shared" si="353"/>
        <v>-0.45</v>
      </c>
      <c r="DB65" s="1218">
        <f t="shared" si="354"/>
        <v>-0.45</v>
      </c>
      <c r="DC65" s="1218">
        <f t="shared" si="355"/>
        <v>0</v>
      </c>
      <c r="DD65" s="1218">
        <f t="shared" si="356"/>
        <v>0</v>
      </c>
      <c r="DE65" s="1218">
        <f t="shared" si="357"/>
        <v>0</v>
      </c>
      <c r="DF65" s="1408">
        <f t="shared" si="413"/>
        <v>-1.17</v>
      </c>
      <c r="DG65" s="1218">
        <f t="shared" si="322"/>
        <v>0</v>
      </c>
      <c r="DH65" s="1218">
        <f t="shared" si="311"/>
        <v>1575</v>
      </c>
      <c r="DI65" s="1218"/>
      <c r="DJ65" s="1408">
        <v>3.45</v>
      </c>
      <c r="DK65" s="1218">
        <f t="shared" si="358"/>
        <v>0</v>
      </c>
      <c r="DL65" s="1218">
        <f t="shared" si="359"/>
        <v>0</v>
      </c>
      <c r="DM65" s="1218">
        <f t="shared" si="360"/>
        <v>0</v>
      </c>
      <c r="DN65" s="1218">
        <f t="shared" si="361"/>
        <v>0</v>
      </c>
      <c r="DO65" s="1218">
        <f t="shared" si="362"/>
        <v>0</v>
      </c>
      <c r="DP65" s="1218">
        <f t="shared" si="363"/>
        <v>0</v>
      </c>
      <c r="DQ65" s="1218">
        <f t="shared" si="364"/>
        <v>0</v>
      </c>
      <c r="DR65" s="1218">
        <f t="shared" si="365"/>
        <v>0</v>
      </c>
      <c r="DS65" s="1218">
        <f t="shared" si="366"/>
        <v>0</v>
      </c>
      <c r="DT65" s="1218">
        <f t="shared" si="367"/>
        <v>0</v>
      </c>
      <c r="DU65" s="1218">
        <f t="shared" si="368"/>
        <v>-0.4</v>
      </c>
      <c r="DV65" s="1218">
        <f t="shared" si="369"/>
        <v>-0.4</v>
      </c>
      <c r="DW65" s="1218">
        <f t="shared" si="370"/>
        <v>-0.4</v>
      </c>
      <c r="DX65" s="1218">
        <f t="shared" si="371"/>
        <v>0</v>
      </c>
      <c r="DY65" s="1218">
        <f t="shared" si="372"/>
        <v>0</v>
      </c>
      <c r="DZ65" s="1218">
        <f t="shared" si="373"/>
        <v>0</v>
      </c>
      <c r="EA65" s="1408">
        <f t="shared" si="414"/>
        <v>-0.97</v>
      </c>
      <c r="EB65" s="1218">
        <f t="shared" si="323"/>
        <v>0</v>
      </c>
      <c r="EC65" s="1218">
        <f t="shared" si="314"/>
        <v>1400</v>
      </c>
      <c r="ED65" s="1218"/>
      <c r="EE65" s="1408">
        <v>4.2300000000000004</v>
      </c>
      <c r="EF65" s="1218">
        <f t="shared" si="374"/>
        <v>0</v>
      </c>
      <c r="EG65" s="1218">
        <f t="shared" si="375"/>
        <v>0</v>
      </c>
      <c r="EH65" s="1218">
        <f t="shared" si="376"/>
        <v>0</v>
      </c>
      <c r="EI65" s="1218">
        <f t="shared" si="377"/>
        <v>0</v>
      </c>
      <c r="EJ65" s="1218">
        <f t="shared" si="378"/>
        <v>0</v>
      </c>
      <c r="EK65" s="1218">
        <f t="shared" si="379"/>
        <v>0</v>
      </c>
      <c r="EL65" s="1218">
        <f t="shared" si="380"/>
        <v>0</v>
      </c>
      <c r="EM65" s="1218">
        <f t="shared" si="381"/>
        <v>0</v>
      </c>
      <c r="EN65" s="1218">
        <f t="shared" si="382"/>
        <v>0</v>
      </c>
      <c r="EO65" s="1218">
        <f t="shared" si="383"/>
        <v>0</v>
      </c>
      <c r="EP65" s="1218">
        <f t="shared" si="384"/>
        <v>-0.35</v>
      </c>
      <c r="EQ65" s="1218">
        <f t="shared" si="385"/>
        <v>-0.35</v>
      </c>
      <c r="ER65" s="1218">
        <f t="shared" si="386"/>
        <v>-0.35</v>
      </c>
      <c r="ES65" s="1218">
        <f t="shared" si="387"/>
        <v>0</v>
      </c>
      <c r="ET65" s="1218">
        <f t="shared" si="388"/>
        <v>0</v>
      </c>
      <c r="EU65" s="1218">
        <f t="shared" si="389"/>
        <v>0</v>
      </c>
      <c r="EV65" s="1408">
        <f t="shared" si="415"/>
        <v>-0.79</v>
      </c>
      <c r="EW65" s="1218">
        <f t="shared" si="324"/>
        <v>0</v>
      </c>
      <c r="EX65" s="1218">
        <f t="shared" si="317"/>
        <v>1225</v>
      </c>
      <c r="EY65" s="1218"/>
      <c r="EZ65" s="1408">
        <v>5.2</v>
      </c>
      <c r="FA65" s="1218">
        <f t="shared" si="390"/>
        <v>0</v>
      </c>
      <c r="FB65" s="1218">
        <f t="shared" si="391"/>
        <v>0</v>
      </c>
      <c r="FC65" s="1218">
        <f t="shared" si="392"/>
        <v>0</v>
      </c>
      <c r="FD65" s="1218">
        <f t="shared" si="393"/>
        <v>0</v>
      </c>
      <c r="FE65" s="1218">
        <f t="shared" si="394"/>
        <v>0</v>
      </c>
      <c r="FF65" s="1218">
        <f t="shared" si="395"/>
        <v>0</v>
      </c>
      <c r="FG65" s="1218">
        <f t="shared" si="396"/>
        <v>0</v>
      </c>
      <c r="FH65" s="1218">
        <f t="shared" si="397"/>
        <v>0</v>
      </c>
      <c r="FI65" s="1218">
        <f t="shared" si="398"/>
        <v>0</v>
      </c>
      <c r="FJ65" s="1218">
        <f t="shared" si="399"/>
        <v>0</v>
      </c>
      <c r="FK65" s="1218">
        <f t="shared" si="400"/>
        <v>-0.3</v>
      </c>
      <c r="FL65" s="1218">
        <f t="shared" si="401"/>
        <v>-0.3</v>
      </c>
      <c r="FM65" s="1218">
        <f t="shared" si="402"/>
        <v>-0.3</v>
      </c>
      <c r="FN65" s="1218">
        <f t="shared" si="403"/>
        <v>0</v>
      </c>
      <c r="FO65" s="1218">
        <f t="shared" si="404"/>
        <v>0</v>
      </c>
      <c r="FP65" s="1218">
        <f t="shared" si="405"/>
        <v>0</v>
      </c>
      <c r="FQ65" s="1408">
        <f t="shared" si="416"/>
        <v>-0.64</v>
      </c>
      <c r="FR65" s="1218">
        <f t="shared" si="325"/>
        <v>0</v>
      </c>
      <c r="FS65" s="1218">
        <f t="shared" si="320"/>
        <v>1050</v>
      </c>
      <c r="FT65" s="1218"/>
      <c r="FU65" s="1218" t="e">
        <f t="shared" si="287"/>
        <v>#VALUE!</v>
      </c>
      <c r="FV65" s="1218" t="e">
        <f t="shared" si="288"/>
        <v>#VALUE!</v>
      </c>
      <c r="FW65" s="1218" t="e">
        <f t="shared" si="289"/>
        <v>#VALUE!</v>
      </c>
      <c r="FX65" s="1218" t="e">
        <f t="shared" si="290"/>
        <v>#VALUE!</v>
      </c>
      <c r="FY65" s="1218" t="e">
        <f t="shared" si="291"/>
        <v>#VALUE!</v>
      </c>
      <c r="FZ65" s="1218" t="e">
        <f t="shared" si="292"/>
        <v>#VALUE!</v>
      </c>
      <c r="GA65" s="1218" t="e">
        <f t="shared" si="293"/>
        <v>#VALUE!</v>
      </c>
      <c r="GB65" s="1218" t="e">
        <f t="shared" si="294"/>
        <v>#VALUE!</v>
      </c>
      <c r="GC65" s="1218" t="e">
        <f t="shared" si="295"/>
        <v>#VALUE!</v>
      </c>
      <c r="GD65" s="1218" t="e">
        <f t="shared" si="296"/>
        <v>#VALUE!</v>
      </c>
      <c r="GE65" s="1218" t="e">
        <f t="shared" si="297"/>
        <v>#VALUE!</v>
      </c>
      <c r="GF65" s="1218" t="e">
        <f t="shared" si="298"/>
        <v>#VALUE!</v>
      </c>
      <c r="GG65" s="1218" t="e">
        <f t="shared" si="299"/>
        <v>#VALUE!</v>
      </c>
      <c r="GH65" s="1218" t="e">
        <f t="shared" si="300"/>
        <v>#VALUE!</v>
      </c>
      <c r="GI65" s="1218" t="e">
        <f t="shared" si="301"/>
        <v>#VALUE!</v>
      </c>
      <c r="GJ65" s="1218" t="e">
        <f t="shared" si="302"/>
        <v>#VALUE!</v>
      </c>
      <c r="GK65" s="1218" t="e">
        <f t="shared" si="303"/>
        <v>#VALUE!</v>
      </c>
      <c r="GL65" s="1218" t="e">
        <f t="shared" si="304"/>
        <v>#VALUE!</v>
      </c>
      <c r="GM65" s="1218" t="e">
        <f t="shared" si="305"/>
        <v>#VALUE!</v>
      </c>
    </row>
    <row r="66" spans="1:195" ht="32.25" customHeight="1">
      <c r="B66" s="1884"/>
      <c r="C66" s="1884"/>
      <c r="D66" s="1883" t="s">
        <v>112</v>
      </c>
      <c r="E66" s="1883"/>
      <c r="F66" s="1883"/>
      <c r="G66" s="1883"/>
      <c r="H66" s="1883"/>
      <c r="I66" s="1883"/>
      <c r="J66" s="1883"/>
      <c r="K66" s="1883"/>
      <c r="L66" s="1883"/>
      <c r="M66" s="1883"/>
      <c r="N66" s="1883"/>
      <c r="O66" s="1883"/>
      <c r="P66" s="1883"/>
      <c r="Q66" s="1883"/>
      <c r="R66" s="1883"/>
      <c r="S66" s="1883"/>
      <c r="T66" s="1883"/>
      <c r="U66" s="1883"/>
      <c r="V66" s="1883"/>
      <c r="W66" s="1883"/>
      <c r="X66" s="1883"/>
      <c r="Y66" s="1883"/>
      <c r="Z66" s="1883"/>
      <c r="AA66" s="1508"/>
      <c r="AB66" s="1244"/>
      <c r="AC66" s="1244">
        <f t="shared" si="30"/>
        <v>0</v>
      </c>
      <c r="AD66" s="1244"/>
      <c r="AE66" s="1509"/>
      <c r="AF66" s="1509"/>
      <c r="AG66" s="1509"/>
      <c r="AH66" s="1509"/>
      <c r="AI66" s="1509"/>
      <c r="AJ66" s="1509"/>
      <c r="AK66" s="1509"/>
      <c r="AL66" s="1509"/>
      <c r="AM66" s="1509"/>
      <c r="AN66" s="1509"/>
      <c r="AO66" s="1509"/>
      <c r="AP66" s="1509"/>
      <c r="AQ66" s="1509"/>
      <c r="AR66" s="1509"/>
      <c r="AS66" s="1510"/>
      <c r="AT66" s="1509"/>
      <c r="AU66" s="1509"/>
      <c r="AV66" s="1509"/>
      <c r="AW66" s="1509"/>
      <c r="AX66" s="1509"/>
      <c r="AY66" s="1244"/>
      <c r="AZ66" s="1244"/>
      <c r="BA66" s="1244"/>
      <c r="BB66" s="1244"/>
      <c r="BC66" s="1244"/>
      <c r="BD66" s="1244"/>
      <c r="BE66" s="1244"/>
      <c r="BF66" s="1244"/>
      <c r="BG66" s="1244"/>
      <c r="BH66" s="1244"/>
      <c r="BI66" s="1244"/>
      <c r="BJ66" s="1244"/>
      <c r="BK66" s="1244"/>
      <c r="BL66" s="1244"/>
      <c r="BM66" s="1244"/>
      <c r="BN66" s="1244"/>
      <c r="BO66" s="1244"/>
      <c r="BP66" s="1244"/>
      <c r="BQ66" s="1244"/>
      <c r="BR66" s="1244"/>
      <c r="BS66" s="1244"/>
      <c r="BT66" s="1511"/>
      <c r="BU66" s="1244"/>
      <c r="BV66" s="1244"/>
      <c r="BW66" s="1244"/>
      <c r="BX66" s="1244"/>
      <c r="BY66" s="1244"/>
      <c r="BZ66" s="1244"/>
      <c r="CA66" s="1244"/>
      <c r="CB66" s="1244"/>
      <c r="CC66" s="1244"/>
      <c r="CD66" s="1244"/>
      <c r="CE66" s="1244"/>
      <c r="CF66" s="1244"/>
      <c r="CG66" s="1512"/>
      <c r="CH66" s="1244"/>
      <c r="CI66" s="1244"/>
      <c r="CJ66" s="1244"/>
      <c r="CK66" s="1511"/>
      <c r="CL66" s="1244"/>
      <c r="CM66" s="1244"/>
      <c r="CN66" s="1244"/>
      <c r="CO66" s="1511"/>
      <c r="CP66" s="1244"/>
      <c r="CQ66" s="1244"/>
      <c r="CR66" s="1244"/>
      <c r="CS66" s="1244"/>
      <c r="CT66" s="1244"/>
      <c r="CU66" s="1244"/>
      <c r="CV66" s="1244"/>
      <c r="CW66" s="1244"/>
      <c r="CX66" s="1244"/>
      <c r="CY66" s="1244"/>
      <c r="CZ66" s="1244"/>
      <c r="DA66" s="1244"/>
      <c r="DB66" s="1244"/>
      <c r="DC66" s="1244"/>
      <c r="DD66" s="1244"/>
      <c r="DE66" s="1244"/>
      <c r="DF66" s="1511"/>
      <c r="DG66" s="1244"/>
      <c r="DH66" s="1244"/>
      <c r="DI66" s="1244"/>
      <c r="DJ66" s="1511"/>
      <c r="DK66" s="1244"/>
      <c r="DL66" s="1244"/>
      <c r="DM66" s="1244"/>
      <c r="DN66" s="1244"/>
      <c r="DO66" s="1244"/>
      <c r="DP66" s="1244"/>
      <c r="DQ66" s="1244"/>
      <c r="DR66" s="1244"/>
      <c r="DS66" s="1244"/>
      <c r="DT66" s="1244"/>
      <c r="DU66" s="1244"/>
      <c r="DV66" s="1244"/>
      <c r="DW66" s="1244"/>
      <c r="DX66" s="1244"/>
      <c r="DY66" s="1244"/>
      <c r="DZ66" s="1244"/>
      <c r="EA66" s="1511"/>
      <c r="EB66" s="1244"/>
      <c r="EC66" s="1244"/>
      <c r="ED66" s="1244"/>
      <c r="EE66" s="1511"/>
      <c r="EF66" s="1244"/>
      <c r="EG66" s="1244"/>
      <c r="EH66" s="1244"/>
      <c r="EI66" s="1244"/>
      <c r="EJ66" s="1244"/>
      <c r="EK66" s="1244"/>
      <c r="EL66" s="1244"/>
      <c r="EM66" s="1244"/>
      <c r="EN66" s="1244"/>
      <c r="EO66" s="1244"/>
      <c r="EP66" s="1244"/>
      <c r="EQ66" s="1244"/>
      <c r="ER66" s="1244"/>
      <c r="ES66" s="1244"/>
      <c r="ET66" s="1244"/>
      <c r="EU66" s="1244"/>
      <c r="EV66" s="1511"/>
      <c r="EW66" s="1244"/>
      <c r="EX66" s="1244"/>
      <c r="EY66" s="1244"/>
      <c r="EZ66" s="1511"/>
      <c r="FA66" s="1244"/>
      <c r="FB66" s="1244"/>
      <c r="FC66" s="1244"/>
      <c r="FD66" s="1244"/>
      <c r="FE66" s="1244"/>
      <c r="FF66" s="1244"/>
      <c r="FG66" s="1244"/>
      <c r="FH66" s="1244"/>
      <c r="FI66" s="1244"/>
      <c r="FJ66" s="1244"/>
      <c r="FK66" s="1244"/>
      <c r="FL66" s="1244"/>
      <c r="FM66" s="1244"/>
      <c r="FN66" s="1244"/>
      <c r="FO66" s="1244"/>
      <c r="FP66" s="1244"/>
      <c r="FQ66" s="1511"/>
      <c r="FR66" s="1244"/>
      <c r="FS66" s="1244"/>
      <c r="FT66" s="1244"/>
      <c r="FU66" s="1244"/>
      <c r="FV66" s="1244"/>
      <c r="FW66" s="1244"/>
      <c r="FX66" s="1244"/>
      <c r="FY66" s="1244"/>
      <c r="FZ66" s="1244"/>
      <c r="GA66" s="1244"/>
      <c r="GB66" s="1244"/>
      <c r="GC66" s="1244"/>
      <c r="GD66" s="1244"/>
      <c r="GE66" s="1244"/>
      <c r="GF66" s="1244"/>
      <c r="GG66" s="1244"/>
      <c r="GH66" s="1244"/>
      <c r="GI66" s="1244"/>
      <c r="GJ66" s="1244"/>
      <c r="GK66" s="1244"/>
      <c r="GL66" s="1244"/>
      <c r="GM66" s="1244"/>
    </row>
    <row r="67" spans="1:195" ht="16.5" customHeight="1">
      <c r="A67" s="1631">
        <v>401</v>
      </c>
      <c r="B67" s="1895" t="s">
        <v>307</v>
      </c>
      <c r="C67" s="1513"/>
      <c r="D67" s="1514"/>
      <c r="E67" s="1514"/>
      <c r="F67" s="1514"/>
      <c r="G67" s="1514"/>
      <c r="H67" s="1514"/>
      <c r="I67" s="1514"/>
      <c r="J67" s="1514"/>
      <c r="K67" s="1514"/>
      <c r="L67" s="1514"/>
      <c r="M67" s="1514"/>
      <c r="N67" s="1514"/>
      <c r="O67" s="1514"/>
      <c r="P67" s="1514"/>
      <c r="Q67" s="1514"/>
      <c r="R67" s="1514"/>
      <c r="S67" s="1514"/>
      <c r="T67" s="1514"/>
      <c r="U67" s="1514"/>
      <c r="V67" s="1514"/>
      <c r="W67" s="1514"/>
      <c r="X67" s="1514"/>
      <c r="Y67" s="1514"/>
      <c r="Z67" s="1514"/>
      <c r="AA67" s="1405"/>
      <c r="AB67" s="1218"/>
      <c r="AC67" s="1218">
        <f t="shared" si="30"/>
        <v>0</v>
      </c>
      <c r="AD67" s="1218"/>
      <c r="AE67" s="1406"/>
      <c r="AF67" s="1406"/>
      <c r="AG67" s="1406"/>
      <c r="AH67" s="1406"/>
      <c r="AI67" s="1406"/>
      <c r="AJ67" s="1406"/>
      <c r="AK67" s="1406"/>
      <c r="AL67" s="1406"/>
      <c r="AM67" s="1406"/>
      <c r="AN67" s="1406"/>
      <c r="AO67" s="1406"/>
      <c r="AP67" s="1406"/>
      <c r="AQ67" s="1406"/>
      <c r="AR67" s="1406"/>
      <c r="AS67" s="1407"/>
      <c r="AT67" s="1406"/>
      <c r="AU67" s="1406"/>
      <c r="AV67" s="1406"/>
      <c r="AW67" s="1406"/>
      <c r="AX67" s="1406"/>
      <c r="AY67" s="1218"/>
      <c r="AZ67" s="1218"/>
      <c r="BA67" s="1218"/>
      <c r="BB67" s="1218"/>
      <c r="BC67" s="1218"/>
      <c r="BD67" s="1218"/>
      <c r="BE67" s="1218"/>
      <c r="BF67" s="1218"/>
      <c r="BG67" s="1218"/>
      <c r="BH67" s="1218"/>
      <c r="BI67" s="1218"/>
      <c r="BJ67" s="1218"/>
      <c r="BK67" s="1218"/>
      <c r="BL67" s="1218"/>
      <c r="BM67" s="1218"/>
      <c r="BN67" s="1218"/>
      <c r="BO67" s="1218"/>
      <c r="BP67" s="1218"/>
      <c r="BQ67" s="1218"/>
      <c r="BR67" s="1218"/>
      <c r="BS67" s="1218"/>
      <c r="BT67" s="1408"/>
      <c r="BU67" s="1218"/>
      <c r="BV67" s="1218"/>
      <c r="BW67" s="1218"/>
      <c r="BX67" s="1218"/>
      <c r="BY67" s="1218"/>
      <c r="BZ67" s="1218"/>
      <c r="CA67" s="1218"/>
      <c r="CB67" s="1218"/>
      <c r="CC67" s="1218"/>
      <c r="CD67" s="1218"/>
      <c r="CE67" s="1218"/>
      <c r="CF67" s="1218"/>
      <c r="CG67" s="1515"/>
      <c r="CH67" s="1218"/>
      <c r="CI67" s="1218"/>
      <c r="CJ67" s="1218"/>
      <c r="CK67" s="1408"/>
      <c r="CL67" s="1218"/>
      <c r="CM67" s="1218"/>
      <c r="CN67" s="1218"/>
      <c r="CO67" s="1408"/>
      <c r="CP67" s="1218"/>
      <c r="CQ67" s="1218"/>
      <c r="CR67" s="1218"/>
      <c r="CS67" s="1218"/>
      <c r="CT67" s="1218"/>
      <c r="CU67" s="1218"/>
      <c r="CV67" s="1218"/>
      <c r="CW67" s="1218"/>
      <c r="CX67" s="1218"/>
      <c r="CY67" s="1218"/>
      <c r="CZ67" s="1218"/>
      <c r="DA67" s="1218"/>
      <c r="DB67" s="1218"/>
      <c r="DC67" s="1218"/>
      <c r="DD67" s="1218"/>
      <c r="DE67" s="1218"/>
      <c r="DF67" s="1408"/>
      <c r="DG67" s="1218"/>
      <c r="DH67" s="1218"/>
      <c r="DI67" s="1218"/>
      <c r="DJ67" s="1408"/>
      <c r="DK67" s="1218"/>
      <c r="DL67" s="1218"/>
      <c r="DM67" s="1218"/>
      <c r="DN67" s="1218"/>
      <c r="DO67" s="1218"/>
      <c r="DP67" s="1218"/>
      <c r="DQ67" s="1218"/>
      <c r="DR67" s="1218"/>
      <c r="DS67" s="1218"/>
      <c r="DT67" s="1218"/>
      <c r="DU67" s="1218"/>
      <c r="DV67" s="1218"/>
      <c r="DW67" s="1218"/>
      <c r="DX67" s="1218"/>
      <c r="DY67" s="1218"/>
      <c r="DZ67" s="1218"/>
      <c r="EA67" s="1408"/>
      <c r="EB67" s="1218"/>
      <c r="EC67" s="1218"/>
      <c r="ED67" s="1218"/>
      <c r="EE67" s="1408"/>
      <c r="EF67" s="1218"/>
      <c r="EG67" s="1218"/>
      <c r="EH67" s="1218"/>
      <c r="EI67" s="1218"/>
      <c r="EJ67" s="1218"/>
      <c r="EK67" s="1218"/>
      <c r="EL67" s="1218"/>
      <c r="EM67" s="1218"/>
      <c r="EN67" s="1218"/>
      <c r="EO67" s="1218"/>
      <c r="EP67" s="1218"/>
      <c r="EQ67" s="1218"/>
      <c r="ER67" s="1218"/>
      <c r="ES67" s="1218"/>
      <c r="ET67" s="1218"/>
      <c r="EU67" s="1218"/>
      <c r="EV67" s="1408"/>
      <c r="EW67" s="1218"/>
      <c r="EX67" s="1218"/>
      <c r="EY67" s="1218"/>
      <c r="EZ67" s="1408"/>
      <c r="FA67" s="1218"/>
      <c r="FB67" s="1218"/>
      <c r="FC67" s="1218"/>
      <c r="FD67" s="1218"/>
      <c r="FE67" s="1218"/>
      <c r="FF67" s="1218"/>
      <c r="FG67" s="1218"/>
      <c r="FH67" s="1218"/>
      <c r="FI67" s="1218"/>
      <c r="FJ67" s="1218"/>
      <c r="FK67" s="1218"/>
      <c r="FL67" s="1218"/>
      <c r="FM67" s="1218"/>
      <c r="FN67" s="1218"/>
      <c r="FO67" s="1218"/>
      <c r="FP67" s="1218"/>
      <c r="FQ67" s="1408"/>
      <c r="FR67" s="1218"/>
      <c r="FS67" s="1218"/>
      <c r="FT67" s="1218"/>
      <c r="FU67" s="1218"/>
      <c r="FV67" s="1218"/>
      <c r="FW67" s="1218"/>
      <c r="FX67" s="1218"/>
      <c r="FY67" s="1218"/>
      <c r="FZ67" s="1218"/>
      <c r="GA67" s="1218"/>
      <c r="GB67" s="1218"/>
      <c r="GC67" s="1218"/>
      <c r="GD67" s="1218"/>
      <c r="GE67" s="1218"/>
      <c r="GF67" s="1218"/>
      <c r="GG67" s="1218"/>
      <c r="GH67" s="1218"/>
      <c r="GI67" s="1218"/>
      <c r="GJ67" s="1218"/>
      <c r="GK67" s="1218"/>
      <c r="GL67" s="1218"/>
      <c r="GM67" s="1218"/>
    </row>
    <row r="68" spans="1:195" s="438" customFormat="1" ht="16.5" customHeight="1">
      <c r="A68" s="1739">
        <v>402</v>
      </c>
      <c r="B68" s="1896"/>
      <c r="C68" s="1516" t="s">
        <v>308</v>
      </c>
      <c r="D68" s="1456"/>
      <c r="E68" s="1457"/>
      <c r="F68" s="1457"/>
      <c r="G68" s="1458"/>
      <c r="H68" s="1517">
        <f>IF(($AC68&lt;10),SUM(((AI68+(ROUNDUP(($AC68*BD68),2)))/100)),SUM(((AI68+(ROUNDUP(((9*BD68)+FY68),2)))/100)))</f>
        <v>7.4999999999999997E-2</v>
      </c>
      <c r="I68" s="1517">
        <f>IF(($AC68&lt;10),SUM(((AJ68+(ROUNDUP(($AC68*BE68),2)))/100)),SUM(((AJ68+(ROUNDUP(((9*BE68)+FZ68),2)))/100)))</f>
        <v>-7.4999999999999997E-2</v>
      </c>
      <c r="J68" s="1456">
        <f>IF(($AC68&lt;10),SUM(((AK68+(ROUNDUP(($AC68*BF68),2)))/100)),SUM(((AK68+(ROUNDUP(((9*BF68)+GA68),2)))/100)))</f>
        <v>-7.4999999999999997E-2</v>
      </c>
      <c r="K68" s="1457"/>
      <c r="L68" s="1457"/>
      <c r="M68" s="1457"/>
      <c r="N68" s="1458"/>
      <c r="O68" s="1456">
        <f>IF(($AC68&lt;10),SUM(((AP68+(ROUNDUP(($AC68*BK68),2)))/100)),SUM(((AP68+(ROUNDUP(((9*BK68)+GF68),2)))/100)))</f>
        <v>-7.4999999999999997E-2</v>
      </c>
      <c r="P68" s="1457"/>
      <c r="Q68" s="1410" t="str">
        <f>AR68</f>
        <v>Selected</v>
      </c>
      <c r="R68" s="1459"/>
      <c r="S68" s="1410">
        <f>IF((AC68&lt;10),SUM((AT68+(ROUNDUP((AC68*BN68),2)))),SUM((AT68+(ROUNDUP(((9*BN68)+GI68),2)))))</f>
        <v>3000</v>
      </c>
      <c r="T68" s="1459">
        <f>IF((AC68&lt;10),SUM((AU68+(ROUNDUP((AC68*BO68),2)))),SUM((AU68+(ROUNDUP(((9*BO68)+GJ68),2)))))</f>
        <v>30</v>
      </c>
      <c r="U68" s="1459">
        <f>IF((AC68&lt;10),SUM((AV68+(ROUNDUP((AC68*BP68),2)))),SUM((AV68+(ROUNDUP(((9*BP68)+GK68),2)))))</f>
        <v>60</v>
      </c>
      <c r="V68" s="1410">
        <f>IF((AC68&lt;10),SUM((AW68+(ROUNDUP((AC68*BQ68),2)))),SUM((AW68+(ROUNDUP(((9*BQ68)+GL68),2)))))</f>
        <v>550</v>
      </c>
      <c r="W68" s="1410">
        <f>IF((AC68&lt;10),SUM((AX68+(ROUNDUP((AC68*BR68),2)))),SUM((AX68+(ROUNDUP(((9*BR68)+GM68),2)))))</f>
        <v>17500</v>
      </c>
      <c r="X68" s="1410"/>
      <c r="Y68" s="1410"/>
      <c r="Z68" s="1410"/>
      <c r="AA68" s="1405"/>
      <c r="AB68" s="1218"/>
      <c r="AC68" s="1218">
        <f t="shared" si="30"/>
        <v>0</v>
      </c>
      <c r="AD68" s="1218"/>
      <c r="AE68" s="1406"/>
      <c r="AF68" s="1406"/>
      <c r="AG68" s="1406"/>
      <c r="AH68" s="1406"/>
      <c r="AI68" s="1406">
        <v>7.5</v>
      </c>
      <c r="AJ68" s="1406">
        <v>-7.5</v>
      </c>
      <c r="AK68" s="1406">
        <v>-7.5</v>
      </c>
      <c r="AL68" s="1406"/>
      <c r="AM68" s="1406"/>
      <c r="AN68" s="1406"/>
      <c r="AO68" s="1406"/>
      <c r="AP68" s="1406">
        <v>-7.5</v>
      </c>
      <c r="AQ68" s="1406"/>
      <c r="AR68" s="1406" t="s">
        <v>283</v>
      </c>
      <c r="AS68" s="1407"/>
      <c r="AT68" s="1406">
        <v>3000</v>
      </c>
      <c r="AU68" s="1406">
        <v>30</v>
      </c>
      <c r="AV68" s="1406">
        <v>60</v>
      </c>
      <c r="AW68" s="1406">
        <v>550</v>
      </c>
      <c r="AX68" s="1406">
        <v>17500</v>
      </c>
      <c r="AY68" s="1218"/>
      <c r="AZ68" s="1218">
        <f t="shared" ref="AZ68:AZ76" si="417">SUM((AE68/27))</f>
        <v>0</v>
      </c>
      <c r="BA68" s="1218">
        <f t="shared" ref="BA68:BA76" si="418">SUM((AF68/27))</f>
        <v>0</v>
      </c>
      <c r="BB68" s="1218"/>
      <c r="BC68" s="1218"/>
      <c r="BD68" s="1218">
        <f>SUM((AI68/27))</f>
        <v>0.27777777777777779</v>
      </c>
      <c r="BE68" s="1218">
        <f>SUM((AJ68/27))</f>
        <v>-0.27777777777777779</v>
      </c>
      <c r="BF68" s="1218">
        <f>SUM((AK68/27))</f>
        <v>-0.27777777777777779</v>
      </c>
      <c r="BG68" s="1218"/>
      <c r="BH68" s="1218"/>
      <c r="BI68" s="1218"/>
      <c r="BJ68" s="1218"/>
      <c r="BK68" s="1218">
        <f>SUM((AP68/27))</f>
        <v>-0.27777777777777779</v>
      </c>
      <c r="BL68" s="1218"/>
      <c r="BM68" s="1218"/>
      <c r="BN68" s="1218"/>
      <c r="BO68" s="1218"/>
      <c r="BP68" s="1218">
        <f>SUM((-AV68/18))</f>
        <v>-3.3333333333333335</v>
      </c>
      <c r="BQ68" s="1218"/>
      <c r="BR68" s="1218">
        <f>SUM((AX68/9))</f>
        <v>1944.4444444444443</v>
      </c>
      <c r="BS68" s="1218"/>
      <c r="BT68" s="1408">
        <v>2.33</v>
      </c>
      <c r="BU68" s="1218">
        <f t="shared" ref="BU68:CJ76" si="419">SUM(((AZ68*0.9)*1))</f>
        <v>0</v>
      </c>
      <c r="BV68" s="1218">
        <f t="shared" si="419"/>
        <v>0</v>
      </c>
      <c r="BW68" s="1218">
        <f t="shared" si="419"/>
        <v>0</v>
      </c>
      <c r="BX68" s="1218">
        <f t="shared" si="419"/>
        <v>0</v>
      </c>
      <c r="BY68" s="1218">
        <f t="shared" si="419"/>
        <v>0.25</v>
      </c>
      <c r="BZ68" s="1218">
        <f t="shared" si="419"/>
        <v>-0.25</v>
      </c>
      <c r="CA68" s="1218">
        <f t="shared" si="419"/>
        <v>-0.25</v>
      </c>
      <c r="CB68" s="1218">
        <f t="shared" si="419"/>
        <v>0</v>
      </c>
      <c r="CC68" s="1218">
        <f t="shared" si="419"/>
        <v>0</v>
      </c>
      <c r="CD68" s="1218">
        <f t="shared" si="419"/>
        <v>0</v>
      </c>
      <c r="CE68" s="1218">
        <f t="shared" si="419"/>
        <v>0</v>
      </c>
      <c r="CF68" s="1218">
        <f t="shared" si="419"/>
        <v>-0.25</v>
      </c>
      <c r="CG68" s="1218">
        <f t="shared" si="419"/>
        <v>0</v>
      </c>
      <c r="CH68" s="1218">
        <f t="shared" si="419"/>
        <v>0</v>
      </c>
      <c r="CI68" s="1218">
        <f t="shared" si="419"/>
        <v>0</v>
      </c>
      <c r="CJ68" s="1218">
        <f t="shared" si="419"/>
        <v>0</v>
      </c>
      <c r="CK68" s="1408">
        <f>SUM(ROUND((BP68/BT68),2))</f>
        <v>-1.43</v>
      </c>
      <c r="CL68" s="1218">
        <f>SUM(((BQ68*0.9)*1))</f>
        <v>0</v>
      </c>
      <c r="CM68" s="1218">
        <f>SUM(((BR68*0.9)*1))</f>
        <v>1750</v>
      </c>
      <c r="CN68" s="1218"/>
      <c r="CO68" s="1408">
        <v>2.84</v>
      </c>
      <c r="CP68" s="1218">
        <f t="shared" ref="CP68:DE69" si="420">SUM(((AZ68*0.9)*0.9))</f>
        <v>0</v>
      </c>
      <c r="CQ68" s="1218">
        <f t="shared" si="420"/>
        <v>0</v>
      </c>
      <c r="CR68" s="1218">
        <f t="shared" si="420"/>
        <v>0</v>
      </c>
      <c r="CS68" s="1218">
        <f t="shared" si="420"/>
        <v>0</v>
      </c>
      <c r="CT68" s="1218">
        <f t="shared" si="420"/>
        <v>0.22500000000000001</v>
      </c>
      <c r="CU68" s="1218">
        <f t="shared" si="420"/>
        <v>-0.22500000000000001</v>
      </c>
      <c r="CV68" s="1218">
        <f t="shared" si="420"/>
        <v>-0.22500000000000001</v>
      </c>
      <c r="CW68" s="1218">
        <f t="shared" si="420"/>
        <v>0</v>
      </c>
      <c r="CX68" s="1218">
        <f t="shared" si="420"/>
        <v>0</v>
      </c>
      <c r="CY68" s="1218">
        <f t="shared" si="420"/>
        <v>0</v>
      </c>
      <c r="CZ68" s="1218">
        <f t="shared" si="420"/>
        <v>0</v>
      </c>
      <c r="DA68" s="1218">
        <f t="shared" si="420"/>
        <v>-0.22500000000000001</v>
      </c>
      <c r="DB68" s="1218">
        <f t="shared" si="420"/>
        <v>0</v>
      </c>
      <c r="DC68" s="1218">
        <f t="shared" si="420"/>
        <v>0</v>
      </c>
      <c r="DD68" s="1218">
        <f t="shared" si="420"/>
        <v>0</v>
      </c>
      <c r="DE68" s="1218">
        <f t="shared" si="420"/>
        <v>0</v>
      </c>
      <c r="DF68" s="1408">
        <f>SUM(ROUND((BP68/CO68),2))</f>
        <v>-1.17</v>
      </c>
      <c r="DG68" s="1218">
        <f>SUM(((BQ68*0.9)*0.9))</f>
        <v>0</v>
      </c>
      <c r="DH68" s="1218">
        <f>SUM(((BR68*0.9)*0.9))</f>
        <v>1575</v>
      </c>
      <c r="DI68" s="1218"/>
      <c r="DJ68" s="1408">
        <v>3.45</v>
      </c>
      <c r="DK68" s="1218">
        <f t="shared" ref="DK68:DZ69" si="421">SUM(((AZ68*0.9)*0.8))</f>
        <v>0</v>
      </c>
      <c r="DL68" s="1218">
        <f t="shared" si="421"/>
        <v>0</v>
      </c>
      <c r="DM68" s="1218">
        <f t="shared" si="421"/>
        <v>0</v>
      </c>
      <c r="DN68" s="1218">
        <f t="shared" si="421"/>
        <v>0</v>
      </c>
      <c r="DO68" s="1218">
        <f t="shared" si="421"/>
        <v>0.2</v>
      </c>
      <c r="DP68" s="1218">
        <f t="shared" si="421"/>
        <v>-0.2</v>
      </c>
      <c r="DQ68" s="1218">
        <f t="shared" si="421"/>
        <v>-0.2</v>
      </c>
      <c r="DR68" s="1218">
        <f t="shared" si="421"/>
        <v>0</v>
      </c>
      <c r="DS68" s="1218">
        <f t="shared" si="421"/>
        <v>0</v>
      </c>
      <c r="DT68" s="1218">
        <f t="shared" si="421"/>
        <v>0</v>
      </c>
      <c r="DU68" s="1218">
        <f t="shared" si="421"/>
        <v>0</v>
      </c>
      <c r="DV68" s="1218">
        <f t="shared" si="421"/>
        <v>-0.2</v>
      </c>
      <c r="DW68" s="1218">
        <f t="shared" si="421"/>
        <v>0</v>
      </c>
      <c r="DX68" s="1218">
        <f t="shared" si="421"/>
        <v>0</v>
      </c>
      <c r="DY68" s="1218">
        <f t="shared" si="421"/>
        <v>0</v>
      </c>
      <c r="DZ68" s="1218">
        <f t="shared" si="421"/>
        <v>0</v>
      </c>
      <c r="EA68" s="1408">
        <f>SUM(ROUND((BP68/DJ68),2))</f>
        <v>-0.97</v>
      </c>
      <c r="EB68" s="1218">
        <f>SUM(((BQ68*0.9)*0.8))</f>
        <v>0</v>
      </c>
      <c r="EC68" s="1218">
        <f>SUM(((BR68*0.9)*0.8))</f>
        <v>1400</v>
      </c>
      <c r="ED68" s="1218"/>
      <c r="EE68" s="1408">
        <v>4.2300000000000004</v>
      </c>
      <c r="EF68" s="1218">
        <f t="shared" ref="EF68:EU69" si="422">SUM(((AZ68*0.9)*0.7))</f>
        <v>0</v>
      </c>
      <c r="EG68" s="1218">
        <f t="shared" si="422"/>
        <v>0</v>
      </c>
      <c r="EH68" s="1218">
        <f t="shared" si="422"/>
        <v>0</v>
      </c>
      <c r="EI68" s="1218">
        <f t="shared" si="422"/>
        <v>0</v>
      </c>
      <c r="EJ68" s="1218">
        <f t="shared" si="422"/>
        <v>0.17499999999999999</v>
      </c>
      <c r="EK68" s="1218">
        <f t="shared" si="422"/>
        <v>-0.17499999999999999</v>
      </c>
      <c r="EL68" s="1218">
        <f t="shared" si="422"/>
        <v>-0.17499999999999999</v>
      </c>
      <c r="EM68" s="1218">
        <f t="shared" si="422"/>
        <v>0</v>
      </c>
      <c r="EN68" s="1218">
        <f t="shared" si="422"/>
        <v>0</v>
      </c>
      <c r="EO68" s="1218">
        <f t="shared" si="422"/>
        <v>0</v>
      </c>
      <c r="EP68" s="1218">
        <f t="shared" si="422"/>
        <v>0</v>
      </c>
      <c r="EQ68" s="1218">
        <f t="shared" si="422"/>
        <v>-0.17499999999999999</v>
      </c>
      <c r="ER68" s="1218">
        <f t="shared" si="422"/>
        <v>0</v>
      </c>
      <c r="ES68" s="1218">
        <f t="shared" si="422"/>
        <v>0</v>
      </c>
      <c r="ET68" s="1218">
        <f t="shared" si="422"/>
        <v>0</v>
      </c>
      <c r="EU68" s="1218">
        <f t="shared" si="422"/>
        <v>0</v>
      </c>
      <c r="EV68" s="1408">
        <f>SUM(ROUND((BP68/EE68),2))</f>
        <v>-0.79</v>
      </c>
      <c r="EW68" s="1218">
        <f>SUM(((BQ68*0.9)*0.7))</f>
        <v>0</v>
      </c>
      <c r="EX68" s="1218">
        <f>SUM(((BR68*0.9)*0.7))</f>
        <v>1225</v>
      </c>
      <c r="EY68" s="1218"/>
      <c r="EZ68" s="1408">
        <v>5.2</v>
      </c>
      <c r="FA68" s="1218">
        <f t="shared" ref="FA68:FP69" si="423">SUM(((AZ68*0.9)*0.6))</f>
        <v>0</v>
      </c>
      <c r="FB68" s="1218">
        <f t="shared" si="423"/>
        <v>0</v>
      </c>
      <c r="FC68" s="1218">
        <f t="shared" si="423"/>
        <v>0</v>
      </c>
      <c r="FD68" s="1218">
        <f t="shared" si="423"/>
        <v>0</v>
      </c>
      <c r="FE68" s="1218">
        <f t="shared" si="423"/>
        <v>0.15</v>
      </c>
      <c r="FF68" s="1218">
        <f t="shared" si="423"/>
        <v>-0.15</v>
      </c>
      <c r="FG68" s="1218">
        <f t="shared" si="423"/>
        <v>-0.15</v>
      </c>
      <c r="FH68" s="1218">
        <f t="shared" si="423"/>
        <v>0</v>
      </c>
      <c r="FI68" s="1218">
        <f t="shared" si="423"/>
        <v>0</v>
      </c>
      <c r="FJ68" s="1218">
        <f t="shared" si="423"/>
        <v>0</v>
      </c>
      <c r="FK68" s="1218">
        <f t="shared" si="423"/>
        <v>0</v>
      </c>
      <c r="FL68" s="1218">
        <f t="shared" si="423"/>
        <v>-0.15</v>
      </c>
      <c r="FM68" s="1218">
        <f t="shared" si="423"/>
        <v>0</v>
      </c>
      <c r="FN68" s="1218">
        <f t="shared" si="423"/>
        <v>0</v>
      </c>
      <c r="FO68" s="1218">
        <f t="shared" si="423"/>
        <v>0</v>
      </c>
      <c r="FP68" s="1218">
        <f t="shared" si="423"/>
        <v>0</v>
      </c>
      <c r="FQ68" s="1408">
        <f>SUM(ROUND((BP68/EZ68),2))</f>
        <v>-0.64</v>
      </c>
      <c r="FR68" s="1218">
        <f>SUM(((BQ68*0.9)*0.6))</f>
        <v>0</v>
      </c>
      <c r="FS68" s="1218">
        <f>SUM(((BR68*0.9)*0.6))</f>
        <v>1050</v>
      </c>
      <c r="FT68" s="1218"/>
      <c r="FU68" s="1218" t="e">
        <f>CHOOSE((AC68-9),BU68,(BU68+CP68),((BU68+CP68)+DK68),(((BU68+CP68)+DK68)+EF68),((((BU68+CP68)+DK68)+EF68)+FA68),)</f>
        <v>#VALUE!</v>
      </c>
      <c r="FV68" s="1218" t="e">
        <f>CHOOSE((AC68-9),BV68,(BV68+CQ68),((BV68+CQ68)+DL68),(((BV68+CQ68)+DL68)+EG68),((((BV68+CQ68)+DL68)+EG68)+FB68),)</f>
        <v>#VALUE!</v>
      </c>
      <c r="FW68" s="1218" t="e">
        <f>CHOOSE((AC68-9),BW68,(BW68+CR68),((BW68+CR68)+DM68),(((BW68+CR68)+DM68)+EH68),((((BW68+CR68)+DM68)+EH68)+FC68),)</f>
        <v>#VALUE!</v>
      </c>
      <c r="FX68" s="1218" t="e">
        <f>CHOOSE((AC68-9),BX68,(BX68+CS68),((BX68+CS68)+DN68),(((BX68+CS68)+DN68)+EI68),((((BX68+CS68)+DN68)+EI68)+FD68),)</f>
        <v>#VALUE!</v>
      </c>
      <c r="FY68" s="1218" t="e">
        <f>CHOOSE((AC68-9),BY68,(BY68+CT68),((BY68+CT68)+DO68),(((BY68+CT68)+DO68)+EJ68),((((BY68+CT68)+DO68)+EJ68)+FE68),)</f>
        <v>#VALUE!</v>
      </c>
      <c r="FZ68" s="1218" t="e">
        <f>CHOOSE((AC68-9),BZ68,(BZ68+CU68),((BZ68+CU68)+DP68),(((BZ68+CU68)+DP68)+EK68),((((BZ68+CU68)+DP68)+EK68)+FF68),)</f>
        <v>#VALUE!</v>
      </c>
      <c r="GA68" s="1218" t="e">
        <f>CHOOSE((AC68-9),CA68,(CA68+CV68),((CA68+CV68)+DQ68),(((CA68+CV68)+DQ68)+EL68),((((CA68+CV68)+DQ68)+EL68)+FG68),)</f>
        <v>#VALUE!</v>
      </c>
      <c r="GB68" s="1218" t="e">
        <f>CHOOSE((AC68-9),CB68,(CB68+CW68),((CB68+CW68)+DR68),(((CB68+CW68)+DR68)+EM68),((((CB68+CW68)+DR68)+EM68)+FH68),)</f>
        <v>#VALUE!</v>
      </c>
      <c r="GC68" s="1218" t="e">
        <f>CHOOSE((AC68-9),CC68,(CC68+CX68),((CC68+CX68)+DS68),(((CC68+CX68)+DS68)+EN68),((((CC68+CX68)+DS68)+EN68)+FI68),)</f>
        <v>#VALUE!</v>
      </c>
      <c r="GD68" s="1218" t="e">
        <f>CHOOSE((AC68-9),CD68,(CD68+CY68),((CD68+CY68)+DT68),(((CD68+CY68)+DT68)+EO68),((((CD68+CY68)+DT68)+EO68)+FJ68),)</f>
        <v>#VALUE!</v>
      </c>
      <c r="GE68" s="1218" t="e">
        <f>CHOOSE((AC68-9),CE68,(CE68+CZ68),((CE68+CZ68)+DU68),(((CE68+CZ68)+DU68)+EP68),((((CE68+CZ68)+DU68)+EP68)+FK68),)</f>
        <v>#VALUE!</v>
      </c>
      <c r="GF68" s="1218" t="e">
        <f>CHOOSE((AC68-9),CF68,(CF68+DA68),((CF68+DA68)+DV68),(((CF68+DA68)+DV68)+EQ68),((((CF68+DA68)+DV68)+EQ68)+FL68),)</f>
        <v>#VALUE!</v>
      </c>
      <c r="GG68" s="1218" t="e">
        <f>CHOOSE((AC68-9),CG68,(CG68+DB68),((CG68+DB68)+DW68),(((CG68+DB68)+DW68)+ER68),((((CG68+DB68)+DW68)+ER68)+FM68),)</f>
        <v>#VALUE!</v>
      </c>
      <c r="GH68" s="1218" t="e">
        <f>CHOOSE((AC68-9),CH68,(CH68+DC68),((CH68+DC68)+DX68),(((CH68+DC68)+DX68)+ES68),((((CH68+DC68)+DX68)+ES68)+FN68),)</f>
        <v>#VALUE!</v>
      </c>
      <c r="GI68" s="1218" t="e">
        <f>CHOOSE((AC68-9),CI68,(CI68+DD68),((CI68+DD68)+DY68),(((CI68+DD68)+DY68)+ET68),((((CI68+DD68)+DY68)+ET68)+FO68),)</f>
        <v>#VALUE!</v>
      </c>
      <c r="GJ68" s="1218" t="e">
        <f>CHOOSE((AC68-9),CJ68,(CJ68+DE68),((CJ68+DE68)+DZ68),(((CJ68+DE68)+DZ68)+EU68),((((CJ68+DE68)+DZ68)+EU68)+FP68),)</f>
        <v>#VALUE!</v>
      </c>
      <c r="GK68" s="1218" t="e">
        <f>CHOOSE((AC68-9),CK68,(CK68+DF68),((CK68+DF68)+EA68),(((CK68+DF68)+EA68)+EV68),((((CK68+DF68)+EA68)+EV68)+FQ68),)</f>
        <v>#VALUE!</v>
      </c>
      <c r="GL68" s="1218" t="e">
        <f>CHOOSE((AC68-9),CL68,(CL68+DG68),((CL68+DG68)+EB68),(((CL68+DG68)+EB68)+EW68),((((CL68+DG68)+EB68)+EW68)+FR68),)</f>
        <v>#VALUE!</v>
      </c>
      <c r="GM68" s="1218" t="e">
        <f>CHOOSE((AC68-9),CM68,(CM68+DH68),((CM68+DH68)+EC68),(((CM68+DH68)+EC68)+EX68),((((CM68+DH68)+EC68)+EX68)+FS68),)</f>
        <v>#VALUE!</v>
      </c>
    </row>
    <row r="69" spans="1:195" s="438" customFormat="1" ht="16.5" customHeight="1">
      <c r="A69" s="1631">
        <v>403</v>
      </c>
      <c r="B69" s="1897"/>
      <c r="C69" s="1518" t="s">
        <v>760</v>
      </c>
      <c r="D69" s="1519"/>
      <c r="E69" s="1520"/>
      <c r="F69" s="1520"/>
      <c r="G69" s="1520"/>
      <c r="H69" s="1520"/>
      <c r="I69" s="1520"/>
      <c r="J69" s="1520"/>
      <c r="K69" s="1520"/>
      <c r="L69" s="1520"/>
      <c r="M69" s="1520"/>
      <c r="N69" s="1520"/>
      <c r="O69" s="1520"/>
      <c r="P69" s="1520"/>
      <c r="Q69" s="1520"/>
      <c r="R69" s="1521"/>
      <c r="S69" s="1520"/>
      <c r="T69" s="1521"/>
      <c r="U69" s="1521"/>
      <c r="V69" s="1520"/>
      <c r="W69" s="1520"/>
      <c r="X69" s="1520"/>
      <c r="Y69" s="1520"/>
      <c r="Z69" s="1520"/>
      <c r="AA69" s="1405"/>
      <c r="AB69" s="1218"/>
      <c r="AC69" s="1218">
        <f t="shared" si="30"/>
        <v>0</v>
      </c>
      <c r="AD69" s="1218"/>
      <c r="AE69" s="1406"/>
      <c r="AF69" s="1406"/>
      <c r="AG69" s="1406"/>
      <c r="AH69" s="1406"/>
      <c r="AI69" s="1406"/>
      <c r="AJ69" s="1406"/>
      <c r="AK69" s="1406"/>
      <c r="AL69" s="1406"/>
      <c r="AM69" s="1406"/>
      <c r="AN69" s="1406"/>
      <c r="AO69" s="1406"/>
      <c r="AP69" s="1406"/>
      <c r="AQ69" s="1406"/>
      <c r="AR69" s="1406" t="s">
        <v>283</v>
      </c>
      <c r="AS69" s="1407"/>
      <c r="AT69" s="1406">
        <v>4000</v>
      </c>
      <c r="AU69" s="1406"/>
      <c r="AV69" s="1406">
        <v>1</v>
      </c>
      <c r="AW69" s="1406">
        <v>250</v>
      </c>
      <c r="AX69" s="1406">
        <v>17500</v>
      </c>
      <c r="AY69" s="1218"/>
      <c r="AZ69" s="1218"/>
      <c r="BA69" s="1218"/>
      <c r="BB69" s="1218"/>
      <c r="BC69" s="1218"/>
      <c r="BD69" s="1218"/>
      <c r="BE69" s="1218"/>
      <c r="BF69" s="1218"/>
      <c r="BG69" s="1218"/>
      <c r="BH69" s="1218"/>
      <c r="BI69" s="1218"/>
      <c r="BJ69" s="1218"/>
      <c r="BK69" s="1218"/>
      <c r="BL69" s="1218"/>
      <c r="BM69" s="1218"/>
      <c r="BN69" s="1218"/>
      <c r="BO69" s="1218"/>
      <c r="BP69" s="1218"/>
      <c r="BQ69" s="1218">
        <f>SUM((-AW69/12))</f>
        <v>-20.833333333333332</v>
      </c>
      <c r="BR69" s="1218">
        <f>SUM((AX69/9))</f>
        <v>1944.4444444444443</v>
      </c>
      <c r="BS69" s="1218"/>
      <c r="BT69" s="1217"/>
      <c r="BU69" s="1218">
        <f t="shared" si="419"/>
        <v>0</v>
      </c>
      <c r="BV69" s="1218">
        <f t="shared" si="419"/>
        <v>0</v>
      </c>
      <c r="BW69" s="1218">
        <f t="shared" si="419"/>
        <v>0</v>
      </c>
      <c r="BX69" s="1218">
        <f t="shared" si="419"/>
        <v>0</v>
      </c>
      <c r="BY69" s="1218">
        <f t="shared" si="419"/>
        <v>0</v>
      </c>
      <c r="BZ69" s="1218">
        <f t="shared" si="419"/>
        <v>0</v>
      </c>
      <c r="CA69" s="1218">
        <f t="shared" si="419"/>
        <v>0</v>
      </c>
      <c r="CB69" s="1218">
        <f t="shared" si="419"/>
        <v>0</v>
      </c>
      <c r="CC69" s="1218">
        <f t="shared" si="419"/>
        <v>0</v>
      </c>
      <c r="CD69" s="1218">
        <f t="shared" si="419"/>
        <v>0</v>
      </c>
      <c r="CE69" s="1218">
        <f t="shared" si="419"/>
        <v>0</v>
      </c>
      <c r="CF69" s="1218">
        <f t="shared" si="419"/>
        <v>0</v>
      </c>
      <c r="CG69" s="1218">
        <f t="shared" si="419"/>
        <v>0</v>
      </c>
      <c r="CH69" s="1218">
        <f t="shared" si="419"/>
        <v>0</v>
      </c>
      <c r="CI69" s="1218">
        <f t="shared" si="419"/>
        <v>0</v>
      </c>
      <c r="CJ69" s="1218">
        <f t="shared" si="419"/>
        <v>0</v>
      </c>
      <c r="CK69" s="1218">
        <f>SUM(((BP69*0.9)*1))</f>
        <v>0</v>
      </c>
      <c r="CL69" s="1218">
        <f>SUM(((-AW69/50)*CEILING((60/100),0.01)))</f>
        <v>-3</v>
      </c>
      <c r="CM69" s="1218">
        <f>SUM(((BR69*0.9)*1))</f>
        <v>1750</v>
      </c>
      <c r="CN69" s="1218"/>
      <c r="CO69" s="1217"/>
      <c r="CP69" s="1218">
        <f t="shared" si="420"/>
        <v>0</v>
      </c>
      <c r="CQ69" s="1218">
        <f t="shared" si="420"/>
        <v>0</v>
      </c>
      <c r="CR69" s="1218">
        <f t="shared" si="420"/>
        <v>0</v>
      </c>
      <c r="CS69" s="1218">
        <f t="shared" si="420"/>
        <v>0</v>
      </c>
      <c r="CT69" s="1218">
        <f t="shared" si="420"/>
        <v>0</v>
      </c>
      <c r="CU69" s="1218">
        <f t="shared" si="420"/>
        <v>0</v>
      </c>
      <c r="CV69" s="1218">
        <f t="shared" si="420"/>
        <v>0</v>
      </c>
      <c r="CW69" s="1218">
        <f t="shared" si="420"/>
        <v>0</v>
      </c>
      <c r="CX69" s="1218">
        <f t="shared" si="420"/>
        <v>0</v>
      </c>
      <c r="CY69" s="1218">
        <f t="shared" si="420"/>
        <v>0</v>
      </c>
      <c r="CZ69" s="1218">
        <f t="shared" si="420"/>
        <v>0</v>
      </c>
      <c r="DA69" s="1218">
        <f t="shared" si="420"/>
        <v>0</v>
      </c>
      <c r="DB69" s="1218">
        <f t="shared" si="420"/>
        <v>0</v>
      </c>
      <c r="DC69" s="1218">
        <f t="shared" si="420"/>
        <v>0</v>
      </c>
      <c r="DD69" s="1218">
        <f t="shared" si="420"/>
        <v>0</v>
      </c>
      <c r="DE69" s="1218">
        <f t="shared" si="420"/>
        <v>0</v>
      </c>
      <c r="DF69" s="1218">
        <f>SUM(((BP69*0.9)*0.9))</f>
        <v>0</v>
      </c>
      <c r="DG69" s="1218">
        <f>SUM(((-AW69/50)*CEILING((48/100),0.01)))</f>
        <v>-2.4</v>
      </c>
      <c r="DH69" s="1218">
        <f>SUM(((BR69*0.9)*0.9))</f>
        <v>1575</v>
      </c>
      <c r="DI69" s="1218"/>
      <c r="DJ69" s="1217"/>
      <c r="DK69" s="1218">
        <f t="shared" si="421"/>
        <v>0</v>
      </c>
      <c r="DL69" s="1218">
        <f t="shared" si="421"/>
        <v>0</v>
      </c>
      <c r="DM69" s="1218">
        <f t="shared" si="421"/>
        <v>0</v>
      </c>
      <c r="DN69" s="1218">
        <f t="shared" si="421"/>
        <v>0</v>
      </c>
      <c r="DO69" s="1218">
        <f t="shared" si="421"/>
        <v>0</v>
      </c>
      <c r="DP69" s="1218">
        <f t="shared" si="421"/>
        <v>0</v>
      </c>
      <c r="DQ69" s="1218">
        <f t="shared" si="421"/>
        <v>0</v>
      </c>
      <c r="DR69" s="1218">
        <f t="shared" si="421"/>
        <v>0</v>
      </c>
      <c r="DS69" s="1218">
        <f t="shared" si="421"/>
        <v>0</v>
      </c>
      <c r="DT69" s="1218">
        <f t="shared" si="421"/>
        <v>0</v>
      </c>
      <c r="DU69" s="1218">
        <f t="shared" si="421"/>
        <v>0</v>
      </c>
      <c r="DV69" s="1218">
        <f t="shared" si="421"/>
        <v>0</v>
      </c>
      <c r="DW69" s="1218">
        <f t="shared" si="421"/>
        <v>0</v>
      </c>
      <c r="DX69" s="1218">
        <f t="shared" si="421"/>
        <v>0</v>
      </c>
      <c r="DY69" s="1218">
        <f t="shared" si="421"/>
        <v>0</v>
      </c>
      <c r="DZ69" s="1218">
        <f t="shared" si="421"/>
        <v>0</v>
      </c>
      <c r="EA69" s="1218">
        <f>SUM(((BP69*0.9)*0.8))</f>
        <v>0</v>
      </c>
      <c r="EB69" s="1218">
        <f>SUM(((-AW69/50)*CEILING((40.5/100),0.01)))</f>
        <v>-2.0500000000000003</v>
      </c>
      <c r="EC69" s="1218">
        <f>SUM(((BR69*0.9)*0.8))</f>
        <v>1400</v>
      </c>
      <c r="ED69" s="1218"/>
      <c r="EE69" s="1217"/>
      <c r="EF69" s="1218">
        <f t="shared" si="422"/>
        <v>0</v>
      </c>
      <c r="EG69" s="1218">
        <f t="shared" si="422"/>
        <v>0</v>
      </c>
      <c r="EH69" s="1218">
        <f t="shared" si="422"/>
        <v>0</v>
      </c>
      <c r="EI69" s="1218">
        <f t="shared" si="422"/>
        <v>0</v>
      </c>
      <c r="EJ69" s="1218">
        <f t="shared" si="422"/>
        <v>0</v>
      </c>
      <c r="EK69" s="1218">
        <f t="shared" si="422"/>
        <v>0</v>
      </c>
      <c r="EL69" s="1218">
        <f t="shared" si="422"/>
        <v>0</v>
      </c>
      <c r="EM69" s="1218">
        <f t="shared" si="422"/>
        <v>0</v>
      </c>
      <c r="EN69" s="1218">
        <f t="shared" si="422"/>
        <v>0</v>
      </c>
      <c r="EO69" s="1218">
        <f t="shared" si="422"/>
        <v>0</v>
      </c>
      <c r="EP69" s="1218">
        <f t="shared" si="422"/>
        <v>0</v>
      </c>
      <c r="EQ69" s="1218">
        <f t="shared" si="422"/>
        <v>0</v>
      </c>
      <c r="ER69" s="1218">
        <f t="shared" si="422"/>
        <v>0</v>
      </c>
      <c r="ES69" s="1218">
        <f t="shared" si="422"/>
        <v>0</v>
      </c>
      <c r="ET69" s="1218">
        <f t="shared" si="422"/>
        <v>0</v>
      </c>
      <c r="EU69" s="1218">
        <f t="shared" si="422"/>
        <v>0</v>
      </c>
      <c r="EV69" s="1218">
        <f>SUM(((BP69*0.9)*0.7))</f>
        <v>0</v>
      </c>
      <c r="EW69" s="1218">
        <f>SUM(((-AW69/50)*CEILING((33/100),0.01)))</f>
        <v>-1.6500000000000001</v>
      </c>
      <c r="EX69" s="1218">
        <f>SUM(((BR69*0.9)*0.7))</f>
        <v>1225</v>
      </c>
      <c r="EY69" s="1218"/>
      <c r="EZ69" s="1217"/>
      <c r="FA69" s="1218">
        <f t="shared" si="423"/>
        <v>0</v>
      </c>
      <c r="FB69" s="1218">
        <f t="shared" si="423"/>
        <v>0</v>
      </c>
      <c r="FC69" s="1218">
        <f t="shared" si="423"/>
        <v>0</v>
      </c>
      <c r="FD69" s="1218">
        <f t="shared" si="423"/>
        <v>0</v>
      </c>
      <c r="FE69" s="1218">
        <f t="shared" si="423"/>
        <v>0</v>
      </c>
      <c r="FF69" s="1218">
        <f t="shared" si="423"/>
        <v>0</v>
      </c>
      <c r="FG69" s="1218">
        <f t="shared" si="423"/>
        <v>0</v>
      </c>
      <c r="FH69" s="1218">
        <f t="shared" si="423"/>
        <v>0</v>
      </c>
      <c r="FI69" s="1218">
        <f t="shared" si="423"/>
        <v>0</v>
      </c>
      <c r="FJ69" s="1218">
        <f t="shared" si="423"/>
        <v>0</v>
      </c>
      <c r="FK69" s="1218">
        <f t="shared" si="423"/>
        <v>0</v>
      </c>
      <c r="FL69" s="1218">
        <f t="shared" si="423"/>
        <v>0</v>
      </c>
      <c r="FM69" s="1218">
        <f t="shared" si="423"/>
        <v>0</v>
      </c>
      <c r="FN69" s="1218">
        <f t="shared" si="423"/>
        <v>0</v>
      </c>
      <c r="FO69" s="1218">
        <f t="shared" si="423"/>
        <v>0</v>
      </c>
      <c r="FP69" s="1218">
        <f t="shared" si="423"/>
        <v>0</v>
      </c>
      <c r="FQ69" s="1218">
        <f>SUM(((BP69*0.9)*0.6))</f>
        <v>0</v>
      </c>
      <c r="FR69" s="1218">
        <f>SUM(((-AW69/50)*CEILING((25.5/100),0.01)))</f>
        <v>-1.3</v>
      </c>
      <c r="FS69" s="1218">
        <f>SUM(((BR69*0.9)*0.6))</f>
        <v>1050</v>
      </c>
      <c r="FT69" s="1218"/>
      <c r="FU69" s="1218" t="e">
        <f>CHOOSE((AC69-9),BU69,(BU69+CP69),((BU69+CP69)+DK69),(((BU69+CP69)+DK69)+EF69),((((BU69+CP69)+DK69)+EF69)+FA69),)</f>
        <v>#VALUE!</v>
      </c>
      <c r="FV69" s="1218" t="e">
        <f>CHOOSE((AC69-9),BV69,(BV69+CQ69),((BV69+CQ69)+DL69),(((BV69+CQ69)+DL69)+EG69),((((BV69+CQ69)+DL69)+EG69)+FB69),)</f>
        <v>#VALUE!</v>
      </c>
      <c r="FW69" s="1218" t="e">
        <f>CHOOSE((AC69-9),BW69,(BW69+CR69),((BW69+CR69)+DM69),(((BW69+CR69)+DM69)+EH69),((((BW69+CR69)+DM69)+EH69)+FC69),)</f>
        <v>#VALUE!</v>
      </c>
      <c r="FX69" s="1218" t="e">
        <f>CHOOSE((AC69-9),BX69,(BX69+CS69),((BX69+CS69)+DN69),(((BX69+CS69)+DN69)+EI69),((((BX69+CS69)+DN69)+EI69)+FD69),)</f>
        <v>#VALUE!</v>
      </c>
      <c r="FY69" s="1218" t="e">
        <f>CHOOSE((AC69-9),BY69,(BY69+CT69),((BY69+CT69)+DO69),(((BY69+CT69)+DO69)+EJ69),((((BY69+CT69)+DO69)+EJ69)+FE69),)</f>
        <v>#VALUE!</v>
      </c>
      <c r="FZ69" s="1218" t="e">
        <f>CHOOSE((AC69-9),BZ69,(BZ69+CU69),((BZ69+CU69)+DP69),(((BZ69+CU69)+DP69)+EK69),((((BZ69+CU69)+DP69)+EK69)+FF69),)</f>
        <v>#VALUE!</v>
      </c>
      <c r="GA69" s="1218" t="e">
        <f>CHOOSE((AC69-9),CA69,(CA69+CV69),((CA69+CV69)+DQ69),(((CA69+CV69)+DQ69)+EL69),((((CA69+CV69)+DQ69)+EL69)+FG69),)</f>
        <v>#VALUE!</v>
      </c>
      <c r="GB69" s="1218" t="e">
        <f>CHOOSE((AC69-9),CB69,(CB69+CW69),((CB69+CW69)+DR69),(((CB69+CW69)+DR69)+EM69),((((CB69+CW69)+DR69)+EM69)+FH69),)</f>
        <v>#VALUE!</v>
      </c>
      <c r="GC69" s="1218" t="e">
        <f>CHOOSE((AC69-9),CC69,(CC69+CX69),((CC69+CX69)+DS69),(((CC69+CX69)+DS69)+EN69),((((CC69+CX69)+DS69)+EN69)+FI69),)</f>
        <v>#VALUE!</v>
      </c>
      <c r="GD69" s="1218" t="e">
        <f>CHOOSE((AC69-9),CD69,(CD69+CY69),((CD69+CY69)+DT69),(((CD69+CY69)+DT69)+EO69),((((CD69+CY69)+DT69)+EO69)+FJ69),)</f>
        <v>#VALUE!</v>
      </c>
      <c r="GE69" s="1218" t="e">
        <f>CHOOSE((AC69-9),CE69,(CE69+CZ69),((CE69+CZ69)+DU69),(((CE69+CZ69)+DU69)+EP69),((((CE69+CZ69)+DU69)+EP69)+FK69),)</f>
        <v>#VALUE!</v>
      </c>
      <c r="GF69" s="1218" t="e">
        <f>CHOOSE((AC69-9),CF69,(CF69+DA69),((CF69+DA69)+DV69),(((CF69+DA69)+DV69)+EQ69),((((CF69+DA69)+DV69)+EQ69)+FL69),)</f>
        <v>#VALUE!</v>
      </c>
      <c r="GG69" s="1218" t="e">
        <f>CHOOSE((AC69-9),CG69,(CG69+DB69),((CG69+DB69)+DW69),(((CG69+DB69)+DW69)+ER69),((((CG69+DB69)+DW69)+ER69)+FM69),)</f>
        <v>#VALUE!</v>
      </c>
      <c r="GH69" s="1218" t="e">
        <f>CHOOSE((AC69-9),CH69,(CH69+DC69),((CH69+DC69)+DX69),(((CH69+DC69)+DX69)+ES69),((((CH69+DC69)+DX69)+ES69)+FN69),)</f>
        <v>#VALUE!</v>
      </c>
      <c r="GI69" s="1218" t="e">
        <f>CHOOSE((AC69-9),CI69,(CI69+DD69),((CI69+DD69)+DY69),(((CI69+DD69)+DY69)+ET69),((((CI69+DD69)+DY69)+ET69)+FO69),)</f>
        <v>#VALUE!</v>
      </c>
      <c r="GJ69" s="1218" t="e">
        <f>CHOOSE((AC69-9),CJ69,(CJ69+DE69),((CJ69+DE69)+DZ69),(((CJ69+DE69)+DZ69)+EU69),((((CJ69+DE69)+DZ69)+EU69)+FP69),)</f>
        <v>#VALUE!</v>
      </c>
      <c r="GK69" s="1218" t="e">
        <f>CHOOSE((AC69-9),CK69,(CK69+DF69),((CK69+DF69)+EA69),(((CK69+DF69)+EA69)+EV69),((((CK69+DF69)+EA69)+EV69)+FQ69),)</f>
        <v>#VALUE!</v>
      </c>
      <c r="GL69" s="1218" t="e">
        <f>CHOOSE((AC69-9),CL69,(CL69+DG69),((CL69+DG69)+EB69),(((CL69+DG69)+EB69)+EW69),((((CL69+DG69)+EB69)+EW69)+FR69),)</f>
        <v>#VALUE!</v>
      </c>
      <c r="GM69" s="1218" t="e">
        <f>CHOOSE((AC69-9),CM69,(CM69+DH69),((CM69+DH69)+EC69),(((CM69+DH69)+EC69)+EX69),((((CM69+DH69)+EC69)+EX69)+FS69),)</f>
        <v>#VALUE!</v>
      </c>
    </row>
    <row r="70" spans="1:195" ht="15" customHeight="1">
      <c r="A70" s="1739">
        <v>404</v>
      </c>
      <c r="B70" s="1898" t="s">
        <v>1100</v>
      </c>
      <c r="C70" s="1298" t="s">
        <v>761</v>
      </c>
      <c r="D70" s="1299"/>
      <c r="E70" s="1299"/>
      <c r="F70" s="1299"/>
      <c r="G70" s="1299"/>
      <c r="H70" s="1299"/>
      <c r="I70" s="1299"/>
      <c r="J70" s="1299"/>
      <c r="K70" s="1299"/>
      <c r="L70" s="1299"/>
      <c r="M70" s="1299"/>
      <c r="N70" s="1299"/>
      <c r="O70" s="1299"/>
      <c r="P70" s="1299"/>
      <c r="Q70" s="1299"/>
      <c r="R70" s="1299"/>
      <c r="S70" s="1299"/>
      <c r="T70" s="1299"/>
      <c r="U70" s="1299"/>
      <c r="V70" s="1299"/>
      <c r="W70" s="1299"/>
      <c r="X70" s="1299"/>
      <c r="Y70" s="1299"/>
      <c r="Z70" s="1299"/>
      <c r="AA70" s="1522"/>
      <c r="AB70" s="1522"/>
      <c r="AC70" s="1244">
        <f t="shared" si="30"/>
        <v>0</v>
      </c>
      <c r="AD70" s="1522"/>
      <c r="AE70" s="1522"/>
      <c r="AF70" s="1522"/>
      <c r="AG70" s="1522"/>
      <c r="AH70" s="1522"/>
      <c r="AI70" s="1522"/>
      <c r="AJ70" s="1522"/>
      <c r="AK70" s="1522"/>
      <c r="AL70" s="1522"/>
      <c r="AM70" s="1522"/>
      <c r="AN70" s="1522"/>
      <c r="AO70" s="1522"/>
      <c r="AP70" s="1522"/>
      <c r="AQ70" s="1522"/>
      <c r="AR70" s="1523" t="s">
        <v>284</v>
      </c>
      <c r="AS70" s="1522"/>
      <c r="AT70" s="1522"/>
      <c r="AU70" s="1522"/>
      <c r="AV70" s="1522"/>
      <c r="AW70" s="1522"/>
      <c r="AX70" s="1509">
        <v>17500</v>
      </c>
      <c r="AY70" s="1522"/>
      <c r="AZ70" s="1244">
        <f t="shared" si="417"/>
        <v>0</v>
      </c>
      <c r="BA70" s="1244">
        <f t="shared" si="418"/>
        <v>0</v>
      </c>
      <c r="BB70" s="1522"/>
      <c r="BC70" s="1522"/>
      <c r="BD70" s="1244">
        <f t="shared" ref="BD70:BD76" si="424">SUM((AI70/27))</f>
        <v>0</v>
      </c>
      <c r="BE70" s="1244">
        <f t="shared" ref="BE70:BE76" si="425">SUM((AJ70/27))</f>
        <v>0</v>
      </c>
      <c r="BF70" s="1244">
        <f t="shared" ref="BF70:BF76" si="426">SUM((AK70/27))</f>
        <v>0</v>
      </c>
      <c r="BG70" s="1244">
        <f t="shared" ref="BG70:BG76" si="427">SUM((AL70/27))</f>
        <v>0</v>
      </c>
      <c r="BH70" s="1244">
        <f t="shared" ref="BH70:BH76" si="428">SUM((AM70/27))</f>
        <v>0</v>
      </c>
      <c r="BI70" s="1244">
        <f t="shared" ref="BI70:BI76" si="429">SUM((AN70/27))</f>
        <v>0</v>
      </c>
      <c r="BJ70" s="1244">
        <f t="shared" ref="BJ70:BJ76" si="430">SUM((AO70/27))</f>
        <v>0</v>
      </c>
      <c r="BK70" s="1244">
        <f t="shared" ref="BK70:BK76" si="431">SUM((AP70/27))</f>
        <v>0</v>
      </c>
      <c r="BL70" s="1244">
        <f t="shared" ref="BL70:BL76" si="432">SUM((AQ70/27))</f>
        <v>0</v>
      </c>
      <c r="BM70" s="1522"/>
      <c r="BN70" s="1522"/>
      <c r="BO70" s="1522"/>
      <c r="BP70" s="1244">
        <f t="shared" ref="BP70:BP76" si="433">SUM((-AV70/18))</f>
        <v>0</v>
      </c>
      <c r="BQ70" s="1244">
        <f t="shared" ref="BQ70:BQ76" si="434">SUM((-AW70/12))</f>
        <v>0</v>
      </c>
      <c r="BR70" s="1244">
        <f t="shared" ref="BR70:BR76" si="435">SUM((AX70/9))</f>
        <v>1944.4444444444443</v>
      </c>
      <c r="BS70" s="1522"/>
      <c r="BT70" s="1522"/>
      <c r="BU70" s="1244">
        <f t="shared" si="419"/>
        <v>0</v>
      </c>
      <c r="BV70" s="1244">
        <f t="shared" si="419"/>
        <v>0</v>
      </c>
      <c r="BW70" s="1244">
        <f t="shared" si="419"/>
        <v>0</v>
      </c>
      <c r="BX70" s="1244">
        <f t="shared" si="419"/>
        <v>0</v>
      </c>
      <c r="BY70" s="1244">
        <f t="shared" si="419"/>
        <v>0</v>
      </c>
      <c r="BZ70" s="1244">
        <f t="shared" si="419"/>
        <v>0</v>
      </c>
      <c r="CA70" s="1244">
        <f t="shared" si="419"/>
        <v>0</v>
      </c>
      <c r="CB70" s="1244">
        <f t="shared" si="419"/>
        <v>0</v>
      </c>
      <c r="CC70" s="1244">
        <f t="shared" ref="CC70:CC76" si="436">SUM(((BH70*0.9)*1))</f>
        <v>0</v>
      </c>
      <c r="CD70" s="1244">
        <f t="shared" ref="CD70:CD76" si="437">SUM(((BI70*0.9)*1))</f>
        <v>0</v>
      </c>
      <c r="CE70" s="1244">
        <f t="shared" ref="CE70:CE76" si="438">SUM(((BJ70*0.9)*1))</f>
        <v>0</v>
      </c>
      <c r="CF70" s="1244">
        <f t="shared" ref="CF70:CF76" si="439">SUM(((BK70*0.9)*1))</f>
        <v>0</v>
      </c>
      <c r="CG70" s="1244">
        <f t="shared" ref="CG70:CG76" si="440">SUM(((BL70*0.9)*1))</f>
        <v>0</v>
      </c>
      <c r="CH70" s="1244">
        <f t="shared" ref="CH70:CH76" si="441">SUM(((BM70*0.9)*1))</f>
        <v>0</v>
      </c>
      <c r="CI70" s="1244">
        <f t="shared" ref="CI70:CI76" si="442">SUM(((BN70*0.9)*1))</f>
        <v>0</v>
      </c>
      <c r="CJ70" s="1244">
        <f t="shared" ref="CJ70:CJ76" si="443">SUM(((BO70*0.9)*1))</f>
        <v>0</v>
      </c>
      <c r="CK70" s="1244">
        <f t="shared" ref="CK70:CK76" si="444">SUM(((BP70*0.9)*1))</f>
        <v>0</v>
      </c>
      <c r="CL70" s="1244">
        <f t="shared" ref="CL70:CL76" si="445">SUM(((-AW70/50)*CEILING((60/100),0.01)))</f>
        <v>0</v>
      </c>
      <c r="CM70" s="1244">
        <f t="shared" ref="CM70:CM76" si="446">SUM(((BR70*0.9)*1))</f>
        <v>1750</v>
      </c>
      <c r="CN70" s="1522"/>
      <c r="CO70" s="1522"/>
      <c r="CP70" s="1244">
        <f t="shared" ref="CP70:CP76" si="447">SUM(((AZ70*0.9)*0.9))</f>
        <v>0</v>
      </c>
      <c r="CQ70" s="1244">
        <f t="shared" ref="CQ70:CQ76" si="448">SUM(((BA70*0.9)*0.9))</f>
        <v>0</v>
      </c>
      <c r="CR70" s="1244">
        <f t="shared" ref="CR70:CR76" si="449">SUM(((BB70*0.9)*0.9))</f>
        <v>0</v>
      </c>
      <c r="CS70" s="1244">
        <f t="shared" ref="CS70:CS76" si="450">SUM(((BC70*0.9)*0.9))</f>
        <v>0</v>
      </c>
      <c r="CT70" s="1244">
        <f t="shared" ref="CT70:CT76" si="451">SUM(((BD70*0.9)*0.9))</f>
        <v>0</v>
      </c>
      <c r="CU70" s="1244">
        <f t="shared" ref="CU70:CU76" si="452">SUM(((BE70*0.9)*0.9))</f>
        <v>0</v>
      </c>
      <c r="CV70" s="1244">
        <f t="shared" ref="CV70:CV76" si="453">SUM(((BF70*0.9)*0.9))</f>
        <v>0</v>
      </c>
      <c r="CW70" s="1244">
        <f t="shared" ref="CW70:CW76" si="454">SUM(((BG70*0.9)*0.9))</f>
        <v>0</v>
      </c>
      <c r="CX70" s="1244">
        <f t="shared" ref="CX70:CX76" si="455">SUM(((BH70*0.9)*0.9))</f>
        <v>0</v>
      </c>
      <c r="CY70" s="1244">
        <f t="shared" ref="CY70:CY76" si="456">SUM(((BI70*0.9)*0.9))</f>
        <v>0</v>
      </c>
      <c r="CZ70" s="1244">
        <f t="shared" ref="CZ70:CZ76" si="457">SUM(((BJ70*0.9)*0.9))</f>
        <v>0</v>
      </c>
      <c r="DA70" s="1244">
        <f t="shared" ref="DA70:DA76" si="458">SUM(((BK70*0.9)*0.9))</f>
        <v>0</v>
      </c>
      <c r="DB70" s="1244">
        <f t="shared" ref="DB70:DB76" si="459">SUM(((BL70*0.9)*0.9))</f>
        <v>0</v>
      </c>
      <c r="DC70" s="1244">
        <f t="shared" ref="DC70:DC76" si="460">SUM(((BM70*0.9)*0.9))</f>
        <v>0</v>
      </c>
      <c r="DD70" s="1244">
        <f t="shared" ref="DD70:DD76" si="461">SUM(((BN70*0.9)*0.9))</f>
        <v>0</v>
      </c>
      <c r="DE70" s="1244">
        <f t="shared" ref="DE70:DE76" si="462">SUM(((BO70*0.9)*0.9))</f>
        <v>0</v>
      </c>
      <c r="DF70" s="1244">
        <f t="shared" ref="DF70:DF76" si="463">SUM(((BP70*0.9)*0.9))</f>
        <v>0</v>
      </c>
      <c r="DG70" s="1244">
        <f t="shared" ref="DG70:DG76" si="464">SUM(((-AW70/50)*CEILING((48/100),0.01)))</f>
        <v>0</v>
      </c>
      <c r="DH70" s="1244">
        <f t="shared" ref="DH70:DH76" si="465">SUM(((BR70*0.9)*0.9))</f>
        <v>1575</v>
      </c>
      <c r="DI70" s="1522"/>
      <c r="DJ70" s="1522"/>
      <c r="DK70" s="1244">
        <f t="shared" ref="DK70:DK76" si="466">SUM(((AZ70*0.9)*0.8))</f>
        <v>0</v>
      </c>
      <c r="DL70" s="1244">
        <f t="shared" ref="DL70:DL76" si="467">SUM(((BA70*0.9)*0.8))</f>
        <v>0</v>
      </c>
      <c r="DM70" s="1244">
        <f t="shared" ref="DM70:DM76" si="468">SUM(((BB70*0.9)*0.8))</f>
        <v>0</v>
      </c>
      <c r="DN70" s="1244">
        <f t="shared" ref="DN70:DN76" si="469">SUM(((BC70*0.9)*0.8))</f>
        <v>0</v>
      </c>
      <c r="DO70" s="1244">
        <f t="shared" ref="DO70:DO76" si="470">SUM(((BD70*0.9)*0.8))</f>
        <v>0</v>
      </c>
      <c r="DP70" s="1244">
        <f t="shared" ref="DP70:DP76" si="471">SUM(((BE70*0.9)*0.8))</f>
        <v>0</v>
      </c>
      <c r="DQ70" s="1244">
        <f t="shared" ref="DQ70:DQ76" si="472">SUM(((BF70*0.9)*0.8))</f>
        <v>0</v>
      </c>
      <c r="DR70" s="1244">
        <f t="shared" ref="DR70:DR76" si="473">SUM(((BG70*0.9)*0.8))</f>
        <v>0</v>
      </c>
      <c r="DS70" s="1244">
        <f t="shared" ref="DS70:DS76" si="474">SUM(((BH70*0.9)*0.8))</f>
        <v>0</v>
      </c>
      <c r="DT70" s="1244">
        <f t="shared" ref="DT70:DT76" si="475">SUM(((BI70*0.9)*0.8))</f>
        <v>0</v>
      </c>
      <c r="DU70" s="1244">
        <f t="shared" ref="DU70:DU76" si="476">SUM(((BJ70*0.9)*0.8))</f>
        <v>0</v>
      </c>
      <c r="DV70" s="1244">
        <f t="shared" ref="DV70:DV76" si="477">SUM(((BK70*0.9)*0.8))</f>
        <v>0</v>
      </c>
      <c r="DW70" s="1244">
        <f t="shared" ref="DW70:DW76" si="478">SUM(((BL70*0.9)*0.8))</f>
        <v>0</v>
      </c>
      <c r="DX70" s="1244">
        <f t="shared" ref="DX70:DX76" si="479">SUM(((BM70*0.9)*0.8))</f>
        <v>0</v>
      </c>
      <c r="DY70" s="1244">
        <f t="shared" ref="DY70:DY76" si="480">SUM(((BN70*0.9)*0.8))</f>
        <v>0</v>
      </c>
      <c r="DZ70" s="1244">
        <f t="shared" ref="DZ70:DZ76" si="481">SUM(((BO70*0.9)*0.8))</f>
        <v>0</v>
      </c>
      <c r="EA70" s="1244">
        <f t="shared" ref="EA70:EA76" si="482">SUM(((BP70*0.9)*0.8))</f>
        <v>0</v>
      </c>
      <c r="EB70" s="1244">
        <f t="shared" ref="EB70:EB76" si="483">SUM(((-AW70/50)*CEILING((40.5/100),0.01)))</f>
        <v>0</v>
      </c>
      <c r="EC70" s="1244">
        <f t="shared" ref="EC70:EC76" si="484">SUM(((BR70*0.9)*0.8))</f>
        <v>1400</v>
      </c>
      <c r="ED70" s="1522"/>
      <c r="EE70" s="1522"/>
      <c r="EF70" s="1244">
        <f t="shared" ref="EF70:EF76" si="485">SUM(((AZ70*0.9)*0.7))</f>
        <v>0</v>
      </c>
      <c r="EG70" s="1244">
        <f t="shared" ref="EG70:EG76" si="486">SUM(((BA70*0.9)*0.7))</f>
        <v>0</v>
      </c>
      <c r="EH70" s="1244">
        <f t="shared" ref="EH70:EH76" si="487">SUM(((BB70*0.9)*0.7))</f>
        <v>0</v>
      </c>
      <c r="EI70" s="1244">
        <f t="shared" ref="EI70:EI76" si="488">SUM(((BC70*0.9)*0.7))</f>
        <v>0</v>
      </c>
      <c r="EJ70" s="1244">
        <f t="shared" ref="EJ70:EJ76" si="489">SUM(((BD70*0.9)*0.7))</f>
        <v>0</v>
      </c>
      <c r="EK70" s="1244">
        <f t="shared" ref="EK70:EK76" si="490">SUM(((BE70*0.9)*0.7))</f>
        <v>0</v>
      </c>
      <c r="EL70" s="1244">
        <f t="shared" ref="EL70:EL76" si="491">SUM(((BF70*0.9)*0.7))</f>
        <v>0</v>
      </c>
      <c r="EM70" s="1244">
        <f t="shared" ref="EM70:EM76" si="492">SUM(((BG70*0.9)*0.7))</f>
        <v>0</v>
      </c>
      <c r="EN70" s="1244">
        <f t="shared" ref="EN70:EN76" si="493">SUM(((BH70*0.9)*0.7))</f>
        <v>0</v>
      </c>
      <c r="EO70" s="1244">
        <f t="shared" ref="EO70:EO76" si="494">SUM(((BI70*0.9)*0.7))</f>
        <v>0</v>
      </c>
      <c r="EP70" s="1244">
        <f t="shared" ref="EP70:EP76" si="495">SUM(((BJ70*0.9)*0.7))</f>
        <v>0</v>
      </c>
      <c r="EQ70" s="1244">
        <f t="shared" ref="EQ70:EQ76" si="496">SUM(((BK70*0.9)*0.7))</f>
        <v>0</v>
      </c>
      <c r="ER70" s="1244">
        <f t="shared" ref="ER70:ER76" si="497">SUM(((BL70*0.9)*0.7))</f>
        <v>0</v>
      </c>
      <c r="ES70" s="1244">
        <f t="shared" ref="ES70:ES76" si="498">SUM(((BM70*0.9)*0.7))</f>
        <v>0</v>
      </c>
      <c r="ET70" s="1244">
        <f t="shared" ref="ET70:ET76" si="499">SUM(((BN70*0.9)*0.7))</f>
        <v>0</v>
      </c>
      <c r="EU70" s="1244">
        <f t="shared" ref="EU70:EU76" si="500">SUM(((BO70*0.9)*0.7))</f>
        <v>0</v>
      </c>
      <c r="EV70" s="1244">
        <f t="shared" ref="EV70:EV76" si="501">SUM(((BP70*0.9)*0.7))</f>
        <v>0</v>
      </c>
      <c r="EW70" s="1244">
        <f t="shared" ref="EW70:EW76" si="502">SUM(((-AW70/50)*CEILING((33/100),0.01)))</f>
        <v>0</v>
      </c>
      <c r="EX70" s="1244">
        <f t="shared" ref="EX70:EX76" si="503">SUM(((BR70*0.9)*0.7))</f>
        <v>1225</v>
      </c>
      <c r="EY70" s="1244"/>
      <c r="EZ70" s="1522"/>
      <c r="FA70" s="1244">
        <f t="shared" ref="FA70:FA76" si="504">SUM(((AZ70*0.9)*0.6))</f>
        <v>0</v>
      </c>
      <c r="FB70" s="1244">
        <f t="shared" ref="FB70:FB76" si="505">SUM(((BA70*0.9)*0.6))</f>
        <v>0</v>
      </c>
      <c r="FC70" s="1244">
        <f t="shared" ref="FC70:FC76" si="506">SUM(((BB70*0.9)*0.6))</f>
        <v>0</v>
      </c>
      <c r="FD70" s="1244">
        <f t="shared" ref="FD70:FD76" si="507">SUM(((BC70*0.9)*0.6))</f>
        <v>0</v>
      </c>
      <c r="FE70" s="1244">
        <f t="shared" ref="FE70:FE76" si="508">SUM(((BD70*0.9)*0.6))</f>
        <v>0</v>
      </c>
      <c r="FF70" s="1244">
        <f t="shared" ref="FF70:FF76" si="509">SUM(((BE70*0.9)*0.6))</f>
        <v>0</v>
      </c>
      <c r="FG70" s="1244">
        <f t="shared" ref="FG70:FG76" si="510">SUM(((BF70*0.9)*0.6))</f>
        <v>0</v>
      </c>
      <c r="FH70" s="1244">
        <f t="shared" ref="FH70:FH76" si="511">SUM(((BG70*0.9)*0.6))</f>
        <v>0</v>
      </c>
      <c r="FI70" s="1244">
        <f t="shared" ref="FI70:FI76" si="512">SUM(((BH70*0.9)*0.6))</f>
        <v>0</v>
      </c>
      <c r="FJ70" s="1244">
        <f t="shared" ref="FJ70:FJ76" si="513">SUM(((BI70*0.9)*0.6))</f>
        <v>0</v>
      </c>
      <c r="FK70" s="1244">
        <f t="shared" ref="FK70:FK76" si="514">SUM(((BJ70*0.9)*0.6))</f>
        <v>0</v>
      </c>
      <c r="FL70" s="1244">
        <f t="shared" ref="FL70:FL76" si="515">SUM(((BK70*0.9)*0.6))</f>
        <v>0</v>
      </c>
      <c r="FM70" s="1244">
        <f t="shared" ref="FM70:FM76" si="516">SUM(((BL70*0.9)*0.6))</f>
        <v>0</v>
      </c>
      <c r="FN70" s="1244">
        <f t="shared" ref="FN70:FN76" si="517">SUM(((BM70*0.9)*0.6))</f>
        <v>0</v>
      </c>
      <c r="FO70" s="1244">
        <f t="shared" ref="FO70:FO76" si="518">SUM(((BN70*0.9)*0.6))</f>
        <v>0</v>
      </c>
      <c r="FP70" s="1244">
        <f t="shared" ref="FP70:FP76" si="519">SUM(((BO70*0.9)*0.6))</f>
        <v>0</v>
      </c>
      <c r="FQ70" s="1244">
        <f t="shared" ref="FQ70:FQ76" si="520">SUM(((BP70*0.9)*0.6))</f>
        <v>0</v>
      </c>
      <c r="FR70" s="1244">
        <f t="shared" ref="FR70:FR76" si="521">SUM(((-AW70/50)*CEILING((25.5/100),0.01)))</f>
        <v>0</v>
      </c>
      <c r="FS70" s="1244">
        <f t="shared" ref="FS70:FS76" si="522">SUM(((BR70*0.9)*0.6))</f>
        <v>1050</v>
      </c>
      <c r="FT70" s="1522"/>
      <c r="FU70" s="1244" t="e">
        <f t="shared" ref="FU70:FU76" si="523">CHOOSE((AC70-9),BU70,(BU70+CP70),((BU70+CP70)+DK70),(((BU70+CP70)+DK70)+EF70),((((BU70+CP70)+DK70)+EF70)+FA70),)</f>
        <v>#VALUE!</v>
      </c>
      <c r="FV70" s="1244" t="e">
        <f t="shared" ref="FV70:FV76" si="524">CHOOSE((AC70-9),BV70,(BV70+CQ70),((BV70+CQ70)+DL70),(((BV70+CQ70)+DL70)+EG70),((((BV70+CQ70)+DL70)+EG70)+FB70),)</f>
        <v>#VALUE!</v>
      </c>
      <c r="FW70" s="1244" t="e">
        <f t="shared" ref="FW70:FW76" si="525">CHOOSE((AC70-9),BW70,(BW70+CR70),((BW70+CR70)+DM70),(((BW70+CR70)+DM70)+EH70),((((BW70+CR70)+DM70)+EH70)+FC70),)</f>
        <v>#VALUE!</v>
      </c>
      <c r="FX70" s="1244" t="e">
        <f t="shared" ref="FX70:FX76" si="526">CHOOSE((AC70-9),BX70,(BX70+CS70),((BX70+CS70)+DN70),(((BX70+CS70)+DN70)+EI70),((((BX70+CS70)+DN70)+EI70)+FD70),)</f>
        <v>#VALUE!</v>
      </c>
      <c r="FY70" s="1244" t="e">
        <f t="shared" ref="FY70:FY76" si="527">CHOOSE((AC70-9),BY70,(BY70+CT70),((BY70+CT70)+DO70),(((BY70+CT70)+DO70)+EJ70),((((BY70+CT70)+DO70)+EJ70)+FE70),)</f>
        <v>#VALUE!</v>
      </c>
      <c r="FZ70" s="1244" t="e">
        <f t="shared" ref="FZ70:FZ76" si="528">CHOOSE((AC70-9),BZ70,(BZ70+CU70),((BZ70+CU70)+DP70),(((BZ70+CU70)+DP70)+EK70),((((BZ70+CU70)+DP70)+EK70)+FF70),)</f>
        <v>#VALUE!</v>
      </c>
      <c r="GA70" s="1244" t="e">
        <f t="shared" ref="GA70:GA76" si="529">CHOOSE((AC70-9),CA70,(CA70+CV70),((CA70+CV70)+DQ70),(((CA70+CV70)+DQ70)+EL70),((((CA70+CV70)+DQ70)+EL70)+FG70),)</f>
        <v>#VALUE!</v>
      </c>
      <c r="GB70" s="1244" t="e">
        <f t="shared" ref="GB70:GB76" si="530">CHOOSE((AC70-9),CB70,(CB70+CW70),((CB70+CW70)+DR70),(((CB70+CW70)+DR70)+EM70),((((CB70+CW70)+DR70)+EM70)+FH70),)</f>
        <v>#VALUE!</v>
      </c>
      <c r="GC70" s="1244" t="e">
        <f t="shared" ref="GC70:GC76" si="531">CHOOSE((AC70-9),CC70,(CC70+CX70),((CC70+CX70)+DS70),(((CC70+CX70)+DS70)+EN70),((((CC70+CX70)+DS70)+EN70)+FI70),)</f>
        <v>#VALUE!</v>
      </c>
      <c r="GD70" s="1244" t="e">
        <f t="shared" ref="GD70:GD76" si="532">CHOOSE((AC70-9),CD70,(CD70+CY70),((CD70+CY70)+DT70),(((CD70+CY70)+DT70)+EO70),((((CD70+CY70)+DT70)+EO70)+FJ70),)</f>
        <v>#VALUE!</v>
      </c>
      <c r="GE70" s="1244" t="e">
        <f t="shared" ref="GE70:GE76" si="533">CHOOSE((AC70-9),CE70,(CE70+CZ70),((CE70+CZ70)+DU70),(((CE70+CZ70)+DU70)+EP70),((((CE70+CZ70)+DU70)+EP70)+FK70),)</f>
        <v>#VALUE!</v>
      </c>
      <c r="GF70" s="1244" t="e">
        <f t="shared" ref="GF70:GF76" si="534">CHOOSE((AC70-9),CF70,(CF70+DA70),((CF70+DA70)+DV70),(((CF70+DA70)+DV70)+EQ70),((((CF70+DA70)+DV70)+EQ70)+FL70),)</f>
        <v>#VALUE!</v>
      </c>
      <c r="GG70" s="1244" t="e">
        <f t="shared" ref="GG70:GG76" si="535">CHOOSE((AC70-9),CG70,(CG70+DB70),((CG70+DB70)+DW70),(((CG70+DB70)+DW70)+ER70),((((CG70+DB70)+DW70)+ER70)+FM70),)</f>
        <v>#VALUE!</v>
      </c>
      <c r="GH70" s="1244" t="e">
        <f t="shared" ref="GH70:GH76" si="536">CHOOSE((AC70-9),CH70,(CH70+DC70),((CH70+DC70)+DX70),(((CH70+DC70)+DX70)+ES70),((((CH70+DC70)+DX70)+ES70)+FN70),)</f>
        <v>#VALUE!</v>
      </c>
      <c r="GI70" s="1244" t="e">
        <f t="shared" ref="GI70:GI76" si="537">CHOOSE((AC70-9),CI70,(CI70+DD70),((CI70+DD70)+DY70),(((CI70+DD70)+DY70)+ET70),((((CI70+DD70)+DY70)+ET70)+FO70),)</f>
        <v>#VALUE!</v>
      </c>
      <c r="GJ70" s="1244" t="e">
        <f t="shared" ref="GJ70:GJ76" si="538">CHOOSE((AC70-9),CJ70,(CJ70+DE70),((CJ70+DE70)+DZ70),(((CJ70+DE70)+DZ70)+EU70),((((CJ70+DE70)+DZ70)+EU70)+FP70),)</f>
        <v>#VALUE!</v>
      </c>
      <c r="GK70" s="1244" t="e">
        <f t="shared" ref="GK70:GK76" si="539">CHOOSE((AC70-9),CK70,(CK70+DF70),((CK70+DF70)+EA70),(((CK70+DF70)+EA70)+EV70),((((CK70+DF70)+EA70)+EV70)+FQ70),)</f>
        <v>#VALUE!</v>
      </c>
      <c r="GL70" s="1244" t="e">
        <f t="shared" ref="GL70:GL76" si="540">CHOOSE((AC70-9),CL70,(CL70+DG70),((CL70+DG70)+EB70),(((CL70+DG70)+EB70)+EW70),((((CL70+DG70)+EB70)+EW70)+FR70),)</f>
        <v>#VALUE!</v>
      </c>
      <c r="GM70" s="1244" t="e">
        <f t="shared" ref="GM70:GM76" si="541">CHOOSE((AC70-9),CM70,(CM70+DH70),((CM70+DH70)+EC70),(((CM70+DH70)+EC70)+EX70),((((CM70+DH70)+EC70)+EX70)+FS70),)</f>
        <v>#VALUE!</v>
      </c>
    </row>
    <row r="71" spans="1:195" ht="15" customHeight="1">
      <c r="A71" s="1631">
        <v>405</v>
      </c>
      <c r="B71" s="1899"/>
      <c r="C71" s="1298" t="s">
        <v>1093</v>
      </c>
      <c r="D71" s="1299"/>
      <c r="E71" s="1299"/>
      <c r="F71" s="1299"/>
      <c r="G71" s="1299"/>
      <c r="H71" s="1299"/>
      <c r="I71" s="1299"/>
      <c r="J71" s="1299"/>
      <c r="K71" s="1299"/>
      <c r="L71" s="1299"/>
      <c r="M71" s="1299"/>
      <c r="N71" s="1299"/>
      <c r="O71" s="1299"/>
      <c r="P71" s="1299"/>
      <c r="Q71" s="1299"/>
      <c r="R71" s="1299"/>
      <c r="S71" s="1299"/>
      <c r="T71" s="1299"/>
      <c r="U71" s="1299"/>
      <c r="V71" s="1299"/>
      <c r="W71" s="1299"/>
      <c r="X71" s="1299"/>
      <c r="Y71" s="1299"/>
      <c r="Z71" s="1299"/>
      <c r="AA71" s="1522"/>
      <c r="AB71" s="1522"/>
      <c r="AC71" s="1244"/>
      <c r="AD71" s="1522"/>
      <c r="AE71" s="1522"/>
      <c r="AF71" s="1522"/>
      <c r="AG71" s="1522"/>
      <c r="AH71" s="1522"/>
      <c r="AI71" s="1522"/>
      <c r="AJ71" s="1522"/>
      <c r="AK71" s="1522"/>
      <c r="AL71" s="1522"/>
      <c r="AM71" s="1522"/>
      <c r="AN71" s="1522"/>
      <c r="AO71" s="1522"/>
      <c r="AP71" s="1522"/>
      <c r="AQ71" s="1522"/>
      <c r="AR71" s="1523"/>
      <c r="AS71" s="1522"/>
      <c r="AT71" s="1522"/>
      <c r="AU71" s="1522"/>
      <c r="AV71" s="1522"/>
      <c r="AW71" s="1522"/>
      <c r="AX71" s="1509"/>
      <c r="AY71" s="1522"/>
      <c r="AZ71" s="1244"/>
      <c r="BA71" s="1244"/>
      <c r="BB71" s="1522"/>
      <c r="BC71" s="1522"/>
      <c r="BD71" s="1244"/>
      <c r="BE71" s="1244"/>
      <c r="BF71" s="1244"/>
      <c r="BG71" s="1244"/>
      <c r="BH71" s="1244"/>
      <c r="BI71" s="1244"/>
      <c r="BJ71" s="1244"/>
      <c r="BK71" s="1244"/>
      <c r="BL71" s="1244"/>
      <c r="BM71" s="1522"/>
      <c r="BN71" s="1522"/>
      <c r="BO71" s="1522"/>
      <c r="BP71" s="1244"/>
      <c r="BQ71" s="1244"/>
      <c r="BR71" s="1244"/>
      <c r="BS71" s="1522"/>
      <c r="BT71" s="1522"/>
      <c r="BU71" s="1244"/>
      <c r="BV71" s="1244"/>
      <c r="BW71" s="1244"/>
      <c r="BX71" s="1244"/>
      <c r="BY71" s="1244"/>
      <c r="BZ71" s="1244"/>
      <c r="CA71" s="1244"/>
      <c r="CB71" s="1244"/>
      <c r="CC71" s="1244"/>
      <c r="CD71" s="1244"/>
      <c r="CE71" s="1244"/>
      <c r="CF71" s="1244"/>
      <c r="CG71" s="1244"/>
      <c r="CH71" s="1244"/>
      <c r="CI71" s="1244"/>
      <c r="CJ71" s="1244"/>
      <c r="CK71" s="1244"/>
      <c r="CL71" s="1244"/>
      <c r="CM71" s="1244"/>
      <c r="CN71" s="1522"/>
      <c r="CO71" s="1522"/>
      <c r="CP71" s="1244"/>
      <c r="CQ71" s="1244"/>
      <c r="CR71" s="1244"/>
      <c r="CS71" s="1244"/>
      <c r="CT71" s="1244"/>
      <c r="CU71" s="1244"/>
      <c r="CV71" s="1244"/>
      <c r="CW71" s="1244"/>
      <c r="CX71" s="1244"/>
      <c r="CY71" s="1244"/>
      <c r="CZ71" s="1244"/>
      <c r="DA71" s="1244"/>
      <c r="DB71" s="1244"/>
      <c r="DC71" s="1244"/>
      <c r="DD71" s="1244"/>
      <c r="DE71" s="1244"/>
      <c r="DF71" s="1244"/>
      <c r="DG71" s="1244"/>
      <c r="DH71" s="1244"/>
      <c r="DI71" s="1522"/>
      <c r="DJ71" s="1522"/>
      <c r="DK71" s="1244"/>
      <c r="DL71" s="1244"/>
      <c r="DM71" s="1244"/>
      <c r="DN71" s="1244"/>
      <c r="DO71" s="1244"/>
      <c r="DP71" s="1244"/>
      <c r="DQ71" s="1244"/>
      <c r="DR71" s="1244"/>
      <c r="DS71" s="1244"/>
      <c r="DT71" s="1244"/>
      <c r="DU71" s="1244"/>
      <c r="DV71" s="1244"/>
      <c r="DW71" s="1244"/>
      <c r="DX71" s="1244"/>
      <c r="DY71" s="1244"/>
      <c r="DZ71" s="1244"/>
      <c r="EA71" s="1244"/>
      <c r="EB71" s="1244"/>
      <c r="EC71" s="1244"/>
      <c r="ED71" s="1522"/>
      <c r="EE71" s="1522"/>
      <c r="EF71" s="1244"/>
      <c r="EG71" s="1244"/>
      <c r="EH71" s="1244"/>
      <c r="EI71" s="1244"/>
      <c r="EJ71" s="1244"/>
      <c r="EK71" s="1244"/>
      <c r="EL71" s="1244"/>
      <c r="EM71" s="1244"/>
      <c r="EN71" s="1244"/>
      <c r="EO71" s="1244"/>
      <c r="EP71" s="1244"/>
      <c r="EQ71" s="1244"/>
      <c r="ER71" s="1244"/>
      <c r="ES71" s="1244"/>
      <c r="ET71" s="1244"/>
      <c r="EU71" s="1244"/>
      <c r="EV71" s="1244"/>
      <c r="EW71" s="1244"/>
      <c r="EX71" s="1244"/>
      <c r="EY71" s="1244"/>
      <c r="EZ71" s="1522"/>
      <c r="FA71" s="1244"/>
      <c r="FB71" s="1244"/>
      <c r="FC71" s="1244"/>
      <c r="FD71" s="1244"/>
      <c r="FE71" s="1244"/>
      <c r="FF71" s="1244"/>
      <c r="FG71" s="1244"/>
      <c r="FH71" s="1244"/>
      <c r="FI71" s="1244"/>
      <c r="FJ71" s="1244"/>
      <c r="FK71" s="1244"/>
      <c r="FL71" s="1244"/>
      <c r="FM71" s="1244"/>
      <c r="FN71" s="1244"/>
      <c r="FO71" s="1244"/>
      <c r="FP71" s="1244"/>
      <c r="FQ71" s="1244"/>
      <c r="FR71" s="1244"/>
      <c r="FS71" s="1244"/>
      <c r="FT71" s="1522"/>
      <c r="FU71" s="1244"/>
      <c r="FV71" s="1244"/>
      <c r="FW71" s="1244"/>
      <c r="FX71" s="1244"/>
      <c r="FY71" s="1244"/>
      <c r="FZ71" s="1244"/>
      <c r="GA71" s="1244"/>
      <c r="GB71" s="1244"/>
      <c r="GC71" s="1244"/>
      <c r="GD71" s="1244"/>
      <c r="GE71" s="1244"/>
      <c r="GF71" s="1244"/>
      <c r="GG71" s="1244"/>
      <c r="GH71" s="1244"/>
      <c r="GI71" s="1244"/>
      <c r="GJ71" s="1244"/>
      <c r="GK71" s="1244"/>
      <c r="GL71" s="1244"/>
      <c r="GM71" s="1244"/>
    </row>
    <row r="72" spans="1:195" s="438" customFormat="1" ht="16.5" customHeight="1">
      <c r="A72" s="1739">
        <v>406</v>
      </c>
      <c r="B72" s="1889" t="s">
        <v>1099</v>
      </c>
      <c r="C72" s="1524" t="s">
        <v>309</v>
      </c>
      <c r="D72" s="1525"/>
      <c r="E72" s="1526"/>
      <c r="F72" s="1526"/>
      <c r="G72" s="1526"/>
      <c r="H72" s="1526"/>
      <c r="I72" s="1526"/>
      <c r="J72" s="1526"/>
      <c r="K72" s="1526"/>
      <c r="L72" s="1526"/>
      <c r="M72" s="1526"/>
      <c r="N72" s="1526"/>
      <c r="O72" s="1526"/>
      <c r="P72" s="1526"/>
      <c r="Q72" s="1526" t="str">
        <f>AR72</f>
        <v>Area</v>
      </c>
      <c r="R72" s="1527">
        <f>AS72</f>
        <v>0</v>
      </c>
      <c r="S72" s="1526">
        <f>IF((AC72&lt;10),SUM((AT72+(ROUNDUP((AC72*BN72),2)))),SUM((AT72+(ROUNDUP(((9*BN72)+GI72),2)))))</f>
        <v>1000</v>
      </c>
      <c r="T72" s="1527">
        <v>10</v>
      </c>
      <c r="U72" s="1527">
        <f>IF((AC72&lt;10),SUM((AV72+(ROUNDUP((AC72*BP72),2)))),SUM((AV72+(ROUNDUP(((9*BP72)+GK72),2)))))</f>
        <v>30</v>
      </c>
      <c r="V72" s="1526">
        <f>IF((AC72&lt;10),SUM((AW72+(ROUNDUP((AC72*BQ72),2)))),SUM((AW72+(ROUNDUP(((9*BQ72)+GL72),2)))))</f>
        <v>550</v>
      </c>
      <c r="W72" s="1526">
        <f>IF((AC72&lt;10),SUM((AX72+(ROUNDUP((AC72*BR72),2)))),SUM((AX72+(ROUNDUP(((9*BR72)+GM72),2)))))</f>
        <v>17500</v>
      </c>
      <c r="X72" s="1526"/>
      <c r="Y72" s="1526"/>
      <c r="Z72" s="1526"/>
      <c r="AA72" s="1396"/>
      <c r="AB72" s="1256"/>
      <c r="AC72" s="1256">
        <f t="shared" si="30"/>
        <v>0</v>
      </c>
      <c r="AD72" s="1256"/>
      <c r="AE72" s="1397"/>
      <c r="AF72" s="1397"/>
      <c r="AG72" s="1397"/>
      <c r="AH72" s="1397"/>
      <c r="AI72" s="1397"/>
      <c r="AJ72" s="1397"/>
      <c r="AK72" s="1397"/>
      <c r="AL72" s="1397"/>
      <c r="AM72" s="1397"/>
      <c r="AN72" s="1397"/>
      <c r="AO72" s="1397"/>
      <c r="AP72" s="1397"/>
      <c r="AQ72" s="1397"/>
      <c r="AR72" s="1397" t="s">
        <v>284</v>
      </c>
      <c r="AS72" s="1398">
        <v>0</v>
      </c>
      <c r="AT72" s="1397">
        <v>1000</v>
      </c>
      <c r="AU72" s="1397"/>
      <c r="AV72" s="1397">
        <v>30</v>
      </c>
      <c r="AW72" s="1397">
        <v>550</v>
      </c>
      <c r="AX72" s="1397">
        <v>17500</v>
      </c>
      <c r="AY72" s="1256"/>
      <c r="AZ72" s="1256"/>
      <c r="BA72" s="1256"/>
      <c r="BB72" s="1256"/>
      <c r="BC72" s="1256"/>
      <c r="BD72" s="1256"/>
      <c r="BE72" s="1256"/>
      <c r="BF72" s="1256"/>
      <c r="BG72" s="1256"/>
      <c r="BH72" s="1256"/>
      <c r="BI72" s="1256"/>
      <c r="BJ72" s="1256"/>
      <c r="BK72" s="1256"/>
      <c r="BL72" s="1256"/>
      <c r="BM72" s="1256"/>
      <c r="BN72" s="1256"/>
      <c r="BO72" s="1256"/>
      <c r="BP72" s="1256"/>
      <c r="BQ72" s="1256">
        <f>SUM((-AW72/12))</f>
        <v>-45.833333333333336</v>
      </c>
      <c r="BR72" s="1256">
        <f>SUM((AX72/9))</f>
        <v>1944.4444444444443</v>
      </c>
      <c r="BS72" s="1256"/>
      <c r="BT72" s="1257"/>
      <c r="BU72" s="1256">
        <f t="shared" ref="BU72" si="542">SUM(((AZ72*0.9)*1))</f>
        <v>0</v>
      </c>
      <c r="BV72" s="1256">
        <f t="shared" ref="BV72" si="543">SUM(((BA72*0.9)*1))</f>
        <v>0</v>
      </c>
      <c r="BW72" s="1256">
        <f t="shared" ref="BW72" si="544">SUM(((BB72*0.9)*1))</f>
        <v>0</v>
      </c>
      <c r="BX72" s="1256">
        <f t="shared" ref="BX72" si="545">SUM(((BC72*0.9)*1))</f>
        <v>0</v>
      </c>
      <c r="BY72" s="1256">
        <f t="shared" ref="BY72" si="546">SUM(((BD72*0.9)*1))</f>
        <v>0</v>
      </c>
      <c r="BZ72" s="1256">
        <f t="shared" ref="BZ72" si="547">SUM(((BE72*0.9)*1))</f>
        <v>0</v>
      </c>
      <c r="CA72" s="1256">
        <f t="shared" ref="CA72" si="548">SUM(((BF72*0.9)*1))</f>
        <v>0</v>
      </c>
      <c r="CB72" s="1256">
        <f t="shared" ref="CB72" si="549">SUM(((BG72*0.9)*1))</f>
        <v>0</v>
      </c>
      <c r="CC72" s="1256">
        <f t="shared" ref="CC72" si="550">SUM(((BH72*0.9)*1))</f>
        <v>0</v>
      </c>
      <c r="CD72" s="1256">
        <f t="shared" si="437"/>
        <v>0</v>
      </c>
      <c r="CE72" s="1256">
        <f t="shared" si="438"/>
        <v>0</v>
      </c>
      <c r="CF72" s="1256">
        <f t="shared" si="439"/>
        <v>0</v>
      </c>
      <c r="CG72" s="1256">
        <f t="shared" si="440"/>
        <v>0</v>
      </c>
      <c r="CH72" s="1256">
        <f t="shared" si="441"/>
        <v>0</v>
      </c>
      <c r="CI72" s="1256">
        <f t="shared" si="442"/>
        <v>0</v>
      </c>
      <c r="CJ72" s="1256">
        <f t="shared" si="443"/>
        <v>0</v>
      </c>
      <c r="CK72" s="1256">
        <f>SUM(((BP72*0.9)*1))</f>
        <v>0</v>
      </c>
      <c r="CL72" s="1256">
        <f>SUM(((-AW72/50)*CEILING((60/100),0.01)))</f>
        <v>-6.6</v>
      </c>
      <c r="CM72" s="1256">
        <f>SUM(((BR72*0.9)*1))</f>
        <v>1750</v>
      </c>
      <c r="CN72" s="1256"/>
      <c r="CO72" s="1257"/>
      <c r="CP72" s="1256">
        <f t="shared" ref="CP72" si="551">SUM(((AZ72*0.9)*0.9))</f>
        <v>0</v>
      </c>
      <c r="CQ72" s="1256">
        <f t="shared" ref="CQ72" si="552">SUM(((BA72*0.9)*0.9))</f>
        <v>0</v>
      </c>
      <c r="CR72" s="1256">
        <f t="shared" ref="CR72" si="553">SUM(((BB72*0.9)*0.9))</f>
        <v>0</v>
      </c>
      <c r="CS72" s="1256">
        <f t="shared" ref="CS72" si="554">SUM(((BC72*0.9)*0.9))</f>
        <v>0</v>
      </c>
      <c r="CT72" s="1256">
        <f t="shared" ref="CT72" si="555">SUM(((BD72*0.9)*0.9))</f>
        <v>0</v>
      </c>
      <c r="CU72" s="1256">
        <f t="shared" ref="CU72" si="556">SUM(((BE72*0.9)*0.9))</f>
        <v>0</v>
      </c>
      <c r="CV72" s="1256">
        <f t="shared" ref="CV72" si="557">SUM(((BF72*0.9)*0.9))</f>
        <v>0</v>
      </c>
      <c r="CW72" s="1256">
        <f t="shared" ref="CW72" si="558">SUM(((BG72*0.9)*0.9))</f>
        <v>0</v>
      </c>
      <c r="CX72" s="1256">
        <f t="shared" ref="CX72" si="559">SUM(((BH72*0.9)*0.9))</f>
        <v>0</v>
      </c>
      <c r="CY72" s="1256">
        <f t="shared" ref="CY72" si="560">SUM(((BI72*0.9)*0.9))</f>
        <v>0</v>
      </c>
      <c r="CZ72" s="1256">
        <f t="shared" ref="CZ72" si="561">SUM(((BJ72*0.9)*0.9))</f>
        <v>0</v>
      </c>
      <c r="DA72" s="1256">
        <f t="shared" ref="DA72" si="562">SUM(((BK72*0.9)*0.9))</f>
        <v>0</v>
      </c>
      <c r="DB72" s="1256">
        <f t="shared" ref="DB72" si="563">SUM(((BL72*0.9)*0.9))</f>
        <v>0</v>
      </c>
      <c r="DC72" s="1256">
        <f t="shared" ref="DC72" si="564">SUM(((BM72*0.9)*0.9))</f>
        <v>0</v>
      </c>
      <c r="DD72" s="1256">
        <f t="shared" ref="DD72" si="565">SUM(((BN72*0.9)*0.9))</f>
        <v>0</v>
      </c>
      <c r="DE72" s="1256">
        <f t="shared" ref="DE72" si="566">SUM(((BO72*0.9)*0.9))</f>
        <v>0</v>
      </c>
      <c r="DF72" s="1256">
        <f>SUM(((BP72*0.9)*0.9))</f>
        <v>0</v>
      </c>
      <c r="DG72" s="1256">
        <f>SUM(((-AW72/50)*CEILING((48/100),0.01)))</f>
        <v>-5.2799999999999994</v>
      </c>
      <c r="DH72" s="1256">
        <f>SUM(((BR72*0.9)*0.9))</f>
        <v>1575</v>
      </c>
      <c r="DI72" s="1256"/>
      <c r="DJ72" s="1257"/>
      <c r="DK72" s="1256">
        <f t="shared" ref="DK72" si="567">SUM(((AZ72*0.9)*0.8))</f>
        <v>0</v>
      </c>
      <c r="DL72" s="1256">
        <f t="shared" ref="DL72" si="568">SUM(((BA72*0.9)*0.8))</f>
        <v>0</v>
      </c>
      <c r="DM72" s="1256">
        <f t="shared" ref="DM72" si="569">SUM(((BB72*0.9)*0.8))</f>
        <v>0</v>
      </c>
      <c r="DN72" s="1256">
        <f t="shared" ref="DN72" si="570">SUM(((BC72*0.9)*0.8))</f>
        <v>0</v>
      </c>
      <c r="DO72" s="1256">
        <f t="shared" ref="DO72" si="571">SUM(((BD72*0.9)*0.8))</f>
        <v>0</v>
      </c>
      <c r="DP72" s="1256">
        <f t="shared" ref="DP72" si="572">SUM(((BE72*0.9)*0.8))</f>
        <v>0</v>
      </c>
      <c r="DQ72" s="1256">
        <f t="shared" ref="DQ72" si="573">SUM(((BF72*0.9)*0.8))</f>
        <v>0</v>
      </c>
      <c r="DR72" s="1256">
        <f t="shared" ref="DR72" si="574">SUM(((BG72*0.9)*0.8))</f>
        <v>0</v>
      </c>
      <c r="DS72" s="1256">
        <f t="shared" ref="DS72" si="575">SUM(((BH72*0.9)*0.8))</f>
        <v>0</v>
      </c>
      <c r="DT72" s="1256">
        <f t="shared" ref="DT72" si="576">SUM(((BI72*0.9)*0.8))</f>
        <v>0</v>
      </c>
      <c r="DU72" s="1256">
        <f t="shared" ref="DU72" si="577">SUM(((BJ72*0.9)*0.8))</f>
        <v>0</v>
      </c>
      <c r="DV72" s="1256">
        <f t="shared" ref="DV72" si="578">SUM(((BK72*0.9)*0.8))</f>
        <v>0</v>
      </c>
      <c r="DW72" s="1256">
        <f t="shared" ref="DW72" si="579">SUM(((BL72*0.9)*0.8))</f>
        <v>0</v>
      </c>
      <c r="DX72" s="1256">
        <f t="shared" ref="DX72" si="580">SUM(((BM72*0.9)*0.8))</f>
        <v>0</v>
      </c>
      <c r="DY72" s="1256">
        <f t="shared" ref="DY72" si="581">SUM(((BN72*0.9)*0.8))</f>
        <v>0</v>
      </c>
      <c r="DZ72" s="1256">
        <f t="shared" ref="DZ72" si="582">SUM(((BO72*0.9)*0.8))</f>
        <v>0</v>
      </c>
      <c r="EA72" s="1256">
        <f>SUM(((BP72*0.9)*0.8))</f>
        <v>0</v>
      </c>
      <c r="EB72" s="1256">
        <f>SUM(((-AW72/50)*CEILING((40.5/100),0.01)))</f>
        <v>-4.5100000000000007</v>
      </c>
      <c r="EC72" s="1256">
        <f>SUM(((BR72*0.9)*0.8))</f>
        <v>1400</v>
      </c>
      <c r="ED72" s="1256"/>
      <c r="EE72" s="1257"/>
      <c r="EF72" s="1256">
        <f t="shared" ref="EF72" si="583">SUM(((AZ72*0.9)*0.7))</f>
        <v>0</v>
      </c>
      <c r="EG72" s="1256">
        <f t="shared" ref="EG72" si="584">SUM(((BA72*0.9)*0.7))</f>
        <v>0</v>
      </c>
      <c r="EH72" s="1256">
        <f t="shared" ref="EH72" si="585">SUM(((BB72*0.9)*0.7))</f>
        <v>0</v>
      </c>
      <c r="EI72" s="1256">
        <f t="shared" ref="EI72" si="586">SUM(((BC72*0.9)*0.7))</f>
        <v>0</v>
      </c>
      <c r="EJ72" s="1256">
        <f t="shared" ref="EJ72" si="587">SUM(((BD72*0.9)*0.7))</f>
        <v>0</v>
      </c>
      <c r="EK72" s="1256">
        <f t="shared" ref="EK72" si="588">SUM(((BE72*0.9)*0.7))</f>
        <v>0</v>
      </c>
      <c r="EL72" s="1256">
        <f t="shared" ref="EL72" si="589">SUM(((BF72*0.9)*0.7))</f>
        <v>0</v>
      </c>
      <c r="EM72" s="1256">
        <f t="shared" ref="EM72" si="590">SUM(((BG72*0.9)*0.7))</f>
        <v>0</v>
      </c>
      <c r="EN72" s="1256">
        <f t="shared" ref="EN72" si="591">SUM(((BH72*0.9)*0.7))</f>
        <v>0</v>
      </c>
      <c r="EO72" s="1256">
        <f t="shared" ref="EO72" si="592">SUM(((BI72*0.9)*0.7))</f>
        <v>0</v>
      </c>
      <c r="EP72" s="1256">
        <f t="shared" ref="EP72" si="593">SUM(((BJ72*0.9)*0.7))</f>
        <v>0</v>
      </c>
      <c r="EQ72" s="1256">
        <f t="shared" ref="EQ72" si="594">SUM(((BK72*0.9)*0.7))</f>
        <v>0</v>
      </c>
      <c r="ER72" s="1256">
        <f t="shared" ref="ER72" si="595">SUM(((BL72*0.9)*0.7))</f>
        <v>0</v>
      </c>
      <c r="ES72" s="1256">
        <f t="shared" ref="ES72" si="596">SUM(((BM72*0.9)*0.7))</f>
        <v>0</v>
      </c>
      <c r="ET72" s="1256">
        <f t="shared" ref="ET72" si="597">SUM(((BN72*0.9)*0.7))</f>
        <v>0</v>
      </c>
      <c r="EU72" s="1256">
        <f t="shared" ref="EU72" si="598">SUM(((BO72*0.9)*0.7))</f>
        <v>0</v>
      </c>
      <c r="EV72" s="1256">
        <f>SUM(((BP72*0.9)*0.7))</f>
        <v>0</v>
      </c>
      <c r="EW72" s="1256">
        <f>SUM(((-AW72/50)*CEILING((33/100),0.01)))</f>
        <v>-3.6300000000000003</v>
      </c>
      <c r="EX72" s="1256">
        <f>SUM(((BR72*0.9)*0.7))</f>
        <v>1225</v>
      </c>
      <c r="EY72" s="1256"/>
      <c r="EZ72" s="1257"/>
      <c r="FA72" s="1256">
        <f t="shared" ref="FA72" si="599">SUM(((AZ72*0.9)*0.6))</f>
        <v>0</v>
      </c>
      <c r="FB72" s="1256">
        <f t="shared" ref="FB72" si="600">SUM(((BA72*0.9)*0.6))</f>
        <v>0</v>
      </c>
      <c r="FC72" s="1256">
        <f t="shared" ref="FC72" si="601">SUM(((BB72*0.9)*0.6))</f>
        <v>0</v>
      </c>
      <c r="FD72" s="1256">
        <f t="shared" ref="FD72" si="602">SUM(((BC72*0.9)*0.6))</f>
        <v>0</v>
      </c>
      <c r="FE72" s="1256">
        <f t="shared" ref="FE72" si="603">SUM(((BD72*0.9)*0.6))</f>
        <v>0</v>
      </c>
      <c r="FF72" s="1256">
        <f t="shared" ref="FF72" si="604">SUM(((BE72*0.9)*0.6))</f>
        <v>0</v>
      </c>
      <c r="FG72" s="1256">
        <f t="shared" ref="FG72" si="605">SUM(((BF72*0.9)*0.6))</f>
        <v>0</v>
      </c>
      <c r="FH72" s="1256">
        <f t="shared" ref="FH72" si="606">SUM(((BG72*0.9)*0.6))</f>
        <v>0</v>
      </c>
      <c r="FI72" s="1256">
        <f t="shared" ref="FI72" si="607">SUM(((BH72*0.9)*0.6))</f>
        <v>0</v>
      </c>
      <c r="FJ72" s="1256">
        <f t="shared" ref="FJ72" si="608">SUM(((BI72*0.9)*0.6))</f>
        <v>0</v>
      </c>
      <c r="FK72" s="1256">
        <f t="shared" ref="FK72" si="609">SUM(((BJ72*0.9)*0.6))</f>
        <v>0</v>
      </c>
      <c r="FL72" s="1256">
        <f t="shared" ref="FL72" si="610">SUM(((BK72*0.9)*0.6))</f>
        <v>0</v>
      </c>
      <c r="FM72" s="1256">
        <f t="shared" ref="FM72" si="611">SUM(((BL72*0.9)*0.6))</f>
        <v>0</v>
      </c>
      <c r="FN72" s="1256">
        <f t="shared" ref="FN72" si="612">SUM(((BM72*0.9)*0.6))</f>
        <v>0</v>
      </c>
      <c r="FO72" s="1256">
        <f t="shared" ref="FO72" si="613">SUM(((BN72*0.9)*0.6))</f>
        <v>0</v>
      </c>
      <c r="FP72" s="1256">
        <f t="shared" ref="FP72" si="614">SUM(((BO72*0.9)*0.6))</f>
        <v>0</v>
      </c>
      <c r="FQ72" s="1256">
        <f>SUM(((BP72*0.9)*0.6))</f>
        <v>0</v>
      </c>
      <c r="FR72" s="1256">
        <f>SUM(((-AW72/50)*CEILING((25.5/100),0.01)))</f>
        <v>-2.8600000000000003</v>
      </c>
      <c r="FS72" s="1256">
        <f>SUM(((BR72*0.9)*0.6))</f>
        <v>1050</v>
      </c>
      <c r="FT72" s="1256"/>
      <c r="FU72" s="1256" t="e">
        <f>CHOOSE((AC72-9),BU72,(BU72+CP72),((BU72+CP72)+DK72),(((BU72+CP72)+DK72)+EF72),((((BU72+CP72)+DK72)+EF72)+FA72),)</f>
        <v>#VALUE!</v>
      </c>
      <c r="FV72" s="1256" t="e">
        <f>CHOOSE((AC72-9),BV72,(BV72+CQ72),((BV72+CQ72)+DL72),(((BV72+CQ72)+DL72)+EG72),((((BV72+CQ72)+DL72)+EG72)+FB72),)</f>
        <v>#VALUE!</v>
      </c>
      <c r="FW72" s="1256" t="e">
        <f>CHOOSE((AC72-9),BW72,(BW72+CR72),((BW72+CR72)+DM72),(((BW72+CR72)+DM72)+EH72),((((BW72+CR72)+DM72)+EH72)+FC72),)</f>
        <v>#VALUE!</v>
      </c>
      <c r="FX72" s="1256" t="e">
        <f>CHOOSE((AC72-9),BX72,(BX72+CS72),((BX72+CS72)+DN72),(((BX72+CS72)+DN72)+EI72),((((BX72+CS72)+DN72)+EI72)+FD72),)</f>
        <v>#VALUE!</v>
      </c>
      <c r="FY72" s="1256" t="e">
        <f>CHOOSE((AC72-9),BY72,(BY72+CT72),((BY72+CT72)+DO72),(((BY72+CT72)+DO72)+EJ72),((((BY72+CT72)+DO72)+EJ72)+FE72),)</f>
        <v>#VALUE!</v>
      </c>
      <c r="FZ72" s="1256" t="e">
        <f>CHOOSE((AC72-9),BZ72,(BZ72+CU72),((BZ72+CU72)+DP72),(((BZ72+CU72)+DP72)+EK72),((((BZ72+CU72)+DP72)+EK72)+FF72),)</f>
        <v>#VALUE!</v>
      </c>
      <c r="GA72" s="1256" t="e">
        <f>CHOOSE((AC72-9),CA72,(CA72+CV72),((CA72+CV72)+DQ72),(((CA72+CV72)+DQ72)+EL72),((((CA72+CV72)+DQ72)+EL72)+FG72),)</f>
        <v>#VALUE!</v>
      </c>
      <c r="GB72" s="1256" t="e">
        <f>CHOOSE((AC72-9),CB72,(CB72+CW72),((CB72+CW72)+DR72),(((CB72+CW72)+DR72)+EM72),((((CB72+CW72)+DR72)+EM72)+FH72),)</f>
        <v>#VALUE!</v>
      </c>
      <c r="GC72" s="1256" t="e">
        <f>CHOOSE((AC72-9),CC72,(CC72+CX72),((CC72+CX72)+DS72),(((CC72+CX72)+DS72)+EN72),((((CC72+CX72)+DS72)+EN72)+FI72),)</f>
        <v>#VALUE!</v>
      </c>
      <c r="GD72" s="1256" t="e">
        <f>CHOOSE((AC72-9),CD72,(CD72+CY72),((CD72+CY72)+DT72),(((CD72+CY72)+DT72)+EO72),((((CD72+CY72)+DT72)+EO72)+FJ72),)</f>
        <v>#VALUE!</v>
      </c>
      <c r="GE72" s="1256" t="e">
        <f>CHOOSE((AC72-9),CE72,(CE72+CZ72),((CE72+CZ72)+DU72),(((CE72+CZ72)+DU72)+EP72),((((CE72+CZ72)+DU72)+EP72)+FK72),)</f>
        <v>#VALUE!</v>
      </c>
      <c r="GF72" s="1256" t="e">
        <f>CHOOSE((AC72-9),CF72,(CF72+DA72),((CF72+DA72)+DV72),(((CF72+DA72)+DV72)+EQ72),((((CF72+DA72)+DV72)+EQ72)+FL72),)</f>
        <v>#VALUE!</v>
      </c>
      <c r="GG72" s="1256" t="e">
        <f>CHOOSE((AC72-9),CG72,(CG72+DB72),((CG72+DB72)+DW72),(((CG72+DB72)+DW72)+ER72),((((CG72+DB72)+DW72)+ER72)+FM72),)</f>
        <v>#VALUE!</v>
      </c>
      <c r="GH72" s="1256" t="e">
        <f>CHOOSE((AC72-9),CH72,(CH72+DC72),((CH72+DC72)+DX72),(((CH72+DC72)+DX72)+ES72),((((CH72+DC72)+DX72)+ES72)+FN72),)</f>
        <v>#VALUE!</v>
      </c>
      <c r="GI72" s="1256" t="e">
        <f>CHOOSE((AC72-9),CI72,(CI72+DD72),((CI72+DD72)+DY72),(((CI72+DD72)+DY72)+ET72),((((CI72+DD72)+DY72)+ET72)+FO72),)</f>
        <v>#VALUE!</v>
      </c>
      <c r="GJ72" s="1256" t="e">
        <f>CHOOSE((AC72-9),CJ72,(CJ72+DE72),((CJ72+DE72)+DZ72),(((CJ72+DE72)+DZ72)+EU72),((((CJ72+DE72)+DZ72)+EU72)+FP72),)</f>
        <v>#VALUE!</v>
      </c>
      <c r="GK72" s="1256" t="e">
        <f>CHOOSE((AC72-9),CK72,(CK72+DF72),((CK72+DF72)+EA72),(((CK72+DF72)+EA72)+EV72),((((CK72+DF72)+EA72)+EV72)+FQ72),)</f>
        <v>#VALUE!</v>
      </c>
      <c r="GL72" s="1256" t="e">
        <f>CHOOSE((AC72-9),CL72,(CL72+DG72),((CL72+DG72)+EB72),(((CL72+DG72)+EB72)+EW72),((((CL72+DG72)+EB72)+EW72)+FR72),)</f>
        <v>#VALUE!</v>
      </c>
      <c r="GM72" s="1256" t="e">
        <f>CHOOSE((AC72-9),CM72,(CM72+DH72),((CM72+DH72)+EC72),(((CM72+DH72)+EC72)+EX72),((((CM72+DH72)+EC72)+EX72)+FS72),)</f>
        <v>#VALUE!</v>
      </c>
    </row>
    <row r="73" spans="1:195" ht="15" customHeight="1">
      <c r="A73" s="1631">
        <v>407</v>
      </c>
      <c r="B73" s="1890"/>
      <c r="C73" s="1528" t="s">
        <v>762</v>
      </c>
      <c r="D73" s="1258"/>
      <c r="E73" s="1258"/>
      <c r="F73" s="1258"/>
      <c r="G73" s="1258"/>
      <c r="H73" s="1258"/>
      <c r="I73" s="1258"/>
      <c r="J73" s="1258"/>
      <c r="K73" s="1258"/>
      <c r="L73" s="1258"/>
      <c r="M73" s="1258"/>
      <c r="N73" s="1258"/>
      <c r="O73" s="1258"/>
      <c r="P73" s="1258"/>
      <c r="Q73" s="1258"/>
      <c r="R73" s="1258"/>
      <c r="S73" s="1258"/>
      <c r="T73" s="1258"/>
      <c r="U73" s="1258"/>
      <c r="V73" s="1258"/>
      <c r="W73" s="1258"/>
      <c r="X73" s="1258"/>
      <c r="Y73" s="1258"/>
      <c r="Z73" s="1258"/>
      <c r="AA73" s="1257"/>
      <c r="AB73" s="1257"/>
      <c r="AC73" s="1256">
        <f t="shared" ref="AC73:AC76" si="615">$AC$4</f>
        <v>0</v>
      </c>
      <c r="AD73" s="1257"/>
      <c r="AE73" s="1257"/>
      <c r="AF73" s="1257"/>
      <c r="AG73" s="1257"/>
      <c r="AH73" s="1257"/>
      <c r="AI73" s="1257"/>
      <c r="AJ73" s="1257"/>
      <c r="AK73" s="1257"/>
      <c r="AL73" s="1257"/>
      <c r="AM73" s="1257"/>
      <c r="AN73" s="1257"/>
      <c r="AO73" s="1257"/>
      <c r="AP73" s="1257"/>
      <c r="AQ73" s="1257"/>
      <c r="AR73" s="1529" t="s">
        <v>284</v>
      </c>
      <c r="AS73" s="1257"/>
      <c r="AT73" s="1257"/>
      <c r="AU73" s="1257"/>
      <c r="AV73" s="1257"/>
      <c r="AW73" s="1257"/>
      <c r="AX73" s="1397">
        <v>17500</v>
      </c>
      <c r="AY73" s="1257"/>
      <c r="AZ73" s="1256">
        <f t="shared" si="417"/>
        <v>0</v>
      </c>
      <c r="BA73" s="1256">
        <f t="shared" si="418"/>
        <v>0</v>
      </c>
      <c r="BB73" s="1257"/>
      <c r="BC73" s="1257"/>
      <c r="BD73" s="1256">
        <f t="shared" si="424"/>
        <v>0</v>
      </c>
      <c r="BE73" s="1256">
        <f t="shared" si="425"/>
        <v>0</v>
      </c>
      <c r="BF73" s="1256">
        <f t="shared" si="426"/>
        <v>0</v>
      </c>
      <c r="BG73" s="1256">
        <f t="shared" si="427"/>
        <v>0</v>
      </c>
      <c r="BH73" s="1256">
        <f t="shared" si="428"/>
        <v>0</v>
      </c>
      <c r="BI73" s="1256">
        <f t="shared" si="429"/>
        <v>0</v>
      </c>
      <c r="BJ73" s="1256">
        <f t="shared" si="430"/>
        <v>0</v>
      </c>
      <c r="BK73" s="1256">
        <f t="shared" si="431"/>
        <v>0</v>
      </c>
      <c r="BL73" s="1256">
        <f t="shared" si="432"/>
        <v>0</v>
      </c>
      <c r="BM73" s="1257"/>
      <c r="BN73" s="1257"/>
      <c r="BO73" s="1257"/>
      <c r="BP73" s="1256">
        <f t="shared" si="433"/>
        <v>0</v>
      </c>
      <c r="BQ73" s="1256">
        <f t="shared" si="434"/>
        <v>0</v>
      </c>
      <c r="BR73" s="1256">
        <f t="shared" si="435"/>
        <v>1944.4444444444443</v>
      </c>
      <c r="BS73" s="1257"/>
      <c r="BT73" s="1257"/>
      <c r="BU73" s="1256">
        <f t="shared" si="419"/>
        <v>0</v>
      </c>
      <c r="BV73" s="1256">
        <f t="shared" si="419"/>
        <v>0</v>
      </c>
      <c r="BW73" s="1256">
        <f t="shared" si="419"/>
        <v>0</v>
      </c>
      <c r="BX73" s="1256">
        <f t="shared" si="419"/>
        <v>0</v>
      </c>
      <c r="BY73" s="1256">
        <f t="shared" si="419"/>
        <v>0</v>
      </c>
      <c r="BZ73" s="1256">
        <f t="shared" si="419"/>
        <v>0</v>
      </c>
      <c r="CA73" s="1256">
        <f t="shared" si="419"/>
        <v>0</v>
      </c>
      <c r="CB73" s="1256">
        <f t="shared" si="419"/>
        <v>0</v>
      </c>
      <c r="CC73" s="1256">
        <f t="shared" si="436"/>
        <v>0</v>
      </c>
      <c r="CD73" s="1256">
        <f t="shared" si="437"/>
        <v>0</v>
      </c>
      <c r="CE73" s="1256">
        <f t="shared" si="438"/>
        <v>0</v>
      </c>
      <c r="CF73" s="1256">
        <f t="shared" si="439"/>
        <v>0</v>
      </c>
      <c r="CG73" s="1256">
        <f t="shared" si="440"/>
        <v>0</v>
      </c>
      <c r="CH73" s="1256">
        <f t="shared" si="441"/>
        <v>0</v>
      </c>
      <c r="CI73" s="1256">
        <f t="shared" si="442"/>
        <v>0</v>
      </c>
      <c r="CJ73" s="1256">
        <f t="shared" si="443"/>
        <v>0</v>
      </c>
      <c r="CK73" s="1256">
        <f t="shared" si="444"/>
        <v>0</v>
      </c>
      <c r="CL73" s="1256">
        <f t="shared" si="445"/>
        <v>0</v>
      </c>
      <c r="CM73" s="1256">
        <f t="shared" si="446"/>
        <v>1750</v>
      </c>
      <c r="CN73" s="1257"/>
      <c r="CO73" s="1257"/>
      <c r="CP73" s="1256">
        <f t="shared" si="447"/>
        <v>0</v>
      </c>
      <c r="CQ73" s="1256">
        <f t="shared" si="448"/>
        <v>0</v>
      </c>
      <c r="CR73" s="1256">
        <f t="shared" si="449"/>
        <v>0</v>
      </c>
      <c r="CS73" s="1256">
        <f t="shared" si="450"/>
        <v>0</v>
      </c>
      <c r="CT73" s="1256">
        <f t="shared" si="451"/>
        <v>0</v>
      </c>
      <c r="CU73" s="1256">
        <f t="shared" si="452"/>
        <v>0</v>
      </c>
      <c r="CV73" s="1256">
        <f t="shared" si="453"/>
        <v>0</v>
      </c>
      <c r="CW73" s="1256">
        <f t="shared" si="454"/>
        <v>0</v>
      </c>
      <c r="CX73" s="1256">
        <f t="shared" si="455"/>
        <v>0</v>
      </c>
      <c r="CY73" s="1256">
        <f t="shared" si="456"/>
        <v>0</v>
      </c>
      <c r="CZ73" s="1256">
        <f t="shared" si="457"/>
        <v>0</v>
      </c>
      <c r="DA73" s="1256">
        <f t="shared" si="458"/>
        <v>0</v>
      </c>
      <c r="DB73" s="1256">
        <f t="shared" si="459"/>
        <v>0</v>
      </c>
      <c r="DC73" s="1256">
        <f t="shared" si="460"/>
        <v>0</v>
      </c>
      <c r="DD73" s="1256">
        <f t="shared" si="461"/>
        <v>0</v>
      </c>
      <c r="DE73" s="1256">
        <f t="shared" si="462"/>
        <v>0</v>
      </c>
      <c r="DF73" s="1256">
        <f t="shared" si="463"/>
        <v>0</v>
      </c>
      <c r="DG73" s="1256">
        <f t="shared" si="464"/>
        <v>0</v>
      </c>
      <c r="DH73" s="1256">
        <f t="shared" si="465"/>
        <v>1575</v>
      </c>
      <c r="DI73" s="1257"/>
      <c r="DJ73" s="1257"/>
      <c r="DK73" s="1256">
        <f t="shared" si="466"/>
        <v>0</v>
      </c>
      <c r="DL73" s="1256">
        <f t="shared" si="467"/>
        <v>0</v>
      </c>
      <c r="DM73" s="1256">
        <f t="shared" si="468"/>
        <v>0</v>
      </c>
      <c r="DN73" s="1256">
        <f t="shared" si="469"/>
        <v>0</v>
      </c>
      <c r="DO73" s="1256">
        <f t="shared" si="470"/>
        <v>0</v>
      </c>
      <c r="DP73" s="1256">
        <f t="shared" si="471"/>
        <v>0</v>
      </c>
      <c r="DQ73" s="1256">
        <f t="shared" si="472"/>
        <v>0</v>
      </c>
      <c r="DR73" s="1256">
        <f t="shared" si="473"/>
        <v>0</v>
      </c>
      <c r="DS73" s="1256">
        <f t="shared" si="474"/>
        <v>0</v>
      </c>
      <c r="DT73" s="1256">
        <f t="shared" si="475"/>
        <v>0</v>
      </c>
      <c r="DU73" s="1256">
        <f t="shared" si="476"/>
        <v>0</v>
      </c>
      <c r="DV73" s="1256">
        <f t="shared" si="477"/>
        <v>0</v>
      </c>
      <c r="DW73" s="1256">
        <f t="shared" si="478"/>
        <v>0</v>
      </c>
      <c r="DX73" s="1256">
        <f t="shared" si="479"/>
        <v>0</v>
      </c>
      <c r="DY73" s="1256">
        <f t="shared" si="480"/>
        <v>0</v>
      </c>
      <c r="DZ73" s="1256">
        <f t="shared" si="481"/>
        <v>0</v>
      </c>
      <c r="EA73" s="1256">
        <f t="shared" si="482"/>
        <v>0</v>
      </c>
      <c r="EB73" s="1256">
        <f t="shared" si="483"/>
        <v>0</v>
      </c>
      <c r="EC73" s="1256">
        <f t="shared" si="484"/>
        <v>1400</v>
      </c>
      <c r="ED73" s="1257"/>
      <c r="EE73" s="1257"/>
      <c r="EF73" s="1256">
        <f t="shared" si="485"/>
        <v>0</v>
      </c>
      <c r="EG73" s="1256">
        <f t="shared" si="486"/>
        <v>0</v>
      </c>
      <c r="EH73" s="1256">
        <f t="shared" si="487"/>
        <v>0</v>
      </c>
      <c r="EI73" s="1256">
        <f t="shared" si="488"/>
        <v>0</v>
      </c>
      <c r="EJ73" s="1256">
        <f t="shared" si="489"/>
        <v>0</v>
      </c>
      <c r="EK73" s="1256">
        <f t="shared" si="490"/>
        <v>0</v>
      </c>
      <c r="EL73" s="1256">
        <f t="shared" si="491"/>
        <v>0</v>
      </c>
      <c r="EM73" s="1256">
        <f t="shared" si="492"/>
        <v>0</v>
      </c>
      <c r="EN73" s="1256">
        <f t="shared" si="493"/>
        <v>0</v>
      </c>
      <c r="EO73" s="1256">
        <f t="shared" si="494"/>
        <v>0</v>
      </c>
      <c r="EP73" s="1256">
        <f t="shared" si="495"/>
        <v>0</v>
      </c>
      <c r="EQ73" s="1256">
        <f t="shared" si="496"/>
        <v>0</v>
      </c>
      <c r="ER73" s="1256">
        <f t="shared" si="497"/>
        <v>0</v>
      </c>
      <c r="ES73" s="1256">
        <f t="shared" si="498"/>
        <v>0</v>
      </c>
      <c r="ET73" s="1256">
        <f t="shared" si="499"/>
        <v>0</v>
      </c>
      <c r="EU73" s="1256">
        <f t="shared" si="500"/>
        <v>0</v>
      </c>
      <c r="EV73" s="1256">
        <f t="shared" si="501"/>
        <v>0</v>
      </c>
      <c r="EW73" s="1256">
        <f t="shared" si="502"/>
        <v>0</v>
      </c>
      <c r="EX73" s="1256">
        <f t="shared" si="503"/>
        <v>1225</v>
      </c>
      <c r="EY73" s="1256"/>
      <c r="EZ73" s="1257"/>
      <c r="FA73" s="1256">
        <f t="shared" si="504"/>
        <v>0</v>
      </c>
      <c r="FB73" s="1256">
        <f t="shared" si="505"/>
        <v>0</v>
      </c>
      <c r="FC73" s="1256">
        <f t="shared" si="506"/>
        <v>0</v>
      </c>
      <c r="FD73" s="1256">
        <f t="shared" si="507"/>
        <v>0</v>
      </c>
      <c r="FE73" s="1256">
        <f t="shared" si="508"/>
        <v>0</v>
      </c>
      <c r="FF73" s="1256">
        <f t="shared" si="509"/>
        <v>0</v>
      </c>
      <c r="FG73" s="1256">
        <f t="shared" si="510"/>
        <v>0</v>
      </c>
      <c r="FH73" s="1256">
        <f t="shared" si="511"/>
        <v>0</v>
      </c>
      <c r="FI73" s="1256">
        <f t="shared" si="512"/>
        <v>0</v>
      </c>
      <c r="FJ73" s="1256">
        <f t="shared" si="513"/>
        <v>0</v>
      </c>
      <c r="FK73" s="1256">
        <f t="shared" si="514"/>
        <v>0</v>
      </c>
      <c r="FL73" s="1256">
        <f t="shared" si="515"/>
        <v>0</v>
      </c>
      <c r="FM73" s="1256">
        <f t="shared" si="516"/>
        <v>0</v>
      </c>
      <c r="FN73" s="1256">
        <f t="shared" si="517"/>
        <v>0</v>
      </c>
      <c r="FO73" s="1256">
        <f t="shared" si="518"/>
        <v>0</v>
      </c>
      <c r="FP73" s="1256">
        <f t="shared" si="519"/>
        <v>0</v>
      </c>
      <c r="FQ73" s="1256">
        <f t="shared" si="520"/>
        <v>0</v>
      </c>
      <c r="FR73" s="1256">
        <f t="shared" si="521"/>
        <v>0</v>
      </c>
      <c r="FS73" s="1256">
        <f t="shared" si="522"/>
        <v>1050</v>
      </c>
      <c r="FT73" s="1257"/>
      <c r="FU73" s="1256" t="e">
        <f t="shared" si="523"/>
        <v>#VALUE!</v>
      </c>
      <c r="FV73" s="1256" t="e">
        <f t="shared" si="524"/>
        <v>#VALUE!</v>
      </c>
      <c r="FW73" s="1256" t="e">
        <f t="shared" si="525"/>
        <v>#VALUE!</v>
      </c>
      <c r="FX73" s="1256" t="e">
        <f t="shared" si="526"/>
        <v>#VALUE!</v>
      </c>
      <c r="FY73" s="1256" t="e">
        <f t="shared" si="527"/>
        <v>#VALUE!</v>
      </c>
      <c r="FZ73" s="1256" t="e">
        <f t="shared" si="528"/>
        <v>#VALUE!</v>
      </c>
      <c r="GA73" s="1256" t="e">
        <f t="shared" si="529"/>
        <v>#VALUE!</v>
      </c>
      <c r="GB73" s="1256" t="e">
        <f t="shared" si="530"/>
        <v>#VALUE!</v>
      </c>
      <c r="GC73" s="1256" t="e">
        <f t="shared" si="531"/>
        <v>#VALUE!</v>
      </c>
      <c r="GD73" s="1256" t="e">
        <f t="shared" si="532"/>
        <v>#VALUE!</v>
      </c>
      <c r="GE73" s="1256" t="e">
        <f t="shared" si="533"/>
        <v>#VALUE!</v>
      </c>
      <c r="GF73" s="1256" t="e">
        <f t="shared" si="534"/>
        <v>#VALUE!</v>
      </c>
      <c r="GG73" s="1256" t="e">
        <f t="shared" si="535"/>
        <v>#VALUE!</v>
      </c>
      <c r="GH73" s="1256" t="e">
        <f t="shared" si="536"/>
        <v>#VALUE!</v>
      </c>
      <c r="GI73" s="1256" t="e">
        <f t="shared" si="537"/>
        <v>#VALUE!</v>
      </c>
      <c r="GJ73" s="1256" t="e">
        <f t="shared" si="538"/>
        <v>#VALUE!</v>
      </c>
      <c r="GK73" s="1256" t="e">
        <f t="shared" si="539"/>
        <v>#VALUE!</v>
      </c>
      <c r="GL73" s="1256" t="e">
        <f t="shared" si="540"/>
        <v>#VALUE!</v>
      </c>
      <c r="GM73" s="1256" t="e">
        <f t="shared" si="541"/>
        <v>#VALUE!</v>
      </c>
    </row>
    <row r="74" spans="1:195" ht="15" customHeight="1">
      <c r="A74" s="1739">
        <v>408</v>
      </c>
      <c r="B74" s="1890"/>
      <c r="C74" s="1528" t="s">
        <v>763</v>
      </c>
      <c r="D74" s="1258"/>
      <c r="E74" s="1258"/>
      <c r="F74" s="1258"/>
      <c r="G74" s="1258"/>
      <c r="H74" s="1258"/>
      <c r="I74" s="1258"/>
      <c r="J74" s="1258"/>
      <c r="K74" s="1258"/>
      <c r="L74" s="1258"/>
      <c r="M74" s="1258"/>
      <c r="N74" s="1258"/>
      <c r="O74" s="1258"/>
      <c r="P74" s="1258"/>
      <c r="Q74" s="1258"/>
      <c r="R74" s="1258"/>
      <c r="S74" s="1258"/>
      <c r="T74" s="1258"/>
      <c r="U74" s="1258"/>
      <c r="V74" s="1258"/>
      <c r="W74" s="1258"/>
      <c r="X74" s="1258"/>
      <c r="Y74" s="1258"/>
      <c r="Z74" s="1258"/>
      <c r="AA74" s="1257"/>
      <c r="AB74" s="1257"/>
      <c r="AC74" s="1256">
        <f t="shared" si="615"/>
        <v>0</v>
      </c>
      <c r="AD74" s="1257"/>
      <c r="AE74" s="1257"/>
      <c r="AF74" s="1257"/>
      <c r="AG74" s="1257"/>
      <c r="AH74" s="1257"/>
      <c r="AI74" s="1257"/>
      <c r="AJ74" s="1257"/>
      <c r="AK74" s="1257"/>
      <c r="AL74" s="1257"/>
      <c r="AM74" s="1257"/>
      <c r="AN74" s="1257"/>
      <c r="AO74" s="1257"/>
      <c r="AP74" s="1257"/>
      <c r="AQ74" s="1257"/>
      <c r="AR74" s="1529" t="s">
        <v>284</v>
      </c>
      <c r="AS74" s="1257"/>
      <c r="AT74" s="1257"/>
      <c r="AU74" s="1257"/>
      <c r="AV74" s="1257"/>
      <c r="AW74" s="1257"/>
      <c r="AX74" s="1397">
        <v>17500</v>
      </c>
      <c r="AY74" s="1257"/>
      <c r="AZ74" s="1256">
        <f t="shared" si="417"/>
        <v>0</v>
      </c>
      <c r="BA74" s="1256">
        <f t="shared" si="418"/>
        <v>0</v>
      </c>
      <c r="BB74" s="1257"/>
      <c r="BC74" s="1257"/>
      <c r="BD74" s="1256">
        <f t="shared" si="424"/>
        <v>0</v>
      </c>
      <c r="BE74" s="1256">
        <f t="shared" si="425"/>
        <v>0</v>
      </c>
      <c r="BF74" s="1256">
        <f t="shared" si="426"/>
        <v>0</v>
      </c>
      <c r="BG74" s="1256">
        <f t="shared" si="427"/>
        <v>0</v>
      </c>
      <c r="BH74" s="1256">
        <f t="shared" si="428"/>
        <v>0</v>
      </c>
      <c r="BI74" s="1256">
        <f t="shared" si="429"/>
        <v>0</v>
      </c>
      <c r="BJ74" s="1256">
        <f t="shared" si="430"/>
        <v>0</v>
      </c>
      <c r="BK74" s="1256">
        <f t="shared" si="431"/>
        <v>0</v>
      </c>
      <c r="BL74" s="1256">
        <f t="shared" si="432"/>
        <v>0</v>
      </c>
      <c r="BM74" s="1257"/>
      <c r="BN74" s="1257"/>
      <c r="BO74" s="1257"/>
      <c r="BP74" s="1256">
        <f t="shared" si="433"/>
        <v>0</v>
      </c>
      <c r="BQ74" s="1256">
        <f t="shared" si="434"/>
        <v>0</v>
      </c>
      <c r="BR74" s="1256">
        <f t="shared" si="435"/>
        <v>1944.4444444444443</v>
      </c>
      <c r="BS74" s="1257"/>
      <c r="BT74" s="1257"/>
      <c r="BU74" s="1256">
        <f t="shared" si="419"/>
        <v>0</v>
      </c>
      <c r="BV74" s="1256">
        <f t="shared" si="419"/>
        <v>0</v>
      </c>
      <c r="BW74" s="1256">
        <f t="shared" si="419"/>
        <v>0</v>
      </c>
      <c r="BX74" s="1256">
        <f t="shared" si="419"/>
        <v>0</v>
      </c>
      <c r="BY74" s="1256">
        <f t="shared" si="419"/>
        <v>0</v>
      </c>
      <c r="BZ74" s="1256">
        <f t="shared" si="419"/>
        <v>0</v>
      </c>
      <c r="CA74" s="1256">
        <f t="shared" si="419"/>
        <v>0</v>
      </c>
      <c r="CB74" s="1256">
        <f t="shared" si="419"/>
        <v>0</v>
      </c>
      <c r="CC74" s="1256">
        <f t="shared" si="436"/>
        <v>0</v>
      </c>
      <c r="CD74" s="1256">
        <f t="shared" si="437"/>
        <v>0</v>
      </c>
      <c r="CE74" s="1256">
        <f t="shared" si="438"/>
        <v>0</v>
      </c>
      <c r="CF74" s="1256">
        <f t="shared" si="439"/>
        <v>0</v>
      </c>
      <c r="CG74" s="1256">
        <f t="shared" si="440"/>
        <v>0</v>
      </c>
      <c r="CH74" s="1256">
        <f t="shared" si="441"/>
        <v>0</v>
      </c>
      <c r="CI74" s="1256">
        <f t="shared" si="442"/>
        <v>0</v>
      </c>
      <c r="CJ74" s="1256">
        <f t="shared" si="443"/>
        <v>0</v>
      </c>
      <c r="CK74" s="1256">
        <f t="shared" si="444"/>
        <v>0</v>
      </c>
      <c r="CL74" s="1256">
        <f t="shared" si="445"/>
        <v>0</v>
      </c>
      <c r="CM74" s="1256">
        <f t="shared" si="446"/>
        <v>1750</v>
      </c>
      <c r="CN74" s="1257"/>
      <c r="CO74" s="1257"/>
      <c r="CP74" s="1256">
        <f t="shared" si="447"/>
        <v>0</v>
      </c>
      <c r="CQ74" s="1256">
        <f t="shared" si="448"/>
        <v>0</v>
      </c>
      <c r="CR74" s="1256">
        <f t="shared" si="449"/>
        <v>0</v>
      </c>
      <c r="CS74" s="1256">
        <f t="shared" si="450"/>
        <v>0</v>
      </c>
      <c r="CT74" s="1256">
        <f t="shared" si="451"/>
        <v>0</v>
      </c>
      <c r="CU74" s="1256">
        <f t="shared" si="452"/>
        <v>0</v>
      </c>
      <c r="CV74" s="1256">
        <f t="shared" si="453"/>
        <v>0</v>
      </c>
      <c r="CW74" s="1256">
        <f t="shared" si="454"/>
        <v>0</v>
      </c>
      <c r="CX74" s="1256">
        <f t="shared" si="455"/>
        <v>0</v>
      </c>
      <c r="CY74" s="1256">
        <f t="shared" si="456"/>
        <v>0</v>
      </c>
      <c r="CZ74" s="1256">
        <f t="shared" si="457"/>
        <v>0</v>
      </c>
      <c r="DA74" s="1256">
        <f t="shared" si="458"/>
        <v>0</v>
      </c>
      <c r="DB74" s="1256">
        <f t="shared" si="459"/>
        <v>0</v>
      </c>
      <c r="DC74" s="1256">
        <f t="shared" si="460"/>
        <v>0</v>
      </c>
      <c r="DD74" s="1256">
        <f t="shared" si="461"/>
        <v>0</v>
      </c>
      <c r="DE74" s="1256">
        <f t="shared" si="462"/>
        <v>0</v>
      </c>
      <c r="DF74" s="1256">
        <f t="shared" si="463"/>
        <v>0</v>
      </c>
      <c r="DG74" s="1256">
        <f t="shared" si="464"/>
        <v>0</v>
      </c>
      <c r="DH74" s="1256">
        <f t="shared" si="465"/>
        <v>1575</v>
      </c>
      <c r="DI74" s="1257"/>
      <c r="DJ74" s="1257"/>
      <c r="DK74" s="1256">
        <f t="shared" si="466"/>
        <v>0</v>
      </c>
      <c r="DL74" s="1256">
        <f t="shared" si="467"/>
        <v>0</v>
      </c>
      <c r="DM74" s="1256">
        <f t="shared" si="468"/>
        <v>0</v>
      </c>
      <c r="DN74" s="1256">
        <f t="shared" si="469"/>
        <v>0</v>
      </c>
      <c r="DO74" s="1256">
        <f t="shared" si="470"/>
        <v>0</v>
      </c>
      <c r="DP74" s="1256">
        <f t="shared" si="471"/>
        <v>0</v>
      </c>
      <c r="DQ74" s="1256">
        <f t="shared" si="472"/>
        <v>0</v>
      </c>
      <c r="DR74" s="1256">
        <f t="shared" si="473"/>
        <v>0</v>
      </c>
      <c r="DS74" s="1256">
        <f t="shared" si="474"/>
        <v>0</v>
      </c>
      <c r="DT74" s="1256">
        <f t="shared" si="475"/>
        <v>0</v>
      </c>
      <c r="DU74" s="1256">
        <f t="shared" si="476"/>
        <v>0</v>
      </c>
      <c r="DV74" s="1256">
        <f t="shared" si="477"/>
        <v>0</v>
      </c>
      <c r="DW74" s="1256">
        <f t="shared" si="478"/>
        <v>0</v>
      </c>
      <c r="DX74" s="1256">
        <f t="shared" si="479"/>
        <v>0</v>
      </c>
      <c r="DY74" s="1256">
        <f t="shared" si="480"/>
        <v>0</v>
      </c>
      <c r="DZ74" s="1256">
        <f t="shared" si="481"/>
        <v>0</v>
      </c>
      <c r="EA74" s="1256">
        <f t="shared" si="482"/>
        <v>0</v>
      </c>
      <c r="EB74" s="1256">
        <f t="shared" si="483"/>
        <v>0</v>
      </c>
      <c r="EC74" s="1256">
        <f t="shared" si="484"/>
        <v>1400</v>
      </c>
      <c r="ED74" s="1257"/>
      <c r="EE74" s="1257"/>
      <c r="EF74" s="1256">
        <f t="shared" si="485"/>
        <v>0</v>
      </c>
      <c r="EG74" s="1256">
        <f t="shared" si="486"/>
        <v>0</v>
      </c>
      <c r="EH74" s="1256">
        <f t="shared" si="487"/>
        <v>0</v>
      </c>
      <c r="EI74" s="1256">
        <f t="shared" si="488"/>
        <v>0</v>
      </c>
      <c r="EJ74" s="1256">
        <f t="shared" si="489"/>
        <v>0</v>
      </c>
      <c r="EK74" s="1256">
        <f t="shared" si="490"/>
        <v>0</v>
      </c>
      <c r="EL74" s="1256">
        <f t="shared" si="491"/>
        <v>0</v>
      </c>
      <c r="EM74" s="1256">
        <f t="shared" si="492"/>
        <v>0</v>
      </c>
      <c r="EN74" s="1256">
        <f t="shared" si="493"/>
        <v>0</v>
      </c>
      <c r="EO74" s="1256">
        <f t="shared" si="494"/>
        <v>0</v>
      </c>
      <c r="EP74" s="1256">
        <f t="shared" si="495"/>
        <v>0</v>
      </c>
      <c r="EQ74" s="1256">
        <f t="shared" si="496"/>
        <v>0</v>
      </c>
      <c r="ER74" s="1256">
        <f t="shared" si="497"/>
        <v>0</v>
      </c>
      <c r="ES74" s="1256">
        <f t="shared" si="498"/>
        <v>0</v>
      </c>
      <c r="ET74" s="1256">
        <f t="shared" si="499"/>
        <v>0</v>
      </c>
      <c r="EU74" s="1256">
        <f t="shared" si="500"/>
        <v>0</v>
      </c>
      <c r="EV74" s="1256">
        <f t="shared" si="501"/>
        <v>0</v>
      </c>
      <c r="EW74" s="1256">
        <f t="shared" si="502"/>
        <v>0</v>
      </c>
      <c r="EX74" s="1256">
        <f t="shared" si="503"/>
        <v>1225</v>
      </c>
      <c r="EY74" s="1256"/>
      <c r="EZ74" s="1257"/>
      <c r="FA74" s="1256">
        <f t="shared" si="504"/>
        <v>0</v>
      </c>
      <c r="FB74" s="1256">
        <f t="shared" si="505"/>
        <v>0</v>
      </c>
      <c r="FC74" s="1256">
        <f t="shared" si="506"/>
        <v>0</v>
      </c>
      <c r="FD74" s="1256">
        <f t="shared" si="507"/>
        <v>0</v>
      </c>
      <c r="FE74" s="1256">
        <f t="shared" si="508"/>
        <v>0</v>
      </c>
      <c r="FF74" s="1256">
        <f t="shared" si="509"/>
        <v>0</v>
      </c>
      <c r="FG74" s="1256">
        <f t="shared" si="510"/>
        <v>0</v>
      </c>
      <c r="FH74" s="1256">
        <f t="shared" si="511"/>
        <v>0</v>
      </c>
      <c r="FI74" s="1256">
        <f t="shared" si="512"/>
        <v>0</v>
      </c>
      <c r="FJ74" s="1256">
        <f t="shared" si="513"/>
        <v>0</v>
      </c>
      <c r="FK74" s="1256">
        <f t="shared" si="514"/>
        <v>0</v>
      </c>
      <c r="FL74" s="1256">
        <f t="shared" si="515"/>
        <v>0</v>
      </c>
      <c r="FM74" s="1256">
        <f t="shared" si="516"/>
        <v>0</v>
      </c>
      <c r="FN74" s="1256">
        <f t="shared" si="517"/>
        <v>0</v>
      </c>
      <c r="FO74" s="1256">
        <f t="shared" si="518"/>
        <v>0</v>
      </c>
      <c r="FP74" s="1256">
        <f t="shared" si="519"/>
        <v>0</v>
      </c>
      <c r="FQ74" s="1256">
        <f t="shared" si="520"/>
        <v>0</v>
      </c>
      <c r="FR74" s="1256">
        <f t="shared" si="521"/>
        <v>0</v>
      </c>
      <c r="FS74" s="1256">
        <f t="shared" si="522"/>
        <v>1050</v>
      </c>
      <c r="FT74" s="1257"/>
      <c r="FU74" s="1256" t="e">
        <f t="shared" si="523"/>
        <v>#VALUE!</v>
      </c>
      <c r="FV74" s="1256" t="e">
        <f t="shared" si="524"/>
        <v>#VALUE!</v>
      </c>
      <c r="FW74" s="1256" t="e">
        <f t="shared" si="525"/>
        <v>#VALUE!</v>
      </c>
      <c r="FX74" s="1256" t="e">
        <f t="shared" si="526"/>
        <v>#VALUE!</v>
      </c>
      <c r="FY74" s="1256" t="e">
        <f t="shared" si="527"/>
        <v>#VALUE!</v>
      </c>
      <c r="FZ74" s="1256" t="e">
        <f t="shared" si="528"/>
        <v>#VALUE!</v>
      </c>
      <c r="GA74" s="1256" t="e">
        <f t="shared" si="529"/>
        <v>#VALUE!</v>
      </c>
      <c r="GB74" s="1256" t="e">
        <f t="shared" si="530"/>
        <v>#VALUE!</v>
      </c>
      <c r="GC74" s="1256" t="e">
        <f t="shared" si="531"/>
        <v>#VALUE!</v>
      </c>
      <c r="GD74" s="1256" t="e">
        <f t="shared" si="532"/>
        <v>#VALUE!</v>
      </c>
      <c r="GE74" s="1256" t="e">
        <f t="shared" si="533"/>
        <v>#VALUE!</v>
      </c>
      <c r="GF74" s="1256" t="e">
        <f t="shared" si="534"/>
        <v>#VALUE!</v>
      </c>
      <c r="GG74" s="1256" t="e">
        <f t="shared" si="535"/>
        <v>#VALUE!</v>
      </c>
      <c r="GH74" s="1256" t="e">
        <f t="shared" si="536"/>
        <v>#VALUE!</v>
      </c>
      <c r="GI74" s="1256" t="e">
        <f t="shared" si="537"/>
        <v>#VALUE!</v>
      </c>
      <c r="GJ74" s="1256" t="e">
        <f t="shared" si="538"/>
        <v>#VALUE!</v>
      </c>
      <c r="GK74" s="1256" t="e">
        <f t="shared" si="539"/>
        <v>#VALUE!</v>
      </c>
      <c r="GL74" s="1256" t="e">
        <f t="shared" si="540"/>
        <v>#VALUE!</v>
      </c>
      <c r="GM74" s="1256" t="e">
        <f t="shared" si="541"/>
        <v>#VALUE!</v>
      </c>
    </row>
    <row r="75" spans="1:195" ht="15" customHeight="1">
      <c r="A75" s="1631">
        <v>409</v>
      </c>
      <c r="B75" s="1890"/>
      <c r="C75" s="1528" t="s">
        <v>764</v>
      </c>
      <c r="D75" s="1258"/>
      <c r="E75" s="1258"/>
      <c r="F75" s="1258"/>
      <c r="G75" s="1258"/>
      <c r="H75" s="1258"/>
      <c r="I75" s="1258"/>
      <c r="J75" s="1258"/>
      <c r="K75" s="1258"/>
      <c r="L75" s="1258"/>
      <c r="M75" s="1258"/>
      <c r="N75" s="1258"/>
      <c r="O75" s="1258"/>
      <c r="P75" s="1258"/>
      <c r="Q75" s="1258"/>
      <c r="R75" s="1258"/>
      <c r="S75" s="1258"/>
      <c r="T75" s="1258"/>
      <c r="U75" s="1258"/>
      <c r="V75" s="1258"/>
      <c r="W75" s="1258"/>
      <c r="X75" s="1258"/>
      <c r="Y75" s="1258"/>
      <c r="Z75" s="1258"/>
      <c r="AA75" s="1257"/>
      <c r="AB75" s="1257"/>
      <c r="AC75" s="1256">
        <f t="shared" si="615"/>
        <v>0</v>
      </c>
      <c r="AD75" s="1257"/>
      <c r="AE75" s="1257"/>
      <c r="AF75" s="1257"/>
      <c r="AG75" s="1257"/>
      <c r="AH75" s="1257"/>
      <c r="AI75" s="1257"/>
      <c r="AJ75" s="1257"/>
      <c r="AK75" s="1257"/>
      <c r="AL75" s="1257"/>
      <c r="AM75" s="1257"/>
      <c r="AN75" s="1257"/>
      <c r="AO75" s="1257"/>
      <c r="AP75" s="1257"/>
      <c r="AQ75" s="1257"/>
      <c r="AR75" s="1529" t="s">
        <v>284</v>
      </c>
      <c r="AS75" s="1257"/>
      <c r="AT75" s="1257"/>
      <c r="AU75" s="1257"/>
      <c r="AV75" s="1257"/>
      <c r="AW75" s="1257"/>
      <c r="AX75" s="1397">
        <v>17500</v>
      </c>
      <c r="AY75" s="1257"/>
      <c r="AZ75" s="1256">
        <f t="shared" si="417"/>
        <v>0</v>
      </c>
      <c r="BA75" s="1256">
        <f t="shared" si="418"/>
        <v>0</v>
      </c>
      <c r="BB75" s="1257"/>
      <c r="BC75" s="1257"/>
      <c r="BD75" s="1256">
        <f t="shared" si="424"/>
        <v>0</v>
      </c>
      <c r="BE75" s="1256">
        <f t="shared" si="425"/>
        <v>0</v>
      </c>
      <c r="BF75" s="1256">
        <f t="shared" si="426"/>
        <v>0</v>
      </c>
      <c r="BG75" s="1256">
        <f t="shared" si="427"/>
        <v>0</v>
      </c>
      <c r="BH75" s="1256">
        <f t="shared" si="428"/>
        <v>0</v>
      </c>
      <c r="BI75" s="1256">
        <f t="shared" si="429"/>
        <v>0</v>
      </c>
      <c r="BJ75" s="1256">
        <f t="shared" si="430"/>
        <v>0</v>
      </c>
      <c r="BK75" s="1256">
        <f t="shared" si="431"/>
        <v>0</v>
      </c>
      <c r="BL75" s="1256">
        <f t="shared" si="432"/>
        <v>0</v>
      </c>
      <c r="BM75" s="1257"/>
      <c r="BN75" s="1257"/>
      <c r="BO75" s="1257"/>
      <c r="BP75" s="1256">
        <f t="shared" si="433"/>
        <v>0</v>
      </c>
      <c r="BQ75" s="1256">
        <f t="shared" si="434"/>
        <v>0</v>
      </c>
      <c r="BR75" s="1256">
        <f t="shared" si="435"/>
        <v>1944.4444444444443</v>
      </c>
      <c r="BS75" s="1257"/>
      <c r="BT75" s="1257"/>
      <c r="BU75" s="1256">
        <f t="shared" si="419"/>
        <v>0</v>
      </c>
      <c r="BV75" s="1256">
        <f t="shared" si="419"/>
        <v>0</v>
      </c>
      <c r="BW75" s="1256">
        <f t="shared" si="419"/>
        <v>0</v>
      </c>
      <c r="BX75" s="1256">
        <f t="shared" si="419"/>
        <v>0</v>
      </c>
      <c r="BY75" s="1256">
        <f t="shared" si="419"/>
        <v>0</v>
      </c>
      <c r="BZ75" s="1256">
        <f t="shared" si="419"/>
        <v>0</v>
      </c>
      <c r="CA75" s="1256">
        <f t="shared" si="419"/>
        <v>0</v>
      </c>
      <c r="CB75" s="1256">
        <f t="shared" si="419"/>
        <v>0</v>
      </c>
      <c r="CC75" s="1256">
        <f t="shared" si="436"/>
        <v>0</v>
      </c>
      <c r="CD75" s="1256">
        <f t="shared" si="437"/>
        <v>0</v>
      </c>
      <c r="CE75" s="1256">
        <f t="shared" si="438"/>
        <v>0</v>
      </c>
      <c r="CF75" s="1256">
        <f t="shared" si="439"/>
        <v>0</v>
      </c>
      <c r="CG75" s="1256">
        <f t="shared" si="440"/>
        <v>0</v>
      </c>
      <c r="CH75" s="1256">
        <f t="shared" si="441"/>
        <v>0</v>
      </c>
      <c r="CI75" s="1256">
        <f t="shared" si="442"/>
        <v>0</v>
      </c>
      <c r="CJ75" s="1256">
        <f t="shared" si="443"/>
        <v>0</v>
      </c>
      <c r="CK75" s="1256">
        <f t="shared" si="444"/>
        <v>0</v>
      </c>
      <c r="CL75" s="1256">
        <f t="shared" si="445"/>
        <v>0</v>
      </c>
      <c r="CM75" s="1256">
        <f t="shared" si="446"/>
        <v>1750</v>
      </c>
      <c r="CN75" s="1257"/>
      <c r="CO75" s="1257"/>
      <c r="CP75" s="1256">
        <f t="shared" si="447"/>
        <v>0</v>
      </c>
      <c r="CQ75" s="1256">
        <f t="shared" si="448"/>
        <v>0</v>
      </c>
      <c r="CR75" s="1256">
        <f t="shared" si="449"/>
        <v>0</v>
      </c>
      <c r="CS75" s="1256">
        <f t="shared" si="450"/>
        <v>0</v>
      </c>
      <c r="CT75" s="1256">
        <f t="shared" si="451"/>
        <v>0</v>
      </c>
      <c r="CU75" s="1256">
        <f t="shared" si="452"/>
        <v>0</v>
      </c>
      <c r="CV75" s="1256">
        <f t="shared" si="453"/>
        <v>0</v>
      </c>
      <c r="CW75" s="1256">
        <f t="shared" si="454"/>
        <v>0</v>
      </c>
      <c r="CX75" s="1256">
        <f t="shared" si="455"/>
        <v>0</v>
      </c>
      <c r="CY75" s="1256">
        <f t="shared" si="456"/>
        <v>0</v>
      </c>
      <c r="CZ75" s="1256">
        <f t="shared" si="457"/>
        <v>0</v>
      </c>
      <c r="DA75" s="1256">
        <f t="shared" si="458"/>
        <v>0</v>
      </c>
      <c r="DB75" s="1256">
        <f t="shared" si="459"/>
        <v>0</v>
      </c>
      <c r="DC75" s="1256">
        <f t="shared" si="460"/>
        <v>0</v>
      </c>
      <c r="DD75" s="1256">
        <f t="shared" si="461"/>
        <v>0</v>
      </c>
      <c r="DE75" s="1256">
        <f t="shared" si="462"/>
        <v>0</v>
      </c>
      <c r="DF75" s="1256">
        <f t="shared" si="463"/>
        <v>0</v>
      </c>
      <c r="DG75" s="1256">
        <f t="shared" si="464"/>
        <v>0</v>
      </c>
      <c r="DH75" s="1256">
        <f t="shared" si="465"/>
        <v>1575</v>
      </c>
      <c r="DI75" s="1257"/>
      <c r="DJ75" s="1257"/>
      <c r="DK75" s="1256">
        <f t="shared" si="466"/>
        <v>0</v>
      </c>
      <c r="DL75" s="1256">
        <f t="shared" si="467"/>
        <v>0</v>
      </c>
      <c r="DM75" s="1256">
        <f t="shared" si="468"/>
        <v>0</v>
      </c>
      <c r="DN75" s="1256">
        <f t="shared" si="469"/>
        <v>0</v>
      </c>
      <c r="DO75" s="1256">
        <f t="shared" si="470"/>
        <v>0</v>
      </c>
      <c r="DP75" s="1256">
        <f t="shared" si="471"/>
        <v>0</v>
      </c>
      <c r="DQ75" s="1256">
        <f t="shared" si="472"/>
        <v>0</v>
      </c>
      <c r="DR75" s="1256">
        <f t="shared" si="473"/>
        <v>0</v>
      </c>
      <c r="DS75" s="1256">
        <f t="shared" si="474"/>
        <v>0</v>
      </c>
      <c r="DT75" s="1256">
        <f t="shared" si="475"/>
        <v>0</v>
      </c>
      <c r="DU75" s="1256">
        <f t="shared" si="476"/>
        <v>0</v>
      </c>
      <c r="DV75" s="1256">
        <f t="shared" si="477"/>
        <v>0</v>
      </c>
      <c r="DW75" s="1256">
        <f t="shared" si="478"/>
        <v>0</v>
      </c>
      <c r="DX75" s="1256">
        <f t="shared" si="479"/>
        <v>0</v>
      </c>
      <c r="DY75" s="1256">
        <f t="shared" si="480"/>
        <v>0</v>
      </c>
      <c r="DZ75" s="1256">
        <f t="shared" si="481"/>
        <v>0</v>
      </c>
      <c r="EA75" s="1256">
        <f t="shared" si="482"/>
        <v>0</v>
      </c>
      <c r="EB75" s="1256">
        <f t="shared" si="483"/>
        <v>0</v>
      </c>
      <c r="EC75" s="1256">
        <f t="shared" si="484"/>
        <v>1400</v>
      </c>
      <c r="ED75" s="1257"/>
      <c r="EE75" s="1257"/>
      <c r="EF75" s="1256">
        <f t="shared" si="485"/>
        <v>0</v>
      </c>
      <c r="EG75" s="1256">
        <f t="shared" si="486"/>
        <v>0</v>
      </c>
      <c r="EH75" s="1256">
        <f t="shared" si="487"/>
        <v>0</v>
      </c>
      <c r="EI75" s="1256">
        <f t="shared" si="488"/>
        <v>0</v>
      </c>
      <c r="EJ75" s="1256">
        <f t="shared" si="489"/>
        <v>0</v>
      </c>
      <c r="EK75" s="1256">
        <f t="shared" si="490"/>
        <v>0</v>
      </c>
      <c r="EL75" s="1256">
        <f t="shared" si="491"/>
        <v>0</v>
      </c>
      <c r="EM75" s="1256">
        <f t="shared" si="492"/>
        <v>0</v>
      </c>
      <c r="EN75" s="1256">
        <f t="shared" si="493"/>
        <v>0</v>
      </c>
      <c r="EO75" s="1256">
        <f t="shared" si="494"/>
        <v>0</v>
      </c>
      <c r="EP75" s="1256">
        <f t="shared" si="495"/>
        <v>0</v>
      </c>
      <c r="EQ75" s="1256">
        <f t="shared" si="496"/>
        <v>0</v>
      </c>
      <c r="ER75" s="1256">
        <f t="shared" si="497"/>
        <v>0</v>
      </c>
      <c r="ES75" s="1256">
        <f t="shared" si="498"/>
        <v>0</v>
      </c>
      <c r="ET75" s="1256">
        <f t="shared" si="499"/>
        <v>0</v>
      </c>
      <c r="EU75" s="1256">
        <f t="shared" si="500"/>
        <v>0</v>
      </c>
      <c r="EV75" s="1256">
        <f t="shared" si="501"/>
        <v>0</v>
      </c>
      <c r="EW75" s="1256">
        <f t="shared" si="502"/>
        <v>0</v>
      </c>
      <c r="EX75" s="1256">
        <f t="shared" si="503"/>
        <v>1225</v>
      </c>
      <c r="EY75" s="1256"/>
      <c r="EZ75" s="1257"/>
      <c r="FA75" s="1256">
        <f t="shared" si="504"/>
        <v>0</v>
      </c>
      <c r="FB75" s="1256">
        <f t="shared" si="505"/>
        <v>0</v>
      </c>
      <c r="FC75" s="1256">
        <f t="shared" si="506"/>
        <v>0</v>
      </c>
      <c r="FD75" s="1256">
        <f t="shared" si="507"/>
        <v>0</v>
      </c>
      <c r="FE75" s="1256">
        <f t="shared" si="508"/>
        <v>0</v>
      </c>
      <c r="FF75" s="1256">
        <f t="shared" si="509"/>
        <v>0</v>
      </c>
      <c r="FG75" s="1256">
        <f t="shared" si="510"/>
        <v>0</v>
      </c>
      <c r="FH75" s="1256">
        <f t="shared" si="511"/>
        <v>0</v>
      </c>
      <c r="FI75" s="1256">
        <f t="shared" si="512"/>
        <v>0</v>
      </c>
      <c r="FJ75" s="1256">
        <f t="shared" si="513"/>
        <v>0</v>
      </c>
      <c r="FK75" s="1256">
        <f t="shared" si="514"/>
        <v>0</v>
      </c>
      <c r="FL75" s="1256">
        <f t="shared" si="515"/>
        <v>0</v>
      </c>
      <c r="FM75" s="1256">
        <f t="shared" si="516"/>
        <v>0</v>
      </c>
      <c r="FN75" s="1256">
        <f t="shared" si="517"/>
        <v>0</v>
      </c>
      <c r="FO75" s="1256">
        <f t="shared" si="518"/>
        <v>0</v>
      </c>
      <c r="FP75" s="1256">
        <f t="shared" si="519"/>
        <v>0</v>
      </c>
      <c r="FQ75" s="1256">
        <f t="shared" si="520"/>
        <v>0</v>
      </c>
      <c r="FR75" s="1256">
        <f t="shared" si="521"/>
        <v>0</v>
      </c>
      <c r="FS75" s="1256">
        <f t="shared" si="522"/>
        <v>1050</v>
      </c>
      <c r="FT75" s="1257"/>
      <c r="FU75" s="1256" t="e">
        <f t="shared" si="523"/>
        <v>#VALUE!</v>
      </c>
      <c r="FV75" s="1256" t="e">
        <f t="shared" si="524"/>
        <v>#VALUE!</v>
      </c>
      <c r="FW75" s="1256" t="e">
        <f t="shared" si="525"/>
        <v>#VALUE!</v>
      </c>
      <c r="FX75" s="1256" t="e">
        <f t="shared" si="526"/>
        <v>#VALUE!</v>
      </c>
      <c r="FY75" s="1256" t="e">
        <f t="shared" si="527"/>
        <v>#VALUE!</v>
      </c>
      <c r="FZ75" s="1256" t="e">
        <f t="shared" si="528"/>
        <v>#VALUE!</v>
      </c>
      <c r="GA75" s="1256" t="e">
        <f t="shared" si="529"/>
        <v>#VALUE!</v>
      </c>
      <c r="GB75" s="1256" t="e">
        <f t="shared" si="530"/>
        <v>#VALUE!</v>
      </c>
      <c r="GC75" s="1256" t="e">
        <f t="shared" si="531"/>
        <v>#VALUE!</v>
      </c>
      <c r="GD75" s="1256" t="e">
        <f t="shared" si="532"/>
        <v>#VALUE!</v>
      </c>
      <c r="GE75" s="1256" t="e">
        <f t="shared" si="533"/>
        <v>#VALUE!</v>
      </c>
      <c r="GF75" s="1256" t="e">
        <f t="shared" si="534"/>
        <v>#VALUE!</v>
      </c>
      <c r="GG75" s="1256" t="e">
        <f t="shared" si="535"/>
        <v>#VALUE!</v>
      </c>
      <c r="GH75" s="1256" t="e">
        <f t="shared" si="536"/>
        <v>#VALUE!</v>
      </c>
      <c r="GI75" s="1256" t="e">
        <f t="shared" si="537"/>
        <v>#VALUE!</v>
      </c>
      <c r="GJ75" s="1256" t="e">
        <f t="shared" si="538"/>
        <v>#VALUE!</v>
      </c>
      <c r="GK75" s="1256" t="e">
        <f t="shared" si="539"/>
        <v>#VALUE!</v>
      </c>
      <c r="GL75" s="1256" t="e">
        <f t="shared" si="540"/>
        <v>#VALUE!</v>
      </c>
      <c r="GM75" s="1256" t="e">
        <f t="shared" si="541"/>
        <v>#VALUE!</v>
      </c>
    </row>
    <row r="76" spans="1:195" ht="15" customHeight="1">
      <c r="A76" s="1739">
        <v>410</v>
      </c>
      <c r="B76" s="1891"/>
      <c r="C76" s="1528" t="s">
        <v>765</v>
      </c>
      <c r="D76" s="1258"/>
      <c r="E76" s="1258"/>
      <c r="F76" s="1258"/>
      <c r="G76" s="1258"/>
      <c r="H76" s="1258"/>
      <c r="I76" s="1258"/>
      <c r="J76" s="1258"/>
      <c r="K76" s="1258"/>
      <c r="L76" s="1258"/>
      <c r="M76" s="1258"/>
      <c r="N76" s="1258"/>
      <c r="O76" s="1258"/>
      <c r="P76" s="1258"/>
      <c r="Q76" s="1258"/>
      <c r="R76" s="1258"/>
      <c r="S76" s="1258"/>
      <c r="T76" s="1258"/>
      <c r="U76" s="1258"/>
      <c r="V76" s="1258"/>
      <c r="W76" s="1258"/>
      <c r="X76" s="1258"/>
      <c r="Y76" s="1258"/>
      <c r="Z76" s="1258"/>
      <c r="AA76" s="1257"/>
      <c r="AB76" s="1257"/>
      <c r="AC76" s="1256">
        <f t="shared" si="615"/>
        <v>0</v>
      </c>
      <c r="AD76" s="1257"/>
      <c r="AE76" s="1257"/>
      <c r="AF76" s="1257"/>
      <c r="AG76" s="1257"/>
      <c r="AH76" s="1257"/>
      <c r="AI76" s="1257"/>
      <c r="AJ76" s="1257"/>
      <c r="AK76" s="1257"/>
      <c r="AL76" s="1257"/>
      <c r="AM76" s="1257"/>
      <c r="AN76" s="1257"/>
      <c r="AO76" s="1257"/>
      <c r="AP76" s="1257"/>
      <c r="AQ76" s="1257"/>
      <c r="AR76" s="1529" t="s">
        <v>284</v>
      </c>
      <c r="AS76" s="1257"/>
      <c r="AT76" s="1257"/>
      <c r="AU76" s="1257"/>
      <c r="AV76" s="1257"/>
      <c r="AW76" s="1257"/>
      <c r="AX76" s="1397">
        <v>17500</v>
      </c>
      <c r="AY76" s="1257"/>
      <c r="AZ76" s="1256">
        <f t="shared" si="417"/>
        <v>0</v>
      </c>
      <c r="BA76" s="1256">
        <f t="shared" si="418"/>
        <v>0</v>
      </c>
      <c r="BB76" s="1257"/>
      <c r="BC76" s="1257"/>
      <c r="BD76" s="1256">
        <f t="shared" si="424"/>
        <v>0</v>
      </c>
      <c r="BE76" s="1256">
        <f t="shared" si="425"/>
        <v>0</v>
      </c>
      <c r="BF76" s="1256">
        <f t="shared" si="426"/>
        <v>0</v>
      </c>
      <c r="BG76" s="1256">
        <f t="shared" si="427"/>
        <v>0</v>
      </c>
      <c r="BH76" s="1256">
        <f t="shared" si="428"/>
        <v>0</v>
      </c>
      <c r="BI76" s="1256">
        <f t="shared" si="429"/>
        <v>0</v>
      </c>
      <c r="BJ76" s="1256">
        <f t="shared" si="430"/>
        <v>0</v>
      </c>
      <c r="BK76" s="1256">
        <f t="shared" si="431"/>
        <v>0</v>
      </c>
      <c r="BL76" s="1256">
        <f t="shared" si="432"/>
        <v>0</v>
      </c>
      <c r="BM76" s="1257"/>
      <c r="BN76" s="1257"/>
      <c r="BO76" s="1257"/>
      <c r="BP76" s="1256">
        <f t="shared" si="433"/>
        <v>0</v>
      </c>
      <c r="BQ76" s="1256">
        <f t="shared" si="434"/>
        <v>0</v>
      </c>
      <c r="BR76" s="1256">
        <f t="shared" si="435"/>
        <v>1944.4444444444443</v>
      </c>
      <c r="BS76" s="1257"/>
      <c r="BT76" s="1257"/>
      <c r="BU76" s="1256">
        <f t="shared" si="419"/>
        <v>0</v>
      </c>
      <c r="BV76" s="1256">
        <f t="shared" si="419"/>
        <v>0</v>
      </c>
      <c r="BW76" s="1256">
        <f t="shared" si="419"/>
        <v>0</v>
      </c>
      <c r="BX76" s="1256">
        <f t="shared" si="419"/>
        <v>0</v>
      </c>
      <c r="BY76" s="1256">
        <f t="shared" si="419"/>
        <v>0</v>
      </c>
      <c r="BZ76" s="1256">
        <f t="shared" si="419"/>
        <v>0</v>
      </c>
      <c r="CA76" s="1256">
        <f t="shared" si="419"/>
        <v>0</v>
      </c>
      <c r="CB76" s="1256">
        <f t="shared" si="419"/>
        <v>0</v>
      </c>
      <c r="CC76" s="1256">
        <f t="shared" si="436"/>
        <v>0</v>
      </c>
      <c r="CD76" s="1256">
        <f t="shared" si="437"/>
        <v>0</v>
      </c>
      <c r="CE76" s="1256">
        <f t="shared" si="438"/>
        <v>0</v>
      </c>
      <c r="CF76" s="1256">
        <f t="shared" si="439"/>
        <v>0</v>
      </c>
      <c r="CG76" s="1256">
        <f t="shared" si="440"/>
        <v>0</v>
      </c>
      <c r="CH76" s="1256">
        <f t="shared" si="441"/>
        <v>0</v>
      </c>
      <c r="CI76" s="1256">
        <f t="shared" si="442"/>
        <v>0</v>
      </c>
      <c r="CJ76" s="1256">
        <f t="shared" si="443"/>
        <v>0</v>
      </c>
      <c r="CK76" s="1256">
        <f t="shared" si="444"/>
        <v>0</v>
      </c>
      <c r="CL76" s="1256">
        <f t="shared" si="445"/>
        <v>0</v>
      </c>
      <c r="CM76" s="1256">
        <f t="shared" si="446"/>
        <v>1750</v>
      </c>
      <c r="CN76" s="1257"/>
      <c r="CO76" s="1257"/>
      <c r="CP76" s="1256">
        <f t="shared" si="447"/>
        <v>0</v>
      </c>
      <c r="CQ76" s="1256">
        <f t="shared" si="448"/>
        <v>0</v>
      </c>
      <c r="CR76" s="1256">
        <f t="shared" si="449"/>
        <v>0</v>
      </c>
      <c r="CS76" s="1256">
        <f t="shared" si="450"/>
        <v>0</v>
      </c>
      <c r="CT76" s="1256">
        <f t="shared" si="451"/>
        <v>0</v>
      </c>
      <c r="CU76" s="1256">
        <f t="shared" si="452"/>
        <v>0</v>
      </c>
      <c r="CV76" s="1256">
        <f t="shared" si="453"/>
        <v>0</v>
      </c>
      <c r="CW76" s="1256">
        <f t="shared" si="454"/>
        <v>0</v>
      </c>
      <c r="CX76" s="1256">
        <f t="shared" si="455"/>
        <v>0</v>
      </c>
      <c r="CY76" s="1256">
        <f t="shared" si="456"/>
        <v>0</v>
      </c>
      <c r="CZ76" s="1256">
        <f t="shared" si="457"/>
        <v>0</v>
      </c>
      <c r="DA76" s="1256">
        <f t="shared" si="458"/>
        <v>0</v>
      </c>
      <c r="DB76" s="1256">
        <f t="shared" si="459"/>
        <v>0</v>
      </c>
      <c r="DC76" s="1256">
        <f t="shared" si="460"/>
        <v>0</v>
      </c>
      <c r="DD76" s="1256">
        <f t="shared" si="461"/>
        <v>0</v>
      </c>
      <c r="DE76" s="1256">
        <f t="shared" si="462"/>
        <v>0</v>
      </c>
      <c r="DF76" s="1256">
        <f t="shared" si="463"/>
        <v>0</v>
      </c>
      <c r="DG76" s="1256">
        <f t="shared" si="464"/>
        <v>0</v>
      </c>
      <c r="DH76" s="1256">
        <f t="shared" si="465"/>
        <v>1575</v>
      </c>
      <c r="DI76" s="1257"/>
      <c r="DJ76" s="1257"/>
      <c r="DK76" s="1256">
        <f t="shared" si="466"/>
        <v>0</v>
      </c>
      <c r="DL76" s="1256">
        <f t="shared" si="467"/>
        <v>0</v>
      </c>
      <c r="DM76" s="1256">
        <f t="shared" si="468"/>
        <v>0</v>
      </c>
      <c r="DN76" s="1256">
        <f t="shared" si="469"/>
        <v>0</v>
      </c>
      <c r="DO76" s="1256">
        <f t="shared" si="470"/>
        <v>0</v>
      </c>
      <c r="DP76" s="1256">
        <f t="shared" si="471"/>
        <v>0</v>
      </c>
      <c r="DQ76" s="1256">
        <f t="shared" si="472"/>
        <v>0</v>
      </c>
      <c r="DR76" s="1256">
        <f t="shared" si="473"/>
        <v>0</v>
      </c>
      <c r="DS76" s="1256">
        <f t="shared" si="474"/>
        <v>0</v>
      </c>
      <c r="DT76" s="1256">
        <f t="shared" si="475"/>
        <v>0</v>
      </c>
      <c r="DU76" s="1256">
        <f t="shared" si="476"/>
        <v>0</v>
      </c>
      <c r="DV76" s="1256">
        <f t="shared" si="477"/>
        <v>0</v>
      </c>
      <c r="DW76" s="1256">
        <f t="shared" si="478"/>
        <v>0</v>
      </c>
      <c r="DX76" s="1256">
        <f t="shared" si="479"/>
        <v>0</v>
      </c>
      <c r="DY76" s="1256">
        <f t="shared" si="480"/>
        <v>0</v>
      </c>
      <c r="DZ76" s="1256">
        <f t="shared" si="481"/>
        <v>0</v>
      </c>
      <c r="EA76" s="1256">
        <f t="shared" si="482"/>
        <v>0</v>
      </c>
      <c r="EB76" s="1256">
        <f t="shared" si="483"/>
        <v>0</v>
      </c>
      <c r="EC76" s="1256">
        <f t="shared" si="484"/>
        <v>1400</v>
      </c>
      <c r="ED76" s="1257"/>
      <c r="EE76" s="1257"/>
      <c r="EF76" s="1256">
        <f t="shared" si="485"/>
        <v>0</v>
      </c>
      <c r="EG76" s="1256">
        <f t="shared" si="486"/>
        <v>0</v>
      </c>
      <c r="EH76" s="1256">
        <f t="shared" si="487"/>
        <v>0</v>
      </c>
      <c r="EI76" s="1256">
        <f t="shared" si="488"/>
        <v>0</v>
      </c>
      <c r="EJ76" s="1256">
        <f t="shared" si="489"/>
        <v>0</v>
      </c>
      <c r="EK76" s="1256">
        <f t="shared" si="490"/>
        <v>0</v>
      </c>
      <c r="EL76" s="1256">
        <f t="shared" si="491"/>
        <v>0</v>
      </c>
      <c r="EM76" s="1256">
        <f t="shared" si="492"/>
        <v>0</v>
      </c>
      <c r="EN76" s="1256">
        <f t="shared" si="493"/>
        <v>0</v>
      </c>
      <c r="EO76" s="1256">
        <f t="shared" si="494"/>
        <v>0</v>
      </c>
      <c r="EP76" s="1256">
        <f t="shared" si="495"/>
        <v>0</v>
      </c>
      <c r="EQ76" s="1256">
        <f t="shared" si="496"/>
        <v>0</v>
      </c>
      <c r="ER76" s="1256">
        <f t="shared" si="497"/>
        <v>0</v>
      </c>
      <c r="ES76" s="1256">
        <f t="shared" si="498"/>
        <v>0</v>
      </c>
      <c r="ET76" s="1256">
        <f t="shared" si="499"/>
        <v>0</v>
      </c>
      <c r="EU76" s="1256">
        <f t="shared" si="500"/>
        <v>0</v>
      </c>
      <c r="EV76" s="1256">
        <f t="shared" si="501"/>
        <v>0</v>
      </c>
      <c r="EW76" s="1256">
        <f t="shared" si="502"/>
        <v>0</v>
      </c>
      <c r="EX76" s="1256">
        <f t="shared" si="503"/>
        <v>1225</v>
      </c>
      <c r="EY76" s="1256"/>
      <c r="EZ76" s="1257"/>
      <c r="FA76" s="1256">
        <f t="shared" si="504"/>
        <v>0</v>
      </c>
      <c r="FB76" s="1256">
        <f t="shared" si="505"/>
        <v>0</v>
      </c>
      <c r="FC76" s="1256">
        <f t="shared" si="506"/>
        <v>0</v>
      </c>
      <c r="FD76" s="1256">
        <f t="shared" si="507"/>
        <v>0</v>
      </c>
      <c r="FE76" s="1256">
        <f t="shared" si="508"/>
        <v>0</v>
      </c>
      <c r="FF76" s="1256">
        <f t="shared" si="509"/>
        <v>0</v>
      </c>
      <c r="FG76" s="1256">
        <f t="shared" si="510"/>
        <v>0</v>
      </c>
      <c r="FH76" s="1256">
        <f t="shared" si="511"/>
        <v>0</v>
      </c>
      <c r="FI76" s="1256">
        <f t="shared" si="512"/>
        <v>0</v>
      </c>
      <c r="FJ76" s="1256">
        <f t="shared" si="513"/>
        <v>0</v>
      </c>
      <c r="FK76" s="1256">
        <f t="shared" si="514"/>
        <v>0</v>
      </c>
      <c r="FL76" s="1256">
        <f t="shared" si="515"/>
        <v>0</v>
      </c>
      <c r="FM76" s="1256">
        <f t="shared" si="516"/>
        <v>0</v>
      </c>
      <c r="FN76" s="1256">
        <f t="shared" si="517"/>
        <v>0</v>
      </c>
      <c r="FO76" s="1256">
        <f t="shared" si="518"/>
        <v>0</v>
      </c>
      <c r="FP76" s="1256">
        <f t="shared" si="519"/>
        <v>0</v>
      </c>
      <c r="FQ76" s="1256">
        <f t="shared" si="520"/>
        <v>0</v>
      </c>
      <c r="FR76" s="1256">
        <f t="shared" si="521"/>
        <v>0</v>
      </c>
      <c r="FS76" s="1256">
        <f t="shared" si="522"/>
        <v>1050</v>
      </c>
      <c r="FT76" s="1257"/>
      <c r="FU76" s="1256" t="e">
        <f t="shared" si="523"/>
        <v>#VALUE!</v>
      </c>
      <c r="FV76" s="1256" t="e">
        <f t="shared" si="524"/>
        <v>#VALUE!</v>
      </c>
      <c r="FW76" s="1256" t="e">
        <f t="shared" si="525"/>
        <v>#VALUE!</v>
      </c>
      <c r="FX76" s="1256" t="e">
        <f t="shared" si="526"/>
        <v>#VALUE!</v>
      </c>
      <c r="FY76" s="1256" t="e">
        <f t="shared" si="527"/>
        <v>#VALUE!</v>
      </c>
      <c r="FZ76" s="1256" t="e">
        <f t="shared" si="528"/>
        <v>#VALUE!</v>
      </c>
      <c r="GA76" s="1256" t="e">
        <f t="shared" si="529"/>
        <v>#VALUE!</v>
      </c>
      <c r="GB76" s="1256" t="e">
        <f t="shared" si="530"/>
        <v>#VALUE!</v>
      </c>
      <c r="GC76" s="1256" t="e">
        <f t="shared" si="531"/>
        <v>#VALUE!</v>
      </c>
      <c r="GD76" s="1256" t="e">
        <f t="shared" si="532"/>
        <v>#VALUE!</v>
      </c>
      <c r="GE76" s="1256" t="e">
        <f t="shared" si="533"/>
        <v>#VALUE!</v>
      </c>
      <c r="GF76" s="1256" t="e">
        <f t="shared" si="534"/>
        <v>#VALUE!</v>
      </c>
      <c r="GG76" s="1256" t="e">
        <f t="shared" si="535"/>
        <v>#VALUE!</v>
      </c>
      <c r="GH76" s="1256" t="e">
        <f t="shared" si="536"/>
        <v>#VALUE!</v>
      </c>
      <c r="GI76" s="1256" t="e">
        <f t="shared" si="537"/>
        <v>#VALUE!</v>
      </c>
      <c r="GJ76" s="1256" t="e">
        <f t="shared" si="538"/>
        <v>#VALUE!</v>
      </c>
      <c r="GK76" s="1256" t="e">
        <f t="shared" si="539"/>
        <v>#VALUE!</v>
      </c>
      <c r="GL76" s="1256" t="e">
        <f t="shared" si="540"/>
        <v>#VALUE!</v>
      </c>
      <c r="GM76" s="1256" t="e">
        <f t="shared" si="541"/>
        <v>#VALUE!</v>
      </c>
    </row>
    <row r="77" spans="1:195" ht="15" customHeight="1">
      <c r="B77" s="1885"/>
      <c r="C77" s="1885"/>
      <c r="D77" s="1882" t="s">
        <v>654</v>
      </c>
      <c r="E77" s="1882"/>
      <c r="F77" s="1882"/>
      <c r="G77" s="1882"/>
      <c r="H77" s="1882"/>
      <c r="I77" s="1882"/>
      <c r="J77" s="1882"/>
      <c r="K77" s="1882"/>
      <c r="L77" s="1882"/>
      <c r="M77" s="1882"/>
      <c r="N77" s="1882"/>
      <c r="O77" s="1882"/>
      <c r="P77" s="1882"/>
      <c r="Q77" s="1882"/>
      <c r="R77" s="1882"/>
      <c r="S77" s="1882"/>
      <c r="T77" s="1882"/>
      <c r="U77" s="1882"/>
      <c r="V77" s="1882"/>
      <c r="W77" s="1882"/>
      <c r="X77" s="1882"/>
      <c r="Y77" s="1882"/>
      <c r="Z77" s="1882"/>
    </row>
    <row r="78" spans="1:195" ht="15" customHeight="1">
      <c r="A78" s="1631">
        <v>501</v>
      </c>
    </row>
    <row r="79" spans="1:195" ht="15" customHeight="1">
      <c r="A79" s="1631">
        <v>502</v>
      </c>
    </row>
    <row r="80" spans="1:195" ht="15" customHeight="1">
      <c r="A80" s="1631">
        <v>503</v>
      </c>
    </row>
    <row r="81" spans="1:1" ht="15" customHeight="1">
      <c r="A81" s="1631">
        <v>504</v>
      </c>
    </row>
    <row r="82" spans="1:1" ht="15" customHeight="1">
      <c r="A82" s="1631">
        <v>505</v>
      </c>
    </row>
    <row r="83" spans="1:1" ht="15" customHeight="1">
      <c r="A83" s="1631">
        <v>506</v>
      </c>
    </row>
    <row r="84" spans="1:1" ht="15" customHeight="1">
      <c r="A84" s="1631">
        <v>507</v>
      </c>
    </row>
    <row r="85" spans="1:1" ht="15" customHeight="1">
      <c r="A85" s="1631">
        <v>508</v>
      </c>
    </row>
    <row r="86" spans="1:1" ht="15" customHeight="1">
      <c r="A86" s="1631">
        <v>509</v>
      </c>
    </row>
    <row r="87" spans="1:1" ht="15" customHeight="1">
      <c r="A87" s="1631">
        <v>510</v>
      </c>
    </row>
    <row r="88" spans="1:1" ht="15" customHeight="1">
      <c r="A88" s="1631">
        <v>511</v>
      </c>
    </row>
    <row r="89" spans="1:1" ht="15" customHeight="1">
      <c r="A89" s="1631">
        <v>512</v>
      </c>
    </row>
    <row r="90" spans="1:1" ht="15" customHeight="1">
      <c r="A90" s="1631">
        <v>513</v>
      </c>
    </row>
    <row r="91" spans="1:1" ht="15" customHeight="1">
      <c r="A91" s="1631">
        <v>514</v>
      </c>
    </row>
    <row r="92" spans="1:1" ht="15" customHeight="1">
      <c r="A92" s="1631">
        <v>515</v>
      </c>
    </row>
  </sheetData>
  <sheetProtection selectLockedCells="1"/>
  <mergeCells count="35">
    <mergeCell ref="B47:B56"/>
    <mergeCell ref="B67:B69"/>
    <mergeCell ref="B70:B71"/>
    <mergeCell ref="B6:B16"/>
    <mergeCell ref="B17:B21"/>
    <mergeCell ref="B22:B25"/>
    <mergeCell ref="B27:B36"/>
    <mergeCell ref="B42:B45"/>
    <mergeCell ref="D77:Z77"/>
    <mergeCell ref="D66:Z66"/>
    <mergeCell ref="B66:C66"/>
    <mergeCell ref="B77:C77"/>
    <mergeCell ref="B57:B61"/>
    <mergeCell ref="B62:B65"/>
    <mergeCell ref="B72:B76"/>
    <mergeCell ref="D46:W46"/>
    <mergeCell ref="B37:B41"/>
    <mergeCell ref="B26:C26"/>
    <mergeCell ref="D26:W26"/>
    <mergeCell ref="W2:W3"/>
    <mergeCell ref="EZ3:FR3"/>
    <mergeCell ref="FT3:GF3"/>
    <mergeCell ref="GG3:GL3"/>
    <mergeCell ref="B5:C5"/>
    <mergeCell ref="D5:W5"/>
    <mergeCell ref="AY3:BQ3"/>
    <mergeCell ref="BT3:CL3"/>
    <mergeCell ref="CO3:DG3"/>
    <mergeCell ref="DJ3:EB3"/>
    <mergeCell ref="EE3:EW3"/>
    <mergeCell ref="B2:C4"/>
    <mergeCell ref="D2:E3"/>
    <mergeCell ref="F2:N3"/>
    <mergeCell ref="O2:O3"/>
    <mergeCell ref="V2:V3"/>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sheetPr codeName="Feuil6"/>
  <dimension ref="A1:CS94"/>
  <sheetViews>
    <sheetView showGridLines="0" zoomScale="70" zoomScaleNormal="70" workbookViewId="0">
      <selection activeCell="J2" sqref="J2:J3"/>
    </sheetView>
  </sheetViews>
  <sheetFormatPr baseColWidth="10" defaultColWidth="8.7109375" defaultRowHeight="15" customHeight="1"/>
  <cols>
    <col min="1" max="1" width="11.5703125" style="1739" customWidth="1"/>
    <col min="2" max="2" width="10.5703125" style="438" customWidth="1"/>
    <col min="3" max="3" width="19.140625" style="1739" customWidth="1"/>
    <col min="4" max="4" width="10.5703125" style="438" customWidth="1"/>
    <col min="5" max="5" width="15.140625" style="438" customWidth="1"/>
    <col min="6" max="6" width="23.140625" style="438" customWidth="1"/>
    <col min="7" max="9" width="15.140625" style="438" customWidth="1"/>
    <col min="10" max="10" width="16.5703125" style="438" bestFit="1" customWidth="1"/>
    <col min="11" max="12" width="15.140625" style="438" customWidth="1"/>
    <col min="13" max="14" width="15.140625" style="1300" customWidth="1"/>
    <col min="15" max="15" width="13.28515625" style="1301" customWidth="1"/>
    <col min="16" max="16" width="13.28515625" style="1301" hidden="1" customWidth="1"/>
    <col min="17" max="20" width="15.140625" style="367" hidden="1" customWidth="1"/>
    <col min="21" max="24" width="18.42578125" style="367" hidden="1" customWidth="1"/>
    <col min="25" max="26" width="15.140625" style="367" hidden="1" customWidth="1"/>
    <col min="27" max="29" width="15.140625" style="536" hidden="1" customWidth="1"/>
    <col min="30" max="30" width="16" style="536" hidden="1" customWidth="1"/>
    <col min="31" max="50" width="15.140625" style="536" hidden="1" customWidth="1"/>
    <col min="51" max="63" width="15.140625" style="367" hidden="1" customWidth="1"/>
    <col min="64" max="97" width="15.140625" style="367" customWidth="1"/>
    <col min="98" max="16384" width="8.7109375" style="367"/>
  </cols>
  <sheetData>
    <row r="1" spans="1:97" s="1631" customFormat="1" ht="15" customHeight="1" thickBot="1">
      <c r="A1" s="1739"/>
      <c r="B1" s="1739"/>
      <c r="C1" s="1739">
        <v>1</v>
      </c>
      <c r="D1" s="1739">
        <v>2</v>
      </c>
      <c r="E1" s="1739">
        <v>3</v>
      </c>
      <c r="F1" s="1739">
        <v>4</v>
      </c>
      <c r="G1" s="1739">
        <v>5</v>
      </c>
      <c r="H1" s="1739">
        <v>6</v>
      </c>
      <c r="I1" s="1739">
        <v>7</v>
      </c>
      <c r="J1" s="1739">
        <v>8</v>
      </c>
      <c r="K1" s="1739">
        <v>9</v>
      </c>
      <c r="L1" s="1739">
        <v>10</v>
      </c>
      <c r="M1" s="1744">
        <v>11</v>
      </c>
      <c r="N1" s="1744">
        <v>12</v>
      </c>
      <c r="O1" s="1745">
        <v>13</v>
      </c>
      <c r="P1" s="1745"/>
      <c r="AA1" s="1746"/>
      <c r="AB1" s="1746"/>
      <c r="AC1" s="1746"/>
      <c r="AD1" s="1746"/>
      <c r="AE1" s="1746"/>
      <c r="AF1" s="1746"/>
      <c r="AG1" s="1746"/>
      <c r="AH1" s="1746"/>
      <c r="AI1" s="1746"/>
      <c r="AJ1" s="1746"/>
      <c r="AK1" s="1746"/>
      <c r="AL1" s="1746"/>
      <c r="AM1" s="1746"/>
      <c r="AN1" s="1746"/>
      <c r="AO1" s="1746"/>
      <c r="AP1" s="1746"/>
      <c r="AQ1" s="1746"/>
      <c r="AR1" s="1746"/>
      <c r="AS1" s="1746"/>
      <c r="AT1" s="1746"/>
      <c r="AU1" s="1746"/>
      <c r="AV1" s="1746"/>
      <c r="AW1" s="1746"/>
      <c r="AX1" s="1746"/>
    </row>
    <row r="2" spans="1:97" ht="16.5" customHeight="1" thickBot="1">
      <c r="C2" s="1740"/>
      <c r="D2" s="1936" t="s">
        <v>731</v>
      </c>
      <c r="E2" s="1937"/>
      <c r="F2" s="1938"/>
      <c r="G2" s="1947" t="s">
        <v>732</v>
      </c>
      <c r="H2" s="1947"/>
      <c r="I2" s="1947"/>
      <c r="J2" s="1916">
        <v>1</v>
      </c>
      <c r="K2" s="1948"/>
      <c r="L2" s="78"/>
      <c r="M2" s="1302"/>
      <c r="N2" s="1302"/>
      <c r="O2" s="1303"/>
      <c r="P2" s="1303"/>
      <c r="Q2" s="438"/>
      <c r="R2" s="438"/>
      <c r="S2" s="438"/>
      <c r="T2" s="438"/>
      <c r="U2" s="438"/>
      <c r="V2" s="438"/>
      <c r="W2" s="438"/>
      <c r="X2" s="438"/>
      <c r="Y2" s="438"/>
      <c r="Z2" s="438"/>
      <c r="AA2" s="537"/>
      <c r="AB2" s="537"/>
      <c r="AC2" s="537"/>
      <c r="AD2" s="538" t="s">
        <v>729</v>
      </c>
      <c r="AE2" s="537"/>
      <c r="AF2" s="537"/>
      <c r="AG2" s="537"/>
      <c r="AH2" s="537"/>
      <c r="AI2" s="537"/>
      <c r="AJ2" s="537"/>
      <c r="AK2" s="537"/>
      <c r="AL2" s="537"/>
      <c r="AM2" s="537"/>
      <c r="AN2" s="537"/>
      <c r="AO2" s="537"/>
      <c r="AP2" s="537"/>
      <c r="AQ2" s="537"/>
      <c r="AR2" s="537"/>
      <c r="AS2" s="537"/>
      <c r="AT2" s="537"/>
      <c r="AU2" s="537"/>
      <c r="AV2" s="537"/>
      <c r="AW2" s="537"/>
      <c r="AX2" s="537"/>
      <c r="AY2" s="438"/>
      <c r="AZ2" s="438"/>
      <c r="BA2" s="438"/>
      <c r="BB2" s="438"/>
      <c r="BC2" s="438"/>
      <c r="BD2" s="438"/>
      <c r="BE2" s="438"/>
      <c r="BF2" s="438"/>
      <c r="BG2" s="438"/>
      <c r="BH2" s="438"/>
      <c r="BI2" s="438"/>
      <c r="BJ2" s="438"/>
      <c r="BK2" s="438"/>
      <c r="BL2" s="438"/>
      <c r="BM2" s="438"/>
      <c r="BN2" s="438"/>
      <c r="BO2" s="438"/>
      <c r="BP2" s="438"/>
      <c r="BQ2" s="438"/>
      <c r="BR2" s="438"/>
      <c r="BS2" s="438"/>
      <c r="BT2" s="438"/>
      <c r="BU2" s="438"/>
      <c r="BV2" s="438"/>
      <c r="BW2" s="438"/>
      <c r="BX2" s="438"/>
      <c r="BY2" s="438"/>
      <c r="BZ2" s="438"/>
      <c r="CA2" s="438"/>
      <c r="CB2" s="438"/>
      <c r="CC2" s="438"/>
      <c r="CD2" s="438"/>
      <c r="CE2" s="438"/>
      <c r="CF2" s="438"/>
      <c r="CG2" s="438"/>
      <c r="CH2" s="438"/>
      <c r="CI2" s="438"/>
      <c r="CJ2" s="438"/>
      <c r="CK2" s="438"/>
      <c r="CL2" s="438"/>
      <c r="CM2" s="438"/>
      <c r="CN2" s="438"/>
      <c r="CO2" s="438"/>
      <c r="CP2" s="438"/>
      <c r="CQ2" s="438"/>
      <c r="CR2" s="438"/>
      <c r="CS2" s="438"/>
    </row>
    <row r="3" spans="1:97" ht="16.5" customHeight="1" thickBot="1">
      <c r="C3" s="1740"/>
      <c r="D3" s="1939"/>
      <c r="E3" s="1940"/>
      <c r="F3" s="1941"/>
      <c r="G3" s="1947"/>
      <c r="H3" s="1947"/>
      <c r="I3" s="1947"/>
      <c r="J3" s="1917"/>
      <c r="K3" s="1948"/>
      <c r="L3" s="78"/>
      <c r="M3" s="1302"/>
      <c r="N3" s="1302"/>
      <c r="O3" s="1302"/>
      <c r="P3" s="1302"/>
      <c r="Q3" s="1969" t="s">
        <v>46</v>
      </c>
      <c r="R3" s="1977" t="s">
        <v>253</v>
      </c>
      <c r="S3" s="1977" t="s">
        <v>50</v>
      </c>
      <c r="T3" s="1977" t="s">
        <v>116</v>
      </c>
      <c r="U3" s="1979" t="s">
        <v>53</v>
      </c>
      <c r="V3" s="2017" t="s">
        <v>1158</v>
      </c>
      <c r="W3" s="2019" t="s">
        <v>1161</v>
      </c>
      <c r="X3" s="2019" t="s">
        <v>1162</v>
      </c>
      <c r="Y3" s="1848" t="s">
        <v>90</v>
      </c>
      <c r="Z3" s="1848"/>
      <c r="AA3" s="537"/>
      <c r="AB3" s="537"/>
      <c r="AC3" s="537"/>
      <c r="AD3" s="537"/>
      <c r="AE3" s="539"/>
      <c r="AF3" s="539"/>
      <c r="AG3" s="537"/>
      <c r="AH3" s="537"/>
      <c r="AI3" s="537"/>
      <c r="AJ3" s="537"/>
      <c r="AK3" s="537"/>
      <c r="AL3" s="537"/>
      <c r="AM3" s="537"/>
      <c r="AN3" s="537"/>
      <c r="AO3" s="537"/>
      <c r="AP3" s="537"/>
      <c r="AQ3" s="537"/>
      <c r="AR3" s="537"/>
      <c r="AS3" s="537"/>
      <c r="AT3" s="537"/>
      <c r="AU3" s="537"/>
      <c r="AV3" s="537"/>
      <c r="AW3" s="537"/>
      <c r="AX3" s="537"/>
      <c r="AY3" s="438"/>
      <c r="AZ3" s="438"/>
      <c r="BA3" s="438"/>
      <c r="BB3" s="438"/>
      <c r="BC3" s="438"/>
      <c r="BD3" s="438"/>
      <c r="BE3" s="438"/>
      <c r="BF3" s="438"/>
      <c r="BG3" s="438"/>
      <c r="BH3" s="438"/>
      <c r="BI3" s="438"/>
      <c r="BJ3" s="438"/>
      <c r="BK3" s="438"/>
      <c r="BL3" s="438"/>
      <c r="BM3" s="438"/>
      <c r="BN3" s="438"/>
      <c r="BO3" s="438"/>
      <c r="BP3" s="438"/>
      <c r="BQ3" s="438"/>
      <c r="BR3" s="438"/>
      <c r="BS3" s="438"/>
      <c r="BT3" s="438"/>
      <c r="BU3" s="438"/>
      <c r="BV3" s="438"/>
      <c r="BW3" s="438"/>
      <c r="BX3" s="438"/>
      <c r="BY3" s="438"/>
      <c r="BZ3" s="438"/>
      <c r="CA3" s="438"/>
      <c r="CB3" s="438"/>
      <c r="CC3" s="438"/>
      <c r="CD3" s="438"/>
      <c r="CE3" s="438"/>
      <c r="CF3" s="438"/>
      <c r="CG3" s="438"/>
      <c r="CH3" s="438"/>
      <c r="CI3" s="438"/>
      <c r="CJ3" s="438"/>
      <c r="CK3" s="438"/>
      <c r="CL3" s="438"/>
      <c r="CM3" s="438"/>
      <c r="CN3" s="438"/>
      <c r="CO3" s="438"/>
      <c r="CP3" s="438"/>
      <c r="CQ3" s="438"/>
      <c r="CR3" s="438"/>
      <c r="CS3" s="438"/>
    </row>
    <row r="4" spans="1:97" ht="45">
      <c r="C4" s="1740"/>
      <c r="D4" s="1942"/>
      <c r="E4" s="1943"/>
      <c r="F4" s="1944"/>
      <c r="G4" s="434" t="s">
        <v>733</v>
      </c>
      <c r="H4" s="434" t="s">
        <v>734</v>
      </c>
      <c r="I4" s="434" t="s">
        <v>735</v>
      </c>
      <c r="J4" s="434" t="s">
        <v>736</v>
      </c>
      <c r="K4" s="434" t="s">
        <v>53</v>
      </c>
      <c r="L4" s="528" t="s">
        <v>739</v>
      </c>
      <c r="M4" s="1304"/>
      <c r="N4" s="1304"/>
      <c r="O4" s="1304"/>
      <c r="P4" s="1304"/>
      <c r="Q4" s="1970"/>
      <c r="R4" s="1978"/>
      <c r="S4" s="1978"/>
      <c r="T4" s="1978"/>
      <c r="U4" s="1980"/>
      <c r="V4" s="2018"/>
      <c r="W4" s="2019"/>
      <c r="X4" s="2019"/>
      <c r="Y4" s="438"/>
      <c r="Z4" s="440">
        <f>J2-1</f>
        <v>0</v>
      </c>
      <c r="AA4" s="1965" t="s">
        <v>71</v>
      </c>
      <c r="AB4" s="1966"/>
      <c r="AC4" s="1967"/>
      <c r="AD4" s="1973">
        <f>IF((Z4&lt;10),(Z4+1),10)</f>
        <v>1</v>
      </c>
      <c r="AE4" s="1974"/>
      <c r="AF4" s="1976"/>
      <c r="AG4" s="1965" t="s">
        <v>73</v>
      </c>
      <c r="AH4" s="1966"/>
      <c r="AI4" s="1967"/>
      <c r="AJ4" s="1965" t="s">
        <v>74</v>
      </c>
      <c r="AK4" s="1966">
        <v>1</v>
      </c>
      <c r="AL4" s="1972"/>
      <c r="AM4" s="1965" t="s">
        <v>75</v>
      </c>
      <c r="AN4" s="1966"/>
      <c r="AO4" s="1967"/>
      <c r="AP4" s="1971" t="s">
        <v>728</v>
      </c>
      <c r="AQ4" s="1966"/>
      <c r="AR4" s="1972"/>
      <c r="AS4" s="1965" t="s">
        <v>77</v>
      </c>
      <c r="AT4" s="1966"/>
      <c r="AU4" s="1972"/>
      <c r="AV4" s="1965" t="s">
        <v>242</v>
      </c>
      <c r="AW4" s="1966"/>
      <c r="AX4" s="1967"/>
      <c r="AY4" s="438"/>
      <c r="AZ4" s="438"/>
      <c r="BA4" s="438"/>
      <c r="BB4" s="438"/>
      <c r="BC4" s="438"/>
      <c r="BD4" s="438"/>
      <c r="BE4" s="438"/>
      <c r="BF4" s="438"/>
      <c r="BG4" s="438"/>
      <c r="BH4" s="438"/>
      <c r="BI4" s="438"/>
      <c r="BJ4" s="438"/>
      <c r="BK4" s="438">
        <v>1</v>
      </c>
      <c r="BL4" s="438"/>
      <c r="BM4" s="438"/>
      <c r="BN4" s="438"/>
      <c r="BO4" s="438"/>
      <c r="BP4" s="438"/>
      <c r="BQ4" s="438"/>
      <c r="BR4" s="438"/>
      <c r="BS4" s="438"/>
      <c r="BT4" s="438"/>
      <c r="BU4" s="438"/>
      <c r="BV4" s="438"/>
      <c r="BW4" s="438"/>
      <c r="BX4" s="438"/>
      <c r="BY4" s="438"/>
      <c r="BZ4" s="438"/>
      <c r="CA4" s="438"/>
      <c r="CB4" s="438"/>
      <c r="CC4" s="438"/>
      <c r="CD4" s="438"/>
      <c r="CE4" s="438"/>
      <c r="CF4" s="438"/>
      <c r="CG4" s="438"/>
      <c r="CH4" s="438"/>
      <c r="CI4" s="438"/>
      <c r="CJ4" s="438"/>
      <c r="CK4" s="438"/>
      <c r="CL4" s="438"/>
      <c r="CM4" s="438"/>
      <c r="CN4" s="438"/>
      <c r="CO4" s="438"/>
      <c r="CP4" s="438"/>
      <c r="CQ4" s="438"/>
      <c r="CR4" s="438"/>
      <c r="CS4" s="438"/>
    </row>
    <row r="5" spans="1:97" ht="16.5" customHeight="1">
      <c r="C5" s="1741">
        <v>101</v>
      </c>
      <c r="D5" s="1949" t="s">
        <v>737</v>
      </c>
      <c r="E5" s="1920"/>
      <c r="F5" s="1921"/>
      <c r="G5" s="1208"/>
      <c r="H5" s="1208"/>
      <c r="I5" s="1208"/>
      <c r="J5" s="1208"/>
      <c r="K5" s="1208"/>
      <c r="L5" s="1209"/>
      <c r="M5" s="1304"/>
      <c r="N5" s="1304"/>
      <c r="O5" s="1304"/>
      <c r="P5" s="1304"/>
      <c r="Q5" s="1219"/>
      <c r="R5" s="1220"/>
      <c r="S5" s="1220"/>
      <c r="T5" s="1220"/>
      <c r="U5" s="1322"/>
      <c r="V5" s="1593"/>
      <c r="W5" s="1220"/>
      <c r="X5" s="1220"/>
      <c r="Y5" s="1221"/>
      <c r="Z5" s="1222"/>
      <c r="AA5" s="1223"/>
      <c r="AB5" s="1224"/>
      <c r="AC5" s="1225"/>
      <c r="AD5" s="1226"/>
      <c r="AE5" s="1227"/>
      <c r="AF5" s="1228"/>
      <c r="AG5" s="1223"/>
      <c r="AH5" s="1224"/>
      <c r="AI5" s="1225"/>
      <c r="AJ5" s="1223"/>
      <c r="AK5" s="1224"/>
      <c r="AL5" s="1229"/>
      <c r="AM5" s="1223"/>
      <c r="AN5" s="1224"/>
      <c r="AO5" s="1225"/>
      <c r="AP5" s="1223"/>
      <c r="AQ5" s="1224"/>
      <c r="AR5" s="1229"/>
      <c r="AS5" s="1223"/>
      <c r="AT5" s="1224"/>
      <c r="AU5" s="1229"/>
      <c r="AV5" s="1223"/>
      <c r="AW5" s="1224"/>
      <c r="AX5" s="1225"/>
      <c r="AY5" s="438"/>
      <c r="AZ5" s="438"/>
      <c r="BA5" s="438"/>
      <c r="BB5" s="438"/>
      <c r="BC5" s="438"/>
      <c r="BD5" s="438"/>
      <c r="BE5" s="438"/>
      <c r="BF5" s="438"/>
      <c r="BG5" s="438"/>
      <c r="BH5" s="438"/>
      <c r="BI5" s="438"/>
      <c r="BJ5" s="438"/>
      <c r="BK5" s="438"/>
      <c r="BL5" s="438"/>
      <c r="BM5" s="438"/>
      <c r="BN5" s="438"/>
      <c r="BO5" s="438"/>
      <c r="BP5" s="438"/>
      <c r="BQ5" s="438"/>
      <c r="BR5" s="438"/>
      <c r="BS5" s="438"/>
      <c r="BT5" s="438"/>
      <c r="BU5" s="438"/>
      <c r="BV5" s="438"/>
      <c r="BW5" s="438"/>
      <c r="BX5" s="438"/>
      <c r="BY5" s="438"/>
      <c r="BZ5" s="438"/>
      <c r="CA5" s="438"/>
      <c r="CB5" s="438"/>
      <c r="CC5" s="438"/>
      <c r="CD5" s="438"/>
      <c r="CE5" s="438"/>
      <c r="CF5" s="438"/>
      <c r="CG5" s="438"/>
      <c r="CH5" s="438"/>
      <c r="CI5" s="438"/>
      <c r="CJ5" s="438"/>
      <c r="CK5" s="438"/>
      <c r="CL5" s="438"/>
      <c r="CM5" s="438"/>
      <c r="CN5" s="438"/>
      <c r="CO5" s="438"/>
      <c r="CP5" s="438"/>
      <c r="CQ5" s="438"/>
      <c r="CR5" s="438"/>
      <c r="CS5" s="438"/>
    </row>
    <row r="6" spans="1:97" ht="16.5" customHeight="1">
      <c r="C6" s="1741">
        <v>102</v>
      </c>
      <c r="D6" s="1950"/>
      <c r="E6" s="1922" t="s">
        <v>981</v>
      </c>
      <c r="F6" s="1921"/>
      <c r="G6" s="1210">
        <f t="shared" ref="G6:G36" si="0">IF((Q6&lt;&gt;""),SUM(((Q6+AD6)+AV6)),"")</f>
        <v>45</v>
      </c>
      <c r="H6" s="1210" t="str">
        <f>IF((R6&lt;&gt;""),SUM(((R6+AE6)+AW6)),"0")</f>
        <v>0</v>
      </c>
      <c r="I6" s="1210" t="str">
        <f>IF((S6&lt;&gt;""),SUM(((S6+AF6)+AX6)),"0")</f>
        <v>0</v>
      </c>
      <c r="J6" s="1210">
        <f t="shared" ref="J6:J41" si="1">IF((T6&lt;&gt;0),T6,"")</f>
        <v>-1</v>
      </c>
      <c r="K6" s="1210">
        <f t="shared" ref="K6:K41" si="2">IF((U6&lt;&gt;0),U6,"")</f>
        <v>-0.2</v>
      </c>
      <c r="L6" s="1211"/>
      <c r="M6" s="1305"/>
      <c r="N6" s="1305"/>
      <c r="O6" s="1305"/>
      <c r="P6" s="1305"/>
      <c r="Q6" s="1230">
        <v>45</v>
      </c>
      <c r="R6" s="1231"/>
      <c r="S6" s="1231"/>
      <c r="T6" s="1231">
        <v>-1</v>
      </c>
      <c r="U6" s="1330">
        <v>-0.2</v>
      </c>
      <c r="V6" s="1594"/>
      <c r="W6" s="1231"/>
      <c r="X6" s="1231"/>
      <c r="Y6" s="1232">
        <v>1</v>
      </c>
      <c r="Z6" s="1232">
        <f>$Z$4</f>
        <v>0</v>
      </c>
      <c r="AA6" s="1233">
        <f>SUM((Q6/9))</f>
        <v>5</v>
      </c>
      <c r="AB6" s="1234">
        <f t="shared" ref="AB6:AB41" si="3">SUM((R6/9))</f>
        <v>0</v>
      </c>
      <c r="AC6" s="1235">
        <f t="shared" ref="AC6:AC41" si="4">SUM((S6/9))</f>
        <v>0</v>
      </c>
      <c r="AD6" s="1233">
        <f>IF(($Z6&lt;10),SUM(ROUNDUP(($Z6*AA6),2)),SUM(ROUNDUP((9*AA6),2)))</f>
        <v>0</v>
      </c>
      <c r="AE6" s="1234">
        <f t="shared" ref="AE6:AE41" si="5">IF(($Z6&lt;10),SUM(ROUNDUP(($Z6*AB6),2)),SUM(ROUNDUP((9*AB6),2)))</f>
        <v>0</v>
      </c>
      <c r="AF6" s="1236">
        <f t="shared" ref="AF6:AF41" si="6">IF(($Z6&lt;10),SUM(ROUNDUP(($Z6*AC6),2)),SUM(ROUNDUP((9*AC6),2)))</f>
        <v>0</v>
      </c>
      <c r="AG6" s="1233">
        <f t="shared" ref="AG6:AG41" si="7">IF(($Z6&gt;9),SUM((AA6*0.9)),0)</f>
        <v>0</v>
      </c>
      <c r="AH6" s="1234">
        <f t="shared" ref="AH6:AH41" si="8">IF(($Z6&gt;9),SUM((AB6*0.9)),0)</f>
        <v>0</v>
      </c>
      <c r="AI6" s="1235">
        <f t="shared" ref="AI6:AI41" si="9">IF(($Z6&gt;9),SUM((AC6*0.9)),0)</f>
        <v>0</v>
      </c>
      <c r="AJ6" s="1233">
        <f t="shared" ref="AJ6:AJ41" si="10">IF(($Z6&gt;10),SUM((AA6*0.81)),0)</f>
        <v>0</v>
      </c>
      <c r="AK6" s="1234">
        <f t="shared" ref="AK6:AK41" si="11">IF(($Z6&gt;10),SUM((AB6*0.81)),0)</f>
        <v>0</v>
      </c>
      <c r="AL6" s="1236">
        <f t="shared" ref="AL6:AL41" si="12">IF(($Z6&gt;10),SUM((AC6*0.81)),0)</f>
        <v>0</v>
      </c>
      <c r="AM6" s="1233">
        <f t="shared" ref="AM6:AM41" si="13">IF(($Z6&gt;11),SUM((AA6*0.72)),0)</f>
        <v>0</v>
      </c>
      <c r="AN6" s="1234">
        <f t="shared" ref="AN6:AN41" si="14">IF(($Z6&gt;11),SUM((AB6*0.72)),0)</f>
        <v>0</v>
      </c>
      <c r="AO6" s="1235">
        <f t="shared" ref="AO6:AO41" si="15">IF(($Z6&gt;11),SUM((AC6*0.72)),0)</f>
        <v>0</v>
      </c>
      <c r="AP6" s="1233">
        <f t="shared" ref="AP6:AP41" si="16">IF(($Z6&gt;12),SUM((AA6*0.63)),0)</f>
        <v>0</v>
      </c>
      <c r="AQ6" s="1234">
        <f t="shared" ref="AQ6:AQ41" si="17">IF(($Z6&gt;12),SUM((AB6*0.63)),0)</f>
        <v>0</v>
      </c>
      <c r="AR6" s="1236">
        <f t="shared" ref="AR6:AR41" si="18">IF(($Z6&gt;12),SUM((AC6*0.63)),0)</f>
        <v>0</v>
      </c>
      <c r="AS6" s="1233">
        <f t="shared" ref="AS6:AS41" si="19">IF(($Z6&gt;13),SUM((AA6*0.54)),0)</f>
        <v>0</v>
      </c>
      <c r="AT6" s="1234">
        <f t="shared" ref="AT6:AT41" si="20">IF(($Z6&gt;13),SUM((AB6*0.54)),0)</f>
        <v>0</v>
      </c>
      <c r="AU6" s="1236">
        <f t="shared" ref="AU6:AU41" si="21">IF(($Z6&gt;13),SUM((AC6*0.54)),0)</f>
        <v>0</v>
      </c>
      <c r="AV6" s="1233">
        <f t="shared" ref="AV6:AV41" si="22">SUM(((((AG6+AJ6)+AM6)+AP6)+AS6))</f>
        <v>0</v>
      </c>
      <c r="AW6" s="1234">
        <f t="shared" ref="AW6:AW41" si="23">SUM(((((AH6+AK6)+AN6)+AQ6)+AT6))</f>
        <v>0</v>
      </c>
      <c r="AX6" s="1235">
        <f t="shared" ref="AX6:AX41" si="24">SUM(((((AI6+AL6)+AO6)+AR6)+AU6))</f>
        <v>0</v>
      </c>
      <c r="AY6" s="438"/>
      <c r="AZ6" s="438"/>
      <c r="BA6" s="438"/>
      <c r="BB6" s="438"/>
      <c r="BC6" s="438"/>
      <c r="BD6" s="438"/>
      <c r="BE6" s="438"/>
      <c r="BF6" s="438"/>
      <c r="BG6" s="438"/>
      <c r="BH6" s="438"/>
      <c r="BI6" s="438"/>
      <c r="BJ6" s="438"/>
      <c r="BK6" s="438"/>
      <c r="BL6" s="438"/>
      <c r="BM6" s="438"/>
      <c r="BN6" s="438"/>
      <c r="BO6" s="438"/>
      <c r="BP6" s="438"/>
      <c r="BQ6" s="438"/>
      <c r="BR6" s="438"/>
      <c r="BS6" s="438"/>
      <c r="BT6" s="438"/>
      <c r="BU6" s="438"/>
      <c r="BV6" s="438"/>
      <c r="BW6" s="438"/>
      <c r="BX6" s="438"/>
      <c r="BY6" s="438"/>
      <c r="BZ6" s="438"/>
      <c r="CA6" s="438"/>
      <c r="CB6" s="438"/>
      <c r="CC6" s="438"/>
      <c r="CD6" s="438"/>
      <c r="CE6" s="438"/>
      <c r="CF6" s="438"/>
      <c r="CG6" s="438"/>
      <c r="CH6" s="438"/>
      <c r="CI6" s="438"/>
      <c r="CJ6" s="438"/>
      <c r="CK6" s="438"/>
      <c r="CL6" s="438"/>
      <c r="CM6" s="438"/>
      <c r="CN6" s="438"/>
      <c r="CO6" s="438"/>
      <c r="CP6" s="438"/>
      <c r="CQ6" s="438"/>
      <c r="CR6" s="438"/>
      <c r="CS6" s="438"/>
    </row>
    <row r="7" spans="1:97" ht="16.5" customHeight="1">
      <c r="C7" s="1739">
        <v>103</v>
      </c>
      <c r="D7" s="1950"/>
      <c r="E7" s="1922" t="s">
        <v>982</v>
      </c>
      <c r="F7" s="1923"/>
      <c r="G7" s="1210" t="str">
        <f>IF((Q7&lt;&gt;""),SUM(((Q7+AD7)+AV7)),"0")</f>
        <v>0</v>
      </c>
      <c r="H7" s="1210">
        <f t="shared" ref="H7:H43" si="25">IF((R7&lt;&gt;""),SUM(((R7+AE7)+AW7)),"")</f>
        <v>4.5</v>
      </c>
      <c r="I7" s="1210" t="str">
        <f>IF((S7&lt;&gt;""),SUM(((S7+AF7)+AX7)),"0")</f>
        <v>0</v>
      </c>
      <c r="J7" s="1210">
        <f t="shared" si="1"/>
        <v>-0.5</v>
      </c>
      <c r="K7" s="1210">
        <f t="shared" si="2"/>
        <v>-0.4</v>
      </c>
      <c r="L7" s="1211"/>
      <c r="M7" s="1305"/>
      <c r="N7" s="1305"/>
      <c r="O7" s="1305"/>
      <c r="P7" s="1305"/>
      <c r="Q7" s="1230"/>
      <c r="R7" s="1231">
        <v>4.5</v>
      </c>
      <c r="S7" s="1231"/>
      <c r="T7" s="1231">
        <f>SUM((T6/2))</f>
        <v>-0.5</v>
      </c>
      <c r="U7" s="1330">
        <f>SUM((U6*2))</f>
        <v>-0.4</v>
      </c>
      <c r="V7" s="1594"/>
      <c r="W7" s="1231"/>
      <c r="X7" s="1231"/>
      <c r="Y7" s="1232">
        <v>2</v>
      </c>
      <c r="Z7" s="1232">
        <f t="shared" ref="Z7:Z46" si="26">$Z$4</f>
        <v>0</v>
      </c>
      <c r="AA7" s="1233">
        <f t="shared" ref="AA7:AA41" si="27">SUM((Q7/9))</f>
        <v>0</v>
      </c>
      <c r="AB7" s="1234">
        <f t="shared" si="3"/>
        <v>0.5</v>
      </c>
      <c r="AC7" s="1235">
        <f t="shared" si="4"/>
        <v>0</v>
      </c>
      <c r="AD7" s="1233">
        <f t="shared" ref="AD7:AD36" si="28">IF(($Z7&lt;10),SUM(ROUNDUP(($Z7*AA7),2)),SUM(ROUNDUP((9*AA7),2)))</f>
        <v>0</v>
      </c>
      <c r="AE7" s="1234">
        <f t="shared" si="5"/>
        <v>0</v>
      </c>
      <c r="AF7" s="1236">
        <f t="shared" si="6"/>
        <v>0</v>
      </c>
      <c r="AG7" s="1233">
        <f t="shared" si="7"/>
        <v>0</v>
      </c>
      <c r="AH7" s="1234">
        <f t="shared" si="8"/>
        <v>0</v>
      </c>
      <c r="AI7" s="1235">
        <f t="shared" si="9"/>
        <v>0</v>
      </c>
      <c r="AJ7" s="1233">
        <f t="shared" si="10"/>
        <v>0</v>
      </c>
      <c r="AK7" s="1234">
        <f t="shared" si="11"/>
        <v>0</v>
      </c>
      <c r="AL7" s="1236">
        <f t="shared" si="12"/>
        <v>0</v>
      </c>
      <c r="AM7" s="1233">
        <f t="shared" si="13"/>
        <v>0</v>
      </c>
      <c r="AN7" s="1234">
        <f t="shared" si="14"/>
        <v>0</v>
      </c>
      <c r="AO7" s="1235">
        <f t="shared" si="15"/>
        <v>0</v>
      </c>
      <c r="AP7" s="1233">
        <f t="shared" si="16"/>
        <v>0</v>
      </c>
      <c r="AQ7" s="1234">
        <f t="shared" si="17"/>
        <v>0</v>
      </c>
      <c r="AR7" s="1236">
        <f t="shared" si="18"/>
        <v>0</v>
      </c>
      <c r="AS7" s="1233">
        <f t="shared" si="19"/>
        <v>0</v>
      </c>
      <c r="AT7" s="1234">
        <f t="shared" si="20"/>
        <v>0</v>
      </c>
      <c r="AU7" s="1236">
        <f t="shared" si="21"/>
        <v>0</v>
      </c>
      <c r="AV7" s="1233">
        <f t="shared" si="22"/>
        <v>0</v>
      </c>
      <c r="AW7" s="1234">
        <f t="shared" si="23"/>
        <v>0</v>
      </c>
      <c r="AX7" s="1235">
        <f t="shared" si="24"/>
        <v>0</v>
      </c>
      <c r="AY7" s="438"/>
      <c r="AZ7" s="438"/>
      <c r="BA7" s="438"/>
      <c r="BB7" s="438"/>
      <c r="BC7" s="438"/>
      <c r="BD7" s="438"/>
      <c r="BE7" s="438"/>
      <c r="BF7" s="438"/>
      <c r="BG7" s="438"/>
      <c r="BH7" s="438"/>
      <c r="BI7" s="438"/>
      <c r="BJ7" s="438"/>
      <c r="BK7" s="438"/>
      <c r="BL7" s="438"/>
      <c r="BM7" s="438"/>
      <c r="BN7" s="438"/>
      <c r="BO7" s="438"/>
      <c r="BP7" s="438"/>
      <c r="BQ7" s="438"/>
      <c r="BR7" s="438"/>
      <c r="BS7" s="438"/>
      <c r="BT7" s="438"/>
      <c r="BU7" s="438"/>
      <c r="BV7" s="438"/>
      <c r="BW7" s="438"/>
      <c r="BX7" s="438"/>
      <c r="BY7" s="438"/>
      <c r="BZ7" s="438"/>
      <c r="CA7" s="438"/>
      <c r="CB7" s="438"/>
      <c r="CC7" s="438"/>
      <c r="CD7" s="438"/>
      <c r="CE7" s="438"/>
      <c r="CF7" s="438"/>
      <c r="CG7" s="438"/>
      <c r="CH7" s="438"/>
      <c r="CI7" s="438"/>
      <c r="CJ7" s="438"/>
      <c r="CK7" s="438"/>
      <c r="CL7" s="438"/>
      <c r="CM7" s="438"/>
      <c r="CN7" s="438"/>
      <c r="CO7" s="438"/>
      <c r="CP7" s="438"/>
      <c r="CQ7" s="438"/>
      <c r="CR7" s="438"/>
      <c r="CS7" s="438"/>
    </row>
    <row r="8" spans="1:97" ht="30" customHeight="1">
      <c r="C8" s="1739">
        <v>104</v>
      </c>
      <c r="D8" s="1950"/>
      <c r="E8" s="1922" t="s">
        <v>983</v>
      </c>
      <c r="F8" s="1923"/>
      <c r="G8" s="1210" t="str">
        <f>IF((Q8&lt;&gt;""),SUM(((Q8+AD8)+AV8)),"0")</f>
        <v>0</v>
      </c>
      <c r="H8" s="1210" t="str">
        <f>IF((R8&lt;&gt;""),SUM(((R8+AE8)+AW8)),"0")</f>
        <v>0</v>
      </c>
      <c r="I8" s="1210">
        <f t="shared" ref="I8:I41" si="29">IF((S8&lt;&gt;""),SUM(((S8+AF8)+AX8)),"")</f>
        <v>7.5</v>
      </c>
      <c r="J8" s="1210" t="str">
        <f>IF((T8&lt;&gt;0),T8,"0")</f>
        <v>0</v>
      </c>
      <c r="K8" s="1210" t="str">
        <f>IF((U8&lt;&gt;0),U8,"0")</f>
        <v>0</v>
      </c>
      <c r="L8" s="1211"/>
      <c r="M8" s="1305"/>
      <c r="N8" s="1305"/>
      <c r="O8" s="1305"/>
      <c r="P8" s="1305"/>
      <c r="Q8" s="1230"/>
      <c r="R8" s="1231"/>
      <c r="S8" s="1231">
        <v>7.5</v>
      </c>
      <c r="T8" s="1231">
        <f>SUM((T6*0))</f>
        <v>0</v>
      </c>
      <c r="U8" s="1330">
        <f>SUM((U6*0))</f>
        <v>0</v>
      </c>
      <c r="V8" s="1594"/>
      <c r="W8" s="1231"/>
      <c r="X8" s="1231"/>
      <c r="Y8" s="1232">
        <v>3</v>
      </c>
      <c r="Z8" s="1232">
        <f t="shared" si="26"/>
        <v>0</v>
      </c>
      <c r="AA8" s="1233">
        <f t="shared" si="27"/>
        <v>0</v>
      </c>
      <c r="AB8" s="1234">
        <f t="shared" si="3"/>
        <v>0</v>
      </c>
      <c r="AC8" s="1235">
        <f t="shared" si="4"/>
        <v>0.83333333333333337</v>
      </c>
      <c r="AD8" s="1233">
        <f t="shared" si="28"/>
        <v>0</v>
      </c>
      <c r="AE8" s="1234">
        <f t="shared" si="5"/>
        <v>0</v>
      </c>
      <c r="AF8" s="1236">
        <f t="shared" si="6"/>
        <v>0</v>
      </c>
      <c r="AG8" s="1233">
        <f t="shared" si="7"/>
        <v>0</v>
      </c>
      <c r="AH8" s="1234">
        <f t="shared" si="8"/>
        <v>0</v>
      </c>
      <c r="AI8" s="1235">
        <f t="shared" si="9"/>
        <v>0</v>
      </c>
      <c r="AJ8" s="1233">
        <f t="shared" si="10"/>
        <v>0</v>
      </c>
      <c r="AK8" s="1234">
        <f t="shared" si="11"/>
        <v>0</v>
      </c>
      <c r="AL8" s="1236">
        <f t="shared" si="12"/>
        <v>0</v>
      </c>
      <c r="AM8" s="1233">
        <f t="shared" si="13"/>
        <v>0</v>
      </c>
      <c r="AN8" s="1234">
        <f t="shared" si="14"/>
        <v>0</v>
      </c>
      <c r="AO8" s="1235">
        <f t="shared" si="15"/>
        <v>0</v>
      </c>
      <c r="AP8" s="1233">
        <f t="shared" si="16"/>
        <v>0</v>
      </c>
      <c r="AQ8" s="1234">
        <f t="shared" si="17"/>
        <v>0</v>
      </c>
      <c r="AR8" s="1236">
        <f t="shared" si="18"/>
        <v>0</v>
      </c>
      <c r="AS8" s="1233">
        <f t="shared" si="19"/>
        <v>0</v>
      </c>
      <c r="AT8" s="1234">
        <f t="shared" si="20"/>
        <v>0</v>
      </c>
      <c r="AU8" s="1236">
        <f t="shared" si="21"/>
        <v>0</v>
      </c>
      <c r="AV8" s="1233">
        <f t="shared" si="22"/>
        <v>0</v>
      </c>
      <c r="AW8" s="1234">
        <f t="shared" si="23"/>
        <v>0</v>
      </c>
      <c r="AX8" s="1235">
        <f t="shared" si="24"/>
        <v>0</v>
      </c>
      <c r="AY8" s="438"/>
      <c r="AZ8" s="438"/>
      <c r="BA8" s="438"/>
      <c r="BB8" s="438"/>
      <c r="BC8" s="438"/>
      <c r="BD8" s="438"/>
      <c r="BE8" s="438"/>
      <c r="BF8" s="438"/>
      <c r="BG8" s="438"/>
      <c r="BH8" s="438"/>
      <c r="BI8" s="438"/>
      <c r="BJ8" s="438"/>
      <c r="BK8" s="438"/>
      <c r="BL8" s="438"/>
      <c r="BM8" s="438"/>
      <c r="BN8" s="438"/>
      <c r="BO8" s="438"/>
      <c r="BP8" s="438"/>
      <c r="BQ8" s="438"/>
      <c r="BR8" s="438"/>
      <c r="BS8" s="438"/>
      <c r="BT8" s="438"/>
      <c r="BU8" s="438"/>
      <c r="BV8" s="438"/>
      <c r="BW8" s="438"/>
      <c r="BX8" s="438"/>
      <c r="BY8" s="438"/>
      <c r="BZ8" s="438"/>
      <c r="CA8" s="438"/>
      <c r="CB8" s="438"/>
      <c r="CC8" s="438"/>
      <c r="CD8" s="438"/>
      <c r="CE8" s="438"/>
      <c r="CF8" s="438"/>
      <c r="CG8" s="438"/>
      <c r="CH8" s="438"/>
      <c r="CI8" s="438"/>
      <c r="CJ8" s="438"/>
      <c r="CK8" s="438"/>
      <c r="CL8" s="438"/>
      <c r="CM8" s="438"/>
      <c r="CN8" s="438"/>
      <c r="CO8" s="438"/>
      <c r="CP8" s="438"/>
      <c r="CQ8" s="438"/>
      <c r="CR8" s="438"/>
      <c r="CS8" s="438"/>
    </row>
    <row r="9" spans="1:97" ht="31.5" customHeight="1">
      <c r="C9" s="1739">
        <v>105</v>
      </c>
      <c r="D9" s="1950"/>
      <c r="E9" s="1922" t="s">
        <v>984</v>
      </c>
      <c r="F9" s="1923"/>
      <c r="G9" s="1210">
        <f t="shared" si="0"/>
        <v>22.5</v>
      </c>
      <c r="H9" s="1210">
        <f t="shared" si="25"/>
        <v>2.25</v>
      </c>
      <c r="I9" s="1210" t="str">
        <f>IF((S9&lt;&gt;""),SUM(((S9+AF9)+AX9)),"0")</f>
        <v>0</v>
      </c>
      <c r="J9" s="1210">
        <f t="shared" si="1"/>
        <v>-0.75</v>
      </c>
      <c r="K9" s="1210">
        <f t="shared" si="2"/>
        <v>-0.30000000000000004</v>
      </c>
      <c r="L9" s="1211"/>
      <c r="M9" s="1305"/>
      <c r="N9" s="1305"/>
      <c r="O9" s="1305"/>
      <c r="P9" s="1305"/>
      <c r="Q9" s="1230">
        <f>SUM((Q6/2))</f>
        <v>22.5</v>
      </c>
      <c r="R9" s="1231">
        <f>SUM((R7/2))</f>
        <v>2.25</v>
      </c>
      <c r="S9" s="1231"/>
      <c r="T9" s="1231">
        <f>SUM(((T6/4)*3))</f>
        <v>-0.75</v>
      </c>
      <c r="U9" s="1330">
        <f>SUM((U6*1.5))</f>
        <v>-0.30000000000000004</v>
      </c>
      <c r="V9" s="1594"/>
      <c r="W9" s="1231"/>
      <c r="X9" s="1231"/>
      <c r="Y9" s="1232">
        <v>4</v>
      </c>
      <c r="Z9" s="1232">
        <f t="shared" si="26"/>
        <v>0</v>
      </c>
      <c r="AA9" s="1233">
        <f t="shared" si="27"/>
        <v>2.5</v>
      </c>
      <c r="AB9" s="1234">
        <f t="shared" si="3"/>
        <v>0.25</v>
      </c>
      <c r="AC9" s="1235">
        <f t="shared" si="4"/>
        <v>0</v>
      </c>
      <c r="AD9" s="1233">
        <f t="shared" si="28"/>
        <v>0</v>
      </c>
      <c r="AE9" s="1234">
        <f t="shared" si="5"/>
        <v>0</v>
      </c>
      <c r="AF9" s="1236">
        <f t="shared" si="6"/>
        <v>0</v>
      </c>
      <c r="AG9" s="1233">
        <f t="shared" si="7"/>
        <v>0</v>
      </c>
      <c r="AH9" s="1234">
        <f t="shared" si="8"/>
        <v>0</v>
      </c>
      <c r="AI9" s="1235">
        <f t="shared" si="9"/>
        <v>0</v>
      </c>
      <c r="AJ9" s="1233">
        <f t="shared" si="10"/>
        <v>0</v>
      </c>
      <c r="AK9" s="1234">
        <f t="shared" si="11"/>
        <v>0</v>
      </c>
      <c r="AL9" s="1236">
        <f t="shared" si="12"/>
        <v>0</v>
      </c>
      <c r="AM9" s="1233">
        <f t="shared" si="13"/>
        <v>0</v>
      </c>
      <c r="AN9" s="1234">
        <f t="shared" si="14"/>
        <v>0</v>
      </c>
      <c r="AO9" s="1235">
        <f t="shared" si="15"/>
        <v>0</v>
      </c>
      <c r="AP9" s="1233">
        <f t="shared" si="16"/>
        <v>0</v>
      </c>
      <c r="AQ9" s="1234">
        <f t="shared" si="17"/>
        <v>0</v>
      </c>
      <c r="AR9" s="1236">
        <f t="shared" si="18"/>
        <v>0</v>
      </c>
      <c r="AS9" s="1233">
        <f t="shared" si="19"/>
        <v>0</v>
      </c>
      <c r="AT9" s="1234">
        <f t="shared" si="20"/>
        <v>0</v>
      </c>
      <c r="AU9" s="1236">
        <f t="shared" si="21"/>
        <v>0</v>
      </c>
      <c r="AV9" s="1233">
        <f t="shared" si="22"/>
        <v>0</v>
      </c>
      <c r="AW9" s="1234">
        <f t="shared" si="23"/>
        <v>0</v>
      </c>
      <c r="AX9" s="1235">
        <f t="shared" si="24"/>
        <v>0</v>
      </c>
      <c r="AY9" s="438"/>
      <c r="AZ9" s="438"/>
      <c r="BA9" s="438"/>
      <c r="BB9" s="438"/>
      <c r="BC9" s="438"/>
      <c r="BD9" s="438"/>
      <c r="BE9" s="438"/>
      <c r="BF9" s="438"/>
      <c r="BG9" s="438"/>
      <c r="BH9" s="438"/>
      <c r="BI9" s="438"/>
      <c r="BJ9" s="438"/>
      <c r="BK9" s="438"/>
      <c r="BL9" s="438"/>
      <c r="BM9" s="438"/>
      <c r="BN9" s="438"/>
      <c r="BO9" s="438"/>
      <c r="BP9" s="438"/>
      <c r="BQ9" s="438"/>
      <c r="BR9" s="438"/>
      <c r="BS9" s="438"/>
      <c r="BT9" s="438"/>
      <c r="BU9" s="438"/>
      <c r="BV9" s="438"/>
      <c r="BW9" s="438"/>
      <c r="BX9" s="438"/>
      <c r="BY9" s="438"/>
      <c r="BZ9" s="438"/>
      <c r="CA9" s="438"/>
      <c r="CB9" s="438"/>
      <c r="CC9" s="438"/>
      <c r="CD9" s="438"/>
      <c r="CE9" s="438"/>
      <c r="CF9" s="438"/>
      <c r="CG9" s="438"/>
      <c r="CH9" s="438"/>
      <c r="CI9" s="438"/>
      <c r="CJ9" s="438"/>
      <c r="CK9" s="438"/>
      <c r="CL9" s="438"/>
      <c r="CM9" s="438"/>
      <c r="CN9" s="438"/>
      <c r="CO9" s="438"/>
      <c r="CP9" s="438"/>
      <c r="CQ9" s="438"/>
      <c r="CR9" s="438"/>
      <c r="CS9" s="438"/>
    </row>
    <row r="10" spans="1:97" ht="33" customHeight="1">
      <c r="C10" s="1739">
        <v>106</v>
      </c>
      <c r="D10" s="1950"/>
      <c r="E10" s="1922" t="s">
        <v>985</v>
      </c>
      <c r="F10" s="1923"/>
      <c r="G10" s="1210">
        <f t="shared" si="0"/>
        <v>30</v>
      </c>
      <c r="H10" s="1210" t="str">
        <f>IF((R10&lt;&gt;""),SUM(((R10+AE10)+AW10)),"0")</f>
        <v>0</v>
      </c>
      <c r="I10" s="1210">
        <f t="shared" si="29"/>
        <v>2.5</v>
      </c>
      <c r="J10" s="1210">
        <f t="shared" si="1"/>
        <v>-0.66666666666666663</v>
      </c>
      <c r="K10" s="1210">
        <f t="shared" si="2"/>
        <v>-0.13333333333333333</v>
      </c>
      <c r="L10" s="1211"/>
      <c r="M10" s="1305"/>
      <c r="N10" s="1305"/>
      <c r="O10" s="1305"/>
      <c r="P10" s="1305"/>
      <c r="Q10" s="1230">
        <f>SUM(((Q6/3)*2))</f>
        <v>30</v>
      </c>
      <c r="R10" s="1231"/>
      <c r="S10" s="1231">
        <f>SUM((S8/3))</f>
        <v>2.5</v>
      </c>
      <c r="T10" s="1231">
        <f>SUM(((T6/3)*2))</f>
        <v>-0.66666666666666663</v>
      </c>
      <c r="U10" s="1330">
        <f>SUM(((U6/3)*2))</f>
        <v>-0.13333333333333333</v>
      </c>
      <c r="V10" s="1594"/>
      <c r="W10" s="1231"/>
      <c r="X10" s="1231"/>
      <c r="Y10" s="1232">
        <v>5</v>
      </c>
      <c r="Z10" s="1232">
        <f t="shared" si="26"/>
        <v>0</v>
      </c>
      <c r="AA10" s="1233">
        <f t="shared" si="27"/>
        <v>3.3333333333333335</v>
      </c>
      <c r="AB10" s="1234">
        <f t="shared" si="3"/>
        <v>0</v>
      </c>
      <c r="AC10" s="1235">
        <f t="shared" si="4"/>
        <v>0.27777777777777779</v>
      </c>
      <c r="AD10" s="1233">
        <f t="shared" si="28"/>
        <v>0</v>
      </c>
      <c r="AE10" s="1234">
        <f t="shared" si="5"/>
        <v>0</v>
      </c>
      <c r="AF10" s="1236">
        <f t="shared" si="6"/>
        <v>0</v>
      </c>
      <c r="AG10" s="1233">
        <f t="shared" si="7"/>
        <v>0</v>
      </c>
      <c r="AH10" s="1234">
        <f t="shared" si="8"/>
        <v>0</v>
      </c>
      <c r="AI10" s="1235">
        <f t="shared" si="9"/>
        <v>0</v>
      </c>
      <c r="AJ10" s="1233">
        <f t="shared" si="10"/>
        <v>0</v>
      </c>
      <c r="AK10" s="1234">
        <f t="shared" si="11"/>
        <v>0</v>
      </c>
      <c r="AL10" s="1236">
        <f t="shared" si="12"/>
        <v>0</v>
      </c>
      <c r="AM10" s="1233">
        <f t="shared" si="13"/>
        <v>0</v>
      </c>
      <c r="AN10" s="1234">
        <f t="shared" si="14"/>
        <v>0</v>
      </c>
      <c r="AO10" s="1235">
        <f t="shared" si="15"/>
        <v>0</v>
      </c>
      <c r="AP10" s="1233">
        <f t="shared" si="16"/>
        <v>0</v>
      </c>
      <c r="AQ10" s="1234">
        <f t="shared" si="17"/>
        <v>0</v>
      </c>
      <c r="AR10" s="1236">
        <f t="shared" si="18"/>
        <v>0</v>
      </c>
      <c r="AS10" s="1233">
        <f t="shared" si="19"/>
        <v>0</v>
      </c>
      <c r="AT10" s="1234">
        <f t="shared" si="20"/>
        <v>0</v>
      </c>
      <c r="AU10" s="1236">
        <f t="shared" si="21"/>
        <v>0</v>
      </c>
      <c r="AV10" s="1233">
        <f t="shared" si="22"/>
        <v>0</v>
      </c>
      <c r="AW10" s="1234">
        <f t="shared" si="23"/>
        <v>0</v>
      </c>
      <c r="AX10" s="1235">
        <f t="shared" si="24"/>
        <v>0</v>
      </c>
      <c r="AY10" s="438"/>
      <c r="AZ10" s="438"/>
      <c r="BA10" s="438"/>
      <c r="BB10" s="438"/>
      <c r="BC10" s="438"/>
      <c r="BD10" s="438"/>
      <c r="BE10" s="438"/>
      <c r="BF10" s="438"/>
      <c r="BG10" s="438"/>
      <c r="BH10" s="438"/>
      <c r="BI10" s="438"/>
      <c r="BJ10" s="438"/>
      <c r="BK10" s="438"/>
      <c r="BL10" s="438"/>
      <c r="BM10" s="438"/>
      <c r="BN10" s="438"/>
      <c r="BO10" s="438"/>
      <c r="BP10" s="438"/>
      <c r="BQ10" s="438"/>
      <c r="BR10" s="438"/>
      <c r="BS10" s="438"/>
      <c r="BT10" s="438"/>
      <c r="BU10" s="438"/>
      <c r="BV10" s="438"/>
      <c r="BW10" s="438"/>
      <c r="BX10" s="438"/>
      <c r="BY10" s="438"/>
      <c r="BZ10" s="438"/>
      <c r="CA10" s="438"/>
      <c r="CB10" s="438"/>
      <c r="CC10" s="438"/>
      <c r="CD10" s="438"/>
      <c r="CE10" s="438"/>
      <c r="CF10" s="438"/>
      <c r="CG10" s="438"/>
      <c r="CH10" s="438"/>
      <c r="CI10" s="438"/>
      <c r="CJ10" s="438"/>
      <c r="CK10" s="438"/>
      <c r="CL10" s="438"/>
      <c r="CM10" s="438"/>
      <c r="CN10" s="438"/>
      <c r="CO10" s="438"/>
      <c r="CP10" s="438"/>
      <c r="CQ10" s="438"/>
      <c r="CR10" s="438"/>
      <c r="CS10" s="438"/>
    </row>
    <row r="11" spans="1:97" ht="32.25" customHeight="1">
      <c r="C11" s="1739">
        <v>107</v>
      </c>
      <c r="D11" s="1950"/>
      <c r="E11" s="1922" t="s">
        <v>986</v>
      </c>
      <c r="F11" s="1923"/>
      <c r="G11" s="1210" t="str">
        <f>IF((Q11&lt;&gt;""),SUM(((Q11+AD11)+AV11)),"0")</f>
        <v>0</v>
      </c>
      <c r="H11" s="1210">
        <f t="shared" si="25"/>
        <v>3</v>
      </c>
      <c r="I11" s="1210">
        <f t="shared" si="29"/>
        <v>2.5</v>
      </c>
      <c r="J11" s="1210">
        <f t="shared" si="1"/>
        <v>-0.33333333333333331</v>
      </c>
      <c r="K11" s="1210">
        <f t="shared" si="2"/>
        <v>-0.26666666666666666</v>
      </c>
      <c r="L11" s="1211"/>
      <c r="M11" s="1305"/>
      <c r="N11" s="1305"/>
      <c r="O11" s="1305"/>
      <c r="P11" s="1305"/>
      <c r="Q11" s="1230"/>
      <c r="R11" s="1231">
        <f>SUM(((R7/3)*2))</f>
        <v>3</v>
      </c>
      <c r="S11" s="1231">
        <f>SUM((S8/3))</f>
        <v>2.5</v>
      </c>
      <c r="T11" s="1231">
        <f>SUM((T6/3))</f>
        <v>-0.33333333333333331</v>
      </c>
      <c r="U11" s="1330">
        <f>SUM(((U6/3)*4))</f>
        <v>-0.26666666666666666</v>
      </c>
      <c r="V11" s="1594"/>
      <c r="W11" s="1231"/>
      <c r="X11" s="1231"/>
      <c r="Y11" s="1232">
        <v>6</v>
      </c>
      <c r="Z11" s="1232">
        <f t="shared" si="26"/>
        <v>0</v>
      </c>
      <c r="AA11" s="1233">
        <f t="shared" si="27"/>
        <v>0</v>
      </c>
      <c r="AB11" s="1234">
        <f t="shared" si="3"/>
        <v>0.33333333333333331</v>
      </c>
      <c r="AC11" s="1235">
        <f t="shared" si="4"/>
        <v>0.27777777777777779</v>
      </c>
      <c r="AD11" s="1233">
        <f t="shared" si="28"/>
        <v>0</v>
      </c>
      <c r="AE11" s="1234">
        <f t="shared" si="5"/>
        <v>0</v>
      </c>
      <c r="AF11" s="1236">
        <f t="shared" si="6"/>
        <v>0</v>
      </c>
      <c r="AG11" s="1233">
        <f t="shared" si="7"/>
        <v>0</v>
      </c>
      <c r="AH11" s="1234">
        <f t="shared" si="8"/>
        <v>0</v>
      </c>
      <c r="AI11" s="1235">
        <f t="shared" si="9"/>
        <v>0</v>
      </c>
      <c r="AJ11" s="1233">
        <f t="shared" si="10"/>
        <v>0</v>
      </c>
      <c r="AK11" s="1234">
        <f t="shared" si="11"/>
        <v>0</v>
      </c>
      <c r="AL11" s="1236">
        <f t="shared" si="12"/>
        <v>0</v>
      </c>
      <c r="AM11" s="1233">
        <f t="shared" si="13"/>
        <v>0</v>
      </c>
      <c r="AN11" s="1234">
        <f t="shared" si="14"/>
        <v>0</v>
      </c>
      <c r="AO11" s="1235">
        <f t="shared" si="15"/>
        <v>0</v>
      </c>
      <c r="AP11" s="1233">
        <f t="shared" si="16"/>
        <v>0</v>
      </c>
      <c r="AQ11" s="1234">
        <f t="shared" si="17"/>
        <v>0</v>
      </c>
      <c r="AR11" s="1236">
        <f t="shared" si="18"/>
        <v>0</v>
      </c>
      <c r="AS11" s="1233">
        <f t="shared" si="19"/>
        <v>0</v>
      </c>
      <c r="AT11" s="1234">
        <f t="shared" si="20"/>
        <v>0</v>
      </c>
      <c r="AU11" s="1236">
        <f t="shared" si="21"/>
        <v>0</v>
      </c>
      <c r="AV11" s="1233">
        <f t="shared" si="22"/>
        <v>0</v>
      </c>
      <c r="AW11" s="1234">
        <f t="shared" si="23"/>
        <v>0</v>
      </c>
      <c r="AX11" s="1235">
        <f t="shared" si="24"/>
        <v>0</v>
      </c>
      <c r="AY11" s="438"/>
      <c r="AZ11" s="438"/>
      <c r="BA11" s="438"/>
      <c r="BB11" s="438"/>
      <c r="BC11" s="438"/>
      <c r="BD11" s="438"/>
      <c r="BE11" s="438"/>
      <c r="BF11" s="438"/>
      <c r="BG11" s="438"/>
      <c r="BH11" s="438"/>
      <c r="BI11" s="438"/>
      <c r="BJ11" s="438"/>
      <c r="BK11" s="438"/>
      <c r="BL11" s="438"/>
      <c r="BM11" s="438"/>
      <c r="BN11" s="438"/>
      <c r="BO11" s="438"/>
      <c r="BP11" s="438"/>
      <c r="BQ11" s="438"/>
      <c r="BR11" s="438"/>
      <c r="BS11" s="438"/>
      <c r="BT11" s="438"/>
      <c r="BU11" s="438"/>
      <c r="BV11" s="438"/>
      <c r="BW11" s="438"/>
      <c r="BX11" s="438"/>
      <c r="BY11" s="438"/>
      <c r="BZ11" s="438"/>
      <c r="CA11" s="438"/>
      <c r="CB11" s="438"/>
      <c r="CC11" s="438"/>
      <c r="CD11" s="438"/>
      <c r="CE11" s="438"/>
      <c r="CF11" s="438"/>
      <c r="CG11" s="438"/>
      <c r="CH11" s="438"/>
      <c r="CI11" s="438"/>
      <c r="CJ11" s="438"/>
      <c r="CK11" s="438"/>
      <c r="CL11" s="438"/>
      <c r="CM11" s="438"/>
      <c r="CN11" s="438"/>
      <c r="CO11" s="438"/>
      <c r="CP11" s="438"/>
      <c r="CQ11" s="438"/>
      <c r="CR11" s="438"/>
      <c r="CS11" s="438"/>
    </row>
    <row r="12" spans="1:97" ht="33" customHeight="1">
      <c r="C12" s="1739">
        <v>108</v>
      </c>
      <c r="D12" s="1950"/>
      <c r="E12" s="1922" t="s">
        <v>987</v>
      </c>
      <c r="F12" s="1951"/>
      <c r="G12" s="1210">
        <f t="shared" si="0"/>
        <v>18</v>
      </c>
      <c r="H12" s="1210">
        <f t="shared" si="25"/>
        <v>1.8</v>
      </c>
      <c r="I12" s="1210">
        <f t="shared" si="29"/>
        <v>1.5</v>
      </c>
      <c r="J12" s="1210">
        <f t="shared" si="1"/>
        <v>-0.60000000000000009</v>
      </c>
      <c r="K12" s="1210">
        <f t="shared" si="2"/>
        <v>-0.24</v>
      </c>
      <c r="L12" s="1211"/>
      <c r="M12" s="1305"/>
      <c r="N12" s="1305"/>
      <c r="O12" s="1305"/>
      <c r="P12" s="1305"/>
      <c r="Q12" s="1230">
        <f>SUM(((Q6/5)*2))</f>
        <v>18</v>
      </c>
      <c r="R12" s="1231">
        <f>SUM(((R7/5)*2))</f>
        <v>1.8</v>
      </c>
      <c r="S12" s="1231">
        <f>SUM((S8/5))</f>
        <v>1.5</v>
      </c>
      <c r="T12" s="1231">
        <f>SUM(((T6/10)*6))</f>
        <v>-0.60000000000000009</v>
      </c>
      <c r="U12" s="1330">
        <f>SUM(((U6/5)*6))</f>
        <v>-0.24</v>
      </c>
      <c r="V12" s="1594"/>
      <c r="W12" s="1231"/>
      <c r="X12" s="1231"/>
      <c r="Y12" s="1232">
        <v>7</v>
      </c>
      <c r="Z12" s="1232">
        <f t="shared" si="26"/>
        <v>0</v>
      </c>
      <c r="AA12" s="1233">
        <f t="shared" si="27"/>
        <v>2</v>
      </c>
      <c r="AB12" s="1234">
        <f t="shared" si="3"/>
        <v>0.2</v>
      </c>
      <c r="AC12" s="1235">
        <f t="shared" si="4"/>
        <v>0.16666666666666666</v>
      </c>
      <c r="AD12" s="1233">
        <f t="shared" si="28"/>
        <v>0</v>
      </c>
      <c r="AE12" s="1234">
        <f t="shared" si="5"/>
        <v>0</v>
      </c>
      <c r="AF12" s="1236">
        <f t="shared" si="6"/>
        <v>0</v>
      </c>
      <c r="AG12" s="1233">
        <f t="shared" si="7"/>
        <v>0</v>
      </c>
      <c r="AH12" s="1234">
        <f t="shared" si="8"/>
        <v>0</v>
      </c>
      <c r="AI12" s="1235">
        <f t="shared" si="9"/>
        <v>0</v>
      </c>
      <c r="AJ12" s="1233">
        <f t="shared" si="10"/>
        <v>0</v>
      </c>
      <c r="AK12" s="1234">
        <f t="shared" si="11"/>
        <v>0</v>
      </c>
      <c r="AL12" s="1236">
        <f t="shared" si="12"/>
        <v>0</v>
      </c>
      <c r="AM12" s="1233">
        <f t="shared" si="13"/>
        <v>0</v>
      </c>
      <c r="AN12" s="1234">
        <f t="shared" si="14"/>
        <v>0</v>
      </c>
      <c r="AO12" s="1235">
        <f t="shared" si="15"/>
        <v>0</v>
      </c>
      <c r="AP12" s="1233">
        <f t="shared" si="16"/>
        <v>0</v>
      </c>
      <c r="AQ12" s="1234">
        <f t="shared" si="17"/>
        <v>0</v>
      </c>
      <c r="AR12" s="1236">
        <f t="shared" si="18"/>
        <v>0</v>
      </c>
      <c r="AS12" s="1233">
        <f t="shared" si="19"/>
        <v>0</v>
      </c>
      <c r="AT12" s="1234">
        <f t="shared" si="20"/>
        <v>0</v>
      </c>
      <c r="AU12" s="1236">
        <f t="shared" si="21"/>
        <v>0</v>
      </c>
      <c r="AV12" s="1233">
        <f t="shared" si="22"/>
        <v>0</v>
      </c>
      <c r="AW12" s="1234">
        <f t="shared" si="23"/>
        <v>0</v>
      </c>
      <c r="AX12" s="1235">
        <f t="shared" si="24"/>
        <v>0</v>
      </c>
      <c r="AY12" s="438"/>
      <c r="AZ12" s="438"/>
      <c r="BA12" s="438"/>
      <c r="BB12" s="438"/>
      <c r="BC12" s="438"/>
      <c r="BD12" s="438"/>
      <c r="BE12" s="438"/>
      <c r="BF12" s="438"/>
      <c r="BG12" s="438"/>
      <c r="BH12" s="438"/>
      <c r="BI12" s="438"/>
      <c r="BJ12" s="438"/>
      <c r="BK12" s="438"/>
      <c r="BL12" s="438"/>
      <c r="BM12" s="438"/>
      <c r="BN12" s="438"/>
      <c r="BO12" s="438"/>
      <c r="BP12" s="438"/>
      <c r="BQ12" s="438"/>
      <c r="BR12" s="438"/>
      <c r="BS12" s="438"/>
      <c r="BT12" s="438"/>
      <c r="BU12" s="438"/>
      <c r="BV12" s="438"/>
      <c r="BW12" s="438"/>
      <c r="BX12" s="438"/>
      <c r="BY12" s="438"/>
      <c r="BZ12" s="438"/>
      <c r="CA12" s="438"/>
      <c r="CB12" s="438"/>
      <c r="CC12" s="438"/>
      <c r="CD12" s="438"/>
      <c r="CE12" s="438"/>
      <c r="CF12" s="438"/>
      <c r="CG12" s="438"/>
      <c r="CH12" s="438"/>
      <c r="CI12" s="438"/>
      <c r="CJ12" s="438"/>
      <c r="CK12" s="438"/>
      <c r="CL12" s="438"/>
      <c r="CM12" s="438"/>
      <c r="CN12" s="438"/>
      <c r="CO12" s="438"/>
      <c r="CP12" s="438"/>
      <c r="CQ12" s="438"/>
      <c r="CR12" s="438"/>
      <c r="CS12" s="438"/>
    </row>
    <row r="13" spans="1:97" ht="16.5" customHeight="1">
      <c r="C13" s="1739">
        <v>109</v>
      </c>
      <c r="D13" s="1950"/>
      <c r="E13" s="1927" t="s">
        <v>720</v>
      </c>
      <c r="F13" s="1928"/>
      <c r="G13" s="1210">
        <v>0</v>
      </c>
      <c r="H13" s="1210">
        <v>0</v>
      </c>
      <c r="I13" s="1210">
        <v>0</v>
      </c>
      <c r="J13" s="1210">
        <v>0</v>
      </c>
      <c r="K13" s="1210">
        <v>0</v>
      </c>
      <c r="L13" s="1212"/>
      <c r="M13" s="1305"/>
      <c r="N13" s="1305"/>
      <c r="O13" s="1305"/>
      <c r="P13" s="1305"/>
      <c r="Q13" s="1230"/>
      <c r="R13" s="1231"/>
      <c r="S13" s="1231"/>
      <c r="T13" s="1231"/>
      <c r="U13" s="1330"/>
      <c r="V13" s="1594"/>
      <c r="W13" s="1231"/>
      <c r="X13" s="1231"/>
      <c r="Y13" s="1232"/>
      <c r="Z13" s="1232">
        <f t="shared" si="26"/>
        <v>0</v>
      </c>
      <c r="AA13" s="1233"/>
      <c r="AB13" s="1234"/>
      <c r="AC13" s="1235"/>
      <c r="AD13" s="1233"/>
      <c r="AE13" s="1234"/>
      <c r="AF13" s="1236"/>
      <c r="AG13" s="1233"/>
      <c r="AH13" s="1234"/>
      <c r="AI13" s="1235"/>
      <c r="AJ13" s="1233"/>
      <c r="AK13" s="1234"/>
      <c r="AL13" s="1236"/>
      <c r="AM13" s="1233"/>
      <c r="AN13" s="1234"/>
      <c r="AO13" s="1235"/>
      <c r="AP13" s="1233"/>
      <c r="AQ13" s="1234"/>
      <c r="AR13" s="1236"/>
      <c r="AS13" s="1233"/>
      <c r="AT13" s="1234"/>
      <c r="AU13" s="1236"/>
      <c r="AV13" s="1233"/>
      <c r="AW13" s="1234"/>
      <c r="AX13" s="1235"/>
      <c r="AY13" s="438"/>
      <c r="AZ13" s="438"/>
      <c r="BA13" s="438"/>
      <c r="BB13" s="438"/>
      <c r="BC13" s="438"/>
      <c r="BD13" s="438"/>
      <c r="BE13" s="438"/>
      <c r="BF13" s="438"/>
      <c r="BG13" s="438"/>
      <c r="BH13" s="438"/>
      <c r="BI13" s="438"/>
      <c r="BJ13" s="438"/>
      <c r="BK13" s="438"/>
      <c r="BL13" s="438"/>
      <c r="BM13" s="438"/>
      <c r="BN13" s="438"/>
      <c r="BO13" s="438"/>
      <c r="BP13" s="438"/>
      <c r="BQ13" s="438"/>
      <c r="BR13" s="438"/>
      <c r="BS13" s="438"/>
      <c r="BT13" s="438"/>
      <c r="BU13" s="438"/>
      <c r="BV13" s="438"/>
      <c r="BW13" s="438"/>
      <c r="BX13" s="438"/>
      <c r="BY13" s="438"/>
      <c r="BZ13" s="438"/>
      <c r="CA13" s="438"/>
      <c r="CB13" s="438"/>
      <c r="CC13" s="438"/>
      <c r="CD13" s="438"/>
      <c r="CE13" s="438"/>
      <c r="CF13" s="438"/>
      <c r="CG13" s="438"/>
      <c r="CH13" s="438"/>
      <c r="CI13" s="438"/>
      <c r="CJ13" s="438"/>
      <c r="CK13" s="438"/>
      <c r="CL13" s="438"/>
      <c r="CM13" s="438"/>
      <c r="CN13" s="438"/>
      <c r="CO13" s="438"/>
      <c r="CP13" s="438"/>
      <c r="CQ13" s="438"/>
      <c r="CR13" s="438"/>
      <c r="CS13" s="438"/>
    </row>
    <row r="14" spans="1:97" ht="16.5" customHeight="1">
      <c r="C14" s="1739">
        <v>110</v>
      </c>
      <c r="D14" s="1950"/>
      <c r="E14" s="1945" t="s">
        <v>263</v>
      </c>
      <c r="F14" s="1946"/>
      <c r="G14" s="1210">
        <v>0</v>
      </c>
      <c r="H14" s="1210">
        <v>0</v>
      </c>
      <c r="I14" s="1210">
        <v>0</v>
      </c>
      <c r="J14" s="1210">
        <v>0</v>
      </c>
      <c r="K14" s="1210">
        <v>0</v>
      </c>
      <c r="L14" s="1212">
        <f>$E$68</f>
        <v>0.5</v>
      </c>
      <c r="M14" s="1305"/>
      <c r="N14" s="1305"/>
      <c r="O14" s="1305"/>
      <c r="P14" s="1305"/>
      <c r="Q14" s="1230"/>
      <c r="R14" s="1231"/>
      <c r="S14" s="1231"/>
      <c r="T14" s="1231"/>
      <c r="U14" s="1330"/>
      <c r="V14" s="1594"/>
      <c r="W14" s="1231"/>
      <c r="X14" s="1231"/>
      <c r="Y14" s="1232"/>
      <c r="Z14" s="1232">
        <f t="shared" si="26"/>
        <v>0</v>
      </c>
      <c r="AA14" s="1233"/>
      <c r="AB14" s="1234"/>
      <c r="AC14" s="1235"/>
      <c r="AD14" s="1233"/>
      <c r="AE14" s="1234"/>
      <c r="AF14" s="1236"/>
      <c r="AG14" s="1233"/>
      <c r="AH14" s="1234"/>
      <c r="AI14" s="1235"/>
      <c r="AJ14" s="1233"/>
      <c r="AK14" s="1234"/>
      <c r="AL14" s="1236"/>
      <c r="AM14" s="1233"/>
      <c r="AN14" s="1234"/>
      <c r="AO14" s="1235"/>
      <c r="AP14" s="1233"/>
      <c r="AQ14" s="1234"/>
      <c r="AR14" s="1236"/>
      <c r="AS14" s="1233"/>
      <c r="AT14" s="1234"/>
      <c r="AU14" s="1236"/>
      <c r="AV14" s="1233"/>
      <c r="AW14" s="1234"/>
      <c r="AX14" s="1235"/>
      <c r="AY14" s="438"/>
      <c r="AZ14" s="438"/>
      <c r="BA14" s="438"/>
      <c r="BB14" s="438"/>
      <c r="BC14" s="438"/>
      <c r="BD14" s="438"/>
      <c r="BE14" s="438"/>
      <c r="BF14" s="438"/>
      <c r="BG14" s="438"/>
      <c r="BH14" s="438"/>
      <c r="BI14" s="438"/>
      <c r="BJ14" s="438"/>
      <c r="BK14" s="438"/>
      <c r="BL14" s="438"/>
      <c r="BM14" s="438"/>
      <c r="BN14" s="438"/>
      <c r="BO14" s="438"/>
      <c r="BP14" s="438"/>
      <c r="BQ14" s="438"/>
      <c r="BR14" s="438"/>
      <c r="BS14" s="438"/>
      <c r="BT14" s="438"/>
      <c r="BU14" s="438"/>
      <c r="BV14" s="438"/>
      <c r="BW14" s="438"/>
      <c r="BX14" s="438"/>
      <c r="BY14" s="438"/>
      <c r="BZ14" s="438"/>
      <c r="CA14" s="438"/>
      <c r="CB14" s="438"/>
      <c r="CC14" s="438"/>
      <c r="CD14" s="438"/>
      <c r="CE14" s="438"/>
      <c r="CF14" s="438"/>
      <c r="CG14" s="438"/>
      <c r="CH14" s="438"/>
      <c r="CI14" s="438"/>
      <c r="CJ14" s="438"/>
      <c r="CK14" s="438"/>
      <c r="CL14" s="438"/>
      <c r="CM14" s="438"/>
      <c r="CN14" s="438"/>
      <c r="CO14" s="438"/>
      <c r="CP14" s="438"/>
      <c r="CQ14" s="438"/>
      <c r="CR14" s="438"/>
      <c r="CS14" s="438"/>
    </row>
    <row r="15" spans="1:97" ht="16.5" customHeight="1">
      <c r="C15" s="1739">
        <v>111</v>
      </c>
      <c r="D15" s="1950"/>
      <c r="E15" s="1927" t="s">
        <v>1089</v>
      </c>
      <c r="F15" s="1928"/>
      <c r="G15" s="1210"/>
      <c r="H15" s="1210"/>
      <c r="I15" s="1210"/>
      <c r="J15" s="1210"/>
      <c r="K15" s="1210"/>
      <c r="L15" s="1212"/>
      <c r="M15" s="1305"/>
      <c r="N15" s="1305"/>
      <c r="O15" s="1305"/>
      <c r="P15" s="1305"/>
      <c r="Q15" s="1230"/>
      <c r="R15" s="1231"/>
      <c r="S15" s="1231"/>
      <c r="T15" s="1231"/>
      <c r="U15" s="1330"/>
      <c r="V15" s="1594"/>
      <c r="W15" s="1231"/>
      <c r="X15" s="1231"/>
      <c r="Y15" s="1232"/>
      <c r="Z15" s="1232"/>
      <c r="AA15" s="1233"/>
      <c r="AB15" s="1234"/>
      <c r="AC15" s="1235"/>
      <c r="AD15" s="1233"/>
      <c r="AE15" s="1234"/>
      <c r="AF15" s="1236"/>
      <c r="AG15" s="1233"/>
      <c r="AH15" s="1234"/>
      <c r="AI15" s="1235"/>
      <c r="AJ15" s="1233"/>
      <c r="AK15" s="1234"/>
      <c r="AL15" s="1236"/>
      <c r="AM15" s="1233"/>
      <c r="AN15" s="1234"/>
      <c r="AO15" s="1235"/>
      <c r="AP15" s="1233"/>
      <c r="AQ15" s="1234"/>
      <c r="AR15" s="1236"/>
      <c r="AS15" s="1233"/>
      <c r="AT15" s="1234"/>
      <c r="AU15" s="1236"/>
      <c r="AV15" s="1233"/>
      <c r="AW15" s="1234"/>
      <c r="AX15" s="1235"/>
      <c r="AY15" s="438"/>
      <c r="AZ15" s="438"/>
      <c r="BA15" s="438"/>
      <c r="BB15" s="438"/>
      <c r="BC15" s="438"/>
      <c r="BD15" s="438"/>
      <c r="BE15" s="438"/>
      <c r="BF15" s="438"/>
      <c r="BG15" s="438"/>
      <c r="BH15" s="438"/>
      <c r="BI15" s="438"/>
      <c r="BJ15" s="438"/>
      <c r="BK15" s="438"/>
      <c r="BL15" s="438"/>
      <c r="BM15" s="438"/>
      <c r="BN15" s="438"/>
      <c r="BO15" s="438"/>
      <c r="BP15" s="438"/>
      <c r="BQ15" s="438"/>
      <c r="BR15" s="438"/>
      <c r="BS15" s="438"/>
      <c r="BT15" s="438"/>
      <c r="BU15" s="438"/>
      <c r="BV15" s="438"/>
      <c r="BW15" s="438"/>
      <c r="BX15" s="438"/>
      <c r="BY15" s="438"/>
      <c r="BZ15" s="438"/>
      <c r="CA15" s="438"/>
      <c r="CB15" s="438"/>
      <c r="CC15" s="438"/>
      <c r="CD15" s="438"/>
      <c r="CE15" s="438"/>
      <c r="CF15" s="438"/>
      <c r="CG15" s="438"/>
      <c r="CH15" s="438"/>
      <c r="CI15" s="438"/>
      <c r="CJ15" s="438"/>
      <c r="CK15" s="438"/>
      <c r="CL15" s="438"/>
      <c r="CM15" s="438"/>
      <c r="CN15" s="438"/>
      <c r="CO15" s="438"/>
      <c r="CP15" s="438"/>
      <c r="CQ15" s="438"/>
      <c r="CR15" s="438"/>
      <c r="CS15" s="438"/>
    </row>
    <row r="16" spans="1:97" ht="16.5" customHeight="1">
      <c r="C16" s="1739">
        <v>112</v>
      </c>
      <c r="D16" s="1950"/>
      <c r="E16" s="1927" t="s">
        <v>988</v>
      </c>
      <c r="F16" s="1928"/>
      <c r="G16" s="1210"/>
      <c r="H16" s="1210"/>
      <c r="I16" s="1210"/>
      <c r="J16" s="1210"/>
      <c r="K16" s="1210"/>
      <c r="L16" s="1212"/>
      <c r="M16" s="1305"/>
      <c r="N16" s="1305"/>
      <c r="O16" s="1305"/>
      <c r="P16" s="1305"/>
      <c r="Q16" s="1230"/>
      <c r="R16" s="1231"/>
      <c r="S16" s="1231"/>
      <c r="T16" s="1231"/>
      <c r="U16" s="1330"/>
      <c r="V16" s="1594"/>
      <c r="W16" s="1231"/>
      <c r="X16" s="1231"/>
      <c r="Y16" s="1232"/>
      <c r="Z16" s="1232"/>
      <c r="AA16" s="1233"/>
      <c r="AB16" s="1234"/>
      <c r="AC16" s="1235"/>
      <c r="AD16" s="1233"/>
      <c r="AE16" s="1234"/>
      <c r="AF16" s="1236"/>
      <c r="AG16" s="1233"/>
      <c r="AH16" s="1234"/>
      <c r="AI16" s="1235"/>
      <c r="AJ16" s="1233"/>
      <c r="AK16" s="1234"/>
      <c r="AL16" s="1236"/>
      <c r="AM16" s="1233"/>
      <c r="AN16" s="1234"/>
      <c r="AO16" s="1235"/>
      <c r="AP16" s="1233"/>
      <c r="AQ16" s="1234"/>
      <c r="AR16" s="1236"/>
      <c r="AS16" s="1233"/>
      <c r="AT16" s="1234"/>
      <c r="AU16" s="1236"/>
      <c r="AV16" s="1233"/>
      <c r="AW16" s="1234"/>
      <c r="AX16" s="1235"/>
      <c r="AY16" s="438"/>
      <c r="AZ16" s="438"/>
      <c r="BA16" s="438"/>
      <c r="BB16" s="438"/>
      <c r="BC16" s="438"/>
      <c r="BD16" s="438"/>
      <c r="BE16" s="438"/>
      <c r="BF16" s="438"/>
      <c r="BG16" s="438"/>
      <c r="BH16" s="438"/>
      <c r="BI16" s="438"/>
      <c r="BJ16" s="438"/>
      <c r="BK16" s="438"/>
      <c r="BL16" s="438"/>
      <c r="BM16" s="438"/>
      <c r="BN16" s="438"/>
      <c r="BO16" s="438"/>
      <c r="BP16" s="438"/>
      <c r="BQ16" s="438"/>
      <c r="BR16" s="438"/>
      <c r="BS16" s="438"/>
      <c r="BT16" s="438"/>
      <c r="BU16" s="438"/>
      <c r="BV16" s="438"/>
      <c r="BW16" s="438"/>
      <c r="BX16" s="438"/>
      <c r="BY16" s="438"/>
      <c r="BZ16" s="438"/>
      <c r="CA16" s="438"/>
      <c r="CB16" s="438"/>
      <c r="CC16" s="438"/>
      <c r="CD16" s="438"/>
      <c r="CE16" s="438"/>
      <c r="CF16" s="438"/>
      <c r="CG16" s="438"/>
      <c r="CH16" s="438"/>
      <c r="CI16" s="438"/>
      <c r="CJ16" s="438"/>
      <c r="CK16" s="438"/>
      <c r="CL16" s="438"/>
      <c r="CM16" s="438"/>
      <c r="CN16" s="438"/>
      <c r="CO16" s="438"/>
      <c r="CP16" s="438"/>
      <c r="CQ16" s="438"/>
      <c r="CR16" s="438"/>
      <c r="CS16" s="438"/>
    </row>
    <row r="17" spans="3:97" ht="16.5" customHeight="1">
      <c r="C17" s="1741">
        <v>201</v>
      </c>
      <c r="D17" s="2009" t="s">
        <v>94</v>
      </c>
      <c r="E17" s="1933"/>
      <c r="F17" s="1934"/>
      <c r="G17" s="1213">
        <v>0</v>
      </c>
      <c r="H17" s="1213">
        <v>0</v>
      </c>
      <c r="I17" s="1213">
        <v>0</v>
      </c>
      <c r="J17" s="1213">
        <v>0</v>
      </c>
      <c r="K17" s="1213">
        <v>0</v>
      </c>
      <c r="L17" s="1214"/>
      <c r="M17" s="1305"/>
      <c r="N17" s="1305"/>
      <c r="O17" s="1305"/>
      <c r="P17" s="1305"/>
      <c r="Q17" s="1237"/>
      <c r="R17" s="1238"/>
      <c r="S17" s="1238"/>
      <c r="T17" s="1238"/>
      <c r="U17" s="1589"/>
      <c r="V17" s="1595"/>
      <c r="W17" s="1238"/>
      <c r="X17" s="1238"/>
      <c r="Y17" s="1239"/>
      <c r="Z17" s="1239">
        <f t="shared" si="26"/>
        <v>0</v>
      </c>
      <c r="AA17" s="1240"/>
      <c r="AB17" s="1241"/>
      <c r="AC17" s="1242"/>
      <c r="AD17" s="1240"/>
      <c r="AE17" s="1241"/>
      <c r="AF17" s="1243"/>
      <c r="AG17" s="1240"/>
      <c r="AH17" s="1241"/>
      <c r="AI17" s="1242"/>
      <c r="AJ17" s="1240"/>
      <c r="AK17" s="1241"/>
      <c r="AL17" s="1243"/>
      <c r="AM17" s="1240"/>
      <c r="AN17" s="1241"/>
      <c r="AO17" s="1242"/>
      <c r="AP17" s="1240"/>
      <c r="AQ17" s="1241"/>
      <c r="AR17" s="1243"/>
      <c r="AS17" s="1240"/>
      <c r="AT17" s="1241"/>
      <c r="AU17" s="1243"/>
      <c r="AV17" s="1240"/>
      <c r="AW17" s="1241"/>
      <c r="AX17" s="1242"/>
      <c r="AY17" s="438"/>
      <c r="AZ17" s="438"/>
      <c r="BA17" s="438"/>
      <c r="BB17" s="438"/>
      <c r="BC17" s="438"/>
      <c r="BD17" s="438"/>
      <c r="BE17" s="438"/>
      <c r="BF17" s="438"/>
      <c r="BG17" s="438"/>
      <c r="BH17" s="438"/>
      <c r="BI17" s="438"/>
      <c r="BJ17" s="438"/>
      <c r="BK17" s="438"/>
      <c r="BL17" s="438"/>
      <c r="BM17" s="438"/>
      <c r="BN17" s="438"/>
      <c r="BO17" s="438"/>
      <c r="BP17" s="438"/>
      <c r="BQ17" s="438"/>
      <c r="BR17" s="438"/>
      <c r="BS17" s="438"/>
      <c r="BT17" s="438"/>
      <c r="BU17" s="438"/>
      <c r="BV17" s="438"/>
      <c r="BW17" s="438"/>
      <c r="BX17" s="438"/>
      <c r="BY17" s="438"/>
      <c r="BZ17" s="438"/>
      <c r="CA17" s="438"/>
      <c r="CB17" s="438"/>
      <c r="CC17" s="438"/>
      <c r="CD17" s="438"/>
      <c r="CE17" s="438"/>
      <c r="CF17" s="438"/>
      <c r="CG17" s="438"/>
      <c r="CH17" s="438"/>
      <c r="CI17" s="438"/>
      <c r="CJ17" s="438"/>
      <c r="CK17" s="438"/>
      <c r="CL17" s="438"/>
      <c r="CM17" s="438"/>
      <c r="CN17" s="438"/>
      <c r="CO17" s="438"/>
      <c r="CP17" s="438"/>
      <c r="CQ17" s="438"/>
      <c r="CR17" s="438"/>
      <c r="CS17" s="438"/>
    </row>
    <row r="18" spans="3:97" ht="16.5" customHeight="1">
      <c r="C18" s="1739">
        <v>202</v>
      </c>
      <c r="D18" s="2010"/>
      <c r="E18" s="1914" t="s">
        <v>1087</v>
      </c>
      <c r="F18" s="1934"/>
      <c r="G18" s="1215">
        <f t="shared" si="0"/>
        <v>165</v>
      </c>
      <c r="H18" s="1215" t="str">
        <f>IF((R18&lt;&gt;""),SUM(((R18+AE18)+AW18)),"0")</f>
        <v>0</v>
      </c>
      <c r="I18" s="1215" t="str">
        <f>IF((S18&lt;&gt;""),SUM(((S18+AF18)+AX18)),"0")</f>
        <v>0</v>
      </c>
      <c r="J18" s="1215">
        <f t="shared" si="1"/>
        <v>-0.5</v>
      </c>
      <c r="K18" s="1215">
        <f t="shared" si="2"/>
        <v>-0.1</v>
      </c>
      <c r="L18" s="1214"/>
      <c r="M18" s="1305"/>
      <c r="N18" s="1305"/>
      <c r="O18" s="1305"/>
      <c r="P18" s="1305"/>
      <c r="Q18" s="1237">
        <v>165</v>
      </c>
      <c r="R18" s="1238"/>
      <c r="S18" s="1238"/>
      <c r="T18" s="1238">
        <v>-0.5</v>
      </c>
      <c r="U18" s="1589">
        <v>-0.1</v>
      </c>
      <c r="V18" s="1595"/>
      <c r="W18" s="1238"/>
      <c r="X18" s="1238"/>
      <c r="Y18" s="1239">
        <v>8</v>
      </c>
      <c r="Z18" s="1239">
        <f t="shared" si="26"/>
        <v>0</v>
      </c>
      <c r="AA18" s="1240">
        <f t="shared" si="27"/>
        <v>18.333333333333332</v>
      </c>
      <c r="AB18" s="1241">
        <f t="shared" si="3"/>
        <v>0</v>
      </c>
      <c r="AC18" s="1242">
        <f t="shared" si="4"/>
        <v>0</v>
      </c>
      <c r="AD18" s="1240">
        <f t="shared" si="28"/>
        <v>0</v>
      </c>
      <c r="AE18" s="1241">
        <f t="shared" si="5"/>
        <v>0</v>
      </c>
      <c r="AF18" s="1243">
        <f t="shared" si="6"/>
        <v>0</v>
      </c>
      <c r="AG18" s="1240">
        <f t="shared" si="7"/>
        <v>0</v>
      </c>
      <c r="AH18" s="1241">
        <f t="shared" si="8"/>
        <v>0</v>
      </c>
      <c r="AI18" s="1242">
        <f t="shared" si="9"/>
        <v>0</v>
      </c>
      <c r="AJ18" s="1240">
        <f t="shared" si="10"/>
        <v>0</v>
      </c>
      <c r="AK18" s="1241">
        <f t="shared" si="11"/>
        <v>0</v>
      </c>
      <c r="AL18" s="1243">
        <f t="shared" si="12"/>
        <v>0</v>
      </c>
      <c r="AM18" s="1240">
        <f t="shared" si="13"/>
        <v>0</v>
      </c>
      <c r="AN18" s="1241">
        <f t="shared" si="14"/>
        <v>0</v>
      </c>
      <c r="AO18" s="1242">
        <f t="shared" si="15"/>
        <v>0</v>
      </c>
      <c r="AP18" s="1240">
        <f t="shared" si="16"/>
        <v>0</v>
      </c>
      <c r="AQ18" s="1241">
        <f t="shared" si="17"/>
        <v>0</v>
      </c>
      <c r="AR18" s="1243">
        <f t="shared" si="18"/>
        <v>0</v>
      </c>
      <c r="AS18" s="1240">
        <f t="shared" si="19"/>
        <v>0</v>
      </c>
      <c r="AT18" s="1241">
        <f t="shared" si="20"/>
        <v>0</v>
      </c>
      <c r="AU18" s="1243">
        <f t="shared" si="21"/>
        <v>0</v>
      </c>
      <c r="AV18" s="1240">
        <f t="shared" si="22"/>
        <v>0</v>
      </c>
      <c r="AW18" s="1241">
        <f t="shared" si="23"/>
        <v>0</v>
      </c>
      <c r="AX18" s="1242">
        <f t="shared" si="24"/>
        <v>0</v>
      </c>
      <c r="AY18" s="438"/>
      <c r="AZ18" s="438"/>
      <c r="BA18" s="438"/>
      <c r="BB18" s="438"/>
      <c r="BC18" s="438"/>
      <c r="BD18" s="438"/>
      <c r="BE18" s="438"/>
      <c r="BF18" s="438"/>
      <c r="BG18" s="438"/>
      <c r="BH18" s="438"/>
      <c r="BI18" s="438"/>
      <c r="BJ18" s="438"/>
      <c r="BK18" s="438"/>
      <c r="BL18" s="438"/>
      <c r="BM18" s="438"/>
      <c r="BN18" s="438"/>
      <c r="BO18" s="438"/>
      <c r="BP18" s="438"/>
      <c r="BQ18" s="438"/>
      <c r="BR18" s="438"/>
      <c r="BS18" s="438"/>
      <c r="BT18" s="438"/>
      <c r="BU18" s="438"/>
      <c r="BV18" s="438"/>
      <c r="BW18" s="438"/>
      <c r="BX18" s="438"/>
      <c r="BY18" s="438"/>
      <c r="BZ18" s="438"/>
      <c r="CA18" s="438"/>
      <c r="CB18" s="438"/>
      <c r="CC18" s="438"/>
      <c r="CD18" s="438"/>
      <c r="CE18" s="438"/>
      <c r="CF18" s="438"/>
      <c r="CG18" s="438"/>
      <c r="CH18" s="438"/>
      <c r="CI18" s="438"/>
      <c r="CJ18" s="438"/>
      <c r="CK18" s="438"/>
      <c r="CL18" s="438"/>
      <c r="CM18" s="438"/>
      <c r="CN18" s="438"/>
      <c r="CO18" s="438"/>
      <c r="CP18" s="438"/>
      <c r="CQ18" s="438"/>
      <c r="CR18" s="438"/>
      <c r="CS18" s="438"/>
    </row>
    <row r="19" spans="3:97" ht="16.5" customHeight="1">
      <c r="C19" s="1741">
        <v>203</v>
      </c>
      <c r="D19" s="2010"/>
      <c r="E19" s="1914" t="s">
        <v>1088</v>
      </c>
      <c r="F19" s="1915"/>
      <c r="G19" s="1215" t="str">
        <f>IF((Q19&lt;&gt;""),SUM(((Q19+AD19)+AV19)),"0")</f>
        <v>0</v>
      </c>
      <c r="H19" s="1215">
        <f t="shared" si="25"/>
        <v>4.25</v>
      </c>
      <c r="I19" s="1215" t="str">
        <f>IF((S19&lt;&gt;""),SUM(((S19+AF19)+AX19)),"0")</f>
        <v>0</v>
      </c>
      <c r="J19" s="1215">
        <f t="shared" si="1"/>
        <v>-0.25</v>
      </c>
      <c r="K19" s="1215">
        <f t="shared" si="2"/>
        <v>-0.2</v>
      </c>
      <c r="L19" s="1214"/>
      <c r="M19" s="1305"/>
      <c r="N19" s="1305"/>
      <c r="O19" s="1305"/>
      <c r="P19" s="1305"/>
      <c r="Q19" s="1237"/>
      <c r="R19" s="1238">
        <v>4.25</v>
      </c>
      <c r="S19" s="1238"/>
      <c r="T19" s="1238">
        <f>SUM((T18/2))</f>
        <v>-0.25</v>
      </c>
      <c r="U19" s="1589">
        <f>SUM((U18*2))</f>
        <v>-0.2</v>
      </c>
      <c r="V19" s="1595"/>
      <c r="W19" s="1238"/>
      <c r="X19" s="1238"/>
      <c r="Y19" s="1239">
        <v>9</v>
      </c>
      <c r="Z19" s="1239">
        <f t="shared" si="26"/>
        <v>0</v>
      </c>
      <c r="AA19" s="1240">
        <f t="shared" si="27"/>
        <v>0</v>
      </c>
      <c r="AB19" s="1241">
        <f t="shared" si="3"/>
        <v>0.47222222222222221</v>
      </c>
      <c r="AC19" s="1242">
        <f t="shared" si="4"/>
        <v>0</v>
      </c>
      <c r="AD19" s="1240">
        <f t="shared" si="28"/>
        <v>0</v>
      </c>
      <c r="AE19" s="1241">
        <f t="shared" si="5"/>
        <v>0</v>
      </c>
      <c r="AF19" s="1243">
        <f t="shared" si="6"/>
        <v>0</v>
      </c>
      <c r="AG19" s="1240">
        <f t="shared" si="7"/>
        <v>0</v>
      </c>
      <c r="AH19" s="1241">
        <f t="shared" si="8"/>
        <v>0</v>
      </c>
      <c r="AI19" s="1242">
        <f t="shared" si="9"/>
        <v>0</v>
      </c>
      <c r="AJ19" s="1240">
        <f t="shared" si="10"/>
        <v>0</v>
      </c>
      <c r="AK19" s="1241">
        <f t="shared" si="11"/>
        <v>0</v>
      </c>
      <c r="AL19" s="1243">
        <f t="shared" si="12"/>
        <v>0</v>
      </c>
      <c r="AM19" s="1240">
        <f t="shared" si="13"/>
        <v>0</v>
      </c>
      <c r="AN19" s="1241">
        <f t="shared" si="14"/>
        <v>0</v>
      </c>
      <c r="AO19" s="1242">
        <f t="shared" si="15"/>
        <v>0</v>
      </c>
      <c r="AP19" s="1240">
        <f t="shared" si="16"/>
        <v>0</v>
      </c>
      <c r="AQ19" s="1241">
        <f t="shared" si="17"/>
        <v>0</v>
      </c>
      <c r="AR19" s="1243">
        <f t="shared" si="18"/>
        <v>0</v>
      </c>
      <c r="AS19" s="1240">
        <f t="shared" si="19"/>
        <v>0</v>
      </c>
      <c r="AT19" s="1241">
        <f t="shared" si="20"/>
        <v>0</v>
      </c>
      <c r="AU19" s="1243">
        <f t="shared" si="21"/>
        <v>0</v>
      </c>
      <c r="AV19" s="1240">
        <f t="shared" si="22"/>
        <v>0</v>
      </c>
      <c r="AW19" s="1241">
        <f t="shared" si="23"/>
        <v>0</v>
      </c>
      <c r="AX19" s="1242">
        <f t="shared" si="24"/>
        <v>0</v>
      </c>
      <c r="AY19" s="438"/>
      <c r="AZ19" s="438"/>
      <c r="BA19" s="438"/>
      <c r="BB19" s="438"/>
      <c r="BC19" s="438"/>
      <c r="BD19" s="438"/>
      <c r="BE19" s="438"/>
      <c r="BF19" s="438"/>
      <c r="BG19" s="438"/>
      <c r="BH19" s="438"/>
      <c r="BI19" s="438"/>
      <c r="BJ19" s="438"/>
      <c r="BK19" s="438"/>
      <c r="BL19" s="438"/>
      <c r="BM19" s="438"/>
      <c r="BN19" s="438"/>
      <c r="BO19" s="438"/>
      <c r="BP19" s="438"/>
      <c r="BQ19" s="438"/>
      <c r="BR19" s="438"/>
      <c r="BS19" s="438"/>
      <c r="BT19" s="438"/>
      <c r="BU19" s="438"/>
      <c r="BV19" s="438"/>
      <c r="BW19" s="438"/>
      <c r="BX19" s="438"/>
      <c r="BY19" s="438"/>
      <c r="BZ19" s="438"/>
      <c r="CA19" s="438"/>
      <c r="CB19" s="438"/>
      <c r="CC19" s="438"/>
      <c r="CD19" s="438"/>
      <c r="CE19" s="438"/>
      <c r="CF19" s="438"/>
      <c r="CG19" s="438"/>
      <c r="CH19" s="438"/>
      <c r="CI19" s="438"/>
      <c r="CJ19" s="438"/>
      <c r="CK19" s="438"/>
      <c r="CL19" s="438"/>
      <c r="CM19" s="438"/>
      <c r="CN19" s="438"/>
      <c r="CO19" s="438"/>
      <c r="CP19" s="438"/>
      <c r="CQ19" s="438"/>
      <c r="CR19" s="438"/>
      <c r="CS19" s="438"/>
    </row>
    <row r="20" spans="3:97" ht="16.5" customHeight="1">
      <c r="C20" s="1739">
        <v>204</v>
      </c>
      <c r="D20" s="2010"/>
      <c r="E20" s="1914" t="s">
        <v>983</v>
      </c>
      <c r="F20" s="1915"/>
      <c r="G20" s="1215" t="str">
        <f>IF((Q20&lt;&gt;""),SUM(((Q20+AD20)+AV20)),"0")</f>
        <v>0</v>
      </c>
      <c r="H20" s="1215" t="str">
        <f>IF((R20&lt;&gt;""),SUM(((R20+AE20)+AW20)),"0")</f>
        <v>0</v>
      </c>
      <c r="I20" s="1215">
        <f t="shared" si="29"/>
        <v>7.5</v>
      </c>
      <c r="J20" s="1215" t="str">
        <f>IF((T20&lt;&gt;0),T20,"0")</f>
        <v>0</v>
      </c>
      <c r="K20" s="1215" t="str">
        <f>IF((U20&lt;&gt;0),U20,"0")</f>
        <v>0</v>
      </c>
      <c r="L20" s="1214"/>
      <c r="M20" s="1305"/>
      <c r="N20" s="1305"/>
      <c r="O20" s="1305"/>
      <c r="P20" s="1305"/>
      <c r="Q20" s="1237"/>
      <c r="R20" s="1238"/>
      <c r="S20" s="1238">
        <v>7.5</v>
      </c>
      <c r="T20" s="1238">
        <f>SUM((T18*0))</f>
        <v>0</v>
      </c>
      <c r="U20" s="1589">
        <f>SUM((U18*0))</f>
        <v>0</v>
      </c>
      <c r="V20" s="1595"/>
      <c r="W20" s="1238"/>
      <c r="X20" s="1238"/>
      <c r="Y20" s="1239">
        <v>10</v>
      </c>
      <c r="Z20" s="1239">
        <f t="shared" si="26"/>
        <v>0</v>
      </c>
      <c r="AA20" s="1240">
        <f t="shared" si="27"/>
        <v>0</v>
      </c>
      <c r="AB20" s="1241">
        <f t="shared" si="3"/>
        <v>0</v>
      </c>
      <c r="AC20" s="1242">
        <f t="shared" si="4"/>
        <v>0.83333333333333337</v>
      </c>
      <c r="AD20" s="1240">
        <f t="shared" si="28"/>
        <v>0</v>
      </c>
      <c r="AE20" s="1241">
        <f t="shared" si="5"/>
        <v>0</v>
      </c>
      <c r="AF20" s="1243">
        <f t="shared" si="6"/>
        <v>0</v>
      </c>
      <c r="AG20" s="1240">
        <f t="shared" si="7"/>
        <v>0</v>
      </c>
      <c r="AH20" s="1241">
        <f t="shared" si="8"/>
        <v>0</v>
      </c>
      <c r="AI20" s="1242">
        <f t="shared" si="9"/>
        <v>0</v>
      </c>
      <c r="AJ20" s="1240">
        <f t="shared" si="10"/>
        <v>0</v>
      </c>
      <c r="AK20" s="1241">
        <f t="shared" si="11"/>
        <v>0</v>
      </c>
      <c r="AL20" s="1243">
        <f t="shared" si="12"/>
        <v>0</v>
      </c>
      <c r="AM20" s="1240">
        <f t="shared" si="13"/>
        <v>0</v>
      </c>
      <c r="AN20" s="1241">
        <f t="shared" si="14"/>
        <v>0</v>
      </c>
      <c r="AO20" s="1242">
        <f t="shared" si="15"/>
        <v>0</v>
      </c>
      <c r="AP20" s="1240">
        <f t="shared" si="16"/>
        <v>0</v>
      </c>
      <c r="AQ20" s="1241">
        <f t="shared" si="17"/>
        <v>0</v>
      </c>
      <c r="AR20" s="1243">
        <f t="shared" si="18"/>
        <v>0</v>
      </c>
      <c r="AS20" s="1240">
        <f t="shared" si="19"/>
        <v>0</v>
      </c>
      <c r="AT20" s="1241">
        <f t="shared" si="20"/>
        <v>0</v>
      </c>
      <c r="AU20" s="1243">
        <f t="shared" si="21"/>
        <v>0</v>
      </c>
      <c r="AV20" s="1240">
        <f t="shared" si="22"/>
        <v>0</v>
      </c>
      <c r="AW20" s="1241">
        <f t="shared" si="23"/>
        <v>0</v>
      </c>
      <c r="AX20" s="1242">
        <f t="shared" si="24"/>
        <v>0</v>
      </c>
      <c r="AY20" s="438"/>
      <c r="AZ20" s="438"/>
      <c r="BA20" s="438"/>
      <c r="BB20" s="438"/>
      <c r="BC20" s="438"/>
      <c r="BD20" s="438"/>
      <c r="BE20" s="438"/>
      <c r="BF20" s="438"/>
      <c r="BG20" s="438"/>
      <c r="BH20" s="438"/>
      <c r="BI20" s="438"/>
      <c r="BJ20" s="438"/>
      <c r="BK20" s="438"/>
      <c r="BL20" s="438"/>
      <c r="BM20" s="438"/>
      <c r="BN20" s="438"/>
      <c r="BO20" s="438"/>
      <c r="BP20" s="438"/>
      <c r="BQ20" s="438"/>
      <c r="BR20" s="438"/>
      <c r="BS20" s="438"/>
      <c r="BT20" s="438"/>
      <c r="BU20" s="438"/>
      <c r="BV20" s="438"/>
      <c r="BW20" s="438"/>
      <c r="BX20" s="438"/>
      <c r="BY20" s="438"/>
      <c r="BZ20" s="438"/>
      <c r="CA20" s="438"/>
      <c r="CB20" s="438"/>
      <c r="CC20" s="438"/>
      <c r="CD20" s="438"/>
      <c r="CE20" s="438"/>
      <c r="CF20" s="438"/>
      <c r="CG20" s="438"/>
      <c r="CH20" s="438"/>
      <c r="CI20" s="438"/>
      <c r="CJ20" s="438"/>
      <c r="CK20" s="438"/>
      <c r="CL20" s="438"/>
      <c r="CM20" s="438"/>
      <c r="CN20" s="438"/>
      <c r="CO20" s="438"/>
      <c r="CP20" s="438"/>
      <c r="CQ20" s="438"/>
      <c r="CR20" s="438"/>
      <c r="CS20" s="438"/>
    </row>
    <row r="21" spans="3:97" ht="16.5" customHeight="1">
      <c r="C21" s="1741">
        <v>205</v>
      </c>
      <c r="D21" s="2010"/>
      <c r="E21" s="1914" t="s">
        <v>984</v>
      </c>
      <c r="F21" s="1915"/>
      <c r="G21" s="1215">
        <f t="shared" si="0"/>
        <v>82.5</v>
      </c>
      <c r="H21" s="1215">
        <f t="shared" si="25"/>
        <v>2.125</v>
      </c>
      <c r="I21" s="1215" t="str">
        <f>IF((S21&lt;&gt;""),SUM(((S21+AF21)+AX21)),"0")</f>
        <v>0</v>
      </c>
      <c r="J21" s="1215">
        <f t="shared" si="1"/>
        <v>-0.375</v>
      </c>
      <c r="K21" s="1215">
        <f t="shared" si="2"/>
        <v>-0.15000000000000002</v>
      </c>
      <c r="L21" s="1214"/>
      <c r="M21" s="1305"/>
      <c r="N21" s="1305"/>
      <c r="O21" s="1305"/>
      <c r="P21" s="1305"/>
      <c r="Q21" s="1237">
        <f>SUM((Q18/2))</f>
        <v>82.5</v>
      </c>
      <c r="R21" s="1238">
        <f>SUM((R19/2))</f>
        <v>2.125</v>
      </c>
      <c r="S21" s="1238"/>
      <c r="T21" s="1238">
        <f>SUM(((T18/4)*3))</f>
        <v>-0.375</v>
      </c>
      <c r="U21" s="1589">
        <f>SUM((U18*1.5))</f>
        <v>-0.15000000000000002</v>
      </c>
      <c r="V21" s="1595"/>
      <c r="W21" s="1238"/>
      <c r="X21" s="1238"/>
      <c r="Y21" s="1239">
        <v>11</v>
      </c>
      <c r="Z21" s="1239">
        <f t="shared" si="26"/>
        <v>0</v>
      </c>
      <c r="AA21" s="1240">
        <f t="shared" si="27"/>
        <v>9.1666666666666661</v>
      </c>
      <c r="AB21" s="1241">
        <f t="shared" si="3"/>
        <v>0.2361111111111111</v>
      </c>
      <c r="AC21" s="1242">
        <f t="shared" si="4"/>
        <v>0</v>
      </c>
      <c r="AD21" s="1240">
        <f t="shared" si="28"/>
        <v>0</v>
      </c>
      <c r="AE21" s="1241">
        <f t="shared" si="5"/>
        <v>0</v>
      </c>
      <c r="AF21" s="1243">
        <f t="shared" si="6"/>
        <v>0</v>
      </c>
      <c r="AG21" s="1240">
        <f t="shared" si="7"/>
        <v>0</v>
      </c>
      <c r="AH21" s="1241">
        <f t="shared" si="8"/>
        <v>0</v>
      </c>
      <c r="AI21" s="1242">
        <f t="shared" si="9"/>
        <v>0</v>
      </c>
      <c r="AJ21" s="1240">
        <f t="shared" si="10"/>
        <v>0</v>
      </c>
      <c r="AK21" s="1241">
        <f t="shared" si="11"/>
        <v>0</v>
      </c>
      <c r="AL21" s="1243">
        <f t="shared" si="12"/>
        <v>0</v>
      </c>
      <c r="AM21" s="1240">
        <f t="shared" si="13"/>
        <v>0</v>
      </c>
      <c r="AN21" s="1241">
        <f t="shared" si="14"/>
        <v>0</v>
      </c>
      <c r="AO21" s="1242">
        <f t="shared" si="15"/>
        <v>0</v>
      </c>
      <c r="AP21" s="1240">
        <f t="shared" si="16"/>
        <v>0</v>
      </c>
      <c r="AQ21" s="1241">
        <f t="shared" si="17"/>
        <v>0</v>
      </c>
      <c r="AR21" s="1243">
        <f t="shared" si="18"/>
        <v>0</v>
      </c>
      <c r="AS21" s="1240">
        <f t="shared" si="19"/>
        <v>0</v>
      </c>
      <c r="AT21" s="1241">
        <f t="shared" si="20"/>
        <v>0</v>
      </c>
      <c r="AU21" s="1243">
        <f t="shared" si="21"/>
        <v>0</v>
      </c>
      <c r="AV21" s="1240">
        <f t="shared" si="22"/>
        <v>0</v>
      </c>
      <c r="AW21" s="1241">
        <f t="shared" si="23"/>
        <v>0</v>
      </c>
      <c r="AX21" s="1242">
        <f t="shared" si="24"/>
        <v>0</v>
      </c>
      <c r="AY21" s="438"/>
      <c r="AZ21" s="438"/>
      <c r="BA21" s="438"/>
      <c r="BB21" s="438"/>
      <c r="BC21" s="438"/>
      <c r="BD21" s="438"/>
      <c r="BE21" s="438"/>
      <c r="BF21" s="438"/>
      <c r="BG21" s="438"/>
      <c r="BH21" s="438"/>
      <c r="BI21" s="438"/>
      <c r="BJ21" s="438"/>
      <c r="BK21" s="438"/>
      <c r="BL21" s="438"/>
      <c r="BM21" s="438"/>
      <c r="BN21" s="438"/>
      <c r="BO21" s="438"/>
      <c r="BP21" s="438"/>
      <c r="BQ21" s="438"/>
      <c r="BR21" s="438"/>
      <c r="BS21" s="438"/>
      <c r="BT21" s="438"/>
      <c r="BU21" s="438"/>
      <c r="BV21" s="438"/>
      <c r="BW21" s="438"/>
      <c r="BX21" s="438"/>
      <c r="BY21" s="438"/>
      <c r="BZ21" s="438"/>
      <c r="CA21" s="438"/>
      <c r="CB21" s="438"/>
      <c r="CC21" s="438"/>
      <c r="CD21" s="438"/>
      <c r="CE21" s="438"/>
      <c r="CF21" s="438"/>
      <c r="CG21" s="438"/>
      <c r="CH21" s="438"/>
      <c r="CI21" s="438"/>
      <c r="CJ21" s="438"/>
      <c r="CK21" s="438"/>
      <c r="CL21" s="438"/>
      <c r="CM21" s="438"/>
      <c r="CN21" s="438"/>
      <c r="CO21" s="438"/>
      <c r="CP21" s="438"/>
      <c r="CQ21" s="438"/>
      <c r="CR21" s="438"/>
      <c r="CS21" s="438"/>
    </row>
    <row r="22" spans="3:97" ht="16.5" customHeight="1">
      <c r="C22" s="1739">
        <v>206</v>
      </c>
      <c r="D22" s="2010"/>
      <c r="E22" s="1914" t="s">
        <v>985</v>
      </c>
      <c r="F22" s="1915"/>
      <c r="G22" s="1215">
        <f t="shared" si="0"/>
        <v>110</v>
      </c>
      <c r="H22" s="1215" t="str">
        <f>IF((R22&lt;&gt;""),SUM(((R22+AE22)+AW22)),"0")</f>
        <v>0</v>
      </c>
      <c r="I22" s="1215">
        <f t="shared" si="29"/>
        <v>2.5</v>
      </c>
      <c r="J22" s="1215">
        <f t="shared" si="1"/>
        <v>-0.33333333333333331</v>
      </c>
      <c r="K22" s="1215">
        <f t="shared" si="2"/>
        <v>-6.6666666666666666E-2</v>
      </c>
      <c r="L22" s="1214"/>
      <c r="M22" s="1305"/>
      <c r="N22" s="1305"/>
      <c r="O22" s="1305"/>
      <c r="P22" s="1305"/>
      <c r="Q22" s="1237">
        <f>SUM(((Q18/3)*2))</f>
        <v>110</v>
      </c>
      <c r="R22" s="1238"/>
      <c r="S22" s="1238">
        <f>SUM((S20/3))</f>
        <v>2.5</v>
      </c>
      <c r="T22" s="1238">
        <f>SUM(((T18/3)*2))</f>
        <v>-0.33333333333333331</v>
      </c>
      <c r="U22" s="1589">
        <f>SUM(((U18/3)*2))</f>
        <v>-6.6666666666666666E-2</v>
      </c>
      <c r="V22" s="1595"/>
      <c r="W22" s="1238"/>
      <c r="X22" s="1238"/>
      <c r="Y22" s="1239">
        <v>12</v>
      </c>
      <c r="Z22" s="1239">
        <f t="shared" si="26"/>
        <v>0</v>
      </c>
      <c r="AA22" s="1240">
        <f t="shared" si="27"/>
        <v>12.222222222222221</v>
      </c>
      <c r="AB22" s="1241">
        <f t="shared" si="3"/>
        <v>0</v>
      </c>
      <c r="AC22" s="1242">
        <f t="shared" si="4"/>
        <v>0.27777777777777779</v>
      </c>
      <c r="AD22" s="1240">
        <f t="shared" si="28"/>
        <v>0</v>
      </c>
      <c r="AE22" s="1241">
        <f t="shared" si="5"/>
        <v>0</v>
      </c>
      <c r="AF22" s="1243">
        <f t="shared" si="6"/>
        <v>0</v>
      </c>
      <c r="AG22" s="1240">
        <f t="shared" si="7"/>
        <v>0</v>
      </c>
      <c r="AH22" s="1241">
        <f t="shared" si="8"/>
        <v>0</v>
      </c>
      <c r="AI22" s="1242">
        <f t="shared" si="9"/>
        <v>0</v>
      </c>
      <c r="AJ22" s="1240">
        <f t="shared" si="10"/>
        <v>0</v>
      </c>
      <c r="AK22" s="1241">
        <f t="shared" si="11"/>
        <v>0</v>
      </c>
      <c r="AL22" s="1243">
        <f t="shared" si="12"/>
        <v>0</v>
      </c>
      <c r="AM22" s="1240">
        <f t="shared" si="13"/>
        <v>0</v>
      </c>
      <c r="AN22" s="1241">
        <f t="shared" si="14"/>
        <v>0</v>
      </c>
      <c r="AO22" s="1242">
        <f t="shared" si="15"/>
        <v>0</v>
      </c>
      <c r="AP22" s="1240">
        <f t="shared" si="16"/>
        <v>0</v>
      </c>
      <c r="AQ22" s="1241">
        <f t="shared" si="17"/>
        <v>0</v>
      </c>
      <c r="AR22" s="1243">
        <f t="shared" si="18"/>
        <v>0</v>
      </c>
      <c r="AS22" s="1240">
        <f t="shared" si="19"/>
        <v>0</v>
      </c>
      <c r="AT22" s="1241">
        <f t="shared" si="20"/>
        <v>0</v>
      </c>
      <c r="AU22" s="1243">
        <f t="shared" si="21"/>
        <v>0</v>
      </c>
      <c r="AV22" s="1240">
        <f t="shared" si="22"/>
        <v>0</v>
      </c>
      <c r="AW22" s="1241">
        <f t="shared" si="23"/>
        <v>0</v>
      </c>
      <c r="AX22" s="1242">
        <f t="shared" si="24"/>
        <v>0</v>
      </c>
      <c r="AY22" s="438"/>
      <c r="AZ22" s="438"/>
      <c r="BA22" s="438"/>
      <c r="BB22" s="438"/>
      <c r="BC22" s="438"/>
      <c r="BD22" s="438"/>
      <c r="BE22" s="438"/>
      <c r="BF22" s="438"/>
      <c r="BG22" s="438"/>
      <c r="BH22" s="438"/>
      <c r="BI22" s="438"/>
      <c r="BJ22" s="438"/>
      <c r="BK22" s="438"/>
      <c r="BL22" s="438"/>
      <c r="BM22" s="438"/>
      <c r="BN22" s="438"/>
      <c r="BO22" s="438"/>
      <c r="BP22" s="438"/>
      <c r="BQ22" s="438"/>
      <c r="BR22" s="438"/>
      <c r="BS22" s="438"/>
      <c r="BT22" s="438"/>
      <c r="BU22" s="438"/>
      <c r="BV22" s="438"/>
      <c r="BW22" s="438"/>
      <c r="BX22" s="438"/>
      <c r="BY22" s="438"/>
      <c r="BZ22" s="438"/>
      <c r="CA22" s="438"/>
      <c r="CB22" s="438"/>
      <c r="CC22" s="438"/>
      <c r="CD22" s="438"/>
      <c r="CE22" s="438"/>
      <c r="CF22" s="438"/>
      <c r="CG22" s="438"/>
      <c r="CH22" s="438"/>
      <c r="CI22" s="438"/>
      <c r="CJ22" s="438"/>
      <c r="CK22" s="438"/>
      <c r="CL22" s="438"/>
      <c r="CM22" s="438"/>
      <c r="CN22" s="438"/>
      <c r="CO22" s="438"/>
      <c r="CP22" s="438"/>
      <c r="CQ22" s="438"/>
      <c r="CR22" s="438"/>
      <c r="CS22" s="438"/>
    </row>
    <row r="23" spans="3:97" ht="16.5" customHeight="1">
      <c r="C23" s="1741">
        <v>207</v>
      </c>
      <c r="D23" s="2010"/>
      <c r="E23" s="1914" t="s">
        <v>986</v>
      </c>
      <c r="F23" s="1915"/>
      <c r="G23" s="1215" t="str">
        <f>IF((Q23&lt;&gt;""),SUM(((Q23+AD23)+AV23)),"0")</f>
        <v>0</v>
      </c>
      <c r="H23" s="1215">
        <f t="shared" si="25"/>
        <v>2.8333333333333335</v>
      </c>
      <c r="I23" s="1215">
        <f t="shared" si="29"/>
        <v>2.5</v>
      </c>
      <c r="J23" s="1215">
        <f t="shared" si="1"/>
        <v>-0.16666666666666666</v>
      </c>
      <c r="K23" s="1215">
        <f t="shared" si="2"/>
        <v>-0.13333333333333333</v>
      </c>
      <c r="L23" s="1214"/>
      <c r="M23" s="1305"/>
      <c r="N23" s="1305"/>
      <c r="O23" s="1305"/>
      <c r="P23" s="1305"/>
      <c r="Q23" s="1237"/>
      <c r="R23" s="1238">
        <f>SUM(((R19/3)*2))</f>
        <v>2.8333333333333335</v>
      </c>
      <c r="S23" s="1238">
        <f>SUM((S20/3))</f>
        <v>2.5</v>
      </c>
      <c r="T23" s="1238">
        <f>SUM((T18/3))</f>
        <v>-0.16666666666666666</v>
      </c>
      <c r="U23" s="1589">
        <f>SUM(((U18/3)*4))</f>
        <v>-0.13333333333333333</v>
      </c>
      <c r="V23" s="1595"/>
      <c r="W23" s="1238"/>
      <c r="X23" s="1238"/>
      <c r="Y23" s="1239">
        <v>13</v>
      </c>
      <c r="Z23" s="1239">
        <f t="shared" si="26"/>
        <v>0</v>
      </c>
      <c r="AA23" s="1240">
        <f t="shared" si="27"/>
        <v>0</v>
      </c>
      <c r="AB23" s="1241">
        <f t="shared" si="3"/>
        <v>0.31481481481481483</v>
      </c>
      <c r="AC23" s="1242">
        <f t="shared" si="4"/>
        <v>0.27777777777777779</v>
      </c>
      <c r="AD23" s="1240">
        <f t="shared" si="28"/>
        <v>0</v>
      </c>
      <c r="AE23" s="1241">
        <f t="shared" si="5"/>
        <v>0</v>
      </c>
      <c r="AF23" s="1243">
        <f t="shared" si="6"/>
        <v>0</v>
      </c>
      <c r="AG23" s="1240">
        <f t="shared" si="7"/>
        <v>0</v>
      </c>
      <c r="AH23" s="1241">
        <f t="shared" si="8"/>
        <v>0</v>
      </c>
      <c r="AI23" s="1242">
        <f t="shared" si="9"/>
        <v>0</v>
      </c>
      <c r="AJ23" s="1240">
        <f t="shared" si="10"/>
        <v>0</v>
      </c>
      <c r="AK23" s="1241">
        <f t="shared" si="11"/>
        <v>0</v>
      </c>
      <c r="AL23" s="1243">
        <f t="shared" si="12"/>
        <v>0</v>
      </c>
      <c r="AM23" s="1240">
        <f t="shared" si="13"/>
        <v>0</v>
      </c>
      <c r="AN23" s="1241">
        <f t="shared" si="14"/>
        <v>0</v>
      </c>
      <c r="AO23" s="1242">
        <f t="shared" si="15"/>
        <v>0</v>
      </c>
      <c r="AP23" s="1240">
        <f t="shared" si="16"/>
        <v>0</v>
      </c>
      <c r="AQ23" s="1241">
        <f t="shared" si="17"/>
        <v>0</v>
      </c>
      <c r="AR23" s="1243">
        <f t="shared" si="18"/>
        <v>0</v>
      </c>
      <c r="AS23" s="1240">
        <f t="shared" si="19"/>
        <v>0</v>
      </c>
      <c r="AT23" s="1241">
        <f t="shared" si="20"/>
        <v>0</v>
      </c>
      <c r="AU23" s="1243">
        <f t="shared" si="21"/>
        <v>0</v>
      </c>
      <c r="AV23" s="1240">
        <f t="shared" si="22"/>
        <v>0</v>
      </c>
      <c r="AW23" s="1241">
        <f t="shared" si="23"/>
        <v>0</v>
      </c>
      <c r="AX23" s="1242">
        <f t="shared" si="24"/>
        <v>0</v>
      </c>
      <c r="AY23" s="438"/>
      <c r="AZ23" s="438"/>
      <c r="BA23" s="438"/>
      <c r="BB23" s="438"/>
      <c r="BC23" s="438"/>
      <c r="BD23" s="438"/>
      <c r="BE23" s="438"/>
      <c r="BF23" s="438"/>
      <c r="BG23" s="438"/>
      <c r="BH23" s="438"/>
      <c r="BI23" s="438"/>
      <c r="BJ23" s="438"/>
      <c r="BK23" s="438"/>
      <c r="BL23" s="438"/>
      <c r="BM23" s="438"/>
      <c r="BN23" s="438"/>
      <c r="BO23" s="438"/>
      <c r="BP23" s="438"/>
      <c r="BQ23" s="438"/>
      <c r="BR23" s="438"/>
      <c r="BS23" s="438"/>
      <c r="BT23" s="438"/>
      <c r="BU23" s="438"/>
      <c r="BV23" s="438"/>
      <c r="BW23" s="438"/>
      <c r="BX23" s="438"/>
      <c r="BY23" s="438"/>
      <c r="BZ23" s="438"/>
      <c r="CA23" s="438"/>
      <c r="CB23" s="438"/>
      <c r="CC23" s="438"/>
      <c r="CD23" s="438"/>
      <c r="CE23" s="438"/>
      <c r="CF23" s="438"/>
      <c r="CG23" s="438"/>
      <c r="CH23" s="438"/>
      <c r="CI23" s="438"/>
      <c r="CJ23" s="438"/>
      <c r="CK23" s="438"/>
      <c r="CL23" s="438"/>
      <c r="CM23" s="438"/>
      <c r="CN23" s="438"/>
      <c r="CO23" s="438"/>
      <c r="CP23" s="438"/>
      <c r="CQ23" s="438"/>
      <c r="CR23" s="438"/>
      <c r="CS23" s="438"/>
    </row>
    <row r="24" spans="3:97" ht="16.5" customHeight="1">
      <c r="C24" s="1739">
        <v>208</v>
      </c>
      <c r="D24" s="2010"/>
      <c r="E24" s="1914" t="s">
        <v>987</v>
      </c>
      <c r="F24" s="1987"/>
      <c r="G24" s="1215">
        <f t="shared" si="0"/>
        <v>66</v>
      </c>
      <c r="H24" s="1215">
        <f t="shared" si="25"/>
        <v>1.7</v>
      </c>
      <c r="I24" s="1215">
        <f t="shared" si="29"/>
        <v>1.5</v>
      </c>
      <c r="J24" s="1215">
        <f t="shared" si="1"/>
        <v>-0.30000000000000004</v>
      </c>
      <c r="K24" s="1215">
        <f t="shared" si="2"/>
        <v>-0.12</v>
      </c>
      <c r="L24" s="1214"/>
      <c r="M24" s="1305"/>
      <c r="N24" s="1305"/>
      <c r="O24" s="1305"/>
      <c r="P24" s="1305"/>
      <c r="Q24" s="1237">
        <f>SUM(((Q18/5)*2))</f>
        <v>66</v>
      </c>
      <c r="R24" s="1238">
        <f>SUM(((R19/5)*2))</f>
        <v>1.7</v>
      </c>
      <c r="S24" s="1238">
        <f>SUM((S20/5))</f>
        <v>1.5</v>
      </c>
      <c r="T24" s="1238">
        <f>SUM(((T18/10)*6))</f>
        <v>-0.30000000000000004</v>
      </c>
      <c r="U24" s="1589">
        <f>SUM(((U18/5)*6))</f>
        <v>-0.12</v>
      </c>
      <c r="V24" s="1595"/>
      <c r="W24" s="1238"/>
      <c r="X24" s="1238"/>
      <c r="Y24" s="1239">
        <v>14</v>
      </c>
      <c r="Z24" s="1239">
        <f t="shared" si="26"/>
        <v>0</v>
      </c>
      <c r="AA24" s="1240">
        <f t="shared" si="27"/>
        <v>7.333333333333333</v>
      </c>
      <c r="AB24" s="1241">
        <f t="shared" si="3"/>
        <v>0.18888888888888888</v>
      </c>
      <c r="AC24" s="1242">
        <f t="shared" si="4"/>
        <v>0.16666666666666666</v>
      </c>
      <c r="AD24" s="1240">
        <f t="shared" si="28"/>
        <v>0</v>
      </c>
      <c r="AE24" s="1241">
        <f t="shared" si="5"/>
        <v>0</v>
      </c>
      <c r="AF24" s="1243">
        <f t="shared" si="6"/>
        <v>0</v>
      </c>
      <c r="AG24" s="1240">
        <f t="shared" si="7"/>
        <v>0</v>
      </c>
      <c r="AH24" s="1241">
        <f t="shared" si="8"/>
        <v>0</v>
      </c>
      <c r="AI24" s="1242">
        <f t="shared" si="9"/>
        <v>0</v>
      </c>
      <c r="AJ24" s="1240">
        <f t="shared" si="10"/>
        <v>0</v>
      </c>
      <c r="AK24" s="1241">
        <f t="shared" si="11"/>
        <v>0</v>
      </c>
      <c r="AL24" s="1243">
        <f t="shared" si="12"/>
        <v>0</v>
      </c>
      <c r="AM24" s="1240">
        <f t="shared" si="13"/>
        <v>0</v>
      </c>
      <c r="AN24" s="1241">
        <f t="shared" si="14"/>
        <v>0</v>
      </c>
      <c r="AO24" s="1242">
        <f t="shared" si="15"/>
        <v>0</v>
      </c>
      <c r="AP24" s="1240">
        <f t="shared" si="16"/>
        <v>0</v>
      </c>
      <c r="AQ24" s="1241">
        <f t="shared" si="17"/>
        <v>0</v>
      </c>
      <c r="AR24" s="1243">
        <f t="shared" si="18"/>
        <v>0</v>
      </c>
      <c r="AS24" s="1240">
        <f t="shared" si="19"/>
        <v>0</v>
      </c>
      <c r="AT24" s="1241">
        <f t="shared" si="20"/>
        <v>0</v>
      </c>
      <c r="AU24" s="1243">
        <f t="shared" si="21"/>
        <v>0</v>
      </c>
      <c r="AV24" s="1240">
        <f t="shared" si="22"/>
        <v>0</v>
      </c>
      <c r="AW24" s="1241">
        <f t="shared" si="23"/>
        <v>0</v>
      </c>
      <c r="AX24" s="1242">
        <f t="shared" si="24"/>
        <v>0</v>
      </c>
      <c r="AY24" s="438"/>
      <c r="AZ24" s="438"/>
      <c r="BA24" s="438"/>
      <c r="BB24" s="438"/>
      <c r="BC24" s="438"/>
      <c r="BD24" s="438"/>
      <c r="BE24" s="438"/>
      <c r="BF24" s="438"/>
      <c r="BG24" s="438"/>
      <c r="BH24" s="438"/>
      <c r="BI24" s="438"/>
      <c r="BJ24" s="438"/>
      <c r="BK24" s="438"/>
      <c r="BL24" s="438"/>
      <c r="BM24" s="438"/>
      <c r="BN24" s="438"/>
      <c r="BO24" s="438"/>
      <c r="BP24" s="438"/>
      <c r="BQ24" s="438"/>
      <c r="BR24" s="438"/>
      <c r="BS24" s="438"/>
      <c r="BT24" s="438"/>
      <c r="BU24" s="438"/>
      <c r="BV24" s="438"/>
      <c r="BW24" s="438"/>
      <c r="BX24" s="438"/>
      <c r="BY24" s="438"/>
      <c r="BZ24" s="438"/>
      <c r="CA24" s="438"/>
      <c r="CB24" s="438"/>
      <c r="CC24" s="438"/>
      <c r="CD24" s="438"/>
      <c r="CE24" s="438"/>
      <c r="CF24" s="438"/>
      <c r="CG24" s="438"/>
      <c r="CH24" s="438"/>
      <c r="CI24" s="438"/>
      <c r="CJ24" s="438"/>
      <c r="CK24" s="438"/>
      <c r="CL24" s="438"/>
      <c r="CM24" s="438"/>
      <c r="CN24" s="438"/>
      <c r="CO24" s="438"/>
      <c r="CP24" s="438"/>
      <c r="CQ24" s="438"/>
      <c r="CR24" s="438"/>
      <c r="CS24" s="438"/>
    </row>
    <row r="25" spans="3:97" ht="16.5" customHeight="1" thickBot="1">
      <c r="C25" s="1741">
        <v>209</v>
      </c>
      <c r="D25" s="2010"/>
      <c r="E25" s="1929" t="s">
        <v>720</v>
      </c>
      <c r="F25" s="1930"/>
      <c r="G25" s="1215">
        <v>0</v>
      </c>
      <c r="H25" s="1215">
        <v>0</v>
      </c>
      <c r="I25" s="1215">
        <v>0</v>
      </c>
      <c r="J25" s="1215">
        <v>0</v>
      </c>
      <c r="K25" s="1215">
        <v>0</v>
      </c>
      <c r="L25" s="1216"/>
      <c r="M25" s="1305"/>
      <c r="N25" s="1305"/>
      <c r="O25" s="1305"/>
      <c r="P25" s="1305"/>
      <c r="Q25" s="1237"/>
      <c r="R25" s="1238"/>
      <c r="S25" s="1238"/>
      <c r="T25" s="1238"/>
      <c r="U25" s="1589"/>
      <c r="V25" s="1595"/>
      <c r="W25" s="1238"/>
      <c r="X25" s="1238"/>
      <c r="Y25" s="1239"/>
      <c r="Z25" s="1239">
        <f t="shared" si="26"/>
        <v>0</v>
      </c>
      <c r="AA25" s="1240"/>
      <c r="AB25" s="1241"/>
      <c r="AC25" s="1242"/>
      <c r="AD25" s="1240"/>
      <c r="AE25" s="1241"/>
      <c r="AF25" s="1243"/>
      <c r="AG25" s="1240"/>
      <c r="AH25" s="1241"/>
      <c r="AI25" s="1242"/>
      <c r="AJ25" s="1240"/>
      <c r="AK25" s="1241"/>
      <c r="AL25" s="1243"/>
      <c r="AM25" s="1240"/>
      <c r="AN25" s="1241"/>
      <c r="AO25" s="1242"/>
      <c r="AP25" s="1240"/>
      <c r="AQ25" s="1241"/>
      <c r="AR25" s="1243"/>
      <c r="AS25" s="1240"/>
      <c r="AT25" s="1241"/>
      <c r="AU25" s="1243"/>
      <c r="AV25" s="1240"/>
      <c r="AW25" s="1241"/>
      <c r="AX25" s="1242"/>
      <c r="AY25" s="438"/>
      <c r="AZ25" s="438"/>
      <c r="BA25" s="438"/>
      <c r="BB25" s="438"/>
      <c r="BC25" s="438"/>
      <c r="BD25" s="438"/>
      <c r="BE25" s="438"/>
      <c r="BF25" s="438"/>
      <c r="BG25" s="438"/>
      <c r="BH25" s="438"/>
      <c r="BI25" s="438"/>
      <c r="BJ25" s="438"/>
      <c r="BK25" s="438"/>
      <c r="BL25" s="438"/>
      <c r="BM25" s="438"/>
      <c r="BN25" s="438"/>
      <c r="BO25" s="438"/>
      <c r="BP25" s="438"/>
      <c r="BQ25" s="438"/>
      <c r="BR25" s="438"/>
      <c r="BS25" s="438"/>
      <c r="BT25" s="438"/>
      <c r="BU25" s="438"/>
      <c r="BV25" s="438"/>
      <c r="BW25" s="438"/>
      <c r="BX25" s="438"/>
      <c r="BY25" s="438"/>
      <c r="BZ25" s="438"/>
      <c r="CA25" s="438"/>
      <c r="CB25" s="438"/>
      <c r="CC25" s="438"/>
      <c r="CD25" s="438"/>
      <c r="CE25" s="438"/>
      <c r="CF25" s="438"/>
      <c r="CG25" s="438"/>
      <c r="CH25" s="438"/>
      <c r="CI25" s="438"/>
      <c r="CJ25" s="438"/>
      <c r="CK25" s="438"/>
      <c r="CL25" s="438"/>
      <c r="CM25" s="438"/>
      <c r="CN25" s="438"/>
      <c r="CO25" s="438"/>
      <c r="CP25" s="438"/>
      <c r="CQ25" s="438"/>
      <c r="CR25" s="438"/>
      <c r="CS25" s="438"/>
    </row>
    <row r="26" spans="3:97" ht="16.5" customHeight="1">
      <c r="C26" s="1741">
        <v>210</v>
      </c>
      <c r="D26" s="2010"/>
      <c r="E26" s="1918" t="s">
        <v>267</v>
      </c>
      <c r="F26" s="1919"/>
      <c r="G26" s="1215"/>
      <c r="H26" s="1215"/>
      <c r="I26" s="1215"/>
      <c r="J26" s="1215"/>
      <c r="K26" s="1215"/>
      <c r="L26" s="1216">
        <f>E73</f>
        <v>1.5</v>
      </c>
      <c r="M26" s="1305"/>
      <c r="N26" s="1305"/>
      <c r="O26" s="1305"/>
      <c r="P26" s="1305"/>
      <c r="Q26" s="1237"/>
      <c r="R26" s="1238"/>
      <c r="S26" s="1238"/>
      <c r="T26" s="1238"/>
      <c r="U26" s="1589"/>
      <c r="V26" s="1595"/>
      <c r="W26" s="1238"/>
      <c r="X26" s="1238"/>
      <c r="Y26" s="1239"/>
      <c r="Z26" s="1239">
        <f t="shared" si="26"/>
        <v>0</v>
      </c>
      <c r="AA26" s="1240"/>
      <c r="AB26" s="1241"/>
      <c r="AC26" s="1242"/>
      <c r="AD26" s="1240"/>
      <c r="AE26" s="1241"/>
      <c r="AF26" s="1243"/>
      <c r="AG26" s="1240"/>
      <c r="AH26" s="1241"/>
      <c r="AI26" s="1242"/>
      <c r="AJ26" s="1240"/>
      <c r="AK26" s="1241"/>
      <c r="AL26" s="1243"/>
      <c r="AM26" s="1240"/>
      <c r="AN26" s="1241"/>
      <c r="AO26" s="1242"/>
      <c r="AP26" s="1240"/>
      <c r="AQ26" s="1241"/>
      <c r="AR26" s="1243"/>
      <c r="AS26" s="1240"/>
      <c r="AT26" s="1241"/>
      <c r="AU26" s="1243"/>
      <c r="AV26" s="1240"/>
      <c r="AW26" s="1241"/>
      <c r="AX26" s="1242"/>
      <c r="AY26" s="438"/>
      <c r="AZ26" s="438"/>
      <c r="BA26" s="438"/>
      <c r="BB26" s="438"/>
      <c r="BC26" s="438"/>
      <c r="BD26" s="438"/>
      <c r="BE26" s="438"/>
      <c r="BF26" s="438"/>
      <c r="BG26" s="438"/>
      <c r="BH26" s="438"/>
      <c r="BI26" s="438"/>
      <c r="BJ26" s="438"/>
      <c r="BK26" s="438"/>
      <c r="BL26" s="438"/>
      <c r="BM26" s="438"/>
      <c r="BN26" s="438"/>
      <c r="BO26" s="438"/>
      <c r="BP26" s="438"/>
      <c r="BQ26" s="438"/>
      <c r="BR26" s="438"/>
      <c r="BS26" s="438"/>
      <c r="BT26" s="438"/>
      <c r="BU26" s="438"/>
      <c r="BV26" s="438"/>
      <c r="BW26" s="438"/>
      <c r="BX26" s="438"/>
      <c r="BY26" s="438"/>
      <c r="BZ26" s="438"/>
      <c r="CA26" s="438"/>
      <c r="CB26" s="438"/>
      <c r="CC26" s="438"/>
      <c r="CD26" s="438"/>
      <c r="CE26" s="438"/>
      <c r="CF26" s="438"/>
      <c r="CG26" s="438"/>
      <c r="CH26" s="438"/>
      <c r="CI26" s="438"/>
      <c r="CJ26" s="438"/>
      <c r="CK26" s="438"/>
      <c r="CL26" s="438"/>
      <c r="CM26" s="438"/>
      <c r="CN26" s="438"/>
      <c r="CO26" s="438"/>
      <c r="CP26" s="438"/>
      <c r="CQ26" s="438"/>
      <c r="CR26" s="438"/>
      <c r="CS26" s="438"/>
    </row>
    <row r="27" spans="3:97" ht="16.5" customHeight="1">
      <c r="C27" s="1741">
        <v>211</v>
      </c>
      <c r="D27" s="2010"/>
      <c r="E27" s="1929" t="s">
        <v>1089</v>
      </c>
      <c r="F27" s="1988"/>
      <c r="G27" s="1215"/>
      <c r="H27" s="1215"/>
      <c r="I27" s="1215"/>
      <c r="J27" s="1215"/>
      <c r="K27" s="1215"/>
      <c r="L27" s="1216"/>
      <c r="M27" s="1305"/>
      <c r="N27" s="1305"/>
      <c r="O27" s="1305"/>
      <c r="P27" s="1305"/>
      <c r="Q27" s="1237"/>
      <c r="R27" s="1238"/>
      <c r="S27" s="1238"/>
      <c r="T27" s="1238"/>
      <c r="U27" s="1589"/>
      <c r="V27" s="1595"/>
      <c r="W27" s="1238"/>
      <c r="X27" s="1238"/>
      <c r="Y27" s="1239"/>
      <c r="Z27" s="1239"/>
      <c r="AA27" s="1240"/>
      <c r="AB27" s="1241"/>
      <c r="AC27" s="1242"/>
      <c r="AD27" s="1240"/>
      <c r="AE27" s="1241"/>
      <c r="AF27" s="1243"/>
      <c r="AG27" s="1240"/>
      <c r="AH27" s="1241"/>
      <c r="AI27" s="1242"/>
      <c r="AJ27" s="1240"/>
      <c r="AK27" s="1241"/>
      <c r="AL27" s="1243"/>
      <c r="AM27" s="1240"/>
      <c r="AN27" s="1241"/>
      <c r="AO27" s="1242"/>
      <c r="AP27" s="1240"/>
      <c r="AQ27" s="1241"/>
      <c r="AR27" s="1243"/>
      <c r="AS27" s="1240"/>
      <c r="AT27" s="1241"/>
      <c r="AU27" s="1243"/>
      <c r="AV27" s="1240"/>
      <c r="AW27" s="1241"/>
      <c r="AX27" s="1242"/>
      <c r="AY27" s="438"/>
      <c r="AZ27" s="438"/>
      <c r="BA27" s="438"/>
      <c r="BB27" s="438"/>
      <c r="BC27" s="438"/>
      <c r="BD27" s="438"/>
      <c r="BE27" s="438"/>
      <c r="BF27" s="438"/>
      <c r="BG27" s="438"/>
      <c r="BH27" s="438"/>
      <c r="BI27" s="438"/>
      <c r="BJ27" s="438"/>
      <c r="BK27" s="438"/>
      <c r="BL27" s="438"/>
      <c r="BM27" s="438"/>
      <c r="BN27" s="438"/>
      <c r="BO27" s="438"/>
      <c r="BP27" s="438"/>
      <c r="BQ27" s="438"/>
      <c r="BR27" s="438"/>
      <c r="BS27" s="438"/>
      <c r="BT27" s="438"/>
      <c r="BU27" s="438"/>
      <c r="BV27" s="438"/>
      <c r="BW27" s="438"/>
      <c r="BX27" s="438"/>
      <c r="BY27" s="438"/>
      <c r="BZ27" s="438"/>
      <c r="CA27" s="438"/>
      <c r="CB27" s="438"/>
      <c r="CC27" s="438"/>
      <c r="CD27" s="438"/>
      <c r="CE27" s="438"/>
      <c r="CF27" s="438"/>
      <c r="CG27" s="438"/>
      <c r="CH27" s="438"/>
      <c r="CI27" s="438"/>
      <c r="CJ27" s="438"/>
      <c r="CK27" s="438"/>
      <c r="CL27" s="438"/>
      <c r="CM27" s="438"/>
      <c r="CN27" s="438"/>
      <c r="CO27" s="438"/>
      <c r="CP27" s="438"/>
      <c r="CQ27" s="438"/>
      <c r="CR27" s="438"/>
      <c r="CS27" s="438"/>
    </row>
    <row r="28" spans="3:97" ht="16.5" customHeight="1">
      <c r="C28" s="1741">
        <v>212</v>
      </c>
      <c r="D28" s="2011"/>
      <c r="E28" s="1929" t="s">
        <v>988</v>
      </c>
      <c r="F28" s="1988"/>
      <c r="G28" s="1215"/>
      <c r="H28" s="1215"/>
      <c r="I28" s="1215"/>
      <c r="J28" s="1215"/>
      <c r="K28" s="1215"/>
      <c r="L28" s="1216"/>
      <c r="M28" s="1305"/>
      <c r="N28" s="1305"/>
      <c r="O28" s="1305"/>
      <c r="P28" s="1305"/>
      <c r="Q28" s="1237"/>
      <c r="R28" s="1238"/>
      <c r="S28" s="1238"/>
      <c r="T28" s="1238"/>
      <c r="U28" s="1589"/>
      <c r="V28" s="1595"/>
      <c r="W28" s="1238"/>
      <c r="X28" s="1238"/>
      <c r="Y28" s="1239"/>
      <c r="Z28" s="1239"/>
      <c r="AA28" s="1240"/>
      <c r="AB28" s="1241"/>
      <c r="AC28" s="1242"/>
      <c r="AD28" s="1240"/>
      <c r="AE28" s="1241"/>
      <c r="AF28" s="1243"/>
      <c r="AG28" s="1240"/>
      <c r="AH28" s="1241"/>
      <c r="AI28" s="1242"/>
      <c r="AJ28" s="1240"/>
      <c r="AK28" s="1241"/>
      <c r="AL28" s="1243"/>
      <c r="AM28" s="1240"/>
      <c r="AN28" s="1241"/>
      <c r="AO28" s="1242"/>
      <c r="AP28" s="1240"/>
      <c r="AQ28" s="1241"/>
      <c r="AR28" s="1243"/>
      <c r="AS28" s="1240"/>
      <c r="AT28" s="1241"/>
      <c r="AU28" s="1243"/>
      <c r="AV28" s="1240"/>
      <c r="AW28" s="1241"/>
      <c r="AX28" s="1242"/>
      <c r="AY28" s="438"/>
      <c r="AZ28" s="438"/>
      <c r="BA28" s="438"/>
      <c r="BB28" s="438"/>
      <c r="BC28" s="438"/>
      <c r="BD28" s="438"/>
      <c r="BE28" s="438"/>
      <c r="BF28" s="438"/>
      <c r="BG28" s="438"/>
      <c r="BH28" s="438"/>
      <c r="BI28" s="438"/>
      <c r="BJ28" s="438"/>
      <c r="BK28" s="438"/>
      <c r="BL28" s="438"/>
      <c r="BM28" s="438"/>
      <c r="BN28" s="438"/>
      <c r="BO28" s="438"/>
      <c r="BP28" s="438"/>
      <c r="BQ28" s="438"/>
      <c r="BR28" s="438"/>
      <c r="BS28" s="438"/>
      <c r="BT28" s="438"/>
      <c r="BU28" s="438"/>
      <c r="BV28" s="438"/>
      <c r="BW28" s="438"/>
      <c r="BX28" s="438"/>
      <c r="BY28" s="438"/>
      <c r="BZ28" s="438"/>
      <c r="CA28" s="438"/>
      <c r="CB28" s="438"/>
      <c r="CC28" s="438"/>
      <c r="CD28" s="438"/>
      <c r="CE28" s="438"/>
      <c r="CF28" s="438"/>
      <c r="CG28" s="438"/>
      <c r="CH28" s="438"/>
      <c r="CI28" s="438"/>
      <c r="CJ28" s="438"/>
      <c r="CK28" s="438"/>
      <c r="CL28" s="438"/>
      <c r="CM28" s="438"/>
      <c r="CN28" s="438"/>
      <c r="CO28" s="438"/>
      <c r="CP28" s="438"/>
      <c r="CQ28" s="438"/>
      <c r="CR28" s="438"/>
      <c r="CS28" s="438"/>
    </row>
    <row r="29" spans="3:97" ht="16.5" customHeight="1">
      <c r="C29" s="1739">
        <v>301</v>
      </c>
      <c r="D29" s="2012" t="s">
        <v>109</v>
      </c>
      <c r="E29" s="1910"/>
      <c r="F29" s="1935"/>
      <c r="G29" s="1245"/>
      <c r="H29" s="1245"/>
      <c r="I29" s="1245"/>
      <c r="J29" s="1245"/>
      <c r="K29" s="1245"/>
      <c r="L29" s="1246"/>
      <c r="M29" s="1305"/>
      <c r="N29" s="1305"/>
      <c r="O29" s="1305"/>
      <c r="P29" s="1305"/>
      <c r="Q29" s="1247"/>
      <c r="R29" s="1248"/>
      <c r="S29" s="1248"/>
      <c r="T29" s="1248"/>
      <c r="U29" s="1338"/>
      <c r="V29" s="1596"/>
      <c r="W29" s="1248"/>
      <c r="X29" s="1248"/>
      <c r="Y29" s="1249"/>
      <c r="Z29" s="1249">
        <f t="shared" si="26"/>
        <v>0</v>
      </c>
      <c r="AA29" s="1250"/>
      <c r="AB29" s="1251"/>
      <c r="AC29" s="1252"/>
      <c r="AD29" s="1250"/>
      <c r="AE29" s="1251"/>
      <c r="AF29" s="1253"/>
      <c r="AG29" s="1250"/>
      <c r="AH29" s="1251"/>
      <c r="AI29" s="1252"/>
      <c r="AJ29" s="1250"/>
      <c r="AK29" s="1251"/>
      <c r="AL29" s="1253"/>
      <c r="AM29" s="1250"/>
      <c r="AN29" s="1251"/>
      <c r="AO29" s="1252"/>
      <c r="AP29" s="1250"/>
      <c r="AQ29" s="1251"/>
      <c r="AR29" s="1253"/>
      <c r="AS29" s="1250"/>
      <c r="AT29" s="1251"/>
      <c r="AU29" s="1253"/>
      <c r="AV29" s="1250"/>
      <c r="AW29" s="1251"/>
      <c r="AX29" s="1252"/>
      <c r="AY29" s="438"/>
      <c r="AZ29" s="438"/>
      <c r="BA29" s="438"/>
      <c r="BB29" s="438"/>
      <c r="BC29" s="438"/>
      <c r="BD29" s="438"/>
      <c r="BE29" s="438"/>
      <c r="BF29" s="438"/>
      <c r="BG29" s="438"/>
      <c r="BH29" s="438"/>
      <c r="BI29" s="438"/>
      <c r="BJ29" s="438"/>
      <c r="BK29" s="438"/>
      <c r="BL29" s="438"/>
      <c r="BM29" s="438"/>
      <c r="BN29" s="438"/>
      <c r="BO29" s="438"/>
      <c r="BP29" s="438"/>
      <c r="BQ29" s="438"/>
      <c r="BR29" s="438"/>
      <c r="BS29" s="438"/>
      <c r="BT29" s="438"/>
      <c r="BU29" s="438"/>
      <c r="BV29" s="438"/>
      <c r="BW29" s="438"/>
      <c r="BX29" s="438"/>
      <c r="BY29" s="438"/>
      <c r="BZ29" s="438"/>
      <c r="CA29" s="438"/>
      <c r="CB29" s="438"/>
      <c r="CC29" s="438"/>
      <c r="CD29" s="438"/>
      <c r="CE29" s="438"/>
      <c r="CF29" s="438"/>
      <c r="CG29" s="438"/>
      <c r="CH29" s="438"/>
      <c r="CI29" s="438"/>
      <c r="CJ29" s="438"/>
      <c r="CK29" s="438"/>
      <c r="CL29" s="438"/>
      <c r="CM29" s="438"/>
      <c r="CN29" s="438"/>
      <c r="CO29" s="438"/>
      <c r="CP29" s="438"/>
      <c r="CQ29" s="438"/>
      <c r="CR29" s="438"/>
      <c r="CS29" s="438"/>
    </row>
    <row r="30" spans="3:97" ht="16.5" customHeight="1">
      <c r="C30" s="1739">
        <v>302</v>
      </c>
      <c r="D30" s="2013"/>
      <c r="E30" s="1910" t="s">
        <v>1087</v>
      </c>
      <c r="F30" s="1935"/>
      <c r="G30" s="1254">
        <f t="shared" si="0"/>
        <v>350</v>
      </c>
      <c r="H30" s="1254" t="str">
        <f>IF((R30&lt;&gt;""),SUM(((R30+AE30)+AW30)),"0")</f>
        <v>0</v>
      </c>
      <c r="I30" s="1254" t="str">
        <f>IF((S30&lt;&gt;""),SUM(((S30+AF30)+AX30)),"0")</f>
        <v>0</v>
      </c>
      <c r="J30" s="1254">
        <f t="shared" si="1"/>
        <v>-0.2</v>
      </c>
      <c r="K30" s="1254">
        <f t="shared" si="2"/>
        <v>-0.05</v>
      </c>
      <c r="L30" s="1246"/>
      <c r="M30" s="1305"/>
      <c r="N30" s="1305"/>
      <c r="O30" s="1305"/>
      <c r="P30" s="1305"/>
      <c r="Q30" s="1247">
        <v>350</v>
      </c>
      <c r="R30" s="1248"/>
      <c r="S30" s="1248"/>
      <c r="T30" s="1248">
        <v>-0.2</v>
      </c>
      <c r="U30" s="1338">
        <v>-0.05</v>
      </c>
      <c r="V30" s="1596"/>
      <c r="W30" s="1248"/>
      <c r="X30" s="1248"/>
      <c r="Y30" s="1249">
        <v>15</v>
      </c>
      <c r="Z30" s="1249">
        <f t="shared" si="26"/>
        <v>0</v>
      </c>
      <c r="AA30" s="1250">
        <f t="shared" si="27"/>
        <v>38.888888888888886</v>
      </c>
      <c r="AB30" s="1251">
        <f t="shared" si="3"/>
        <v>0</v>
      </c>
      <c r="AC30" s="1252">
        <f t="shared" si="4"/>
        <v>0</v>
      </c>
      <c r="AD30" s="1250">
        <f t="shared" si="28"/>
        <v>0</v>
      </c>
      <c r="AE30" s="1251">
        <f t="shared" si="5"/>
        <v>0</v>
      </c>
      <c r="AF30" s="1253">
        <f t="shared" si="6"/>
        <v>0</v>
      </c>
      <c r="AG30" s="1250">
        <f t="shared" si="7"/>
        <v>0</v>
      </c>
      <c r="AH30" s="1251">
        <f t="shared" si="8"/>
        <v>0</v>
      </c>
      <c r="AI30" s="1252">
        <f t="shared" si="9"/>
        <v>0</v>
      </c>
      <c r="AJ30" s="1250">
        <f t="shared" si="10"/>
        <v>0</v>
      </c>
      <c r="AK30" s="1251">
        <f t="shared" si="11"/>
        <v>0</v>
      </c>
      <c r="AL30" s="1253">
        <f t="shared" si="12"/>
        <v>0</v>
      </c>
      <c r="AM30" s="1250">
        <f t="shared" si="13"/>
        <v>0</v>
      </c>
      <c r="AN30" s="1251">
        <f t="shared" si="14"/>
        <v>0</v>
      </c>
      <c r="AO30" s="1252">
        <f t="shared" si="15"/>
        <v>0</v>
      </c>
      <c r="AP30" s="1250">
        <f t="shared" si="16"/>
        <v>0</v>
      </c>
      <c r="AQ30" s="1251">
        <f t="shared" si="17"/>
        <v>0</v>
      </c>
      <c r="AR30" s="1253">
        <f t="shared" si="18"/>
        <v>0</v>
      </c>
      <c r="AS30" s="1250">
        <f t="shared" si="19"/>
        <v>0</v>
      </c>
      <c r="AT30" s="1251">
        <f t="shared" si="20"/>
        <v>0</v>
      </c>
      <c r="AU30" s="1253">
        <f t="shared" si="21"/>
        <v>0</v>
      </c>
      <c r="AV30" s="1250">
        <f t="shared" si="22"/>
        <v>0</v>
      </c>
      <c r="AW30" s="1251">
        <f t="shared" si="23"/>
        <v>0</v>
      </c>
      <c r="AX30" s="1252">
        <f t="shared" si="24"/>
        <v>0</v>
      </c>
      <c r="AY30" s="438"/>
      <c r="AZ30" s="438"/>
      <c r="BA30" s="438"/>
      <c r="BB30" s="438"/>
      <c r="BC30" s="438"/>
      <c r="BD30" s="438"/>
      <c r="BE30" s="438"/>
      <c r="BF30" s="438"/>
      <c r="BG30" s="438"/>
      <c r="BH30" s="438"/>
      <c r="BI30" s="438"/>
      <c r="BJ30" s="438"/>
      <c r="BK30" s="438"/>
      <c r="BL30" s="438"/>
      <c r="BM30" s="438"/>
      <c r="BN30" s="438"/>
      <c r="BO30" s="438"/>
      <c r="BP30" s="438"/>
      <c r="BQ30" s="438"/>
      <c r="BR30" s="438"/>
      <c r="BS30" s="438"/>
      <c r="BT30" s="438"/>
      <c r="BU30" s="438"/>
      <c r="BV30" s="438"/>
      <c r="BW30" s="438"/>
      <c r="BX30" s="438"/>
      <c r="BY30" s="438"/>
      <c r="BZ30" s="438"/>
      <c r="CA30" s="438"/>
      <c r="CB30" s="438"/>
      <c r="CC30" s="438"/>
      <c r="CD30" s="438"/>
      <c r="CE30" s="438"/>
      <c r="CF30" s="438"/>
      <c r="CG30" s="438"/>
      <c r="CH30" s="438"/>
      <c r="CI30" s="438"/>
      <c r="CJ30" s="438"/>
      <c r="CK30" s="438"/>
      <c r="CL30" s="438"/>
      <c r="CM30" s="438"/>
      <c r="CN30" s="438"/>
      <c r="CO30" s="438"/>
      <c r="CP30" s="438"/>
      <c r="CQ30" s="438"/>
      <c r="CR30" s="438"/>
      <c r="CS30" s="438"/>
    </row>
    <row r="31" spans="3:97" ht="16.5" customHeight="1">
      <c r="C31" s="1739">
        <v>303</v>
      </c>
      <c r="D31" s="2013"/>
      <c r="E31" s="1910" t="s">
        <v>1088</v>
      </c>
      <c r="F31" s="1924"/>
      <c r="G31" s="1254" t="str">
        <f>IF((Q31&lt;&gt;""),SUM(((Q31+AD31)+AV31)),"0")</f>
        <v>0</v>
      </c>
      <c r="H31" s="1254">
        <f t="shared" si="25"/>
        <v>3.5</v>
      </c>
      <c r="I31" s="1254" t="str">
        <f>IF((S31&lt;&gt;""),SUM(((S31+AF31)+AX31)),"0")</f>
        <v>0</v>
      </c>
      <c r="J31" s="1254">
        <f t="shared" si="1"/>
        <v>-0.1</v>
      </c>
      <c r="K31" s="1254">
        <f t="shared" si="2"/>
        <v>-0.1</v>
      </c>
      <c r="L31" s="1246"/>
      <c r="M31" s="1305"/>
      <c r="N31" s="1305"/>
      <c r="O31" s="1305"/>
      <c r="P31" s="1305"/>
      <c r="Q31" s="1247"/>
      <c r="R31" s="1248">
        <v>3.5</v>
      </c>
      <c r="S31" s="1248"/>
      <c r="T31" s="1248">
        <f>SUM((T30/2))</f>
        <v>-0.1</v>
      </c>
      <c r="U31" s="1338">
        <f>SUM((U30*2))</f>
        <v>-0.1</v>
      </c>
      <c r="V31" s="1596"/>
      <c r="W31" s="1248"/>
      <c r="X31" s="1248"/>
      <c r="Y31" s="1249"/>
      <c r="Z31" s="1249">
        <f t="shared" si="26"/>
        <v>0</v>
      </c>
      <c r="AA31" s="1250">
        <f t="shared" si="27"/>
        <v>0</v>
      </c>
      <c r="AB31" s="1251">
        <f t="shared" si="3"/>
        <v>0.3888888888888889</v>
      </c>
      <c r="AC31" s="1252">
        <f t="shared" si="4"/>
        <v>0</v>
      </c>
      <c r="AD31" s="1250">
        <f t="shared" si="28"/>
        <v>0</v>
      </c>
      <c r="AE31" s="1251">
        <f t="shared" si="5"/>
        <v>0</v>
      </c>
      <c r="AF31" s="1253">
        <f t="shared" si="6"/>
        <v>0</v>
      </c>
      <c r="AG31" s="1250">
        <f t="shared" si="7"/>
        <v>0</v>
      </c>
      <c r="AH31" s="1251">
        <f t="shared" si="8"/>
        <v>0</v>
      </c>
      <c r="AI31" s="1252">
        <f t="shared" si="9"/>
        <v>0</v>
      </c>
      <c r="AJ31" s="1250">
        <f t="shared" si="10"/>
        <v>0</v>
      </c>
      <c r="AK31" s="1251">
        <f t="shared" si="11"/>
        <v>0</v>
      </c>
      <c r="AL31" s="1253">
        <f t="shared" si="12"/>
        <v>0</v>
      </c>
      <c r="AM31" s="1250">
        <f t="shared" si="13"/>
        <v>0</v>
      </c>
      <c r="AN31" s="1251">
        <f t="shared" si="14"/>
        <v>0</v>
      </c>
      <c r="AO31" s="1252">
        <f t="shared" si="15"/>
        <v>0</v>
      </c>
      <c r="AP31" s="1250">
        <f t="shared" si="16"/>
        <v>0</v>
      </c>
      <c r="AQ31" s="1251">
        <f t="shared" si="17"/>
        <v>0</v>
      </c>
      <c r="AR31" s="1253">
        <f t="shared" si="18"/>
        <v>0</v>
      </c>
      <c r="AS31" s="1250">
        <f t="shared" si="19"/>
        <v>0</v>
      </c>
      <c r="AT31" s="1251">
        <f t="shared" si="20"/>
        <v>0</v>
      </c>
      <c r="AU31" s="1253">
        <f t="shared" si="21"/>
        <v>0</v>
      </c>
      <c r="AV31" s="1250">
        <f t="shared" si="22"/>
        <v>0</v>
      </c>
      <c r="AW31" s="1251">
        <f t="shared" si="23"/>
        <v>0</v>
      </c>
      <c r="AX31" s="1252">
        <f t="shared" si="24"/>
        <v>0</v>
      </c>
      <c r="AY31" s="438"/>
      <c r="AZ31" s="438"/>
      <c r="BA31" s="438"/>
      <c r="BB31" s="438"/>
      <c r="BC31" s="438"/>
      <c r="BD31" s="438"/>
      <c r="BE31" s="438"/>
      <c r="BF31" s="438"/>
      <c r="BG31" s="438"/>
      <c r="BH31" s="438"/>
      <c r="BI31" s="438"/>
      <c r="BJ31" s="438"/>
      <c r="BK31" s="438"/>
      <c r="BL31" s="438"/>
      <c r="BM31" s="438"/>
      <c r="BN31" s="438"/>
      <c r="BO31" s="438"/>
      <c r="BP31" s="438"/>
      <c r="BQ31" s="438"/>
      <c r="BR31" s="438"/>
      <c r="BS31" s="438"/>
      <c r="BT31" s="438"/>
      <c r="BU31" s="438"/>
      <c r="BV31" s="438"/>
      <c r="BW31" s="438"/>
      <c r="BX31" s="438"/>
      <c r="BY31" s="438"/>
      <c r="BZ31" s="438"/>
      <c r="CA31" s="438"/>
      <c r="CB31" s="438"/>
      <c r="CC31" s="438"/>
      <c r="CD31" s="438"/>
      <c r="CE31" s="438"/>
      <c r="CF31" s="438"/>
      <c r="CG31" s="438"/>
      <c r="CH31" s="438"/>
      <c r="CI31" s="438"/>
      <c r="CJ31" s="438"/>
      <c r="CK31" s="438"/>
      <c r="CL31" s="438"/>
      <c r="CM31" s="438"/>
      <c r="CN31" s="438"/>
      <c r="CO31" s="438"/>
      <c r="CP31" s="438"/>
      <c r="CQ31" s="438"/>
      <c r="CR31" s="438"/>
      <c r="CS31" s="438"/>
    </row>
    <row r="32" spans="3:97" ht="16.5" customHeight="1">
      <c r="C32" s="1739">
        <v>304</v>
      </c>
      <c r="D32" s="2013"/>
      <c r="E32" s="1910" t="s">
        <v>983</v>
      </c>
      <c r="F32" s="1924"/>
      <c r="G32" s="1254" t="str">
        <f>IF((Q32&lt;&gt;""),SUM(((Q32+AD32)+AV32)),"0")</f>
        <v>0</v>
      </c>
      <c r="H32" s="1254" t="str">
        <f>IF((R32&lt;&gt;""),SUM(((R32+AE32)+AW32)),"0")</f>
        <v>0</v>
      </c>
      <c r="I32" s="1254">
        <f t="shared" si="29"/>
        <v>7.5</v>
      </c>
      <c r="J32" s="1254" t="str">
        <f>IF((T32&lt;&gt;0),T32,"0")</f>
        <v>0</v>
      </c>
      <c r="K32" s="1254" t="str">
        <f>IF((U32&lt;&gt;0),U32,"0")</f>
        <v>0</v>
      </c>
      <c r="L32" s="1246"/>
      <c r="M32" s="1305"/>
      <c r="N32" s="1305"/>
      <c r="O32" s="1305"/>
      <c r="P32" s="1305"/>
      <c r="Q32" s="1247"/>
      <c r="R32" s="1248"/>
      <c r="S32" s="1248">
        <v>7.5</v>
      </c>
      <c r="T32" s="1248">
        <f>SUM((T30*0))</f>
        <v>0</v>
      </c>
      <c r="U32" s="1338">
        <f>SUM((U30*0))</f>
        <v>0</v>
      </c>
      <c r="V32" s="1596"/>
      <c r="W32" s="1248"/>
      <c r="X32" s="1248"/>
      <c r="Y32" s="1249"/>
      <c r="Z32" s="1249">
        <f t="shared" si="26"/>
        <v>0</v>
      </c>
      <c r="AA32" s="1250">
        <f t="shared" si="27"/>
        <v>0</v>
      </c>
      <c r="AB32" s="1251">
        <f t="shared" si="3"/>
        <v>0</v>
      </c>
      <c r="AC32" s="1252">
        <f t="shared" si="4"/>
        <v>0.83333333333333337</v>
      </c>
      <c r="AD32" s="1250">
        <f t="shared" si="28"/>
        <v>0</v>
      </c>
      <c r="AE32" s="1251">
        <f t="shared" si="5"/>
        <v>0</v>
      </c>
      <c r="AF32" s="1253">
        <f t="shared" si="6"/>
        <v>0</v>
      </c>
      <c r="AG32" s="1250">
        <f t="shared" si="7"/>
        <v>0</v>
      </c>
      <c r="AH32" s="1251">
        <f t="shared" si="8"/>
        <v>0</v>
      </c>
      <c r="AI32" s="1252">
        <f t="shared" si="9"/>
        <v>0</v>
      </c>
      <c r="AJ32" s="1250">
        <f t="shared" si="10"/>
        <v>0</v>
      </c>
      <c r="AK32" s="1251">
        <f t="shared" si="11"/>
        <v>0</v>
      </c>
      <c r="AL32" s="1253">
        <f t="shared" si="12"/>
        <v>0</v>
      </c>
      <c r="AM32" s="1250">
        <f t="shared" si="13"/>
        <v>0</v>
      </c>
      <c r="AN32" s="1251">
        <f t="shared" si="14"/>
        <v>0</v>
      </c>
      <c r="AO32" s="1252">
        <f t="shared" si="15"/>
        <v>0</v>
      </c>
      <c r="AP32" s="1250">
        <f t="shared" si="16"/>
        <v>0</v>
      </c>
      <c r="AQ32" s="1251">
        <f t="shared" si="17"/>
        <v>0</v>
      </c>
      <c r="AR32" s="1253">
        <f t="shared" si="18"/>
        <v>0</v>
      </c>
      <c r="AS32" s="1250">
        <f t="shared" si="19"/>
        <v>0</v>
      </c>
      <c r="AT32" s="1251">
        <f t="shared" si="20"/>
        <v>0</v>
      </c>
      <c r="AU32" s="1253">
        <f t="shared" si="21"/>
        <v>0</v>
      </c>
      <c r="AV32" s="1250">
        <f t="shared" si="22"/>
        <v>0</v>
      </c>
      <c r="AW32" s="1251">
        <f t="shared" si="23"/>
        <v>0</v>
      </c>
      <c r="AX32" s="1252">
        <f t="shared" si="24"/>
        <v>0</v>
      </c>
      <c r="AY32" s="438"/>
      <c r="AZ32" s="438"/>
      <c r="BA32" s="438"/>
      <c r="BB32" s="438"/>
      <c r="BC32" s="438"/>
      <c r="BD32" s="438"/>
      <c r="BE32" s="438"/>
      <c r="BF32" s="438"/>
      <c r="BG32" s="438"/>
      <c r="BH32" s="438"/>
      <c r="BI32" s="438"/>
      <c r="BJ32" s="438"/>
      <c r="BK32" s="438"/>
      <c r="BL32" s="438"/>
      <c r="BM32" s="438"/>
      <c r="BN32" s="438"/>
      <c r="BO32" s="438"/>
      <c r="BP32" s="438"/>
      <c r="BQ32" s="438"/>
      <c r="BR32" s="438"/>
      <c r="BS32" s="438"/>
      <c r="BT32" s="438"/>
      <c r="BU32" s="438"/>
      <c r="BV32" s="438"/>
      <c r="BW32" s="438"/>
      <c r="BX32" s="438"/>
      <c r="BY32" s="438"/>
      <c r="BZ32" s="438"/>
      <c r="CA32" s="438"/>
      <c r="CB32" s="438"/>
      <c r="CC32" s="438"/>
      <c r="CD32" s="438"/>
      <c r="CE32" s="438"/>
      <c r="CF32" s="438"/>
      <c r="CG32" s="438"/>
      <c r="CH32" s="438"/>
      <c r="CI32" s="438"/>
      <c r="CJ32" s="438"/>
      <c r="CK32" s="438"/>
      <c r="CL32" s="438"/>
      <c r="CM32" s="438"/>
      <c r="CN32" s="438"/>
      <c r="CO32" s="438"/>
      <c r="CP32" s="438"/>
      <c r="CQ32" s="438"/>
      <c r="CR32" s="438"/>
      <c r="CS32" s="438"/>
    </row>
    <row r="33" spans="1:97" ht="16.5" customHeight="1">
      <c r="C33" s="1739">
        <v>305</v>
      </c>
      <c r="D33" s="2013"/>
      <c r="E33" s="1910" t="s">
        <v>984</v>
      </c>
      <c r="F33" s="1924"/>
      <c r="G33" s="1254">
        <f t="shared" si="0"/>
        <v>175</v>
      </c>
      <c r="H33" s="1254">
        <f t="shared" si="25"/>
        <v>1.75</v>
      </c>
      <c r="I33" s="1254" t="str">
        <f>IF((S33&lt;&gt;""),SUM(((S33+AF33)+AX33)),"0")</f>
        <v>0</v>
      </c>
      <c r="J33" s="1254">
        <f t="shared" si="1"/>
        <v>-0.15000000000000002</v>
      </c>
      <c r="K33" s="1254">
        <f t="shared" si="2"/>
        <v>-7.5000000000000011E-2</v>
      </c>
      <c r="L33" s="1246"/>
      <c r="M33" s="1305"/>
      <c r="N33" s="1305"/>
      <c r="O33" s="1305"/>
      <c r="P33" s="1305"/>
      <c r="Q33" s="1247">
        <f>SUM((Q30/2))</f>
        <v>175</v>
      </c>
      <c r="R33" s="1248">
        <f>SUM((R31/2))</f>
        <v>1.75</v>
      </c>
      <c r="S33" s="1248"/>
      <c r="T33" s="1248">
        <f>SUM(((T30/4)*3))</f>
        <v>-0.15000000000000002</v>
      </c>
      <c r="U33" s="1338">
        <f>SUM((U30*1.5))</f>
        <v>-7.5000000000000011E-2</v>
      </c>
      <c r="V33" s="1596"/>
      <c r="W33" s="1248"/>
      <c r="X33" s="1248"/>
      <c r="Y33" s="1249"/>
      <c r="Z33" s="1249">
        <f t="shared" si="26"/>
        <v>0</v>
      </c>
      <c r="AA33" s="1250">
        <f t="shared" si="27"/>
        <v>19.444444444444443</v>
      </c>
      <c r="AB33" s="1251">
        <f t="shared" si="3"/>
        <v>0.19444444444444445</v>
      </c>
      <c r="AC33" s="1252">
        <f t="shared" si="4"/>
        <v>0</v>
      </c>
      <c r="AD33" s="1250">
        <f t="shared" si="28"/>
        <v>0</v>
      </c>
      <c r="AE33" s="1251">
        <f t="shared" si="5"/>
        <v>0</v>
      </c>
      <c r="AF33" s="1253">
        <f t="shared" si="6"/>
        <v>0</v>
      </c>
      <c r="AG33" s="1250">
        <f t="shared" si="7"/>
        <v>0</v>
      </c>
      <c r="AH33" s="1251">
        <f t="shared" si="8"/>
        <v>0</v>
      </c>
      <c r="AI33" s="1252">
        <f t="shared" si="9"/>
        <v>0</v>
      </c>
      <c r="AJ33" s="1250">
        <f t="shared" si="10"/>
        <v>0</v>
      </c>
      <c r="AK33" s="1251">
        <f t="shared" si="11"/>
        <v>0</v>
      </c>
      <c r="AL33" s="1253">
        <f t="shared" si="12"/>
        <v>0</v>
      </c>
      <c r="AM33" s="1250">
        <f t="shared" si="13"/>
        <v>0</v>
      </c>
      <c r="AN33" s="1251">
        <f t="shared" si="14"/>
        <v>0</v>
      </c>
      <c r="AO33" s="1252">
        <f t="shared" si="15"/>
        <v>0</v>
      </c>
      <c r="AP33" s="1250">
        <f t="shared" si="16"/>
        <v>0</v>
      </c>
      <c r="AQ33" s="1251">
        <f t="shared" si="17"/>
        <v>0</v>
      </c>
      <c r="AR33" s="1253">
        <f t="shared" si="18"/>
        <v>0</v>
      </c>
      <c r="AS33" s="1250">
        <f t="shared" si="19"/>
        <v>0</v>
      </c>
      <c r="AT33" s="1251">
        <f t="shared" si="20"/>
        <v>0</v>
      </c>
      <c r="AU33" s="1253">
        <f t="shared" si="21"/>
        <v>0</v>
      </c>
      <c r="AV33" s="1250">
        <f t="shared" si="22"/>
        <v>0</v>
      </c>
      <c r="AW33" s="1251">
        <f t="shared" si="23"/>
        <v>0</v>
      </c>
      <c r="AX33" s="1252">
        <f t="shared" si="24"/>
        <v>0</v>
      </c>
      <c r="AY33" s="438"/>
      <c r="AZ33" s="438"/>
      <c r="BA33" s="438"/>
      <c r="BB33" s="438"/>
      <c r="BC33" s="438"/>
      <c r="BD33" s="438"/>
      <c r="BE33" s="438"/>
      <c r="BF33" s="438"/>
      <c r="BG33" s="438"/>
      <c r="BH33" s="438"/>
      <c r="BI33" s="438"/>
      <c r="BJ33" s="438"/>
      <c r="BK33" s="438"/>
      <c r="BL33" s="438"/>
      <c r="BM33" s="438"/>
      <c r="BN33" s="438"/>
      <c r="BO33" s="438"/>
      <c r="BP33" s="438"/>
      <c r="BQ33" s="438"/>
      <c r="BR33" s="438"/>
      <c r="BS33" s="438"/>
      <c r="BT33" s="438"/>
      <c r="BU33" s="438"/>
      <c r="BV33" s="438"/>
      <c r="BW33" s="438"/>
      <c r="BX33" s="438"/>
      <c r="BY33" s="438"/>
      <c r="BZ33" s="438"/>
      <c r="CA33" s="438"/>
      <c r="CB33" s="438"/>
      <c r="CC33" s="438"/>
      <c r="CD33" s="438"/>
      <c r="CE33" s="438"/>
      <c r="CF33" s="438"/>
      <c r="CG33" s="438"/>
      <c r="CH33" s="438"/>
      <c r="CI33" s="438"/>
      <c r="CJ33" s="438"/>
      <c r="CK33" s="438"/>
      <c r="CL33" s="438"/>
      <c r="CM33" s="438"/>
      <c r="CN33" s="438"/>
      <c r="CO33" s="438"/>
      <c r="CP33" s="438"/>
      <c r="CQ33" s="438"/>
      <c r="CR33" s="438"/>
      <c r="CS33" s="438"/>
    </row>
    <row r="34" spans="1:97" ht="16.5" customHeight="1">
      <c r="C34" s="1739">
        <v>306</v>
      </c>
      <c r="D34" s="2013"/>
      <c r="E34" s="1910" t="s">
        <v>985</v>
      </c>
      <c r="F34" s="1924"/>
      <c r="G34" s="1254">
        <f t="shared" si="0"/>
        <v>233.33333333333334</v>
      </c>
      <c r="H34" s="1254">
        <v>0</v>
      </c>
      <c r="I34" s="1254">
        <f t="shared" si="29"/>
        <v>2.5</v>
      </c>
      <c r="J34" s="1254">
        <f t="shared" si="1"/>
        <v>-0.13333333333333333</v>
      </c>
      <c r="K34" s="1254">
        <f t="shared" si="2"/>
        <v>-3.3333333333333333E-2</v>
      </c>
      <c r="L34" s="1246"/>
      <c r="M34" s="1305"/>
      <c r="N34" s="1305"/>
      <c r="O34" s="1305"/>
      <c r="P34" s="1305"/>
      <c r="Q34" s="1247">
        <f>SUM(((Q30/3)*2))</f>
        <v>233.33333333333334</v>
      </c>
      <c r="R34" s="1248"/>
      <c r="S34" s="1248">
        <f>SUM((S32/3))</f>
        <v>2.5</v>
      </c>
      <c r="T34" s="1248">
        <f>SUM(((T30/3)*2))</f>
        <v>-0.13333333333333333</v>
      </c>
      <c r="U34" s="1338">
        <f>SUM(((U30/3)*2))</f>
        <v>-3.3333333333333333E-2</v>
      </c>
      <c r="V34" s="1596"/>
      <c r="W34" s="1248"/>
      <c r="X34" s="1248"/>
      <c r="Y34" s="1249"/>
      <c r="Z34" s="1249">
        <f t="shared" si="26"/>
        <v>0</v>
      </c>
      <c r="AA34" s="1250">
        <f t="shared" si="27"/>
        <v>25.925925925925927</v>
      </c>
      <c r="AB34" s="1251">
        <f t="shared" si="3"/>
        <v>0</v>
      </c>
      <c r="AC34" s="1252">
        <f t="shared" si="4"/>
        <v>0.27777777777777779</v>
      </c>
      <c r="AD34" s="1250">
        <f t="shared" si="28"/>
        <v>0</v>
      </c>
      <c r="AE34" s="1251">
        <f t="shared" si="5"/>
        <v>0</v>
      </c>
      <c r="AF34" s="1253">
        <f t="shared" si="6"/>
        <v>0</v>
      </c>
      <c r="AG34" s="1250">
        <f t="shared" si="7"/>
        <v>0</v>
      </c>
      <c r="AH34" s="1251">
        <f t="shared" si="8"/>
        <v>0</v>
      </c>
      <c r="AI34" s="1252">
        <f t="shared" si="9"/>
        <v>0</v>
      </c>
      <c r="AJ34" s="1250">
        <f t="shared" si="10"/>
        <v>0</v>
      </c>
      <c r="AK34" s="1251">
        <f t="shared" si="11"/>
        <v>0</v>
      </c>
      <c r="AL34" s="1253">
        <f t="shared" si="12"/>
        <v>0</v>
      </c>
      <c r="AM34" s="1250">
        <f t="shared" si="13"/>
        <v>0</v>
      </c>
      <c r="AN34" s="1251">
        <f t="shared" si="14"/>
        <v>0</v>
      </c>
      <c r="AO34" s="1252">
        <f t="shared" si="15"/>
        <v>0</v>
      </c>
      <c r="AP34" s="1250">
        <f t="shared" si="16"/>
        <v>0</v>
      </c>
      <c r="AQ34" s="1251">
        <f t="shared" si="17"/>
        <v>0</v>
      </c>
      <c r="AR34" s="1253">
        <f t="shared" si="18"/>
        <v>0</v>
      </c>
      <c r="AS34" s="1250">
        <f t="shared" si="19"/>
        <v>0</v>
      </c>
      <c r="AT34" s="1251">
        <f t="shared" si="20"/>
        <v>0</v>
      </c>
      <c r="AU34" s="1253">
        <f t="shared" si="21"/>
        <v>0</v>
      </c>
      <c r="AV34" s="1250">
        <f t="shared" si="22"/>
        <v>0</v>
      </c>
      <c r="AW34" s="1251">
        <f t="shared" si="23"/>
        <v>0</v>
      </c>
      <c r="AX34" s="1252">
        <f t="shared" si="24"/>
        <v>0</v>
      </c>
      <c r="AY34" s="438"/>
      <c r="AZ34" s="438"/>
      <c r="BA34" s="438"/>
      <c r="BB34" s="438"/>
      <c r="BC34" s="438"/>
      <c r="BD34" s="438"/>
      <c r="BE34" s="438"/>
      <c r="BF34" s="438"/>
      <c r="BG34" s="438"/>
      <c r="BH34" s="438"/>
      <c r="BI34" s="438"/>
      <c r="BJ34" s="438"/>
      <c r="BK34" s="438"/>
      <c r="BL34" s="438"/>
      <c r="BM34" s="438"/>
      <c r="BN34" s="438"/>
      <c r="BO34" s="438"/>
      <c r="BP34" s="438"/>
      <c r="BQ34" s="438"/>
      <c r="BR34" s="438"/>
      <c r="BS34" s="438"/>
      <c r="BT34" s="438"/>
      <c r="BU34" s="438"/>
      <c r="BV34" s="438"/>
      <c r="BW34" s="438"/>
      <c r="BX34" s="438"/>
      <c r="BY34" s="438"/>
      <c r="BZ34" s="438"/>
      <c r="CA34" s="438"/>
      <c r="CB34" s="438"/>
      <c r="CC34" s="438"/>
      <c r="CD34" s="438"/>
      <c r="CE34" s="438"/>
      <c r="CF34" s="438"/>
      <c r="CG34" s="438"/>
      <c r="CH34" s="438"/>
      <c r="CI34" s="438"/>
      <c r="CJ34" s="438"/>
      <c r="CK34" s="438"/>
      <c r="CL34" s="438"/>
      <c r="CM34" s="438"/>
      <c r="CN34" s="438"/>
      <c r="CO34" s="438"/>
      <c r="CP34" s="438"/>
      <c r="CQ34" s="438"/>
      <c r="CR34" s="438"/>
      <c r="CS34" s="438"/>
    </row>
    <row r="35" spans="1:97" ht="16.5" customHeight="1">
      <c r="C35" s="1739">
        <v>307</v>
      </c>
      <c r="D35" s="2013"/>
      <c r="E35" s="1910" t="s">
        <v>986</v>
      </c>
      <c r="F35" s="1924"/>
      <c r="G35" s="1254">
        <v>0</v>
      </c>
      <c r="H35" s="1254">
        <f t="shared" si="25"/>
        <v>2.3333333333333335</v>
      </c>
      <c r="I35" s="1254">
        <f t="shared" si="29"/>
        <v>2.5</v>
      </c>
      <c r="J35" s="1254">
        <f t="shared" si="1"/>
        <v>-6.6666666666666666E-2</v>
      </c>
      <c r="K35" s="1254">
        <f t="shared" si="2"/>
        <v>-6.6666666666666666E-2</v>
      </c>
      <c r="L35" s="1246"/>
      <c r="M35" s="1305"/>
      <c r="N35" s="1305"/>
      <c r="O35" s="1305"/>
      <c r="P35" s="1305"/>
      <c r="Q35" s="1247"/>
      <c r="R35" s="1248">
        <f>SUM(((R31/3)*2))</f>
        <v>2.3333333333333335</v>
      </c>
      <c r="S35" s="1248">
        <f>SUM((S32/3))</f>
        <v>2.5</v>
      </c>
      <c r="T35" s="1248">
        <f>SUM((T30/3))</f>
        <v>-6.6666666666666666E-2</v>
      </c>
      <c r="U35" s="1338">
        <f>SUM(((U30/3)*4))</f>
        <v>-6.6666666666666666E-2</v>
      </c>
      <c r="V35" s="1596"/>
      <c r="W35" s="1248"/>
      <c r="X35" s="1248"/>
      <c r="Y35" s="1249"/>
      <c r="Z35" s="1249">
        <f t="shared" si="26"/>
        <v>0</v>
      </c>
      <c r="AA35" s="1250">
        <f t="shared" si="27"/>
        <v>0</v>
      </c>
      <c r="AB35" s="1251">
        <f t="shared" si="3"/>
        <v>0.2592592592592593</v>
      </c>
      <c r="AC35" s="1252">
        <f t="shared" si="4"/>
        <v>0.27777777777777779</v>
      </c>
      <c r="AD35" s="1250">
        <f t="shared" si="28"/>
        <v>0</v>
      </c>
      <c r="AE35" s="1251">
        <f t="shared" si="5"/>
        <v>0</v>
      </c>
      <c r="AF35" s="1253">
        <f t="shared" si="6"/>
        <v>0</v>
      </c>
      <c r="AG35" s="1250">
        <f t="shared" si="7"/>
        <v>0</v>
      </c>
      <c r="AH35" s="1251">
        <f t="shared" si="8"/>
        <v>0</v>
      </c>
      <c r="AI35" s="1252">
        <f t="shared" si="9"/>
        <v>0</v>
      </c>
      <c r="AJ35" s="1250">
        <f t="shared" si="10"/>
        <v>0</v>
      </c>
      <c r="AK35" s="1251">
        <f t="shared" si="11"/>
        <v>0</v>
      </c>
      <c r="AL35" s="1253">
        <f t="shared" si="12"/>
        <v>0</v>
      </c>
      <c r="AM35" s="1250">
        <f t="shared" si="13"/>
        <v>0</v>
      </c>
      <c r="AN35" s="1251">
        <f t="shared" si="14"/>
        <v>0</v>
      </c>
      <c r="AO35" s="1252">
        <f t="shared" si="15"/>
        <v>0</v>
      </c>
      <c r="AP35" s="1250">
        <f t="shared" si="16"/>
        <v>0</v>
      </c>
      <c r="AQ35" s="1251">
        <f t="shared" si="17"/>
        <v>0</v>
      </c>
      <c r="AR35" s="1253">
        <f t="shared" si="18"/>
        <v>0</v>
      </c>
      <c r="AS35" s="1250">
        <f t="shared" si="19"/>
        <v>0</v>
      </c>
      <c r="AT35" s="1251">
        <f t="shared" si="20"/>
        <v>0</v>
      </c>
      <c r="AU35" s="1253">
        <f t="shared" si="21"/>
        <v>0</v>
      </c>
      <c r="AV35" s="1250">
        <f t="shared" si="22"/>
        <v>0</v>
      </c>
      <c r="AW35" s="1251">
        <f t="shared" si="23"/>
        <v>0</v>
      </c>
      <c r="AX35" s="1252">
        <f t="shared" si="24"/>
        <v>0</v>
      </c>
      <c r="AY35" s="438"/>
      <c r="AZ35" s="438"/>
      <c r="BA35" s="438"/>
      <c r="BB35" s="438"/>
      <c r="BC35" s="438"/>
      <c r="BD35" s="438"/>
      <c r="BE35" s="438"/>
      <c r="BF35" s="438"/>
      <c r="BG35" s="438"/>
      <c r="BH35" s="438"/>
      <c r="BI35" s="438"/>
      <c r="BJ35" s="438"/>
      <c r="BK35" s="438"/>
      <c r="BL35" s="438"/>
      <c r="BM35" s="438"/>
      <c r="BN35" s="438"/>
      <c r="BO35" s="438"/>
      <c r="BP35" s="438"/>
      <c r="BQ35" s="438"/>
      <c r="BR35" s="438"/>
      <c r="BS35" s="438"/>
      <c r="BT35" s="438"/>
      <c r="BU35" s="438"/>
      <c r="BV35" s="438"/>
      <c r="BW35" s="438"/>
      <c r="BX35" s="438"/>
      <c r="BY35" s="438"/>
      <c r="BZ35" s="438"/>
      <c r="CA35" s="438"/>
      <c r="CB35" s="438"/>
      <c r="CC35" s="438"/>
      <c r="CD35" s="438"/>
      <c r="CE35" s="438"/>
      <c r="CF35" s="438"/>
      <c r="CG35" s="438"/>
      <c r="CH35" s="438"/>
      <c r="CI35" s="438"/>
      <c r="CJ35" s="438"/>
      <c r="CK35" s="438"/>
      <c r="CL35" s="438"/>
      <c r="CM35" s="438"/>
      <c r="CN35" s="438"/>
      <c r="CO35" s="438"/>
      <c r="CP35" s="438"/>
      <c r="CQ35" s="438"/>
      <c r="CR35" s="438"/>
      <c r="CS35" s="438"/>
    </row>
    <row r="36" spans="1:97" ht="16.5" customHeight="1">
      <c r="C36" s="1739">
        <v>308</v>
      </c>
      <c r="D36" s="2013"/>
      <c r="E36" s="1910" t="s">
        <v>987</v>
      </c>
      <c r="F36" s="1911"/>
      <c r="G36" s="1254">
        <f t="shared" si="0"/>
        <v>140</v>
      </c>
      <c r="H36" s="1254">
        <f t="shared" si="25"/>
        <v>1.4</v>
      </c>
      <c r="I36" s="1254">
        <f t="shared" si="29"/>
        <v>1.5</v>
      </c>
      <c r="J36" s="1254">
        <f t="shared" si="1"/>
        <v>-0.1</v>
      </c>
      <c r="K36" s="1254">
        <f t="shared" si="2"/>
        <v>-0.05</v>
      </c>
      <c r="L36" s="1246"/>
      <c r="M36" s="1305"/>
      <c r="N36" s="1305"/>
      <c r="O36" s="1305"/>
      <c r="P36" s="1305"/>
      <c r="Q36" s="1247">
        <f>SUM(((Q30/5)*2))</f>
        <v>140</v>
      </c>
      <c r="R36" s="1248">
        <f>SUM(((R31/5)*2))</f>
        <v>1.4</v>
      </c>
      <c r="S36" s="1248">
        <f>SUM((S32/5))</f>
        <v>1.5</v>
      </c>
      <c r="T36" s="1248">
        <f>SUM(((T30/10)*5))</f>
        <v>-0.1</v>
      </c>
      <c r="U36" s="1338">
        <f>SUM(((U30/5)*5))</f>
        <v>-0.05</v>
      </c>
      <c r="V36" s="1596"/>
      <c r="W36" s="1248"/>
      <c r="X36" s="1248"/>
      <c r="Y36" s="1249"/>
      <c r="Z36" s="1249">
        <f t="shared" si="26"/>
        <v>0</v>
      </c>
      <c r="AA36" s="1250">
        <f t="shared" si="27"/>
        <v>15.555555555555555</v>
      </c>
      <c r="AB36" s="1251">
        <f t="shared" si="3"/>
        <v>0.15555555555555556</v>
      </c>
      <c r="AC36" s="1252">
        <f t="shared" si="4"/>
        <v>0.16666666666666666</v>
      </c>
      <c r="AD36" s="1250">
        <f t="shared" si="28"/>
        <v>0</v>
      </c>
      <c r="AE36" s="1251">
        <f t="shared" si="5"/>
        <v>0</v>
      </c>
      <c r="AF36" s="1253">
        <f t="shared" si="6"/>
        <v>0</v>
      </c>
      <c r="AG36" s="1250">
        <f t="shared" si="7"/>
        <v>0</v>
      </c>
      <c r="AH36" s="1251">
        <f t="shared" si="8"/>
        <v>0</v>
      </c>
      <c r="AI36" s="1252">
        <f t="shared" si="9"/>
        <v>0</v>
      </c>
      <c r="AJ36" s="1250">
        <f t="shared" si="10"/>
        <v>0</v>
      </c>
      <c r="AK36" s="1251">
        <f t="shared" si="11"/>
        <v>0</v>
      </c>
      <c r="AL36" s="1253">
        <f t="shared" si="12"/>
        <v>0</v>
      </c>
      <c r="AM36" s="1250">
        <f t="shared" si="13"/>
        <v>0</v>
      </c>
      <c r="AN36" s="1251">
        <f t="shared" si="14"/>
        <v>0</v>
      </c>
      <c r="AO36" s="1252">
        <f t="shared" si="15"/>
        <v>0</v>
      </c>
      <c r="AP36" s="1250">
        <f t="shared" si="16"/>
        <v>0</v>
      </c>
      <c r="AQ36" s="1251">
        <f t="shared" si="17"/>
        <v>0</v>
      </c>
      <c r="AR36" s="1253">
        <f t="shared" si="18"/>
        <v>0</v>
      </c>
      <c r="AS36" s="1250">
        <f t="shared" si="19"/>
        <v>0</v>
      </c>
      <c r="AT36" s="1251">
        <f t="shared" si="20"/>
        <v>0</v>
      </c>
      <c r="AU36" s="1253">
        <f t="shared" si="21"/>
        <v>0</v>
      </c>
      <c r="AV36" s="1250">
        <f t="shared" si="22"/>
        <v>0</v>
      </c>
      <c r="AW36" s="1251">
        <f t="shared" si="23"/>
        <v>0</v>
      </c>
      <c r="AX36" s="1252">
        <f t="shared" si="24"/>
        <v>0</v>
      </c>
      <c r="AY36" s="438"/>
      <c r="AZ36" s="438"/>
      <c r="BA36" s="438"/>
      <c r="BB36" s="438"/>
      <c r="BC36" s="438"/>
      <c r="BD36" s="438"/>
      <c r="BE36" s="438"/>
      <c r="BF36" s="438"/>
      <c r="BG36" s="438"/>
      <c r="BH36" s="438"/>
      <c r="BI36" s="438"/>
      <c r="BJ36" s="438"/>
      <c r="BK36" s="438"/>
      <c r="BL36" s="438"/>
      <c r="BM36" s="438"/>
      <c r="BN36" s="438"/>
      <c r="BO36" s="438"/>
      <c r="BP36" s="438"/>
      <c r="BQ36" s="438"/>
      <c r="BR36" s="438"/>
      <c r="BS36" s="438"/>
      <c r="BT36" s="438"/>
      <c r="BU36" s="438"/>
      <c r="BV36" s="438"/>
      <c r="BW36" s="438"/>
      <c r="BX36" s="438"/>
      <c r="BY36" s="438"/>
      <c r="BZ36" s="438"/>
      <c r="CA36" s="438"/>
      <c r="CB36" s="438"/>
      <c r="CC36" s="438"/>
      <c r="CD36" s="438"/>
      <c r="CE36" s="438"/>
      <c r="CF36" s="438"/>
      <c r="CG36" s="438"/>
      <c r="CH36" s="438"/>
      <c r="CI36" s="438"/>
      <c r="CJ36" s="438"/>
      <c r="CK36" s="438"/>
      <c r="CL36" s="438"/>
      <c r="CM36" s="438"/>
      <c r="CN36" s="438"/>
      <c r="CO36" s="438"/>
      <c r="CP36" s="438"/>
      <c r="CQ36" s="438"/>
      <c r="CR36" s="438"/>
      <c r="CS36" s="438"/>
    </row>
    <row r="37" spans="1:97" ht="16.5" customHeight="1" thickBot="1">
      <c r="C37" s="1739">
        <v>309</v>
      </c>
      <c r="D37" s="2013"/>
      <c r="E37" s="1931" t="s">
        <v>720</v>
      </c>
      <c r="F37" s="1932"/>
      <c r="G37" s="1254">
        <v>0</v>
      </c>
      <c r="H37" s="1254">
        <v>0</v>
      </c>
      <c r="I37" s="1254">
        <v>0</v>
      </c>
      <c r="J37" s="1254">
        <v>0</v>
      </c>
      <c r="K37" s="1254">
        <v>0</v>
      </c>
      <c r="L37" s="1255"/>
      <c r="M37" s="1305"/>
      <c r="N37" s="1305"/>
      <c r="O37" s="1305"/>
      <c r="P37" s="1305"/>
      <c r="Q37" s="1247"/>
      <c r="R37" s="1248"/>
      <c r="S37" s="1248"/>
      <c r="T37" s="1248"/>
      <c r="U37" s="1338"/>
      <c r="V37" s="1596"/>
      <c r="W37" s="1248"/>
      <c r="X37" s="1248"/>
      <c r="Y37" s="1249"/>
      <c r="Z37" s="1249">
        <f t="shared" si="26"/>
        <v>0</v>
      </c>
      <c r="AA37" s="1250"/>
      <c r="AB37" s="1251"/>
      <c r="AC37" s="1252"/>
      <c r="AD37" s="1250"/>
      <c r="AE37" s="1251"/>
      <c r="AF37" s="1253"/>
      <c r="AG37" s="1250"/>
      <c r="AH37" s="1251"/>
      <c r="AI37" s="1252"/>
      <c r="AJ37" s="1250"/>
      <c r="AK37" s="1251"/>
      <c r="AL37" s="1253"/>
      <c r="AM37" s="1250"/>
      <c r="AN37" s="1251"/>
      <c r="AO37" s="1252"/>
      <c r="AP37" s="1250"/>
      <c r="AQ37" s="1251"/>
      <c r="AR37" s="1253"/>
      <c r="AS37" s="1250"/>
      <c r="AT37" s="1251"/>
      <c r="AU37" s="1253"/>
      <c r="AV37" s="1250"/>
      <c r="AW37" s="1251"/>
      <c r="AX37" s="1252"/>
      <c r="AY37" s="438"/>
      <c r="AZ37" s="438"/>
      <c r="BA37" s="438"/>
      <c r="BB37" s="438"/>
      <c r="BC37" s="438"/>
      <c r="BD37" s="438"/>
      <c r="BE37" s="438"/>
      <c r="BF37" s="438"/>
      <c r="BG37" s="438"/>
      <c r="BH37" s="438"/>
      <c r="BI37" s="438"/>
      <c r="BJ37" s="438"/>
      <c r="BK37" s="438"/>
      <c r="BL37" s="438"/>
      <c r="BM37" s="438"/>
      <c r="BN37" s="438"/>
      <c r="BO37" s="438"/>
      <c r="BP37" s="438"/>
      <c r="BQ37" s="438"/>
      <c r="BR37" s="438"/>
      <c r="BS37" s="438"/>
      <c r="BT37" s="438"/>
      <c r="BU37" s="438"/>
      <c r="BV37" s="438"/>
      <c r="BW37" s="438"/>
      <c r="BX37" s="438"/>
      <c r="BY37" s="438"/>
      <c r="BZ37" s="438"/>
      <c r="CA37" s="438"/>
      <c r="CB37" s="438"/>
      <c r="CC37" s="438"/>
      <c r="CD37" s="438"/>
      <c r="CE37" s="438"/>
      <c r="CF37" s="438"/>
      <c r="CG37" s="438"/>
      <c r="CH37" s="438"/>
      <c r="CI37" s="438"/>
      <c r="CJ37" s="438"/>
      <c r="CK37" s="438"/>
      <c r="CL37" s="438"/>
      <c r="CM37" s="438"/>
      <c r="CN37" s="438"/>
      <c r="CO37" s="438"/>
      <c r="CP37" s="438"/>
      <c r="CQ37" s="438"/>
      <c r="CR37" s="438"/>
      <c r="CS37" s="438"/>
    </row>
    <row r="38" spans="1:97" ht="16.5" customHeight="1">
      <c r="C38" s="1739">
        <v>310</v>
      </c>
      <c r="D38" s="2013"/>
      <c r="E38" s="1925" t="s">
        <v>271</v>
      </c>
      <c r="F38" s="1926"/>
      <c r="G38" s="1254">
        <v>0</v>
      </c>
      <c r="H38" s="1254">
        <v>0</v>
      </c>
      <c r="I38" s="1254">
        <v>0</v>
      </c>
      <c r="J38" s="1254">
        <v>0</v>
      </c>
      <c r="K38" s="1254">
        <v>0</v>
      </c>
      <c r="L38" s="1255">
        <f>$E$78</f>
        <v>3.5</v>
      </c>
      <c r="M38" s="1305"/>
      <c r="N38" s="1305"/>
      <c r="O38" s="1305"/>
      <c r="P38" s="1305"/>
      <c r="Q38" s="1247"/>
      <c r="R38" s="1248"/>
      <c r="S38" s="1248"/>
      <c r="T38" s="1248"/>
      <c r="U38" s="1338"/>
      <c r="V38" s="1596"/>
      <c r="W38" s="1248"/>
      <c r="X38" s="1248"/>
      <c r="Y38" s="1249"/>
      <c r="Z38" s="1249">
        <f t="shared" si="26"/>
        <v>0</v>
      </c>
      <c r="AA38" s="1250"/>
      <c r="AB38" s="1251"/>
      <c r="AC38" s="1252"/>
      <c r="AD38" s="1250"/>
      <c r="AE38" s="1251"/>
      <c r="AF38" s="1253"/>
      <c r="AG38" s="1250"/>
      <c r="AH38" s="1251"/>
      <c r="AI38" s="1252"/>
      <c r="AJ38" s="1250"/>
      <c r="AK38" s="1251"/>
      <c r="AL38" s="1253"/>
      <c r="AM38" s="1250"/>
      <c r="AN38" s="1251"/>
      <c r="AO38" s="1252"/>
      <c r="AP38" s="1250"/>
      <c r="AQ38" s="1251"/>
      <c r="AR38" s="1253"/>
      <c r="AS38" s="1250"/>
      <c r="AT38" s="1251"/>
      <c r="AU38" s="1253"/>
      <c r="AV38" s="1250"/>
      <c r="AW38" s="1251"/>
      <c r="AX38" s="1252"/>
      <c r="AY38" s="438"/>
      <c r="AZ38" s="438"/>
      <c r="BA38" s="438"/>
      <c r="BB38" s="438"/>
      <c r="BC38" s="438"/>
      <c r="BD38" s="438"/>
      <c r="BE38" s="438"/>
      <c r="BF38" s="438"/>
      <c r="BG38" s="438"/>
      <c r="BH38" s="438"/>
      <c r="BI38" s="438"/>
      <c r="BJ38" s="438"/>
      <c r="BK38" s="438"/>
      <c r="BL38" s="438"/>
      <c r="BM38" s="438"/>
      <c r="BN38" s="438"/>
      <c r="BO38" s="438"/>
      <c r="BP38" s="438"/>
      <c r="BQ38" s="438"/>
      <c r="BR38" s="438"/>
      <c r="BS38" s="438"/>
      <c r="BT38" s="438"/>
      <c r="BU38" s="438"/>
      <c r="BV38" s="438"/>
      <c r="BW38" s="438"/>
      <c r="BX38" s="438"/>
      <c r="BY38" s="438"/>
      <c r="BZ38" s="438"/>
      <c r="CA38" s="438"/>
      <c r="CB38" s="438"/>
      <c r="CC38" s="438"/>
      <c r="CD38" s="438"/>
      <c r="CE38" s="438"/>
      <c r="CF38" s="438"/>
      <c r="CG38" s="438"/>
      <c r="CH38" s="438"/>
      <c r="CI38" s="438"/>
      <c r="CJ38" s="438"/>
      <c r="CK38" s="438"/>
      <c r="CL38" s="438"/>
      <c r="CM38" s="438"/>
      <c r="CN38" s="438"/>
      <c r="CO38" s="438"/>
      <c r="CP38" s="438"/>
      <c r="CQ38" s="438"/>
      <c r="CR38" s="438"/>
      <c r="CS38" s="438"/>
    </row>
    <row r="39" spans="1:97" ht="16.5" customHeight="1">
      <c r="C39" s="1739">
        <v>311</v>
      </c>
      <c r="D39" s="2014"/>
      <c r="E39" s="1931" t="s">
        <v>1086</v>
      </c>
      <c r="F39" s="1989"/>
      <c r="G39" s="1254"/>
      <c r="H39" s="1254"/>
      <c r="I39" s="1254"/>
      <c r="J39" s="1254"/>
      <c r="K39" s="1254"/>
      <c r="L39" s="1255"/>
      <c r="M39" s="1305"/>
      <c r="N39" s="1305"/>
      <c r="O39" s="1305"/>
      <c r="P39" s="1305"/>
      <c r="Q39" s="1247"/>
      <c r="R39" s="1248"/>
      <c r="S39" s="1248"/>
      <c r="T39" s="1248"/>
      <c r="U39" s="1338"/>
      <c r="V39" s="1596"/>
      <c r="W39" s="1248"/>
      <c r="X39" s="1248"/>
      <c r="Y39" s="1249"/>
      <c r="Z39" s="1249"/>
      <c r="AA39" s="1250"/>
      <c r="AB39" s="1251"/>
      <c r="AC39" s="1252"/>
      <c r="AD39" s="1250"/>
      <c r="AE39" s="1251"/>
      <c r="AF39" s="1253"/>
      <c r="AG39" s="1250"/>
      <c r="AH39" s="1251"/>
      <c r="AI39" s="1252"/>
      <c r="AJ39" s="1250"/>
      <c r="AK39" s="1251"/>
      <c r="AL39" s="1253"/>
      <c r="AM39" s="1250"/>
      <c r="AN39" s="1251"/>
      <c r="AO39" s="1252"/>
      <c r="AP39" s="1250"/>
      <c r="AQ39" s="1251"/>
      <c r="AR39" s="1253"/>
      <c r="AS39" s="1250"/>
      <c r="AT39" s="1251"/>
      <c r="AU39" s="1253"/>
      <c r="AV39" s="1250"/>
      <c r="AW39" s="1251"/>
      <c r="AX39" s="1252"/>
      <c r="AY39" s="438"/>
      <c r="AZ39" s="438"/>
      <c r="BA39" s="438"/>
      <c r="BB39" s="438"/>
      <c r="BC39" s="438"/>
      <c r="BD39" s="438"/>
      <c r="BE39" s="438"/>
      <c r="BF39" s="438"/>
      <c r="BG39" s="438"/>
      <c r="BH39" s="438"/>
      <c r="BI39" s="438"/>
      <c r="BJ39" s="438"/>
      <c r="BK39" s="438"/>
      <c r="BL39" s="438"/>
      <c r="BM39" s="438"/>
      <c r="BN39" s="438"/>
      <c r="BO39" s="438"/>
      <c r="BP39" s="438"/>
      <c r="BQ39" s="438"/>
      <c r="BR39" s="438"/>
      <c r="BS39" s="438"/>
      <c r="BT39" s="438"/>
      <c r="BU39" s="438"/>
      <c r="BV39" s="438"/>
      <c r="BW39" s="438"/>
      <c r="BX39" s="438"/>
      <c r="BY39" s="438"/>
      <c r="BZ39" s="438"/>
      <c r="CA39" s="438"/>
      <c r="CB39" s="438"/>
      <c r="CC39" s="438"/>
      <c r="CD39" s="438"/>
      <c r="CE39" s="438"/>
      <c r="CF39" s="438"/>
      <c r="CG39" s="438"/>
      <c r="CH39" s="438"/>
      <c r="CI39" s="438"/>
      <c r="CJ39" s="438"/>
      <c r="CK39" s="438"/>
      <c r="CL39" s="438"/>
      <c r="CM39" s="438"/>
      <c r="CN39" s="438"/>
      <c r="CO39" s="438"/>
      <c r="CP39" s="438"/>
      <c r="CQ39" s="438"/>
      <c r="CR39" s="438"/>
      <c r="CS39" s="438"/>
    </row>
    <row r="40" spans="1:97" ht="16.5" customHeight="1">
      <c r="C40" s="1739">
        <v>401</v>
      </c>
      <c r="D40" s="1999" t="s">
        <v>112</v>
      </c>
      <c r="E40" s="1912"/>
      <c r="F40" s="1913"/>
      <c r="G40" s="1259"/>
      <c r="H40" s="1259"/>
      <c r="I40" s="1259"/>
      <c r="J40" s="1259"/>
      <c r="K40" s="1259"/>
      <c r="L40" s="1260"/>
      <c r="M40" s="1305"/>
      <c r="N40" s="1305"/>
      <c r="O40" s="1305"/>
      <c r="P40" s="1305"/>
      <c r="Q40" s="1261"/>
      <c r="R40" s="1262"/>
      <c r="S40" s="1262"/>
      <c r="T40" s="1262"/>
      <c r="U40" s="1346"/>
      <c r="V40" s="1597"/>
      <c r="W40" s="1262"/>
      <c r="X40" s="1262"/>
      <c r="Y40" s="1263"/>
      <c r="Z40" s="1263">
        <f t="shared" si="26"/>
        <v>0</v>
      </c>
      <c r="AA40" s="1264"/>
      <c r="AB40" s="1265"/>
      <c r="AC40" s="1266"/>
      <c r="AD40" s="1264"/>
      <c r="AE40" s="1265"/>
      <c r="AF40" s="1267"/>
      <c r="AG40" s="1264"/>
      <c r="AH40" s="1265"/>
      <c r="AI40" s="1266"/>
      <c r="AJ40" s="1264"/>
      <c r="AK40" s="1265"/>
      <c r="AL40" s="1267"/>
      <c r="AM40" s="1264"/>
      <c r="AN40" s="1265"/>
      <c r="AO40" s="1266"/>
      <c r="AP40" s="1264"/>
      <c r="AQ40" s="1265"/>
      <c r="AR40" s="1267"/>
      <c r="AS40" s="1264"/>
      <c r="AT40" s="1265"/>
      <c r="AU40" s="1267"/>
      <c r="AV40" s="1264"/>
      <c r="AW40" s="1265"/>
      <c r="AX40" s="1266"/>
      <c r="AY40" s="438"/>
      <c r="AZ40" s="438"/>
      <c r="BA40" s="438"/>
      <c r="BB40" s="438"/>
      <c r="BC40" s="438"/>
      <c r="BD40" s="438"/>
      <c r="BE40" s="438"/>
      <c r="BF40" s="438"/>
      <c r="BG40" s="438"/>
      <c r="BH40" s="438"/>
      <c r="BI40" s="438"/>
      <c r="BJ40" s="438"/>
      <c r="BK40" s="438"/>
      <c r="BL40" s="438"/>
      <c r="BM40" s="438"/>
      <c r="BN40" s="438"/>
      <c r="BO40" s="438"/>
      <c r="BP40" s="438"/>
      <c r="BQ40" s="438"/>
      <c r="BR40" s="438"/>
      <c r="BS40" s="438"/>
      <c r="BT40" s="438"/>
      <c r="BU40" s="438"/>
      <c r="BV40" s="438"/>
      <c r="BW40" s="438"/>
      <c r="BX40" s="438"/>
      <c r="BY40" s="438"/>
      <c r="BZ40" s="438"/>
      <c r="CA40" s="438"/>
      <c r="CB40" s="438"/>
      <c r="CC40" s="438"/>
      <c r="CD40" s="438"/>
      <c r="CE40" s="438"/>
      <c r="CF40" s="438"/>
      <c r="CG40" s="438"/>
      <c r="CH40" s="438"/>
      <c r="CI40" s="438"/>
      <c r="CJ40" s="438"/>
      <c r="CK40" s="438"/>
      <c r="CL40" s="438"/>
      <c r="CM40" s="438"/>
      <c r="CN40" s="438"/>
      <c r="CO40" s="438"/>
      <c r="CP40" s="438"/>
      <c r="CQ40" s="438"/>
      <c r="CR40" s="438"/>
      <c r="CS40" s="438"/>
    </row>
    <row r="41" spans="1:97" ht="16.5" customHeight="1">
      <c r="C41" s="1739">
        <v>402</v>
      </c>
      <c r="D41" s="1999"/>
      <c r="E41" s="1912" t="s">
        <v>1163</v>
      </c>
      <c r="F41" s="1913"/>
      <c r="G41" s="1268">
        <f>IF((Q41&lt;&gt;""),SUM(((Q41+AD41)+AV41)),"")</f>
        <v>250</v>
      </c>
      <c r="H41" s="1268">
        <f t="shared" si="25"/>
        <v>1</v>
      </c>
      <c r="I41" s="1268">
        <f t="shared" si="29"/>
        <v>0</v>
      </c>
      <c r="J41" s="1268" t="str">
        <f t="shared" si="1"/>
        <v/>
      </c>
      <c r="K41" s="1268">
        <f t="shared" si="2"/>
        <v>-3</v>
      </c>
      <c r="L41" s="1260"/>
      <c r="M41" s="1305"/>
      <c r="N41" s="1305"/>
      <c r="O41" s="1305"/>
      <c r="P41" s="1305"/>
      <c r="Q41" s="1261">
        <v>250</v>
      </c>
      <c r="R41" s="1262">
        <v>1</v>
      </c>
      <c r="S41" s="1262">
        <v>0</v>
      </c>
      <c r="T41" s="1262">
        <v>0</v>
      </c>
      <c r="U41" s="1346">
        <v>-3</v>
      </c>
      <c r="V41" s="1597">
        <v>-4</v>
      </c>
      <c r="W41" s="1262">
        <v>-3</v>
      </c>
      <c r="X41" s="1262">
        <v>-3</v>
      </c>
      <c r="Y41" s="1263"/>
      <c r="Z41" s="1263">
        <f t="shared" si="26"/>
        <v>0</v>
      </c>
      <c r="AA41" s="1264">
        <f t="shared" si="27"/>
        <v>27.777777777777779</v>
      </c>
      <c r="AB41" s="1265">
        <f t="shared" si="3"/>
        <v>0.1111111111111111</v>
      </c>
      <c r="AC41" s="1266">
        <f t="shared" si="4"/>
        <v>0</v>
      </c>
      <c r="AD41" s="1264">
        <f>IF(($Z41&lt;10),SUM(ROUNDUP(($Z41*AA41),2)),SUM(ROUNDUP((9*AA41),2)))</f>
        <v>0</v>
      </c>
      <c r="AE41" s="1265">
        <f t="shared" si="5"/>
        <v>0</v>
      </c>
      <c r="AF41" s="1267">
        <f t="shared" si="6"/>
        <v>0</v>
      </c>
      <c r="AG41" s="1264">
        <f t="shared" si="7"/>
        <v>0</v>
      </c>
      <c r="AH41" s="1265">
        <f t="shared" si="8"/>
        <v>0</v>
      </c>
      <c r="AI41" s="1266">
        <f t="shared" si="9"/>
        <v>0</v>
      </c>
      <c r="AJ41" s="1264">
        <f t="shared" si="10"/>
        <v>0</v>
      </c>
      <c r="AK41" s="1265">
        <f t="shared" si="11"/>
        <v>0</v>
      </c>
      <c r="AL41" s="1267">
        <f t="shared" si="12"/>
        <v>0</v>
      </c>
      <c r="AM41" s="1264">
        <f t="shared" si="13"/>
        <v>0</v>
      </c>
      <c r="AN41" s="1265">
        <f t="shared" si="14"/>
        <v>0</v>
      </c>
      <c r="AO41" s="1266">
        <f t="shared" si="15"/>
        <v>0</v>
      </c>
      <c r="AP41" s="1264">
        <f t="shared" si="16"/>
        <v>0</v>
      </c>
      <c r="AQ41" s="1265">
        <f t="shared" si="17"/>
        <v>0</v>
      </c>
      <c r="AR41" s="1267">
        <f t="shared" si="18"/>
        <v>0</v>
      </c>
      <c r="AS41" s="1264">
        <f t="shared" si="19"/>
        <v>0</v>
      </c>
      <c r="AT41" s="1265">
        <f t="shared" si="20"/>
        <v>0</v>
      </c>
      <c r="AU41" s="1267">
        <f t="shared" si="21"/>
        <v>0</v>
      </c>
      <c r="AV41" s="1264">
        <f t="shared" si="22"/>
        <v>0</v>
      </c>
      <c r="AW41" s="1265">
        <f t="shared" si="23"/>
        <v>0</v>
      </c>
      <c r="AX41" s="1266">
        <f t="shared" si="24"/>
        <v>0</v>
      </c>
      <c r="AY41" s="438"/>
      <c r="AZ41" s="438"/>
      <c r="BA41" s="438"/>
      <c r="BB41" s="438"/>
      <c r="BC41" s="438"/>
      <c r="BD41" s="438"/>
      <c r="BE41" s="438"/>
      <c r="BF41" s="438"/>
      <c r="BG41" s="438"/>
      <c r="BH41" s="438"/>
      <c r="BI41" s="438"/>
      <c r="BJ41" s="438"/>
      <c r="BK41" s="438"/>
      <c r="BL41" s="438"/>
      <c r="BM41" s="438"/>
      <c r="BN41" s="438"/>
      <c r="BO41" s="438"/>
      <c r="BP41" s="438"/>
      <c r="BQ41" s="438"/>
      <c r="BR41" s="438"/>
      <c r="BS41" s="438"/>
      <c r="BT41" s="438"/>
      <c r="BU41" s="438"/>
      <c r="BV41" s="438"/>
      <c r="BW41" s="438"/>
      <c r="BX41" s="438"/>
      <c r="BY41" s="438"/>
      <c r="BZ41" s="438"/>
      <c r="CA41" s="438"/>
      <c r="CB41" s="438"/>
      <c r="CC41" s="438"/>
      <c r="CD41" s="438"/>
      <c r="CE41" s="438"/>
      <c r="CF41" s="438"/>
      <c r="CG41" s="438"/>
      <c r="CH41" s="438"/>
      <c r="CI41" s="438"/>
      <c r="CJ41" s="438"/>
      <c r="CK41" s="438"/>
      <c r="CL41" s="438"/>
      <c r="CM41" s="438"/>
      <c r="CN41" s="438"/>
      <c r="CO41" s="438"/>
      <c r="CP41" s="438"/>
      <c r="CQ41" s="438"/>
      <c r="CR41" s="438"/>
      <c r="CS41" s="438"/>
    </row>
    <row r="42" spans="1:97" ht="16.5" customHeight="1">
      <c r="C42" s="1739">
        <v>403</v>
      </c>
      <c r="D42" s="1999"/>
      <c r="E42" s="1912" t="s">
        <v>1157</v>
      </c>
      <c r="F42" s="1912"/>
      <c r="G42" s="1268">
        <f>IF((Q42&lt;&gt;""),SUM(((Q42+AD42)+AV42)),"")</f>
        <v>1000</v>
      </c>
      <c r="H42" s="1268">
        <v>0</v>
      </c>
      <c r="I42" s="1268">
        <v>0</v>
      </c>
      <c r="J42" s="1268">
        <v>0</v>
      </c>
      <c r="K42" s="1268">
        <v>0</v>
      </c>
      <c r="L42" s="1260"/>
      <c r="M42" s="1305"/>
      <c r="N42" s="1305"/>
      <c r="O42" s="1305"/>
      <c r="P42" s="1305"/>
      <c r="Q42" s="1261">
        <v>1000</v>
      </c>
      <c r="R42" s="1262">
        <v>0</v>
      </c>
      <c r="S42" s="1262">
        <v>0</v>
      </c>
      <c r="T42" s="1262">
        <v>0</v>
      </c>
      <c r="U42" s="1346">
        <v>0</v>
      </c>
      <c r="V42" s="1597">
        <v>-6</v>
      </c>
      <c r="W42" s="1262">
        <v>0</v>
      </c>
      <c r="X42" s="1262">
        <v>0</v>
      </c>
      <c r="Y42" s="1263"/>
      <c r="Z42" s="1263">
        <f t="shared" si="26"/>
        <v>0</v>
      </c>
      <c r="AA42" s="1264">
        <v>150</v>
      </c>
      <c r="AB42" s="1265">
        <f t="shared" ref="AB42:AB46" si="30">SUM((R42/9))</f>
        <v>0</v>
      </c>
      <c r="AC42" s="1266">
        <f t="shared" ref="AC42:AC46" si="31">SUM((S42/9))</f>
        <v>0</v>
      </c>
      <c r="AD42" s="1264">
        <f>IF(($Z42&lt;10),SUM(ROUNDUP(($Z42*AA42),2)),SUM(ROUNDUP((9*AA42),2)))</f>
        <v>0</v>
      </c>
      <c r="AE42" s="1265">
        <f t="shared" ref="AE42:AE46" si="32">IF(($Z42&lt;10),SUM(ROUNDUP(($Z42*AB42),2)),SUM(ROUNDUP((9*AB42),2)))</f>
        <v>0</v>
      </c>
      <c r="AF42" s="1267">
        <f t="shared" ref="AF42:AF46" si="33">IF(($Z42&lt;10),SUM(ROUNDUP(($Z42*AC42),2)),SUM(ROUNDUP((9*AC42),2)))</f>
        <v>0</v>
      </c>
      <c r="AG42" s="1264">
        <f t="shared" ref="AG42:AG46" si="34">IF(($Z42&gt;9),SUM((AA42*0.9)),0)</f>
        <v>0</v>
      </c>
      <c r="AH42" s="1265">
        <f t="shared" ref="AH42:AH46" si="35">IF(($Z42&gt;9),SUM((AB42*0.9)),0)</f>
        <v>0</v>
      </c>
      <c r="AI42" s="1266">
        <f t="shared" ref="AI42:AI46" si="36">IF(($Z42&gt;9),SUM((AC42*0.9)),0)</f>
        <v>0</v>
      </c>
      <c r="AJ42" s="1264">
        <f t="shared" ref="AJ42:AJ46" si="37">IF(($Z42&gt;10),SUM((AA42*0.81)),0)</f>
        <v>0</v>
      </c>
      <c r="AK42" s="1265">
        <f t="shared" ref="AK42:AK46" si="38">IF(($Z42&gt;10),SUM((AB42*0.81)),0)</f>
        <v>0</v>
      </c>
      <c r="AL42" s="1267">
        <f t="shared" ref="AL42:AL46" si="39">IF(($Z42&gt;10),SUM((AC42*0.81)),0)</f>
        <v>0</v>
      </c>
      <c r="AM42" s="1264">
        <f t="shared" ref="AM42:AM46" si="40">IF(($Z42&gt;11),SUM((AA42*0.72)),0)</f>
        <v>0</v>
      </c>
      <c r="AN42" s="1265">
        <f t="shared" ref="AN42:AN46" si="41">IF(($Z42&gt;11),SUM((AB42*0.72)),0)</f>
        <v>0</v>
      </c>
      <c r="AO42" s="1266">
        <f t="shared" ref="AO42:AO46" si="42">IF(($Z42&gt;11),SUM((AC42*0.72)),0)</f>
        <v>0</v>
      </c>
      <c r="AP42" s="1264">
        <f t="shared" ref="AP42:AP46" si="43">IF(($Z42&gt;12),SUM((AA42*0.63)),0)</f>
        <v>0</v>
      </c>
      <c r="AQ42" s="1265">
        <f t="shared" ref="AQ42:AQ46" si="44">IF(($Z42&gt;12),SUM((AB42*0.63)),0)</f>
        <v>0</v>
      </c>
      <c r="AR42" s="1267">
        <f t="shared" ref="AR42:AR46" si="45">IF(($Z42&gt;12),SUM((AC42*0.63)),0)</f>
        <v>0</v>
      </c>
      <c r="AS42" s="1264">
        <f>IF(($Z42&gt;13),SUM((AA42*0.54)),0)</f>
        <v>0</v>
      </c>
      <c r="AT42" s="1265">
        <f t="shared" ref="AT42:AT46" si="46">IF(($Z42&gt;13),SUM((AB42*0.54)),0)</f>
        <v>0</v>
      </c>
      <c r="AU42" s="1267">
        <f t="shared" ref="AU42:AU46" si="47">IF(($Z42&gt;13),SUM((AC42*0.54)),0)</f>
        <v>0</v>
      </c>
      <c r="AV42" s="1264">
        <f>SUM(((((AG42+AJ42)+AM42)+AP42)+AS42))</f>
        <v>0</v>
      </c>
      <c r="AW42" s="1265">
        <f t="shared" ref="AW42:AW46" si="48">SUM(((((AH42+AK42)+AN42)+AQ42)+AT42))</f>
        <v>0</v>
      </c>
      <c r="AX42" s="1266">
        <f t="shared" ref="AX42:AX46" si="49">SUM(((((AI42+AL42)+AO42)+AR42)+AU42))</f>
        <v>0</v>
      </c>
      <c r="AY42" s="438"/>
      <c r="AZ42" s="438"/>
      <c r="BA42" s="438"/>
      <c r="BB42" s="438"/>
      <c r="BC42" s="438"/>
      <c r="BD42" s="438"/>
      <c r="BE42" s="438"/>
      <c r="BF42" s="438"/>
      <c r="BG42" s="438"/>
      <c r="BH42" s="438"/>
      <c r="BI42" s="438"/>
      <c r="BJ42" s="438"/>
      <c r="BK42" s="438"/>
      <c r="BL42" s="438"/>
      <c r="BM42" s="438"/>
      <c r="BN42" s="438"/>
      <c r="BO42" s="438"/>
      <c r="BP42" s="438"/>
      <c r="BQ42" s="438"/>
      <c r="BR42" s="438"/>
      <c r="BS42" s="438"/>
      <c r="BT42" s="438"/>
      <c r="BU42" s="438"/>
      <c r="BV42" s="438"/>
      <c r="BW42" s="438"/>
      <c r="BX42" s="438"/>
      <c r="BY42" s="438"/>
      <c r="BZ42" s="438"/>
      <c r="CA42" s="438"/>
      <c r="CB42" s="438"/>
      <c r="CC42" s="438"/>
      <c r="CD42" s="438"/>
      <c r="CE42" s="438"/>
      <c r="CF42" s="438"/>
      <c r="CG42" s="438"/>
      <c r="CH42" s="438"/>
      <c r="CI42" s="438"/>
      <c r="CJ42" s="438"/>
      <c r="CK42" s="438"/>
      <c r="CL42" s="438"/>
      <c r="CM42" s="438"/>
      <c r="CN42" s="438"/>
      <c r="CO42" s="438"/>
      <c r="CP42" s="438"/>
      <c r="CQ42" s="438"/>
      <c r="CR42" s="438"/>
      <c r="CS42" s="438"/>
    </row>
    <row r="43" spans="1:97" ht="16.5" customHeight="1">
      <c r="C43" s="1739">
        <v>404</v>
      </c>
      <c r="D43" s="1999"/>
      <c r="E43" s="1912" t="s">
        <v>1160</v>
      </c>
      <c r="F43" s="1912"/>
      <c r="G43" s="1268">
        <v>0</v>
      </c>
      <c r="H43" s="1268">
        <f t="shared" si="25"/>
        <v>2</v>
      </c>
      <c r="I43" s="1268">
        <v>0</v>
      </c>
      <c r="J43" s="1268">
        <v>0</v>
      </c>
      <c r="K43" s="1268">
        <v>0</v>
      </c>
      <c r="L43" s="1260"/>
      <c r="M43" s="1305"/>
      <c r="N43" s="1305"/>
      <c r="O43" s="1305"/>
      <c r="P43" s="1305"/>
      <c r="Q43" s="1261">
        <v>0</v>
      </c>
      <c r="R43" s="1262">
        <v>2</v>
      </c>
      <c r="S43" s="1262">
        <v>0</v>
      </c>
      <c r="T43" s="1262">
        <v>0</v>
      </c>
      <c r="U43" s="1346">
        <v>0</v>
      </c>
      <c r="V43" s="1597">
        <v>0</v>
      </c>
      <c r="W43" s="1262">
        <v>-5</v>
      </c>
      <c r="X43" s="1262">
        <v>-5</v>
      </c>
      <c r="Y43" s="1263"/>
      <c r="Z43" s="1263">
        <f t="shared" si="26"/>
        <v>0</v>
      </c>
      <c r="AA43" s="1264">
        <f t="shared" ref="AA43:AA46" si="50">SUM((Q43/6))</f>
        <v>0</v>
      </c>
      <c r="AB43" s="1265">
        <f t="shared" si="30"/>
        <v>0.22222222222222221</v>
      </c>
      <c r="AC43" s="1266">
        <f t="shared" si="31"/>
        <v>0</v>
      </c>
      <c r="AD43" s="1264">
        <f t="shared" ref="AD43:AD46" si="51">IF(($Z43&lt;10),SUM(ROUNDUP(($Z43*AA43),2)),SUM(ROUNDUP((9*AA43),2)))</f>
        <v>0</v>
      </c>
      <c r="AE43" s="1265">
        <f t="shared" si="32"/>
        <v>0</v>
      </c>
      <c r="AF43" s="1267">
        <f t="shared" si="33"/>
        <v>0</v>
      </c>
      <c r="AG43" s="1264">
        <f t="shared" si="34"/>
        <v>0</v>
      </c>
      <c r="AH43" s="1265">
        <f t="shared" si="35"/>
        <v>0</v>
      </c>
      <c r="AI43" s="1266">
        <f t="shared" si="36"/>
        <v>0</v>
      </c>
      <c r="AJ43" s="1264">
        <f t="shared" si="37"/>
        <v>0</v>
      </c>
      <c r="AK43" s="1265">
        <f t="shared" si="38"/>
        <v>0</v>
      </c>
      <c r="AL43" s="1267">
        <f t="shared" si="39"/>
        <v>0</v>
      </c>
      <c r="AM43" s="1264">
        <f t="shared" si="40"/>
        <v>0</v>
      </c>
      <c r="AN43" s="1265">
        <f t="shared" si="41"/>
        <v>0</v>
      </c>
      <c r="AO43" s="1266">
        <f t="shared" si="42"/>
        <v>0</v>
      </c>
      <c r="AP43" s="1264">
        <f t="shared" si="43"/>
        <v>0</v>
      </c>
      <c r="AQ43" s="1265">
        <f t="shared" si="44"/>
        <v>0</v>
      </c>
      <c r="AR43" s="1267">
        <f t="shared" si="45"/>
        <v>0</v>
      </c>
      <c r="AS43" s="1264">
        <f t="shared" ref="AS43:AS46" si="52">IF(($Z43&gt;13),SUM((AA43*0.54)),0)</f>
        <v>0</v>
      </c>
      <c r="AT43" s="1265">
        <f t="shared" si="46"/>
        <v>0</v>
      </c>
      <c r="AU43" s="1267">
        <f t="shared" si="47"/>
        <v>0</v>
      </c>
      <c r="AV43" s="1264">
        <f t="shared" ref="AV43:AV46" si="53">SUM(((((AG43+AJ43)+AM43)+AP43)+AS43))</f>
        <v>0</v>
      </c>
      <c r="AW43" s="1265">
        <f t="shared" si="48"/>
        <v>0</v>
      </c>
      <c r="AX43" s="1266">
        <f t="shared" si="49"/>
        <v>0</v>
      </c>
      <c r="AY43" s="438"/>
      <c r="AZ43" s="438"/>
      <c r="BA43" s="438"/>
      <c r="BB43" s="438"/>
      <c r="BC43" s="438"/>
      <c r="BD43" s="438"/>
      <c r="BE43" s="438"/>
      <c r="BF43" s="438"/>
      <c r="BG43" s="438"/>
      <c r="BH43" s="438"/>
      <c r="BI43" s="438"/>
      <c r="BJ43" s="438"/>
      <c r="BK43" s="438"/>
      <c r="BL43" s="438"/>
      <c r="BM43" s="438"/>
      <c r="BN43" s="438"/>
      <c r="BO43" s="438"/>
      <c r="BP43" s="438"/>
      <c r="BQ43" s="438"/>
      <c r="BR43" s="438"/>
      <c r="BS43" s="438"/>
      <c r="BT43" s="438"/>
      <c r="BU43" s="438"/>
      <c r="BV43" s="438"/>
      <c r="BW43" s="438"/>
      <c r="BX43" s="438"/>
      <c r="BY43" s="438"/>
      <c r="BZ43" s="438"/>
      <c r="CA43" s="438"/>
      <c r="CB43" s="438"/>
      <c r="CC43" s="438"/>
      <c r="CD43" s="438"/>
      <c r="CE43" s="438"/>
      <c r="CF43" s="438"/>
      <c r="CG43" s="438"/>
      <c r="CH43" s="438"/>
      <c r="CI43" s="438"/>
      <c r="CJ43" s="438"/>
      <c r="CK43" s="438"/>
      <c r="CL43" s="438"/>
      <c r="CM43" s="438"/>
      <c r="CN43" s="438"/>
      <c r="CO43" s="438"/>
      <c r="CP43" s="438"/>
      <c r="CQ43" s="438"/>
      <c r="CR43" s="438"/>
      <c r="CS43" s="438"/>
    </row>
    <row r="44" spans="1:97" ht="16.5" customHeight="1">
      <c r="B44" s="441"/>
      <c r="C44" s="1739">
        <v>405</v>
      </c>
      <c r="D44" s="1999"/>
      <c r="E44" s="1912" t="s">
        <v>719</v>
      </c>
      <c r="F44" s="1912"/>
      <c r="G44" s="1268">
        <v>0</v>
      </c>
      <c r="H44" s="1268">
        <v>0</v>
      </c>
      <c r="I44" s="1268">
        <v>0</v>
      </c>
      <c r="J44" s="1268">
        <v>0</v>
      </c>
      <c r="K44" s="1268">
        <v>0</v>
      </c>
      <c r="L44" s="1269"/>
      <c r="M44" s="446"/>
      <c r="N44" s="446"/>
      <c r="O44" s="1300"/>
      <c r="P44" s="1300"/>
      <c r="Q44" s="1271"/>
      <c r="R44" s="1272"/>
      <c r="S44" s="1272"/>
      <c r="T44" s="1272"/>
      <c r="U44" s="1590"/>
      <c r="V44" s="1598"/>
      <c r="W44" s="1272"/>
      <c r="X44" s="1272"/>
      <c r="Y44" s="1270"/>
      <c r="Z44" s="1263">
        <f t="shared" si="26"/>
        <v>0</v>
      </c>
      <c r="AA44" s="1264">
        <f t="shared" si="50"/>
        <v>0</v>
      </c>
      <c r="AB44" s="1265">
        <f t="shared" si="30"/>
        <v>0</v>
      </c>
      <c r="AC44" s="1266">
        <f t="shared" si="31"/>
        <v>0</v>
      </c>
      <c r="AD44" s="1264">
        <f t="shared" si="51"/>
        <v>0</v>
      </c>
      <c r="AE44" s="1265">
        <f t="shared" si="32"/>
        <v>0</v>
      </c>
      <c r="AF44" s="1267">
        <f t="shared" si="33"/>
        <v>0</v>
      </c>
      <c r="AG44" s="1264">
        <f t="shared" si="34"/>
        <v>0</v>
      </c>
      <c r="AH44" s="1265">
        <f t="shared" si="35"/>
        <v>0</v>
      </c>
      <c r="AI44" s="1266">
        <f t="shared" si="36"/>
        <v>0</v>
      </c>
      <c r="AJ44" s="1264">
        <f t="shared" si="37"/>
        <v>0</v>
      </c>
      <c r="AK44" s="1265">
        <f t="shared" si="38"/>
        <v>0</v>
      </c>
      <c r="AL44" s="1267">
        <f t="shared" si="39"/>
        <v>0</v>
      </c>
      <c r="AM44" s="1264">
        <f t="shared" si="40"/>
        <v>0</v>
      </c>
      <c r="AN44" s="1265">
        <f t="shared" si="41"/>
        <v>0</v>
      </c>
      <c r="AO44" s="1266">
        <f t="shared" si="42"/>
        <v>0</v>
      </c>
      <c r="AP44" s="1264">
        <f t="shared" si="43"/>
        <v>0</v>
      </c>
      <c r="AQ44" s="1265">
        <f t="shared" si="44"/>
        <v>0</v>
      </c>
      <c r="AR44" s="1267">
        <f t="shared" si="45"/>
        <v>0</v>
      </c>
      <c r="AS44" s="1264">
        <f t="shared" si="52"/>
        <v>0</v>
      </c>
      <c r="AT44" s="1265">
        <f t="shared" si="46"/>
        <v>0</v>
      </c>
      <c r="AU44" s="1267">
        <f t="shared" si="47"/>
        <v>0</v>
      </c>
      <c r="AV44" s="1264">
        <f t="shared" si="53"/>
        <v>0</v>
      </c>
      <c r="AW44" s="1265">
        <f t="shared" si="48"/>
        <v>0</v>
      </c>
      <c r="AX44" s="1266">
        <f t="shared" si="49"/>
        <v>0</v>
      </c>
      <c r="AY44" s="438"/>
      <c r="AZ44" s="438"/>
      <c r="BA44" s="438"/>
      <c r="BB44" s="438"/>
      <c r="BC44" s="438"/>
      <c r="BD44" s="438"/>
      <c r="BE44" s="438"/>
      <c r="BF44" s="438"/>
      <c r="BG44" s="438"/>
      <c r="BH44" s="438"/>
      <c r="BI44" s="438"/>
      <c r="BJ44" s="438"/>
      <c r="BK44" s="438"/>
      <c r="BL44" s="438"/>
      <c r="BM44" s="438"/>
      <c r="BN44" s="438"/>
      <c r="BO44" s="438"/>
      <c r="BP44" s="438"/>
      <c r="BQ44" s="438"/>
      <c r="BR44" s="438"/>
      <c r="BS44" s="438"/>
      <c r="BT44" s="438"/>
      <c r="BU44" s="438"/>
      <c r="BV44" s="438"/>
      <c r="BW44" s="438"/>
      <c r="BX44" s="438"/>
      <c r="BY44" s="438"/>
      <c r="BZ44" s="438"/>
      <c r="CA44" s="438"/>
      <c r="CB44" s="438"/>
      <c r="CC44" s="438"/>
      <c r="CD44" s="438"/>
      <c r="CE44" s="438"/>
      <c r="CF44" s="438"/>
      <c r="CG44" s="438"/>
      <c r="CH44" s="438"/>
      <c r="CI44" s="438"/>
      <c r="CJ44" s="438"/>
      <c r="CK44" s="438"/>
      <c r="CL44" s="438"/>
      <c r="CM44" s="438"/>
      <c r="CN44" s="438"/>
      <c r="CO44" s="438"/>
      <c r="CP44" s="438"/>
      <c r="CQ44" s="438"/>
      <c r="CR44" s="438"/>
      <c r="CS44" s="438"/>
    </row>
    <row r="45" spans="1:97" s="447" customFormat="1" ht="16.5" customHeight="1">
      <c r="A45" s="1742"/>
      <c r="B45" s="443"/>
      <c r="C45" s="1742">
        <v>500</v>
      </c>
      <c r="D45" s="2000" t="s">
        <v>767</v>
      </c>
      <c r="E45" s="2021"/>
      <c r="F45" s="2022"/>
      <c r="G45" s="1276"/>
      <c r="H45" s="1276"/>
      <c r="I45" s="1276"/>
      <c r="J45" s="1277"/>
      <c r="K45" s="1276"/>
      <c r="L45" s="1278"/>
      <c r="M45" s="446"/>
      <c r="N45" s="446"/>
      <c r="O45" s="442"/>
      <c r="P45" s="442"/>
      <c r="Q45" s="1280"/>
      <c r="R45" s="1281"/>
      <c r="S45" s="1281"/>
      <c r="T45" s="1281"/>
      <c r="U45" s="1591"/>
      <c r="V45" s="1599"/>
      <c r="W45" s="1281"/>
      <c r="X45" s="1281"/>
      <c r="Y45" s="1279"/>
      <c r="Z45" s="1282">
        <f t="shared" si="26"/>
        <v>0</v>
      </c>
      <c r="AA45" s="1283">
        <f t="shared" si="50"/>
        <v>0</v>
      </c>
      <c r="AB45" s="1284">
        <f t="shared" si="30"/>
        <v>0</v>
      </c>
      <c r="AC45" s="1285">
        <f t="shared" si="31"/>
        <v>0</v>
      </c>
      <c r="AD45" s="1283">
        <f t="shared" si="51"/>
        <v>0</v>
      </c>
      <c r="AE45" s="1284">
        <f t="shared" si="32"/>
        <v>0</v>
      </c>
      <c r="AF45" s="1286">
        <f t="shared" si="33"/>
        <v>0</v>
      </c>
      <c r="AG45" s="1283">
        <f t="shared" si="34"/>
        <v>0</v>
      </c>
      <c r="AH45" s="1284">
        <f t="shared" si="35"/>
        <v>0</v>
      </c>
      <c r="AI45" s="1285">
        <f t="shared" si="36"/>
        <v>0</v>
      </c>
      <c r="AJ45" s="1283">
        <f t="shared" si="37"/>
        <v>0</v>
      </c>
      <c r="AK45" s="1284">
        <f t="shared" si="38"/>
        <v>0</v>
      </c>
      <c r="AL45" s="1286">
        <f t="shared" si="39"/>
        <v>0</v>
      </c>
      <c r="AM45" s="1283">
        <f t="shared" si="40"/>
        <v>0</v>
      </c>
      <c r="AN45" s="1284">
        <f t="shared" si="41"/>
        <v>0</v>
      </c>
      <c r="AO45" s="1285">
        <f t="shared" si="42"/>
        <v>0</v>
      </c>
      <c r="AP45" s="1283">
        <f t="shared" si="43"/>
        <v>0</v>
      </c>
      <c r="AQ45" s="1284">
        <f t="shared" si="44"/>
        <v>0</v>
      </c>
      <c r="AR45" s="1286">
        <f t="shared" si="45"/>
        <v>0</v>
      </c>
      <c r="AS45" s="1283">
        <f t="shared" si="52"/>
        <v>0</v>
      </c>
      <c r="AT45" s="1284">
        <f t="shared" si="46"/>
        <v>0</v>
      </c>
      <c r="AU45" s="1286">
        <f t="shared" si="47"/>
        <v>0</v>
      </c>
      <c r="AV45" s="1283">
        <f t="shared" si="53"/>
        <v>0</v>
      </c>
      <c r="AW45" s="1284">
        <f t="shared" si="48"/>
        <v>0</v>
      </c>
      <c r="AX45" s="1285">
        <f t="shared" si="49"/>
        <v>0</v>
      </c>
      <c r="AY45" s="442"/>
      <c r="AZ45" s="442"/>
      <c r="BA45" s="442"/>
      <c r="BB45" s="442"/>
      <c r="BC45" s="442"/>
      <c r="BD45" s="442"/>
      <c r="BE45" s="442"/>
      <c r="BF45" s="442"/>
      <c r="BG45" s="442"/>
      <c r="BH45" s="442"/>
      <c r="BI45" s="442"/>
      <c r="BJ45" s="442"/>
      <c r="BK45" s="442"/>
      <c r="BL45" s="442"/>
      <c r="BM45" s="442"/>
      <c r="BN45" s="442"/>
      <c r="BO45" s="442"/>
      <c r="BP45" s="442"/>
      <c r="BQ45" s="442"/>
      <c r="BR45" s="442"/>
      <c r="BS45" s="442"/>
      <c r="BT45" s="442"/>
      <c r="BU45" s="442"/>
      <c r="BV45" s="442"/>
      <c r="BW45" s="442"/>
      <c r="BX45" s="442"/>
      <c r="BY45" s="442"/>
      <c r="BZ45" s="442"/>
      <c r="CA45" s="442"/>
      <c r="CB45" s="442"/>
      <c r="CC45" s="442"/>
      <c r="CD45" s="442"/>
      <c r="CE45" s="442"/>
      <c r="CF45" s="442"/>
      <c r="CG45" s="442"/>
      <c r="CH45" s="442"/>
      <c r="CI45" s="442"/>
      <c r="CJ45" s="442"/>
      <c r="CK45" s="442"/>
      <c r="CL45" s="442"/>
      <c r="CM45" s="442"/>
      <c r="CN45" s="442"/>
      <c r="CO45" s="442"/>
      <c r="CP45" s="442"/>
      <c r="CQ45" s="442"/>
      <c r="CR45" s="442"/>
      <c r="CS45" s="442"/>
    </row>
    <row r="46" spans="1:97" s="447" customFormat="1" ht="16.5" customHeight="1">
      <c r="A46" s="1742"/>
      <c r="B46" s="443"/>
      <c r="C46" s="1742">
        <v>501</v>
      </c>
      <c r="D46" s="2001"/>
      <c r="E46" s="2021" t="s">
        <v>1148</v>
      </c>
      <c r="F46" s="2022"/>
      <c r="G46" s="1276"/>
      <c r="H46" s="1276"/>
      <c r="I46" s="1276"/>
      <c r="J46" s="1277"/>
      <c r="K46" s="1276"/>
      <c r="L46" s="1278"/>
      <c r="M46" s="446"/>
      <c r="N46" s="446"/>
      <c r="O46" s="442"/>
      <c r="P46" s="442"/>
      <c r="Q46" s="1280"/>
      <c r="R46" s="1281"/>
      <c r="S46" s="1281"/>
      <c r="T46" s="1281"/>
      <c r="U46" s="1591"/>
      <c r="V46" s="1599"/>
      <c r="W46" s="1281"/>
      <c r="X46" s="1281"/>
      <c r="Y46" s="1279"/>
      <c r="Z46" s="1282">
        <f t="shared" si="26"/>
        <v>0</v>
      </c>
      <c r="AA46" s="1283">
        <f t="shared" si="50"/>
        <v>0</v>
      </c>
      <c r="AB46" s="1284">
        <f t="shared" si="30"/>
        <v>0</v>
      </c>
      <c r="AC46" s="1285">
        <f t="shared" si="31"/>
        <v>0</v>
      </c>
      <c r="AD46" s="1283">
        <f t="shared" si="51"/>
        <v>0</v>
      </c>
      <c r="AE46" s="1284">
        <f t="shared" si="32"/>
        <v>0</v>
      </c>
      <c r="AF46" s="1286">
        <f t="shared" si="33"/>
        <v>0</v>
      </c>
      <c r="AG46" s="1283">
        <f t="shared" si="34"/>
        <v>0</v>
      </c>
      <c r="AH46" s="1284">
        <f t="shared" si="35"/>
        <v>0</v>
      </c>
      <c r="AI46" s="1285">
        <f t="shared" si="36"/>
        <v>0</v>
      </c>
      <c r="AJ46" s="1283">
        <f t="shared" si="37"/>
        <v>0</v>
      </c>
      <c r="AK46" s="1284">
        <f t="shared" si="38"/>
        <v>0</v>
      </c>
      <c r="AL46" s="1286">
        <f t="shared" si="39"/>
        <v>0</v>
      </c>
      <c r="AM46" s="1283">
        <f t="shared" si="40"/>
        <v>0</v>
      </c>
      <c r="AN46" s="1284">
        <f t="shared" si="41"/>
        <v>0</v>
      </c>
      <c r="AO46" s="1285">
        <f t="shared" si="42"/>
        <v>0</v>
      </c>
      <c r="AP46" s="1283">
        <f t="shared" si="43"/>
        <v>0</v>
      </c>
      <c r="AQ46" s="1284">
        <f t="shared" si="44"/>
        <v>0</v>
      </c>
      <c r="AR46" s="1286">
        <f t="shared" si="45"/>
        <v>0</v>
      </c>
      <c r="AS46" s="1283">
        <f t="shared" si="52"/>
        <v>0</v>
      </c>
      <c r="AT46" s="1284">
        <f t="shared" si="46"/>
        <v>0</v>
      </c>
      <c r="AU46" s="1286">
        <f t="shared" si="47"/>
        <v>0</v>
      </c>
      <c r="AV46" s="1283">
        <f t="shared" si="53"/>
        <v>0</v>
      </c>
      <c r="AW46" s="1284">
        <f t="shared" si="48"/>
        <v>0</v>
      </c>
      <c r="AX46" s="1285">
        <f t="shared" si="49"/>
        <v>0</v>
      </c>
      <c r="AY46" s="442"/>
      <c r="AZ46" s="442"/>
      <c r="BA46" s="442"/>
      <c r="BB46" s="442"/>
      <c r="BC46" s="442"/>
      <c r="BD46" s="442"/>
      <c r="BE46" s="442"/>
      <c r="BF46" s="442"/>
      <c r="BG46" s="442"/>
      <c r="BH46" s="442"/>
      <c r="BI46" s="442"/>
      <c r="BJ46" s="442"/>
      <c r="BK46" s="442"/>
      <c r="BL46" s="442"/>
      <c r="BM46" s="442"/>
      <c r="BN46" s="442"/>
      <c r="BO46" s="442"/>
      <c r="BP46" s="442"/>
      <c r="BQ46" s="442"/>
      <c r="BR46" s="442"/>
      <c r="BS46" s="442"/>
      <c r="BT46" s="442"/>
      <c r="BU46" s="442"/>
      <c r="BV46" s="442"/>
      <c r="BW46" s="442"/>
      <c r="BX46" s="442"/>
      <c r="BY46" s="442"/>
      <c r="BZ46" s="442"/>
      <c r="CA46" s="442"/>
      <c r="CB46" s="442"/>
      <c r="CC46" s="442"/>
      <c r="CD46" s="442"/>
      <c r="CE46" s="442"/>
      <c r="CF46" s="442"/>
      <c r="CG46" s="442"/>
      <c r="CH46" s="442"/>
      <c r="CI46" s="442"/>
      <c r="CJ46" s="442"/>
      <c r="CK46" s="442"/>
      <c r="CL46" s="442"/>
      <c r="CM46" s="442"/>
      <c r="CN46" s="442"/>
      <c r="CO46" s="442"/>
      <c r="CP46" s="442"/>
      <c r="CQ46" s="442"/>
      <c r="CR46" s="442"/>
      <c r="CS46" s="442"/>
    </row>
    <row r="47" spans="1:97" s="447" customFormat="1" ht="16.5" customHeight="1">
      <c r="A47" s="1742"/>
      <c r="B47" s="443"/>
      <c r="C47" s="1742">
        <v>502</v>
      </c>
      <c r="D47" s="2001"/>
      <c r="E47" s="2021" t="s">
        <v>1149</v>
      </c>
      <c r="F47" s="2022"/>
      <c r="G47" s="1276"/>
      <c r="H47" s="1276"/>
      <c r="I47" s="1276"/>
      <c r="J47" s="1277"/>
      <c r="K47" s="1276"/>
      <c r="L47" s="1278"/>
      <c r="M47" s="446"/>
      <c r="N47" s="446"/>
      <c r="O47" s="442"/>
      <c r="P47" s="442"/>
      <c r="Q47" s="1280"/>
      <c r="R47" s="1281"/>
      <c r="S47" s="1281"/>
      <c r="T47" s="1281"/>
      <c r="U47" s="1591"/>
      <c r="V47" s="1599"/>
      <c r="W47" s="1281"/>
      <c r="X47" s="1281"/>
      <c r="Y47" s="1279"/>
      <c r="Z47" s="1279"/>
      <c r="AA47" s="1287"/>
      <c r="AB47" s="1288"/>
      <c r="AC47" s="1289"/>
      <c r="AD47" s="1287"/>
      <c r="AE47" s="1288"/>
      <c r="AF47" s="1290"/>
      <c r="AG47" s="1287"/>
      <c r="AH47" s="1288"/>
      <c r="AI47" s="1289"/>
      <c r="AJ47" s="1287"/>
      <c r="AK47" s="1288"/>
      <c r="AL47" s="1290"/>
      <c r="AM47" s="1287"/>
      <c r="AN47" s="1288"/>
      <c r="AO47" s="1289"/>
      <c r="AP47" s="1287"/>
      <c r="AQ47" s="1288"/>
      <c r="AR47" s="1290"/>
      <c r="AS47" s="1287"/>
      <c r="AT47" s="1288"/>
      <c r="AU47" s="1290"/>
      <c r="AV47" s="1287"/>
      <c r="AW47" s="1288"/>
      <c r="AX47" s="1289"/>
      <c r="AY47" s="442"/>
      <c r="AZ47" s="442"/>
      <c r="BA47" s="442"/>
      <c r="BB47" s="442"/>
      <c r="BC47" s="442"/>
      <c r="BD47" s="442"/>
      <c r="BE47" s="442"/>
      <c r="BF47" s="442"/>
      <c r="BG47" s="442"/>
      <c r="BH47" s="442"/>
      <c r="BI47" s="442"/>
      <c r="BJ47" s="442"/>
      <c r="BK47" s="442"/>
      <c r="BL47" s="442"/>
      <c r="BM47" s="442"/>
      <c r="BN47" s="442"/>
      <c r="BO47" s="442"/>
      <c r="BP47" s="442"/>
      <c r="BQ47" s="442"/>
      <c r="BR47" s="442"/>
      <c r="BS47" s="442"/>
      <c r="BT47" s="442"/>
      <c r="BU47" s="442"/>
      <c r="BV47" s="442"/>
      <c r="BW47" s="442"/>
      <c r="BX47" s="442"/>
      <c r="BY47" s="442"/>
      <c r="BZ47" s="442"/>
      <c r="CA47" s="442"/>
      <c r="CB47" s="442"/>
      <c r="CC47" s="442"/>
      <c r="CD47" s="442"/>
      <c r="CE47" s="442"/>
      <c r="CF47" s="442"/>
      <c r="CG47" s="442"/>
      <c r="CH47" s="442"/>
      <c r="CI47" s="442"/>
      <c r="CJ47" s="442"/>
      <c r="CK47" s="442"/>
      <c r="CL47" s="442"/>
      <c r="CM47" s="442"/>
      <c r="CN47" s="442"/>
      <c r="CO47" s="442"/>
      <c r="CP47" s="442"/>
      <c r="CQ47" s="442"/>
      <c r="CR47" s="442"/>
      <c r="CS47" s="442"/>
    </row>
    <row r="48" spans="1:97" s="447" customFormat="1" ht="16.5" customHeight="1">
      <c r="A48" s="1742"/>
      <c r="B48" s="443"/>
      <c r="C48" s="1742">
        <v>503</v>
      </c>
      <c r="D48" s="2001"/>
      <c r="E48" s="2021" t="s">
        <v>1150</v>
      </c>
      <c r="F48" s="2022"/>
      <c r="G48" s="1276"/>
      <c r="H48" s="1276"/>
      <c r="I48" s="1276"/>
      <c r="J48" s="1277"/>
      <c r="K48" s="1276"/>
      <c r="L48" s="1278"/>
      <c r="M48" s="446"/>
      <c r="N48" s="446"/>
      <c r="O48" s="442"/>
      <c r="P48" s="442"/>
      <c r="Q48" s="1280"/>
      <c r="R48" s="1281"/>
      <c r="S48" s="1281"/>
      <c r="T48" s="1281"/>
      <c r="U48" s="1591"/>
      <c r="V48" s="1599"/>
      <c r="W48" s="1281"/>
      <c r="X48" s="1281"/>
      <c r="Y48" s="1279"/>
      <c r="Z48" s="1279"/>
      <c r="AA48" s="1287"/>
      <c r="AB48" s="1288"/>
      <c r="AC48" s="1289"/>
      <c r="AD48" s="1287"/>
      <c r="AE48" s="1288"/>
      <c r="AF48" s="1290"/>
      <c r="AG48" s="1287"/>
      <c r="AH48" s="1288"/>
      <c r="AI48" s="1289"/>
      <c r="AJ48" s="1287"/>
      <c r="AK48" s="1288"/>
      <c r="AL48" s="1290"/>
      <c r="AM48" s="1287"/>
      <c r="AN48" s="1288"/>
      <c r="AO48" s="1289"/>
      <c r="AP48" s="1287"/>
      <c r="AQ48" s="1288"/>
      <c r="AR48" s="1290"/>
      <c r="AS48" s="1287"/>
      <c r="AT48" s="1288"/>
      <c r="AU48" s="1290"/>
      <c r="AV48" s="1287"/>
      <c r="AW48" s="1288"/>
      <c r="AX48" s="1289"/>
      <c r="AY48" s="442"/>
      <c r="AZ48" s="442"/>
      <c r="BA48" s="442"/>
      <c r="BB48" s="442"/>
      <c r="BC48" s="442"/>
      <c r="BD48" s="442"/>
      <c r="BE48" s="442"/>
      <c r="BF48" s="442"/>
      <c r="BG48" s="442"/>
      <c r="BH48" s="442"/>
      <c r="BI48" s="442"/>
      <c r="BJ48" s="442"/>
      <c r="BK48" s="442"/>
      <c r="BL48" s="442"/>
      <c r="BM48" s="442"/>
      <c r="BN48" s="442"/>
      <c r="BO48" s="442"/>
      <c r="BP48" s="442"/>
      <c r="BQ48" s="442"/>
      <c r="BR48" s="442"/>
      <c r="BS48" s="442"/>
      <c r="BT48" s="442"/>
      <c r="BU48" s="442"/>
      <c r="BV48" s="442"/>
      <c r="BW48" s="442"/>
      <c r="BX48" s="442"/>
      <c r="BY48" s="442"/>
      <c r="BZ48" s="442"/>
      <c r="CA48" s="442"/>
      <c r="CB48" s="442"/>
      <c r="CC48" s="442"/>
      <c r="CD48" s="442"/>
      <c r="CE48" s="442"/>
      <c r="CF48" s="442"/>
      <c r="CG48" s="442"/>
      <c r="CH48" s="442"/>
      <c r="CI48" s="442"/>
      <c r="CJ48" s="442"/>
      <c r="CK48" s="442"/>
      <c r="CL48" s="442"/>
      <c r="CM48" s="442"/>
      <c r="CN48" s="442"/>
      <c r="CO48" s="442"/>
      <c r="CP48" s="442"/>
      <c r="CQ48" s="442"/>
      <c r="CR48" s="442"/>
      <c r="CS48" s="442"/>
    </row>
    <row r="49" spans="1:97" s="447" customFormat="1" ht="36" customHeight="1">
      <c r="A49" s="1742"/>
      <c r="B49" s="443"/>
      <c r="C49" s="1742">
        <v>504</v>
      </c>
      <c r="D49" s="2001"/>
      <c r="E49" s="2021" t="s">
        <v>1151</v>
      </c>
      <c r="F49" s="2022"/>
      <c r="G49" s="1276"/>
      <c r="H49" s="1276"/>
      <c r="I49" s="1276"/>
      <c r="J49" s="1277"/>
      <c r="K49" s="1276"/>
      <c r="L49" s="1278"/>
      <c r="M49" s="446"/>
      <c r="N49" s="446"/>
      <c r="O49" s="442"/>
      <c r="P49" s="442"/>
      <c r="Q49" s="1280"/>
      <c r="R49" s="1281"/>
      <c r="S49" s="1281"/>
      <c r="T49" s="1281"/>
      <c r="U49" s="1591"/>
      <c r="V49" s="1599"/>
      <c r="W49" s="1281"/>
      <c r="X49" s="1281"/>
      <c r="Y49" s="1279"/>
      <c r="Z49" s="1279"/>
      <c r="AA49" s="1287"/>
      <c r="AB49" s="1288"/>
      <c r="AC49" s="1289"/>
      <c r="AD49" s="1287"/>
      <c r="AE49" s="1288"/>
      <c r="AF49" s="1290"/>
      <c r="AG49" s="1287"/>
      <c r="AH49" s="1288"/>
      <c r="AI49" s="1289"/>
      <c r="AJ49" s="1287"/>
      <c r="AK49" s="1288"/>
      <c r="AL49" s="1290"/>
      <c r="AM49" s="1287"/>
      <c r="AN49" s="1288"/>
      <c r="AO49" s="1289"/>
      <c r="AP49" s="1287"/>
      <c r="AQ49" s="1288"/>
      <c r="AR49" s="1290"/>
      <c r="AS49" s="1287"/>
      <c r="AT49" s="1288"/>
      <c r="AU49" s="1290"/>
      <c r="AV49" s="1287"/>
      <c r="AW49" s="1288"/>
      <c r="AX49" s="1289"/>
      <c r="AY49" s="442"/>
      <c r="AZ49" s="442"/>
      <c r="BA49" s="442"/>
      <c r="BB49" s="442"/>
      <c r="BC49" s="442"/>
      <c r="BD49" s="442"/>
      <c r="BE49" s="442"/>
      <c r="BF49" s="442"/>
      <c r="BG49" s="442"/>
      <c r="BH49" s="442"/>
      <c r="BI49" s="442"/>
      <c r="BJ49" s="442"/>
      <c r="BK49" s="442"/>
      <c r="BL49" s="442"/>
      <c r="BM49" s="442"/>
      <c r="BN49" s="442"/>
      <c r="BO49" s="442"/>
      <c r="BP49" s="442"/>
      <c r="BQ49" s="442"/>
      <c r="BR49" s="442"/>
      <c r="BS49" s="442"/>
      <c r="BT49" s="442"/>
      <c r="BU49" s="442"/>
      <c r="BV49" s="442"/>
      <c r="BW49" s="442"/>
      <c r="BX49" s="442"/>
      <c r="BY49" s="442"/>
      <c r="BZ49" s="442"/>
      <c r="CA49" s="442"/>
      <c r="CB49" s="442"/>
      <c r="CC49" s="442"/>
      <c r="CD49" s="442"/>
      <c r="CE49" s="442"/>
      <c r="CF49" s="442"/>
      <c r="CG49" s="442"/>
      <c r="CH49" s="442"/>
      <c r="CI49" s="442"/>
      <c r="CJ49" s="442"/>
      <c r="CK49" s="442"/>
      <c r="CL49" s="442"/>
      <c r="CM49" s="442"/>
      <c r="CN49" s="442"/>
      <c r="CO49" s="442"/>
      <c r="CP49" s="442"/>
      <c r="CQ49" s="442"/>
      <c r="CR49" s="442"/>
      <c r="CS49" s="442"/>
    </row>
    <row r="50" spans="1:97" s="447" customFormat="1" ht="16.5" customHeight="1">
      <c r="A50" s="1742"/>
      <c r="B50" s="443"/>
      <c r="C50" s="1742">
        <v>505</v>
      </c>
      <c r="D50" s="2001"/>
      <c r="E50" s="2021" t="s">
        <v>1152</v>
      </c>
      <c r="F50" s="2022"/>
      <c r="G50" s="1276"/>
      <c r="H50" s="1276"/>
      <c r="I50" s="1276"/>
      <c r="J50" s="1277"/>
      <c r="K50" s="1276"/>
      <c r="L50" s="1278"/>
      <c r="M50" s="446"/>
      <c r="N50" s="446"/>
      <c r="O50" s="442"/>
      <c r="P50" s="442"/>
      <c r="Q50" s="1280"/>
      <c r="R50" s="1281"/>
      <c r="S50" s="1281"/>
      <c r="T50" s="1281"/>
      <c r="U50" s="1591"/>
      <c r="V50" s="1599"/>
      <c r="W50" s="1281"/>
      <c r="X50" s="1281"/>
      <c r="Y50" s="1279"/>
      <c r="Z50" s="1279"/>
      <c r="AA50" s="1287"/>
      <c r="AB50" s="1288"/>
      <c r="AC50" s="1289"/>
      <c r="AD50" s="1287"/>
      <c r="AE50" s="1288"/>
      <c r="AF50" s="1290"/>
      <c r="AG50" s="1287"/>
      <c r="AH50" s="1288"/>
      <c r="AI50" s="1289"/>
      <c r="AJ50" s="1287"/>
      <c r="AK50" s="1288"/>
      <c r="AL50" s="1290"/>
      <c r="AM50" s="1287"/>
      <c r="AN50" s="1288"/>
      <c r="AO50" s="1289"/>
      <c r="AP50" s="1287"/>
      <c r="AQ50" s="1288"/>
      <c r="AR50" s="1290"/>
      <c r="AS50" s="1287"/>
      <c r="AT50" s="1288"/>
      <c r="AU50" s="1290"/>
      <c r="AV50" s="1287"/>
      <c r="AW50" s="1288"/>
      <c r="AX50" s="1289"/>
      <c r="AY50" s="442"/>
      <c r="AZ50" s="442"/>
      <c r="BA50" s="442"/>
      <c r="BB50" s="442"/>
      <c r="BC50" s="442"/>
      <c r="BD50" s="442"/>
      <c r="BE50" s="442"/>
      <c r="BF50" s="442"/>
      <c r="BG50" s="442"/>
      <c r="BH50" s="442"/>
      <c r="BI50" s="442"/>
      <c r="BJ50" s="442"/>
      <c r="BK50" s="442"/>
      <c r="BL50" s="442"/>
      <c r="BM50" s="442"/>
      <c r="BN50" s="442"/>
      <c r="BO50" s="442"/>
      <c r="BP50" s="442"/>
      <c r="BQ50" s="442"/>
      <c r="BR50" s="442"/>
      <c r="BS50" s="442"/>
      <c r="BT50" s="442"/>
      <c r="BU50" s="442"/>
      <c r="BV50" s="442"/>
      <c r="BW50" s="442"/>
      <c r="BX50" s="442"/>
      <c r="BY50" s="442"/>
      <c r="BZ50" s="442"/>
      <c r="CA50" s="442"/>
      <c r="CB50" s="442"/>
      <c r="CC50" s="442"/>
      <c r="CD50" s="442"/>
      <c r="CE50" s="442"/>
      <c r="CF50" s="442"/>
      <c r="CG50" s="442"/>
      <c r="CH50" s="442"/>
      <c r="CI50" s="442"/>
      <c r="CJ50" s="442"/>
      <c r="CK50" s="442"/>
      <c r="CL50" s="442"/>
      <c r="CM50" s="442"/>
      <c r="CN50" s="442"/>
      <c r="CO50" s="442"/>
      <c r="CP50" s="442"/>
      <c r="CQ50" s="442"/>
      <c r="CR50" s="442"/>
      <c r="CS50" s="442"/>
    </row>
    <row r="51" spans="1:97" s="447" customFormat="1" ht="16.5" customHeight="1">
      <c r="A51" s="1742"/>
      <c r="B51" s="443"/>
      <c r="C51" s="1742">
        <v>506</v>
      </c>
      <c r="D51" s="2001"/>
      <c r="E51" s="2021" t="s">
        <v>1153</v>
      </c>
      <c r="F51" s="2022"/>
      <c r="G51" s="1276"/>
      <c r="H51" s="1276"/>
      <c r="I51" s="1276"/>
      <c r="J51" s="1277"/>
      <c r="K51" s="1276"/>
      <c r="L51" s="1278"/>
      <c r="M51" s="446"/>
      <c r="N51" s="446"/>
      <c r="O51" s="442"/>
      <c r="P51" s="442"/>
      <c r="Q51" s="1280"/>
      <c r="R51" s="1281"/>
      <c r="S51" s="1281"/>
      <c r="T51" s="1281"/>
      <c r="U51" s="1591"/>
      <c r="V51" s="1599"/>
      <c r="W51" s="1281"/>
      <c r="X51" s="1281"/>
      <c r="Y51" s="1279"/>
      <c r="Z51" s="1279"/>
      <c r="AA51" s="1287"/>
      <c r="AB51" s="1288"/>
      <c r="AC51" s="1289"/>
      <c r="AD51" s="1287"/>
      <c r="AE51" s="1288"/>
      <c r="AF51" s="1290"/>
      <c r="AG51" s="1287"/>
      <c r="AH51" s="1288"/>
      <c r="AI51" s="1289"/>
      <c r="AJ51" s="1287"/>
      <c r="AK51" s="1288"/>
      <c r="AL51" s="1290"/>
      <c r="AM51" s="1287"/>
      <c r="AN51" s="1288"/>
      <c r="AO51" s="1289"/>
      <c r="AP51" s="1287"/>
      <c r="AQ51" s="1288"/>
      <c r="AR51" s="1290"/>
      <c r="AS51" s="1287"/>
      <c r="AT51" s="1288"/>
      <c r="AU51" s="1290"/>
      <c r="AV51" s="1287"/>
      <c r="AW51" s="1288"/>
      <c r="AX51" s="1289"/>
      <c r="AY51" s="442"/>
      <c r="AZ51" s="442"/>
      <c r="BA51" s="442"/>
      <c r="BB51" s="442"/>
      <c r="BC51" s="442"/>
      <c r="BD51" s="442"/>
      <c r="BE51" s="442"/>
      <c r="BF51" s="442"/>
      <c r="BG51" s="442"/>
      <c r="BH51" s="442"/>
      <c r="BI51" s="442"/>
      <c r="BJ51" s="442"/>
      <c r="BK51" s="442"/>
      <c r="BL51" s="442"/>
      <c r="BM51" s="442"/>
      <c r="BN51" s="442"/>
      <c r="BO51" s="442"/>
      <c r="BP51" s="442"/>
      <c r="BQ51" s="442"/>
      <c r="BR51" s="442"/>
      <c r="BS51" s="442"/>
      <c r="BT51" s="442"/>
      <c r="BU51" s="442"/>
      <c r="BV51" s="442"/>
      <c r="BW51" s="442"/>
      <c r="BX51" s="442"/>
      <c r="BY51" s="442"/>
      <c r="BZ51" s="442"/>
      <c r="CA51" s="442"/>
      <c r="CB51" s="442"/>
      <c r="CC51" s="442"/>
      <c r="CD51" s="442"/>
      <c r="CE51" s="442"/>
      <c r="CF51" s="442"/>
      <c r="CG51" s="442"/>
      <c r="CH51" s="442"/>
      <c r="CI51" s="442"/>
      <c r="CJ51" s="442"/>
      <c r="CK51" s="442"/>
      <c r="CL51" s="442"/>
      <c r="CM51" s="442"/>
      <c r="CN51" s="442"/>
      <c r="CO51" s="442"/>
      <c r="CP51" s="442"/>
      <c r="CQ51" s="442"/>
      <c r="CR51" s="442"/>
      <c r="CS51" s="442"/>
    </row>
    <row r="52" spans="1:97" s="447" customFormat="1" ht="16.5" customHeight="1">
      <c r="A52" s="1742"/>
      <c r="B52" s="443"/>
      <c r="C52" s="1742">
        <v>507</v>
      </c>
      <c r="D52" s="2001"/>
      <c r="E52" s="2021" t="s">
        <v>1154</v>
      </c>
      <c r="F52" s="2022"/>
      <c r="G52" s="1276"/>
      <c r="H52" s="1276"/>
      <c r="I52" s="1276"/>
      <c r="J52" s="1277"/>
      <c r="K52" s="1276"/>
      <c r="L52" s="1278"/>
      <c r="M52" s="446"/>
      <c r="N52" s="446"/>
      <c r="O52" s="442"/>
      <c r="P52" s="442"/>
      <c r="Q52" s="1280"/>
      <c r="R52" s="1281"/>
      <c r="S52" s="1281"/>
      <c r="T52" s="1281"/>
      <c r="U52" s="1591"/>
      <c r="V52" s="1599"/>
      <c r="W52" s="1281"/>
      <c r="X52" s="1281"/>
      <c r="Y52" s="1279"/>
      <c r="Z52" s="1279"/>
      <c r="AA52" s="1287"/>
      <c r="AB52" s="1288"/>
      <c r="AC52" s="1289"/>
      <c r="AD52" s="1287"/>
      <c r="AE52" s="1288"/>
      <c r="AF52" s="1290"/>
      <c r="AG52" s="1287"/>
      <c r="AH52" s="1288"/>
      <c r="AI52" s="1289"/>
      <c r="AJ52" s="1287"/>
      <c r="AK52" s="1288"/>
      <c r="AL52" s="1290"/>
      <c r="AM52" s="1287"/>
      <c r="AN52" s="1288"/>
      <c r="AO52" s="1289"/>
      <c r="AP52" s="1287"/>
      <c r="AQ52" s="1288"/>
      <c r="AR52" s="1290"/>
      <c r="AS52" s="1287"/>
      <c r="AT52" s="1288"/>
      <c r="AU52" s="1290"/>
      <c r="AV52" s="1287"/>
      <c r="AW52" s="1288"/>
      <c r="AX52" s="1289"/>
      <c r="AY52" s="442"/>
      <c r="AZ52" s="442"/>
      <c r="BA52" s="442"/>
      <c r="BB52" s="442"/>
      <c r="BC52" s="442"/>
      <c r="BD52" s="442"/>
      <c r="BE52" s="442"/>
      <c r="BF52" s="442"/>
      <c r="BG52" s="442"/>
      <c r="BH52" s="442"/>
      <c r="BI52" s="442"/>
      <c r="BJ52" s="442"/>
      <c r="BK52" s="442"/>
      <c r="BL52" s="442"/>
      <c r="BM52" s="442"/>
      <c r="BN52" s="442"/>
      <c r="BO52" s="442"/>
      <c r="BP52" s="442"/>
      <c r="BQ52" s="442"/>
      <c r="BR52" s="442"/>
      <c r="BS52" s="442"/>
      <c r="BT52" s="442"/>
      <c r="BU52" s="442"/>
      <c r="BV52" s="442"/>
      <c r="BW52" s="442"/>
      <c r="BX52" s="442"/>
      <c r="BY52" s="442"/>
      <c r="BZ52" s="442"/>
      <c r="CA52" s="442"/>
      <c r="CB52" s="442"/>
      <c r="CC52" s="442"/>
      <c r="CD52" s="442"/>
      <c r="CE52" s="442"/>
      <c r="CF52" s="442"/>
      <c r="CG52" s="442"/>
      <c r="CH52" s="442"/>
      <c r="CI52" s="442"/>
      <c r="CJ52" s="442"/>
      <c r="CK52" s="442"/>
      <c r="CL52" s="442"/>
      <c r="CM52" s="442"/>
      <c r="CN52" s="442"/>
      <c r="CO52" s="442"/>
      <c r="CP52" s="442"/>
      <c r="CQ52" s="442"/>
      <c r="CR52" s="442"/>
      <c r="CS52" s="442"/>
    </row>
    <row r="53" spans="1:97" s="447" customFormat="1" ht="16.5" customHeight="1">
      <c r="A53" s="1742"/>
      <c r="B53" s="443"/>
      <c r="C53" s="1742">
        <v>508</v>
      </c>
      <c r="D53" s="2001"/>
      <c r="E53" s="2021" t="s">
        <v>1155</v>
      </c>
      <c r="F53" s="2022"/>
      <c r="G53" s="1276"/>
      <c r="H53" s="1276"/>
      <c r="I53" s="1276"/>
      <c r="J53" s="1277"/>
      <c r="K53" s="1276"/>
      <c r="L53" s="1278"/>
      <c r="M53" s="446"/>
      <c r="N53" s="446"/>
      <c r="O53" s="442"/>
      <c r="P53" s="442"/>
      <c r="Q53" s="1280"/>
      <c r="R53" s="1281"/>
      <c r="S53" s="1281"/>
      <c r="T53" s="1281"/>
      <c r="U53" s="1591"/>
      <c r="V53" s="1599"/>
      <c r="W53" s="1281"/>
      <c r="X53" s="1281"/>
      <c r="Y53" s="1279"/>
      <c r="Z53" s="1279"/>
      <c r="AA53" s="1287"/>
      <c r="AB53" s="1288"/>
      <c r="AC53" s="1289"/>
      <c r="AD53" s="1287"/>
      <c r="AE53" s="1288"/>
      <c r="AF53" s="1290"/>
      <c r="AG53" s="1287"/>
      <c r="AH53" s="1288"/>
      <c r="AI53" s="1289"/>
      <c r="AJ53" s="1287"/>
      <c r="AK53" s="1288"/>
      <c r="AL53" s="1290"/>
      <c r="AM53" s="1287"/>
      <c r="AN53" s="1288"/>
      <c r="AO53" s="1289"/>
      <c r="AP53" s="1287"/>
      <c r="AQ53" s="1288"/>
      <c r="AR53" s="1290"/>
      <c r="AS53" s="1287"/>
      <c r="AT53" s="1288"/>
      <c r="AU53" s="1290"/>
      <c r="AV53" s="1287"/>
      <c r="AW53" s="1288"/>
      <c r="AX53" s="1289"/>
      <c r="AY53" s="442"/>
      <c r="AZ53" s="442"/>
      <c r="BA53" s="442"/>
      <c r="BB53" s="442"/>
      <c r="BC53" s="442"/>
      <c r="BD53" s="442"/>
      <c r="BE53" s="442"/>
      <c r="BF53" s="442"/>
      <c r="BG53" s="442"/>
      <c r="BH53" s="442"/>
      <c r="BI53" s="442"/>
      <c r="BJ53" s="442"/>
      <c r="BK53" s="442"/>
      <c r="BL53" s="442"/>
      <c r="BM53" s="442"/>
      <c r="BN53" s="442"/>
      <c r="BO53" s="442"/>
      <c r="BP53" s="442"/>
      <c r="BQ53" s="442"/>
      <c r="BR53" s="442"/>
      <c r="BS53" s="442"/>
      <c r="BT53" s="442"/>
      <c r="BU53" s="442"/>
      <c r="BV53" s="442"/>
      <c r="BW53" s="442"/>
      <c r="BX53" s="442"/>
      <c r="BY53" s="442"/>
      <c r="BZ53" s="442"/>
      <c r="CA53" s="442"/>
      <c r="CB53" s="442"/>
      <c r="CC53" s="442"/>
      <c r="CD53" s="442"/>
      <c r="CE53" s="442"/>
      <c r="CF53" s="442"/>
      <c r="CG53" s="442"/>
      <c r="CH53" s="442"/>
      <c r="CI53" s="442"/>
      <c r="CJ53" s="442"/>
      <c r="CK53" s="442"/>
      <c r="CL53" s="442"/>
      <c r="CM53" s="442"/>
      <c r="CN53" s="442"/>
      <c r="CO53" s="442"/>
      <c r="CP53" s="442"/>
      <c r="CQ53" s="442"/>
      <c r="CR53" s="442"/>
      <c r="CS53" s="442"/>
    </row>
    <row r="54" spans="1:97" s="447" customFormat="1" ht="16.5" customHeight="1">
      <c r="A54" s="1742"/>
      <c r="B54" s="443"/>
      <c r="C54" s="1742">
        <v>509</v>
      </c>
      <c r="D54" s="2001"/>
      <c r="E54" s="2021" t="s">
        <v>1156</v>
      </c>
      <c r="F54" s="2022"/>
      <c r="G54" s="1276"/>
      <c r="H54" s="1276"/>
      <c r="I54" s="1276"/>
      <c r="J54" s="1277"/>
      <c r="K54" s="1276"/>
      <c r="L54" s="1278"/>
      <c r="M54" s="446"/>
      <c r="N54" s="446"/>
      <c r="O54" s="442"/>
      <c r="P54" s="442"/>
      <c r="Q54" s="1280"/>
      <c r="R54" s="1281"/>
      <c r="S54" s="1281"/>
      <c r="T54" s="1281"/>
      <c r="U54" s="1591"/>
      <c r="V54" s="1599"/>
      <c r="W54" s="1281"/>
      <c r="X54" s="1281"/>
      <c r="Y54" s="1279"/>
      <c r="Z54" s="1279"/>
      <c r="AA54" s="1287"/>
      <c r="AB54" s="1288"/>
      <c r="AC54" s="1289"/>
      <c r="AD54" s="1287"/>
      <c r="AE54" s="1288"/>
      <c r="AF54" s="1290"/>
      <c r="AG54" s="1287"/>
      <c r="AH54" s="1288"/>
      <c r="AI54" s="1289"/>
      <c r="AJ54" s="1287"/>
      <c r="AK54" s="1288"/>
      <c r="AL54" s="1290"/>
      <c r="AM54" s="1287"/>
      <c r="AN54" s="1288"/>
      <c r="AO54" s="1289"/>
      <c r="AP54" s="1287"/>
      <c r="AQ54" s="1288"/>
      <c r="AR54" s="1290"/>
      <c r="AS54" s="1287"/>
      <c r="AT54" s="1288"/>
      <c r="AU54" s="1290"/>
      <c r="AV54" s="1287"/>
      <c r="AW54" s="1288"/>
      <c r="AX54" s="1289"/>
      <c r="AY54" s="442"/>
      <c r="AZ54" s="442"/>
      <c r="BA54" s="442"/>
      <c r="BB54" s="442"/>
      <c r="BC54" s="442"/>
      <c r="BD54" s="442"/>
      <c r="BE54" s="442"/>
      <c r="BF54" s="442"/>
      <c r="BG54" s="442"/>
      <c r="BH54" s="442"/>
      <c r="BI54" s="442"/>
      <c r="BJ54" s="442"/>
      <c r="BK54" s="442"/>
      <c r="BL54" s="442"/>
      <c r="BM54" s="442"/>
      <c r="BN54" s="442"/>
      <c r="BO54" s="442"/>
      <c r="BP54" s="442"/>
      <c r="BQ54" s="442"/>
      <c r="BR54" s="442"/>
      <c r="BS54" s="442"/>
      <c r="BT54" s="442"/>
      <c r="BU54" s="442"/>
      <c r="BV54" s="442"/>
      <c r="BW54" s="442"/>
      <c r="BX54" s="442"/>
      <c r="BY54" s="442"/>
      <c r="BZ54" s="442"/>
      <c r="CA54" s="442"/>
      <c r="CB54" s="442"/>
      <c r="CC54" s="442"/>
      <c r="CD54" s="442"/>
      <c r="CE54" s="442"/>
      <c r="CF54" s="442"/>
      <c r="CG54" s="442"/>
      <c r="CH54" s="442"/>
      <c r="CI54" s="442"/>
      <c r="CJ54" s="442"/>
      <c r="CK54" s="442"/>
      <c r="CL54" s="442"/>
      <c r="CM54" s="442"/>
      <c r="CN54" s="442"/>
      <c r="CO54" s="442"/>
      <c r="CP54" s="442"/>
      <c r="CQ54" s="442"/>
      <c r="CR54" s="442"/>
      <c r="CS54" s="442"/>
    </row>
    <row r="55" spans="1:97" s="447" customFormat="1" ht="16.5" customHeight="1" thickBot="1">
      <c r="A55" s="1742"/>
      <c r="B55" s="443"/>
      <c r="C55" s="1742">
        <v>510</v>
      </c>
      <c r="D55" s="2002"/>
      <c r="E55" s="2021"/>
      <c r="F55" s="2022"/>
      <c r="G55" s="1276"/>
      <c r="H55" s="1276"/>
      <c r="I55" s="1276"/>
      <c r="J55" s="1277"/>
      <c r="K55" s="1276"/>
      <c r="L55" s="1278"/>
      <c r="M55" s="446"/>
      <c r="N55" s="446"/>
      <c r="O55" s="442"/>
      <c r="P55" s="442"/>
      <c r="Q55" s="1291"/>
      <c r="R55" s="1292"/>
      <c r="S55" s="1292"/>
      <c r="T55" s="1292"/>
      <c r="U55" s="1592"/>
      <c r="V55" s="1600"/>
      <c r="W55" s="1281"/>
      <c r="X55" s="1281"/>
      <c r="Y55" s="1279"/>
      <c r="Z55" s="1279"/>
      <c r="AA55" s="1293"/>
      <c r="AB55" s="1294"/>
      <c r="AC55" s="1295"/>
      <c r="AD55" s="1293"/>
      <c r="AE55" s="1294"/>
      <c r="AF55" s="1296"/>
      <c r="AG55" s="1293"/>
      <c r="AH55" s="1294"/>
      <c r="AI55" s="1295"/>
      <c r="AJ55" s="1293"/>
      <c r="AK55" s="1294"/>
      <c r="AL55" s="1296"/>
      <c r="AM55" s="1293"/>
      <c r="AN55" s="1294"/>
      <c r="AO55" s="1295"/>
      <c r="AP55" s="1293"/>
      <c r="AQ55" s="1294"/>
      <c r="AR55" s="1296"/>
      <c r="AS55" s="1293"/>
      <c r="AT55" s="1294"/>
      <c r="AU55" s="1296"/>
      <c r="AV55" s="1293"/>
      <c r="AW55" s="1294"/>
      <c r="AX55" s="1295"/>
      <c r="AY55" s="442"/>
      <c r="AZ55" s="442"/>
      <c r="BA55" s="442"/>
      <c r="BB55" s="442"/>
      <c r="BC55" s="442"/>
      <c r="BD55" s="442"/>
      <c r="BE55" s="442"/>
      <c r="BF55" s="442"/>
      <c r="BG55" s="442"/>
      <c r="BH55" s="442"/>
      <c r="BI55" s="442"/>
      <c r="BJ55" s="442"/>
      <c r="BK55" s="442"/>
      <c r="BL55" s="442"/>
      <c r="BM55" s="442"/>
      <c r="BN55" s="442"/>
      <c r="BO55" s="442"/>
      <c r="BP55" s="442"/>
      <c r="BQ55" s="442"/>
      <c r="BR55" s="442"/>
      <c r="BS55" s="442"/>
      <c r="BT55" s="442"/>
      <c r="BU55" s="442"/>
      <c r="BV55" s="442"/>
      <c r="BW55" s="442"/>
      <c r="BX55" s="442"/>
      <c r="BY55" s="442"/>
      <c r="BZ55" s="442"/>
      <c r="CA55" s="442"/>
      <c r="CB55" s="442"/>
      <c r="CC55" s="442"/>
      <c r="CD55" s="442"/>
      <c r="CE55" s="442"/>
      <c r="CF55" s="442"/>
      <c r="CG55" s="442"/>
      <c r="CH55" s="442"/>
      <c r="CI55" s="442"/>
      <c r="CJ55" s="442"/>
      <c r="CK55" s="442"/>
      <c r="CL55" s="442"/>
      <c r="CM55" s="442"/>
      <c r="CN55" s="442"/>
      <c r="CO55" s="442"/>
      <c r="CP55" s="442"/>
      <c r="CQ55" s="442"/>
      <c r="CR55" s="442"/>
      <c r="CS55" s="442"/>
    </row>
    <row r="56" spans="1:97" s="447" customFormat="1" ht="16.5" customHeight="1">
      <c r="A56" s="1742"/>
      <c r="B56" s="443"/>
      <c r="C56" s="1742"/>
      <c r="D56" s="457"/>
      <c r="E56" s="437"/>
      <c r="F56" s="437"/>
      <c r="G56" s="444"/>
      <c r="H56" s="444"/>
      <c r="I56" s="444"/>
      <c r="J56" s="445"/>
      <c r="K56" s="444"/>
      <c r="L56" s="446"/>
      <c r="M56" s="446"/>
      <c r="N56" s="446"/>
      <c r="O56" s="442"/>
      <c r="P56" s="442"/>
      <c r="Q56" s="442"/>
      <c r="R56" s="442"/>
      <c r="S56" s="442"/>
      <c r="T56" s="442"/>
      <c r="U56" s="442"/>
      <c r="V56" s="442"/>
      <c r="W56" s="442"/>
      <c r="X56" s="442"/>
      <c r="Y56" s="442"/>
      <c r="Z56" s="442"/>
      <c r="AA56" s="540"/>
      <c r="AB56" s="540"/>
      <c r="AC56" s="540"/>
      <c r="AD56" s="540"/>
      <c r="AE56" s="540"/>
      <c r="AF56" s="540"/>
      <c r="AG56" s="540"/>
      <c r="AH56" s="540"/>
      <c r="AI56" s="540"/>
      <c r="AJ56" s="540"/>
      <c r="AK56" s="540"/>
      <c r="AL56" s="540"/>
      <c r="AM56" s="540"/>
      <c r="AN56" s="540"/>
      <c r="AO56" s="540"/>
      <c r="AP56" s="540"/>
      <c r="AQ56" s="540"/>
      <c r="AR56" s="540"/>
      <c r="AS56" s="540"/>
      <c r="AT56" s="540"/>
      <c r="AU56" s="540"/>
      <c r="AV56" s="540"/>
      <c r="AW56" s="540"/>
      <c r="AX56" s="540"/>
      <c r="AY56" s="442"/>
      <c r="AZ56" s="442"/>
      <c r="BA56" s="442"/>
      <c r="BB56" s="442"/>
      <c r="BC56" s="442"/>
      <c r="BD56" s="442"/>
      <c r="BE56" s="442"/>
      <c r="BF56" s="442"/>
      <c r="BG56" s="442"/>
      <c r="BH56" s="442"/>
      <c r="BI56" s="442"/>
      <c r="BJ56" s="442"/>
      <c r="BK56" s="442"/>
      <c r="BL56" s="442"/>
      <c r="BM56" s="442"/>
      <c r="BN56" s="442"/>
      <c r="BO56" s="442"/>
      <c r="BP56" s="442"/>
      <c r="BQ56" s="442"/>
      <c r="BR56" s="442"/>
      <c r="BS56" s="442"/>
      <c r="BT56" s="442"/>
      <c r="BU56" s="442"/>
      <c r="BV56" s="442"/>
      <c r="BW56" s="442"/>
      <c r="BX56" s="442"/>
      <c r="BY56" s="442"/>
      <c r="BZ56" s="442"/>
      <c r="CA56" s="442"/>
      <c r="CB56" s="442"/>
      <c r="CC56" s="442"/>
      <c r="CD56" s="442"/>
      <c r="CE56" s="442"/>
      <c r="CF56" s="442"/>
      <c r="CG56" s="442"/>
      <c r="CH56" s="442"/>
      <c r="CI56" s="442"/>
      <c r="CJ56" s="442"/>
      <c r="CK56" s="442"/>
      <c r="CL56" s="442"/>
      <c r="CM56" s="442"/>
      <c r="CN56" s="442"/>
      <c r="CO56" s="442"/>
      <c r="CP56" s="442"/>
      <c r="CQ56" s="442"/>
      <c r="CR56" s="442"/>
      <c r="CS56" s="442"/>
    </row>
    <row r="57" spans="1:97" s="447" customFormat="1" ht="16.5" customHeight="1">
      <c r="A57" s="1742"/>
      <c r="B57" s="443"/>
      <c r="C57" s="1742"/>
      <c r="D57" s="457"/>
      <c r="E57" s="437"/>
      <c r="F57" s="437"/>
      <c r="G57" s="444"/>
      <c r="H57" s="444"/>
      <c r="I57" s="444"/>
      <c r="J57" s="445"/>
      <c r="K57" s="444"/>
      <c r="L57" s="446"/>
      <c r="M57" s="446"/>
      <c r="N57" s="446"/>
      <c r="O57" s="442"/>
      <c r="P57" s="442"/>
      <c r="Q57" s="442"/>
      <c r="R57" s="442"/>
      <c r="S57" s="442"/>
      <c r="T57" s="442"/>
      <c r="U57" s="442"/>
      <c r="V57" s="442"/>
      <c r="W57" s="442"/>
      <c r="X57" s="442"/>
      <c r="Y57" s="442"/>
      <c r="Z57" s="442"/>
      <c r="AA57" s="540"/>
      <c r="AB57" s="540"/>
      <c r="AC57" s="540"/>
      <c r="AD57" s="540"/>
      <c r="AE57" s="540"/>
      <c r="AF57" s="540"/>
      <c r="AG57" s="540"/>
      <c r="AH57" s="540"/>
      <c r="AI57" s="540"/>
      <c r="AJ57" s="540"/>
      <c r="AK57" s="540"/>
      <c r="AL57" s="540"/>
      <c r="AM57" s="540"/>
      <c r="AN57" s="540"/>
      <c r="AO57" s="540"/>
      <c r="AP57" s="540"/>
      <c r="AQ57" s="540"/>
      <c r="AR57" s="540"/>
      <c r="AS57" s="540"/>
      <c r="AT57" s="540"/>
      <c r="AU57" s="540"/>
      <c r="AV57" s="540"/>
      <c r="AW57" s="540"/>
      <c r="AX57" s="540"/>
      <c r="AY57" s="442"/>
      <c r="AZ57" s="442"/>
      <c r="BA57" s="442"/>
      <c r="BB57" s="442"/>
      <c r="BC57" s="442"/>
      <c r="BD57" s="442"/>
      <c r="BE57" s="442"/>
      <c r="BF57" s="442"/>
      <c r="BG57" s="442"/>
      <c r="BH57" s="442"/>
      <c r="BI57" s="442"/>
      <c r="BJ57" s="442"/>
      <c r="BK57" s="442"/>
      <c r="BL57" s="442"/>
      <c r="BM57" s="442"/>
      <c r="BN57" s="442"/>
      <c r="BO57" s="442"/>
      <c r="BP57" s="442"/>
      <c r="BQ57" s="442"/>
      <c r="BR57" s="442"/>
      <c r="BS57" s="442"/>
      <c r="BT57" s="442"/>
      <c r="BU57" s="442"/>
      <c r="BV57" s="442"/>
      <c r="BW57" s="442"/>
      <c r="BX57" s="442"/>
      <c r="BY57" s="442"/>
      <c r="BZ57" s="442"/>
      <c r="CA57" s="442"/>
      <c r="CB57" s="442"/>
      <c r="CC57" s="442"/>
      <c r="CD57" s="442"/>
      <c r="CE57" s="442"/>
      <c r="CF57" s="442"/>
      <c r="CG57" s="442"/>
      <c r="CH57" s="442"/>
      <c r="CI57" s="442"/>
      <c r="CJ57" s="442"/>
      <c r="CK57" s="442"/>
      <c r="CL57" s="442"/>
      <c r="CM57" s="442"/>
      <c r="CN57" s="442"/>
      <c r="CO57" s="442"/>
      <c r="CP57" s="442"/>
      <c r="CQ57" s="442"/>
      <c r="CR57" s="442"/>
      <c r="CS57" s="442"/>
    </row>
    <row r="58" spans="1:97" s="447" customFormat="1" ht="16.5" customHeight="1">
      <c r="A58" s="1742"/>
      <c r="B58" s="443"/>
      <c r="C58" s="1742"/>
      <c r="D58" s="436"/>
      <c r="E58" s="437"/>
      <c r="F58" s="437"/>
      <c r="G58" s="444"/>
      <c r="H58" s="444"/>
      <c r="I58" s="444"/>
      <c r="J58" s="445"/>
      <c r="K58" s="444"/>
      <c r="L58" s="446"/>
      <c r="M58" s="446"/>
      <c r="N58" s="446"/>
      <c r="O58" s="442"/>
      <c r="P58" s="442"/>
      <c r="Q58" s="442"/>
      <c r="R58" s="442"/>
      <c r="S58" s="442"/>
      <c r="T58" s="442"/>
      <c r="U58" s="442"/>
      <c r="V58" s="442"/>
      <c r="W58" s="442"/>
      <c r="X58" s="442"/>
      <c r="Y58" s="442"/>
      <c r="Z58" s="442"/>
      <c r="AA58" s="540"/>
      <c r="AB58" s="540"/>
      <c r="AC58" s="540"/>
      <c r="AD58" s="540"/>
      <c r="AE58" s="540"/>
      <c r="AF58" s="540"/>
      <c r="AG58" s="540"/>
      <c r="AH58" s="540"/>
      <c r="AI58" s="540"/>
      <c r="AJ58" s="540"/>
      <c r="AK58" s="540"/>
      <c r="AL58" s="540"/>
      <c r="AM58" s="540"/>
      <c r="AN58" s="540"/>
      <c r="AO58" s="540"/>
      <c r="AP58" s="540"/>
      <c r="AQ58" s="540"/>
      <c r="AR58" s="540"/>
      <c r="AS58" s="540"/>
      <c r="AT58" s="540"/>
      <c r="AU58" s="540"/>
      <c r="AV58" s="540"/>
      <c r="AW58" s="540"/>
      <c r="AX58" s="540"/>
      <c r="AY58" s="442"/>
      <c r="AZ58" s="442"/>
      <c r="BA58" s="442"/>
      <c r="BB58" s="442"/>
      <c r="BC58" s="442"/>
      <c r="BD58" s="442"/>
      <c r="BE58" s="442"/>
      <c r="BF58" s="442"/>
      <c r="BG58" s="442"/>
      <c r="BH58" s="442"/>
      <c r="BI58" s="442"/>
      <c r="BJ58" s="442"/>
      <c r="BK58" s="442"/>
      <c r="BL58" s="442"/>
      <c r="BM58" s="442"/>
      <c r="BN58" s="442"/>
      <c r="BO58" s="442"/>
      <c r="BP58" s="442"/>
      <c r="BQ58" s="442"/>
      <c r="BR58" s="442"/>
      <c r="BS58" s="442"/>
      <c r="BT58" s="442"/>
      <c r="BU58" s="442"/>
      <c r="BV58" s="442"/>
      <c r="BW58" s="442"/>
      <c r="BX58" s="442"/>
      <c r="BY58" s="442"/>
      <c r="BZ58" s="442"/>
      <c r="CA58" s="442"/>
      <c r="CB58" s="442"/>
      <c r="CC58" s="442"/>
      <c r="CD58" s="442"/>
      <c r="CE58" s="442"/>
      <c r="CF58" s="442"/>
      <c r="CG58" s="442"/>
      <c r="CH58" s="442"/>
      <c r="CI58" s="442"/>
      <c r="CJ58" s="442"/>
      <c r="CK58" s="442"/>
      <c r="CL58" s="442"/>
      <c r="CM58" s="442"/>
      <c r="CN58" s="442"/>
      <c r="CO58" s="442"/>
      <c r="CP58" s="442"/>
      <c r="CQ58" s="442"/>
      <c r="CR58" s="442"/>
      <c r="CS58" s="442"/>
    </row>
    <row r="59" spans="1:97" s="447" customFormat="1" ht="16.5" customHeight="1">
      <c r="A59" s="1742"/>
      <c r="B59" s="443"/>
      <c r="C59" s="1742"/>
      <c r="D59" s="436"/>
      <c r="E59" s="437"/>
      <c r="F59" s="437"/>
      <c r="G59" s="444"/>
      <c r="H59" s="444"/>
      <c r="I59" s="444"/>
      <c r="J59" s="445"/>
      <c r="K59" s="444"/>
      <c r="L59" s="446"/>
      <c r="M59" s="446"/>
      <c r="N59" s="446"/>
      <c r="O59" s="442"/>
      <c r="P59" s="442"/>
      <c r="Q59" s="442"/>
      <c r="R59" s="442"/>
      <c r="S59" s="442"/>
      <c r="T59" s="442"/>
      <c r="U59" s="442"/>
      <c r="V59" s="442"/>
      <c r="W59" s="442"/>
      <c r="X59" s="442"/>
      <c r="Y59" s="442"/>
      <c r="Z59" s="442"/>
      <c r="AA59" s="540"/>
      <c r="AB59" s="540"/>
      <c r="AC59" s="540"/>
      <c r="AD59" s="540"/>
      <c r="AE59" s="540"/>
      <c r="AF59" s="540"/>
      <c r="AG59" s="540"/>
      <c r="AH59" s="540"/>
      <c r="AI59" s="540"/>
      <c r="AJ59" s="540"/>
      <c r="AK59" s="540"/>
      <c r="AL59" s="540"/>
      <c r="AM59" s="540"/>
      <c r="AN59" s="540"/>
      <c r="AO59" s="540"/>
      <c r="AP59" s="540"/>
      <c r="AQ59" s="540"/>
      <c r="AR59" s="540"/>
      <c r="AS59" s="540"/>
      <c r="AT59" s="540"/>
      <c r="AU59" s="540"/>
      <c r="AV59" s="540"/>
      <c r="AW59" s="540"/>
      <c r="AX59" s="540"/>
      <c r="AY59" s="442"/>
      <c r="AZ59" s="442"/>
      <c r="BA59" s="442"/>
      <c r="BB59" s="442"/>
      <c r="BC59" s="442"/>
      <c r="BD59" s="442"/>
      <c r="BE59" s="442"/>
      <c r="BF59" s="442"/>
      <c r="BG59" s="442"/>
      <c r="BH59" s="442"/>
      <c r="BI59" s="442"/>
      <c r="BJ59" s="442"/>
      <c r="BK59" s="442"/>
      <c r="BL59" s="442"/>
      <c r="BM59" s="442"/>
      <c r="BN59" s="442"/>
      <c r="BO59" s="442"/>
      <c r="BP59" s="442"/>
      <c r="BQ59" s="442"/>
      <c r="BR59" s="442"/>
      <c r="BS59" s="442"/>
      <c r="BT59" s="442"/>
      <c r="BU59" s="442"/>
      <c r="BV59" s="442"/>
      <c r="BW59" s="442"/>
      <c r="BX59" s="442"/>
      <c r="BY59" s="442"/>
      <c r="BZ59" s="442"/>
      <c r="CA59" s="442"/>
      <c r="CB59" s="442"/>
      <c r="CC59" s="442"/>
      <c r="CD59" s="442"/>
      <c r="CE59" s="442"/>
      <c r="CF59" s="442"/>
      <c r="CG59" s="442"/>
      <c r="CH59" s="442"/>
      <c r="CI59" s="442"/>
      <c r="CJ59" s="442"/>
      <c r="CK59" s="442"/>
      <c r="CL59" s="442"/>
      <c r="CM59" s="442"/>
      <c r="CN59" s="442"/>
      <c r="CO59" s="442"/>
      <c r="CP59" s="442"/>
      <c r="CQ59" s="442"/>
      <c r="CR59" s="442"/>
      <c r="CS59" s="442"/>
    </row>
    <row r="60" spans="1:97" s="447" customFormat="1" ht="16.5" customHeight="1">
      <c r="A60" s="1742"/>
      <c r="B60" s="443"/>
      <c r="C60" s="1742"/>
      <c r="D60" s="436"/>
      <c r="E60" s="437"/>
      <c r="F60" s="437"/>
      <c r="G60" s="444"/>
      <c r="H60" s="444"/>
      <c r="I60" s="444"/>
      <c r="J60" s="445"/>
      <c r="K60" s="444"/>
      <c r="L60" s="446"/>
      <c r="M60" s="446"/>
      <c r="N60" s="446"/>
      <c r="O60" s="442"/>
      <c r="P60" s="442"/>
      <c r="Q60" s="442"/>
      <c r="R60" s="442"/>
      <c r="S60" s="442"/>
      <c r="T60" s="442"/>
      <c r="U60" s="442"/>
      <c r="V60" s="442"/>
      <c r="W60" s="442"/>
      <c r="X60" s="442"/>
      <c r="Y60" s="442"/>
      <c r="Z60" s="442"/>
      <c r="AA60" s="540"/>
      <c r="AB60" s="540"/>
      <c r="AC60" s="540"/>
      <c r="AD60" s="540"/>
      <c r="AE60" s="540"/>
      <c r="AF60" s="540"/>
      <c r="AG60" s="540"/>
      <c r="AH60" s="540"/>
      <c r="AI60" s="540"/>
      <c r="AJ60" s="540"/>
      <c r="AK60" s="540"/>
      <c r="AL60" s="540"/>
      <c r="AM60" s="540"/>
      <c r="AN60" s="540"/>
      <c r="AO60" s="540"/>
      <c r="AP60" s="540"/>
      <c r="AQ60" s="540"/>
      <c r="AR60" s="540"/>
      <c r="AS60" s="540"/>
      <c r="AT60" s="540"/>
      <c r="AU60" s="540"/>
      <c r="AV60" s="540"/>
      <c r="AW60" s="540"/>
      <c r="AX60" s="540"/>
      <c r="AY60" s="442"/>
      <c r="AZ60" s="442"/>
      <c r="BA60" s="442"/>
      <c r="BB60" s="442"/>
      <c r="BC60" s="442"/>
      <c r="BD60" s="442"/>
      <c r="BE60" s="442"/>
      <c r="BF60" s="442"/>
      <c r="BG60" s="442"/>
      <c r="BH60" s="442"/>
      <c r="BI60" s="442"/>
      <c r="BJ60" s="442"/>
      <c r="BK60" s="442"/>
      <c r="BL60" s="442"/>
      <c r="BM60" s="442"/>
      <c r="BN60" s="442"/>
      <c r="BO60" s="442"/>
      <c r="BP60" s="442"/>
      <c r="BQ60" s="442"/>
      <c r="BR60" s="442"/>
      <c r="BS60" s="442"/>
      <c r="BT60" s="442"/>
      <c r="BU60" s="442"/>
      <c r="BV60" s="442"/>
      <c r="BW60" s="442"/>
      <c r="BX60" s="442"/>
      <c r="BY60" s="442"/>
      <c r="BZ60" s="442"/>
      <c r="CA60" s="442"/>
      <c r="CB60" s="442"/>
      <c r="CC60" s="442"/>
      <c r="CD60" s="442"/>
      <c r="CE60" s="442"/>
      <c r="CF60" s="442"/>
      <c r="CG60" s="442"/>
      <c r="CH60" s="442"/>
      <c r="CI60" s="442"/>
      <c r="CJ60" s="442"/>
      <c r="CK60" s="442"/>
      <c r="CL60" s="442"/>
      <c r="CM60" s="442"/>
      <c r="CN60" s="442"/>
      <c r="CO60" s="442"/>
      <c r="CP60" s="442"/>
      <c r="CQ60" s="442"/>
      <c r="CR60" s="442"/>
      <c r="CS60" s="442"/>
    </row>
    <row r="61" spans="1:97" s="447" customFormat="1" ht="16.5" customHeight="1">
      <c r="A61" s="1742"/>
      <c r="B61" s="443"/>
      <c r="C61" s="1742"/>
      <c r="D61" s="436"/>
      <c r="E61" s="437"/>
      <c r="F61" s="437"/>
      <c r="G61" s="444"/>
      <c r="H61" s="444"/>
      <c r="I61" s="444"/>
      <c r="J61" s="445"/>
      <c r="K61" s="444"/>
      <c r="L61" s="446"/>
      <c r="M61" s="446"/>
      <c r="N61" s="446"/>
      <c r="O61" s="442"/>
      <c r="P61" s="442"/>
      <c r="Q61" s="442"/>
      <c r="R61" s="442"/>
      <c r="S61" s="442"/>
      <c r="T61" s="442"/>
      <c r="U61" s="442"/>
      <c r="V61" s="442"/>
      <c r="W61" s="442"/>
      <c r="X61" s="442"/>
      <c r="Y61" s="442"/>
      <c r="Z61" s="442"/>
      <c r="AA61" s="540"/>
      <c r="AB61" s="540"/>
      <c r="AC61" s="540"/>
      <c r="AD61" s="540"/>
      <c r="AE61" s="540"/>
      <c r="AF61" s="540"/>
      <c r="AG61" s="540"/>
      <c r="AH61" s="540"/>
      <c r="AI61" s="540"/>
      <c r="AJ61" s="540"/>
      <c r="AK61" s="540"/>
      <c r="AL61" s="540"/>
      <c r="AM61" s="540"/>
      <c r="AN61" s="540"/>
      <c r="AO61" s="540"/>
      <c r="AP61" s="540"/>
      <c r="AQ61" s="540"/>
      <c r="AR61" s="540"/>
      <c r="AS61" s="540"/>
      <c r="AT61" s="540"/>
      <c r="AU61" s="540"/>
      <c r="AV61" s="540"/>
      <c r="AW61" s="540"/>
      <c r="AX61" s="540"/>
      <c r="AY61" s="442"/>
      <c r="AZ61" s="442"/>
      <c r="BA61" s="442"/>
      <c r="BB61" s="442"/>
      <c r="BC61" s="442"/>
      <c r="BD61" s="442"/>
      <c r="BE61" s="442"/>
      <c r="BF61" s="442"/>
      <c r="BG61" s="442"/>
      <c r="BH61" s="442"/>
      <c r="BI61" s="442"/>
      <c r="BJ61" s="442"/>
      <c r="BK61" s="442"/>
      <c r="BL61" s="442"/>
      <c r="BM61" s="442"/>
      <c r="BN61" s="442"/>
      <c r="BO61" s="442"/>
      <c r="BP61" s="442"/>
      <c r="BQ61" s="442"/>
      <c r="BR61" s="442"/>
      <c r="BS61" s="442"/>
      <c r="BT61" s="442"/>
      <c r="BU61" s="442"/>
      <c r="BV61" s="442"/>
      <c r="BW61" s="442"/>
      <c r="BX61" s="442"/>
      <c r="BY61" s="442"/>
      <c r="BZ61" s="442"/>
      <c r="CA61" s="442"/>
      <c r="CB61" s="442"/>
      <c r="CC61" s="442"/>
      <c r="CD61" s="442"/>
      <c r="CE61" s="442"/>
      <c r="CF61" s="442"/>
      <c r="CG61" s="442"/>
      <c r="CH61" s="442"/>
      <c r="CI61" s="442"/>
      <c r="CJ61" s="442"/>
      <c r="CK61" s="442"/>
      <c r="CL61" s="442"/>
      <c r="CM61" s="442"/>
      <c r="CN61" s="442"/>
      <c r="CO61" s="442"/>
      <c r="CP61" s="442"/>
      <c r="CQ61" s="442"/>
      <c r="CR61" s="442"/>
      <c r="CS61" s="442"/>
    </row>
    <row r="62" spans="1:97" s="1730" customFormat="1" ht="16.5" customHeight="1">
      <c r="A62" s="1741">
        <v>1</v>
      </c>
      <c r="B62" s="1741">
        <v>2</v>
      </c>
      <c r="C62" s="1741">
        <v>3</v>
      </c>
      <c r="D62" s="1741">
        <v>4</v>
      </c>
      <c r="E62" s="1741">
        <v>5</v>
      </c>
      <c r="F62" s="1741">
        <v>6</v>
      </c>
      <c r="G62" s="1741">
        <v>7</v>
      </c>
      <c r="H62" s="1741">
        <v>8</v>
      </c>
      <c r="I62" s="1741">
        <v>9</v>
      </c>
      <c r="J62" s="1742">
        <v>10</v>
      </c>
      <c r="K62" s="1741">
        <v>11</v>
      </c>
      <c r="L62" s="1741">
        <v>12</v>
      </c>
      <c r="M62" s="1742">
        <v>13</v>
      </c>
      <c r="N62" s="1742">
        <v>14</v>
      </c>
      <c r="O62" s="1742"/>
      <c r="P62" s="1742"/>
      <c r="Q62" s="1741"/>
      <c r="R62" s="1741"/>
      <c r="S62" s="1741"/>
      <c r="T62" s="1741"/>
      <c r="U62" s="1741"/>
      <c r="V62" s="1741"/>
      <c r="W62" s="1741"/>
      <c r="X62" s="1741"/>
      <c r="Y62" s="1741"/>
      <c r="Z62" s="1741"/>
      <c r="AA62" s="1747"/>
      <c r="AB62" s="1747"/>
      <c r="AC62" s="1747"/>
      <c r="AD62" s="1747"/>
      <c r="AE62" s="1747"/>
      <c r="AF62" s="1747"/>
      <c r="AG62" s="1747"/>
      <c r="AH62" s="1747"/>
      <c r="AI62" s="1747"/>
      <c r="AJ62" s="1747"/>
      <c r="AK62" s="1747"/>
      <c r="AL62" s="1747"/>
      <c r="AM62" s="1747"/>
      <c r="AN62" s="1747"/>
      <c r="AO62" s="1747"/>
      <c r="AP62" s="1747"/>
      <c r="AQ62" s="1747"/>
      <c r="AR62" s="1747"/>
      <c r="AS62" s="1747"/>
      <c r="AT62" s="1747"/>
      <c r="AU62" s="1747"/>
      <c r="AV62" s="1747"/>
      <c r="AW62" s="1747"/>
      <c r="AX62" s="1747"/>
      <c r="AY62" s="1741"/>
      <c r="AZ62" s="1741"/>
      <c r="BA62" s="1741"/>
      <c r="BB62" s="1741"/>
      <c r="BC62" s="1741"/>
      <c r="BD62" s="1741"/>
      <c r="BE62" s="1741"/>
      <c r="BF62" s="1741"/>
      <c r="BG62" s="1741"/>
      <c r="BH62" s="1741"/>
      <c r="BI62" s="1741"/>
      <c r="BJ62" s="1741"/>
      <c r="BK62" s="1741"/>
      <c r="BL62" s="1741"/>
      <c r="BM62" s="1741"/>
      <c r="BN62" s="1741"/>
      <c r="BO62" s="1741"/>
      <c r="BP62" s="1741"/>
      <c r="BQ62" s="1741"/>
      <c r="BR62" s="1741"/>
      <c r="BS62" s="1741"/>
      <c r="BT62" s="1741"/>
      <c r="BU62" s="1741"/>
      <c r="BV62" s="1741"/>
      <c r="BW62" s="1741"/>
      <c r="BX62" s="1741"/>
      <c r="BY62" s="1741"/>
      <c r="BZ62" s="1741"/>
      <c r="CA62" s="1741"/>
      <c r="CB62" s="1741"/>
      <c r="CC62" s="1741"/>
      <c r="CD62" s="1741"/>
      <c r="CE62" s="1741"/>
      <c r="CF62" s="1741"/>
      <c r="CG62" s="1741"/>
      <c r="CH62" s="1741"/>
      <c r="CI62" s="1741"/>
      <c r="CJ62" s="1741"/>
      <c r="CK62" s="1741"/>
      <c r="CL62" s="1741"/>
      <c r="CM62" s="1741"/>
      <c r="CN62" s="1741"/>
      <c r="CO62" s="1741"/>
      <c r="CP62" s="1741"/>
      <c r="CQ62" s="1741"/>
      <c r="CR62" s="1741"/>
      <c r="CS62" s="1741"/>
    </row>
    <row r="63" spans="1:97" ht="16.5" customHeight="1" thickBot="1">
      <c r="A63" s="1748"/>
      <c r="B63" s="1857" t="s">
        <v>254</v>
      </c>
      <c r="C63" s="2003"/>
      <c r="D63" s="1858"/>
      <c r="E63" s="1957" t="s">
        <v>114</v>
      </c>
      <c r="F63" s="1958"/>
      <c r="G63" s="1958"/>
      <c r="H63" s="1958"/>
      <c r="I63" s="1959"/>
      <c r="J63" s="1968">
        <f>$J$2</f>
        <v>1</v>
      </c>
      <c r="K63" s="450"/>
      <c r="L63" s="451"/>
      <c r="M63" s="1963" t="s">
        <v>68</v>
      </c>
      <c r="N63" s="1963"/>
      <c r="O63" s="1306"/>
      <c r="P63" s="1307"/>
      <c r="Q63" s="438"/>
      <c r="R63" s="438"/>
      <c r="S63" s="438"/>
      <c r="T63" s="438"/>
      <c r="U63" s="438"/>
      <c r="V63" s="438"/>
      <c r="W63" s="438"/>
      <c r="X63" s="438"/>
      <c r="Y63" s="438"/>
      <c r="Z63" s="438"/>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438"/>
      <c r="AZ63" s="438"/>
      <c r="BA63" s="438"/>
      <c r="BB63" s="438"/>
      <c r="BC63" s="438"/>
      <c r="BD63" s="438"/>
      <c r="BE63" s="438"/>
      <c r="BF63" s="438"/>
      <c r="BG63" s="438"/>
      <c r="BH63" s="438"/>
      <c r="BI63" s="438"/>
      <c r="BJ63" s="438"/>
      <c r="BK63" s="438"/>
      <c r="BL63" s="438"/>
      <c r="BM63" s="438"/>
      <c r="BN63" s="438"/>
      <c r="BO63" s="438"/>
      <c r="BP63" s="438"/>
      <c r="BQ63" s="438"/>
      <c r="BR63" s="438"/>
      <c r="BS63" s="438"/>
      <c r="BT63" s="438"/>
      <c r="BU63" s="438"/>
      <c r="BV63" s="438"/>
      <c r="BW63" s="438"/>
      <c r="BX63" s="438"/>
      <c r="BY63" s="438"/>
      <c r="BZ63" s="438"/>
      <c r="CA63" s="438"/>
      <c r="CB63" s="438"/>
      <c r="CC63" s="438"/>
      <c r="CD63" s="438"/>
      <c r="CE63" s="438"/>
      <c r="CF63" s="438"/>
      <c r="CG63" s="438"/>
      <c r="CH63" s="438"/>
      <c r="CI63" s="438"/>
      <c r="CJ63" s="438"/>
      <c r="CK63" s="438"/>
      <c r="CL63" s="438"/>
      <c r="CM63" s="438"/>
      <c r="CN63" s="438"/>
      <c r="CO63" s="438"/>
      <c r="CP63" s="438"/>
      <c r="CQ63" s="438"/>
      <c r="CR63" s="438"/>
      <c r="CS63" s="438"/>
    </row>
    <row r="64" spans="1:97" ht="16.5" customHeight="1" thickBot="1">
      <c r="A64" s="1749"/>
      <c r="B64" s="1857"/>
      <c r="C64" s="2003"/>
      <c r="D64" s="1858"/>
      <c r="E64" s="1960"/>
      <c r="F64" s="1961"/>
      <c r="G64" s="1961"/>
      <c r="H64" s="1961"/>
      <c r="I64" s="1962"/>
      <c r="J64" s="1968"/>
      <c r="K64" s="452"/>
      <c r="L64" s="453"/>
      <c r="M64" s="1964"/>
      <c r="N64" s="1964"/>
      <c r="O64" s="1308"/>
      <c r="P64" s="1307"/>
      <c r="Q64" s="438"/>
      <c r="R64" s="438"/>
      <c r="S64" s="438"/>
      <c r="T64" s="438"/>
      <c r="U64" s="438"/>
      <c r="V64" s="438"/>
      <c r="W64" s="438"/>
      <c r="X64" s="438"/>
      <c r="Y64" s="438"/>
      <c r="Z64" s="438"/>
      <c r="AA64" s="537"/>
      <c r="AB64" s="537"/>
      <c r="AC64" s="537"/>
      <c r="AD64" s="537"/>
      <c r="AE64" s="537"/>
      <c r="AF64" s="537"/>
      <c r="AG64" s="541" t="s">
        <v>90</v>
      </c>
      <c r="AH64" s="1965" t="s">
        <v>71</v>
      </c>
      <c r="AI64" s="1966"/>
      <c r="AJ64" s="1966"/>
      <c r="AK64" s="1966"/>
      <c r="AL64" s="1967"/>
      <c r="AM64" s="537"/>
      <c r="AN64" s="537"/>
      <c r="AO64" s="537"/>
      <c r="AP64" s="1973">
        <f>IF((AG65&lt;10),(AG65+1),10)</f>
        <v>1</v>
      </c>
      <c r="AQ64" s="1974"/>
      <c r="AR64" s="1974"/>
      <c r="AS64" s="1974"/>
      <c r="AT64" s="1975"/>
      <c r="AU64" s="537"/>
      <c r="AV64" s="537"/>
      <c r="AW64" s="537"/>
      <c r="AX64" s="1954" t="s">
        <v>73</v>
      </c>
      <c r="AY64" s="1955"/>
      <c r="AZ64" s="1955"/>
      <c r="BA64" s="1955"/>
      <c r="BB64" s="1956"/>
      <c r="BC64" s="438"/>
      <c r="BD64" s="438"/>
      <c r="BE64" s="438"/>
      <c r="BF64" s="1954" t="s">
        <v>74</v>
      </c>
      <c r="BG64" s="1955"/>
      <c r="BH64" s="1955"/>
      <c r="BI64" s="1955"/>
      <c r="BJ64" s="1956"/>
      <c r="BK64" s="438"/>
      <c r="BL64" s="438"/>
      <c r="BM64" s="438"/>
      <c r="BN64" s="1954" t="s">
        <v>75</v>
      </c>
      <c r="BO64" s="1955"/>
      <c r="BP64" s="1955"/>
      <c r="BQ64" s="1955"/>
      <c r="BR64" s="1956"/>
      <c r="BS64" s="438"/>
      <c r="BT64" s="438"/>
      <c r="BU64" s="438"/>
      <c r="BV64" s="1954" t="s">
        <v>76</v>
      </c>
      <c r="BW64" s="1955"/>
      <c r="BX64" s="1955"/>
      <c r="BY64" s="1955"/>
      <c r="BZ64" s="1956"/>
      <c r="CA64" s="438"/>
      <c r="CB64" s="438"/>
      <c r="CC64" s="438"/>
      <c r="CD64" s="1954" t="s">
        <v>77</v>
      </c>
      <c r="CE64" s="1955"/>
      <c r="CF64" s="1955"/>
      <c r="CG64" s="1955"/>
      <c r="CH64" s="1956"/>
      <c r="CI64" s="438"/>
      <c r="CJ64" s="438"/>
      <c r="CK64" s="438"/>
      <c r="CL64" s="1952" t="s">
        <v>78</v>
      </c>
      <c r="CM64" s="1953"/>
      <c r="CN64" s="1953"/>
      <c r="CO64" s="535">
        <f>AG65+1</f>
        <v>1</v>
      </c>
      <c r="CP64" s="449"/>
      <c r="CQ64" s="449"/>
      <c r="CR64" s="449"/>
      <c r="CS64" s="438"/>
    </row>
    <row r="65" spans="1:97" ht="16.5" customHeight="1" thickBot="1">
      <c r="A65" s="1749"/>
      <c r="B65" s="2004"/>
      <c r="C65" s="2005"/>
      <c r="D65" s="2006"/>
      <c r="E65" s="745" t="s">
        <v>255</v>
      </c>
      <c r="F65" s="746" t="s">
        <v>256</v>
      </c>
      <c r="G65" s="747" t="s">
        <v>724</v>
      </c>
      <c r="H65" s="746" t="s">
        <v>257</v>
      </c>
      <c r="I65" s="746" t="s">
        <v>258</v>
      </c>
      <c r="J65" s="748" t="s">
        <v>259</v>
      </c>
      <c r="K65" s="746" t="s">
        <v>260</v>
      </c>
      <c r="L65" s="746" t="s">
        <v>72</v>
      </c>
      <c r="M65" s="1309" t="s">
        <v>88</v>
      </c>
      <c r="N65" s="1310" t="s">
        <v>48</v>
      </c>
      <c r="O65" s="1311"/>
      <c r="P65" s="1312"/>
      <c r="Q65" s="531" t="s">
        <v>255</v>
      </c>
      <c r="R65" s="532" t="s">
        <v>256</v>
      </c>
      <c r="S65" s="532" t="s">
        <v>223</v>
      </c>
      <c r="T65" s="532" t="s">
        <v>257</v>
      </c>
      <c r="U65" s="532" t="s">
        <v>258</v>
      </c>
      <c r="V65" s="1540"/>
      <c r="W65" s="1540"/>
      <c r="X65" s="1540"/>
      <c r="Y65" s="532" t="s">
        <v>259</v>
      </c>
      <c r="Z65" s="532" t="s">
        <v>261</v>
      </c>
      <c r="AA65" s="542" t="s">
        <v>262</v>
      </c>
      <c r="AB65" s="542" t="s">
        <v>260</v>
      </c>
      <c r="AC65" s="542" t="s">
        <v>72</v>
      </c>
      <c r="AD65" s="542" t="s">
        <v>88</v>
      </c>
      <c r="AE65" s="542" t="s">
        <v>89</v>
      </c>
      <c r="AF65" s="543" t="s">
        <v>48</v>
      </c>
      <c r="AG65" s="1128">
        <f>J63-1</f>
        <v>0</v>
      </c>
      <c r="AH65" s="544" t="s">
        <v>255</v>
      </c>
      <c r="AI65" s="545" t="s">
        <v>256</v>
      </c>
      <c r="AJ65" s="545" t="s">
        <v>257</v>
      </c>
      <c r="AK65" s="545" t="s">
        <v>258</v>
      </c>
      <c r="AL65" s="546" t="s">
        <v>259</v>
      </c>
      <c r="AM65" s="545" t="s">
        <v>72</v>
      </c>
      <c r="AN65" s="545" t="s">
        <v>88</v>
      </c>
      <c r="AO65" s="546" t="s">
        <v>48</v>
      </c>
      <c r="AP65" s="544" t="s">
        <v>255</v>
      </c>
      <c r="AQ65" s="545" t="s">
        <v>256</v>
      </c>
      <c r="AR65" s="545" t="s">
        <v>257</v>
      </c>
      <c r="AS65" s="545" t="s">
        <v>258</v>
      </c>
      <c r="AT65" s="546" t="s">
        <v>259</v>
      </c>
      <c r="AU65" s="545" t="s">
        <v>72</v>
      </c>
      <c r="AV65" s="545" t="s">
        <v>88</v>
      </c>
      <c r="AW65" s="546" t="s">
        <v>48</v>
      </c>
      <c r="AX65" s="544" t="s">
        <v>255</v>
      </c>
      <c r="AY65" s="529" t="s">
        <v>256</v>
      </c>
      <c r="AZ65" s="529" t="s">
        <v>257</v>
      </c>
      <c r="BA65" s="529" t="s">
        <v>258</v>
      </c>
      <c r="BB65" s="533" t="s">
        <v>259</v>
      </c>
      <c r="BC65" s="529" t="s">
        <v>72</v>
      </c>
      <c r="BD65" s="529" t="s">
        <v>88</v>
      </c>
      <c r="BE65" s="533" t="s">
        <v>48</v>
      </c>
      <c r="BF65" s="530" t="s">
        <v>255</v>
      </c>
      <c r="BG65" s="529" t="s">
        <v>256</v>
      </c>
      <c r="BH65" s="529" t="s">
        <v>257</v>
      </c>
      <c r="BI65" s="529" t="s">
        <v>258</v>
      </c>
      <c r="BJ65" s="533" t="s">
        <v>259</v>
      </c>
      <c r="BK65" s="529" t="s">
        <v>72</v>
      </c>
      <c r="BL65" s="529" t="s">
        <v>88</v>
      </c>
      <c r="BM65" s="533" t="s">
        <v>48</v>
      </c>
      <c r="BN65" s="530" t="s">
        <v>255</v>
      </c>
      <c r="BO65" s="529" t="s">
        <v>256</v>
      </c>
      <c r="BP65" s="529" t="s">
        <v>257</v>
      </c>
      <c r="BQ65" s="529" t="s">
        <v>258</v>
      </c>
      <c r="BR65" s="533" t="s">
        <v>259</v>
      </c>
      <c r="BS65" s="529" t="s">
        <v>72</v>
      </c>
      <c r="BT65" s="529" t="s">
        <v>88</v>
      </c>
      <c r="BU65" s="533" t="s">
        <v>48</v>
      </c>
      <c r="BV65" s="530" t="s">
        <v>255</v>
      </c>
      <c r="BW65" s="529" t="s">
        <v>256</v>
      </c>
      <c r="BX65" s="529" t="s">
        <v>257</v>
      </c>
      <c r="BY65" s="529" t="s">
        <v>258</v>
      </c>
      <c r="BZ65" s="533" t="s">
        <v>259</v>
      </c>
      <c r="CA65" s="529" t="s">
        <v>72</v>
      </c>
      <c r="CB65" s="529" t="s">
        <v>88</v>
      </c>
      <c r="CC65" s="529" t="s">
        <v>48</v>
      </c>
      <c r="CD65" s="534" t="s">
        <v>255</v>
      </c>
      <c r="CE65" s="529" t="s">
        <v>256</v>
      </c>
      <c r="CF65" s="529" t="s">
        <v>257</v>
      </c>
      <c r="CG65" s="529" t="s">
        <v>258</v>
      </c>
      <c r="CH65" s="533" t="s">
        <v>259</v>
      </c>
      <c r="CI65" s="529" t="s">
        <v>72</v>
      </c>
      <c r="CJ65" s="529" t="s">
        <v>88</v>
      </c>
      <c r="CK65" s="533" t="s">
        <v>48</v>
      </c>
      <c r="CL65" s="530" t="s">
        <v>255</v>
      </c>
      <c r="CM65" s="529" t="s">
        <v>256</v>
      </c>
      <c r="CN65" s="529" t="s">
        <v>257</v>
      </c>
      <c r="CO65" s="533" t="s">
        <v>258</v>
      </c>
      <c r="CP65" s="529" t="s">
        <v>259</v>
      </c>
      <c r="CQ65" s="529" t="s">
        <v>72</v>
      </c>
      <c r="CR65" s="529" t="s">
        <v>88</v>
      </c>
      <c r="CS65" s="529" t="s">
        <v>48</v>
      </c>
    </row>
    <row r="66" spans="1:97" ht="16.5" customHeight="1">
      <c r="A66" s="1741">
        <v>101</v>
      </c>
      <c r="B66" s="1981" t="s">
        <v>92</v>
      </c>
      <c r="C66" s="1990"/>
      <c r="D66" s="1991"/>
      <c r="E66" s="1189">
        <v>0</v>
      </c>
      <c r="F66" s="1189">
        <v>0</v>
      </c>
      <c r="G66" s="1189">
        <v>0</v>
      </c>
      <c r="H66" s="1189">
        <v>0</v>
      </c>
      <c r="I66" s="1189">
        <v>0</v>
      </c>
      <c r="J66" s="1189">
        <v>0</v>
      </c>
      <c r="K66" s="1189">
        <v>0</v>
      </c>
      <c r="L66" s="1189">
        <v>0</v>
      </c>
      <c r="M66" s="1189">
        <v>0</v>
      </c>
      <c r="N66" s="1189">
        <v>0</v>
      </c>
      <c r="O66" s="1313"/>
      <c r="P66" s="1313"/>
      <c r="Q66" s="1314"/>
      <c r="R66" s="1315"/>
      <c r="S66" s="1315"/>
      <c r="T66" s="1315"/>
      <c r="U66" s="1315"/>
      <c r="V66" s="1315"/>
      <c r="W66" s="1315"/>
      <c r="X66" s="1315"/>
      <c r="Y66" s="1315"/>
      <c r="Z66" s="1315"/>
      <c r="AA66" s="1316"/>
      <c r="AB66" s="1316"/>
      <c r="AC66" s="1316"/>
      <c r="AD66" s="1316"/>
      <c r="AE66" s="1316"/>
      <c r="AF66" s="1317"/>
      <c r="AG66" s="1318"/>
      <c r="AH66" s="1319"/>
      <c r="AI66" s="1320"/>
      <c r="AJ66" s="1320"/>
      <c r="AK66" s="1320"/>
      <c r="AL66" s="1321"/>
      <c r="AM66" s="1320"/>
      <c r="AN66" s="1320"/>
      <c r="AO66" s="1321"/>
      <c r="AP66" s="1319"/>
      <c r="AQ66" s="1320"/>
      <c r="AR66" s="1320"/>
      <c r="AS66" s="1320"/>
      <c r="AT66" s="1321"/>
      <c r="AU66" s="1320"/>
      <c r="AV66" s="1320"/>
      <c r="AW66" s="1321"/>
      <c r="AX66" s="1319"/>
      <c r="AY66" s="1220"/>
      <c r="AZ66" s="1220"/>
      <c r="BA66" s="1220"/>
      <c r="BB66" s="1322"/>
      <c r="BC66" s="1220"/>
      <c r="BD66" s="1220"/>
      <c r="BE66" s="1322"/>
      <c r="BF66" s="1219"/>
      <c r="BG66" s="1220"/>
      <c r="BH66" s="1220"/>
      <c r="BI66" s="1220"/>
      <c r="BJ66" s="1322"/>
      <c r="BK66" s="1220"/>
      <c r="BL66" s="1220"/>
      <c r="BM66" s="1322"/>
      <c r="BN66" s="1219"/>
      <c r="BO66" s="1220"/>
      <c r="BP66" s="1220"/>
      <c r="BQ66" s="1220"/>
      <c r="BR66" s="1322"/>
      <c r="BS66" s="1220"/>
      <c r="BT66" s="1220"/>
      <c r="BU66" s="1322"/>
      <c r="BV66" s="1219"/>
      <c r="BW66" s="1220"/>
      <c r="BX66" s="1220"/>
      <c r="BY66" s="1220"/>
      <c r="BZ66" s="1322"/>
      <c r="CA66" s="1220"/>
      <c r="CB66" s="1220"/>
      <c r="CC66" s="1220"/>
      <c r="CD66" s="1323"/>
      <c r="CE66" s="1220"/>
      <c r="CF66" s="1220"/>
      <c r="CG66" s="1220"/>
      <c r="CH66" s="1322"/>
      <c r="CI66" s="1220"/>
      <c r="CJ66" s="1220"/>
      <c r="CK66" s="1322"/>
      <c r="CL66" s="1219"/>
      <c r="CM66" s="1220"/>
      <c r="CN66" s="1220"/>
      <c r="CO66" s="1322"/>
      <c r="CP66" s="1220"/>
      <c r="CQ66" s="1220"/>
      <c r="CR66" s="1220"/>
      <c r="CS66" s="1220"/>
    </row>
    <row r="67" spans="1:97" ht="16.5" customHeight="1" thickBot="1">
      <c r="A67" s="1739">
        <v>109</v>
      </c>
      <c r="B67" s="1982"/>
      <c r="C67" s="2007" t="s">
        <v>264</v>
      </c>
      <c r="D67" s="2008"/>
      <c r="E67" s="1190">
        <v>0</v>
      </c>
      <c r="F67" s="1191">
        <f t="shared" ref="F67" si="54">IF((R67&lt;&gt;""),SUM(((R67+AQ67)+CM67)),"")</f>
        <v>50</v>
      </c>
      <c r="G67" s="1192">
        <v>0</v>
      </c>
      <c r="H67" s="1191">
        <v>0</v>
      </c>
      <c r="I67" s="1191">
        <v>0</v>
      </c>
      <c r="J67" s="1191">
        <v>0</v>
      </c>
      <c r="K67" s="1193">
        <v>0</v>
      </c>
      <c r="L67" s="1194">
        <f t="shared" ref="L67" si="55">IF((AC67&lt;&gt;""),SUM(((AC67+AU67)+CQ67)),"")</f>
        <v>30</v>
      </c>
      <c r="M67" s="1193">
        <f t="shared" ref="M67" si="56">IF((AD67&lt;&gt;""),SUM(((AD67+AV67)+CR67)),"")</f>
        <v>50</v>
      </c>
      <c r="N67" s="1195">
        <f t="shared" ref="N67" si="57">IF((AF67&lt;&gt;""),SUM(((AF67+AW67)+CS67)),"")</f>
        <v>2500</v>
      </c>
      <c r="O67" s="1324"/>
      <c r="P67" s="1324"/>
      <c r="Q67" s="1230"/>
      <c r="R67" s="1231">
        <v>50</v>
      </c>
      <c r="S67" s="1231"/>
      <c r="T67" s="1231"/>
      <c r="U67" s="1231"/>
      <c r="V67" s="1231"/>
      <c r="W67" s="1231"/>
      <c r="X67" s="1231"/>
      <c r="Y67" s="1231"/>
      <c r="Z67" s="1231"/>
      <c r="AA67" s="1325"/>
      <c r="AB67" s="1325"/>
      <c r="AC67" s="1325">
        <v>30</v>
      </c>
      <c r="AD67" s="1325">
        <v>50</v>
      </c>
      <c r="AE67" s="1325"/>
      <c r="AF67" s="1326">
        <v>2500</v>
      </c>
      <c r="AG67" s="1327">
        <f t="shared" ref="AG67:AG83" si="58">$AG$65</f>
        <v>0</v>
      </c>
      <c r="AH67" s="1328"/>
      <c r="AI67" s="1325">
        <f>SUM((R67/9))</f>
        <v>5.5555555555555554</v>
      </c>
      <c r="AJ67" s="1325"/>
      <c r="AK67" s="1325"/>
      <c r="AL67" s="1329"/>
      <c r="AM67" s="1325"/>
      <c r="AN67" s="1325"/>
      <c r="AO67" s="1329">
        <f t="shared" ref="AO67" si="59">SUM((AF67/9))</f>
        <v>277.77777777777777</v>
      </c>
      <c r="AP67" s="1328">
        <f t="shared" ref="AP67" si="60">IF(($AG67&lt;10),SUM(ROUNDUP(($AG67*AH67),2)),SUM(ROUNDUP((9*AH67),2)))</f>
        <v>0</v>
      </c>
      <c r="AQ67" s="1325">
        <f t="shared" ref="AQ67" si="61">IF(($AG67&lt;10),SUM(ROUNDUP(($AG67*AI67),2)),SUM(ROUNDUP((9*AI67),2)))</f>
        <v>0</v>
      </c>
      <c r="AR67" s="1325"/>
      <c r="AS67" s="1325"/>
      <c r="AT67" s="1329"/>
      <c r="AU67" s="1325">
        <f t="shared" ref="AU67" si="62">IF(($AG67&lt;10),SUM(ROUNDUP(($AG67*AM67),2)),SUM(ROUNDUP((9*AM67),2)))</f>
        <v>0</v>
      </c>
      <c r="AV67" s="1325">
        <f t="shared" ref="AV67" si="63">IF(($AG67&lt;10),SUM(ROUNDUP(($AG67*AN67),2)),SUM(ROUNDUP((9*AN67),2)))</f>
        <v>0</v>
      </c>
      <c r="AW67" s="1329">
        <f t="shared" ref="AW67" si="64">IF(($AG67&lt;10),SUM(ROUNDUP(($AG67*AO67),2)),SUM(ROUNDUP((9*AO67),2)))</f>
        <v>0</v>
      </c>
      <c r="AX67" s="1328">
        <f t="shared" ref="AX67" si="65">IF(($AG67&gt;9),SUM(((AH67*0.9)*1)),0)</f>
        <v>0</v>
      </c>
      <c r="AY67" s="1231">
        <f t="shared" ref="AY67" si="66">IF(($AG67&gt;9),SUM(((AI67*0.9)*1)),0)</f>
        <v>0</v>
      </c>
      <c r="AZ67" s="1231">
        <f t="shared" ref="AZ67" si="67">IF(($AG67&gt;9),SUM(((AJ67*0.9)*1)),0)</f>
        <v>0</v>
      </c>
      <c r="BA67" s="1231">
        <f t="shared" ref="BA67" si="68">IF(($AG67&gt;9),SUM(((AK67*0.9)*1)),0)</f>
        <v>0</v>
      </c>
      <c r="BB67" s="1330">
        <f t="shared" ref="BB67" si="69">IF(($AG67&gt;9),SUM(((AL67*0.9)*1)),0)</f>
        <v>0</v>
      </c>
      <c r="BC67" s="1231">
        <f t="shared" ref="BC67" si="70">IF(($AG67&gt;9),SUM(((AM67*0.9)*1)),0)</f>
        <v>0</v>
      </c>
      <c r="BD67" s="1231">
        <f t="shared" ref="BD67" si="71">IF(($AG67&gt;9),SUM(((AN67*0.9)*1)),0)</f>
        <v>0</v>
      </c>
      <c r="BE67" s="1330">
        <f t="shared" ref="BE67" si="72">IF(($AG67&gt;9),SUM(((AO67*0.9)*1)),0)</f>
        <v>0</v>
      </c>
      <c r="BF67" s="1230">
        <f t="shared" ref="BF67" si="73">IF(($AG67&gt;10),SUM(((AH67*0.9)*0.9)),0)</f>
        <v>0</v>
      </c>
      <c r="BG67" s="1231">
        <f t="shared" ref="BG67" si="74">IF(($AG67&gt;10),SUM(((AI67*0.9)*0.9)),0)</f>
        <v>0</v>
      </c>
      <c r="BH67" s="1231">
        <f t="shared" ref="BH67" si="75">IF(($AG67&gt;10),SUM(((AJ67*0.9)*0.9)),0)</f>
        <v>0</v>
      </c>
      <c r="BI67" s="1231">
        <f t="shared" ref="BI67" si="76">IF(($AG67&gt;10),SUM(((AK67*0.9)*0.9)),0)</f>
        <v>0</v>
      </c>
      <c r="BJ67" s="1330">
        <f t="shared" ref="BJ67" si="77">IF(($AG67&gt;10),SUM(((AL67*0.9)*0.9)),0)</f>
        <v>0</v>
      </c>
      <c r="BK67" s="1231">
        <f t="shared" ref="BK67" si="78">IF(($AG67&gt;10),SUM(((AM67*0.9)*0.9)),0)</f>
        <v>0</v>
      </c>
      <c r="BL67" s="1231">
        <f t="shared" ref="BL67" si="79">IF(($AG67&gt;10),SUM(((AN67*0.9)*0.9)),0)</f>
        <v>0</v>
      </c>
      <c r="BM67" s="1330">
        <f t="shared" ref="BM67" si="80">IF(($AG67&gt;10),SUM(((AO67*0.9)*0.9)),0)</f>
        <v>0</v>
      </c>
      <c r="BN67" s="1230">
        <f t="shared" ref="BN67" si="81">IF(($AG67&gt;11),SUM(((AH67*0.9)*0.8)),0)</f>
        <v>0</v>
      </c>
      <c r="BO67" s="1231">
        <f t="shared" ref="BO67" si="82">IF(($AG67&gt;11),SUM(((AI67*0.9)*0.8)),0)</f>
        <v>0</v>
      </c>
      <c r="BP67" s="1231">
        <f t="shared" ref="BP67" si="83">IF(($AG67&gt;11),SUM(((AJ67*0.9)*0.8)),0)</f>
        <v>0</v>
      </c>
      <c r="BQ67" s="1231">
        <f t="shared" ref="BQ67" si="84">IF(($AG67&gt;11),SUM(((AK67*0.9)*0.8)),0)</f>
        <v>0</v>
      </c>
      <c r="BR67" s="1330">
        <f t="shared" ref="BR67" si="85">IF(($AG67&gt;11),SUM(((AL67*0.9)*0.8)),0)</f>
        <v>0</v>
      </c>
      <c r="BS67" s="1231">
        <f t="shared" ref="BS67" si="86">IF(($AG67&gt;11),SUM(((AM67*0.9)*0.8)),0)</f>
        <v>0</v>
      </c>
      <c r="BT67" s="1231">
        <f t="shared" ref="BT67" si="87">IF(($AG67&gt;11),SUM(((AN67*0.9)*0.8)),0)</f>
        <v>0</v>
      </c>
      <c r="BU67" s="1330">
        <f t="shared" ref="BU67" si="88">IF(($AG67&gt;11),SUM(((AO67*0.9)*0.8)),0)</f>
        <v>0</v>
      </c>
      <c r="BV67" s="1230">
        <f t="shared" ref="BV67" si="89">IF(($AG67&gt;12),SUM(((AH67*0.9)*0.7)),0)</f>
        <v>0</v>
      </c>
      <c r="BW67" s="1231">
        <f t="shared" ref="BW67" si="90">IF(($AG67&gt;12),SUM(((AI67*0.9)*0.7)),0)</f>
        <v>0</v>
      </c>
      <c r="BX67" s="1231">
        <f t="shared" ref="BX67" si="91">IF(($AG67&gt;12),SUM(((AJ67*0.9)*0.7)),0)</f>
        <v>0</v>
      </c>
      <c r="BY67" s="1231">
        <f t="shared" ref="BY67" si="92">IF(($AG67&gt;12),SUM(((AK67*0.9)*0.7)),0)</f>
        <v>0</v>
      </c>
      <c r="BZ67" s="1330">
        <f t="shared" ref="BZ67" si="93">IF(($AG67&gt;12),SUM(((AL67*0.9)*0.7)),0)</f>
        <v>0</v>
      </c>
      <c r="CA67" s="1231">
        <f t="shared" ref="CA67" si="94">IF(($AG67&gt;12),SUM(((AM67*0.9)*0.7)),0)</f>
        <v>0</v>
      </c>
      <c r="CB67" s="1231">
        <f t="shared" ref="CB67" si="95">IF(($AG67&gt;12),SUM(((AN67*0.9)*0.7)),0)</f>
        <v>0</v>
      </c>
      <c r="CC67" s="1231">
        <f t="shared" ref="CC67" si="96">IF(($AG67&gt;12),SUM(((AO67*0.9)*0.7)),0)</f>
        <v>0</v>
      </c>
      <c r="CD67" s="1331">
        <f t="shared" ref="CD67" si="97">IF(($AG67&gt;13),SUM(((AH67*0.9)*0.6)),0)</f>
        <v>0</v>
      </c>
      <c r="CE67" s="1231">
        <f t="shared" ref="CE67" si="98">IF(($AG67&gt;13),SUM(((AI67*0.9)*0.6)),0)</f>
        <v>0</v>
      </c>
      <c r="CF67" s="1231">
        <f t="shared" ref="CF67" si="99">IF(($AG67&gt;13),SUM(((AJ67*0.9)*0.6)),0)</f>
        <v>0</v>
      </c>
      <c r="CG67" s="1231">
        <f t="shared" ref="CG67" si="100">IF(($AG67&gt;13),SUM(((AK67*0.9)*0.6)),0)</f>
        <v>0</v>
      </c>
      <c r="CH67" s="1330">
        <f t="shared" ref="CH67" si="101">IF(($AG67&gt;13),SUM(((AL67*0.9)*0.6)),0)</f>
        <v>0</v>
      </c>
      <c r="CI67" s="1231">
        <f t="shared" ref="CI67" si="102">IF(($AG67&gt;13),SUM(((AM67*0.9)*0.6)),0)</f>
        <v>0</v>
      </c>
      <c r="CJ67" s="1231">
        <f t="shared" ref="CJ67" si="103">IF(($AG67&gt;13),SUM(((AN67*0.9)*0.6)),0)</f>
        <v>0</v>
      </c>
      <c r="CK67" s="1330">
        <f t="shared" ref="CK67" si="104">IF(($AG67&gt;13),SUM(((AO67*0.9)*0.6)),0)</f>
        <v>0</v>
      </c>
      <c r="CL67" s="1230">
        <f t="shared" ref="CL67" si="105">SUM(((((AX67+BF67)+BN67)+BV67)+CD67))</f>
        <v>0</v>
      </c>
      <c r="CM67" s="1231">
        <f t="shared" ref="CM67" si="106">SUM(((((AY67+BG67)+BO67)+BW67)+CE67))</f>
        <v>0</v>
      </c>
      <c r="CN67" s="1231">
        <f t="shared" ref="CN67" si="107">SUM(((((AZ67+BH67)+BP67)+BX67)+CF67))</f>
        <v>0</v>
      </c>
      <c r="CO67" s="1330">
        <f t="shared" ref="CO67" si="108">SUM(((((BA67+BI67)+BQ67)+BY67)+CG67))</f>
        <v>0</v>
      </c>
      <c r="CP67" s="1231">
        <f t="shared" ref="CP67" si="109">SUM(((((BB67+BJ67)+BR67)+BZ67)+CH67))</f>
        <v>0</v>
      </c>
      <c r="CQ67" s="1231">
        <f t="shared" ref="CQ67" si="110">SUM(((((BC67+BK67)+BS67)+CA67)+CI67))</f>
        <v>0</v>
      </c>
      <c r="CR67" s="1231">
        <f t="shared" ref="CR67" si="111">SUM(((((BD67+BL67)+BT67)+CB67)+CJ67))</f>
        <v>0</v>
      </c>
      <c r="CS67" s="1231">
        <f t="shared" ref="CS67" si="112">SUM(((((BE67+BM67)+BU67)+CC67)+CK67))</f>
        <v>0</v>
      </c>
    </row>
    <row r="68" spans="1:97" ht="16.5" customHeight="1">
      <c r="A68" s="1741">
        <v>110</v>
      </c>
      <c r="B68" s="1982"/>
      <c r="C68" s="2025" t="s">
        <v>263</v>
      </c>
      <c r="D68" s="2026"/>
      <c r="E68" s="1196">
        <f t="shared" ref="E68:E81" si="113">IF((Q68&lt;&gt;""),SUM(((Q68+AP68)+CL68)),"")</f>
        <v>0.5</v>
      </c>
      <c r="F68" s="1197">
        <v>0</v>
      </c>
      <c r="G68" s="1198">
        <v>0</v>
      </c>
      <c r="H68" s="1197">
        <v>0</v>
      </c>
      <c r="I68" s="1197">
        <v>0</v>
      </c>
      <c r="J68" s="1197">
        <v>0</v>
      </c>
      <c r="K68" s="1199">
        <v>0</v>
      </c>
      <c r="L68" s="1200">
        <v>0</v>
      </c>
      <c r="M68" s="1199">
        <v>0</v>
      </c>
      <c r="N68" s="1201">
        <f t="shared" ref="N68:N83" si="114">IF((AF68&lt;&gt;""),SUM(((AF68+AW68)+CS68)),"")</f>
        <v>2500</v>
      </c>
      <c r="O68" s="1324"/>
      <c r="P68" s="1324"/>
      <c r="Q68" s="1230">
        <v>0.5</v>
      </c>
      <c r="R68" s="1231"/>
      <c r="S68" s="1231"/>
      <c r="T68" s="1231"/>
      <c r="U68" s="1231"/>
      <c r="V68" s="1231"/>
      <c r="W68" s="1231"/>
      <c r="X68" s="1231"/>
      <c r="Y68" s="1231"/>
      <c r="Z68" s="1231"/>
      <c r="AA68" s="1325"/>
      <c r="AB68" s="1325"/>
      <c r="AC68" s="1325"/>
      <c r="AD68" s="1325"/>
      <c r="AE68" s="1325"/>
      <c r="AF68" s="1326">
        <v>2500</v>
      </c>
      <c r="AG68" s="1327">
        <f>$AG$65</f>
        <v>0</v>
      </c>
      <c r="AH68" s="1328">
        <f>SUM((Q68/9))</f>
        <v>5.5555555555555552E-2</v>
      </c>
      <c r="AI68" s="1325"/>
      <c r="AJ68" s="1325"/>
      <c r="AK68" s="1325"/>
      <c r="AL68" s="1329"/>
      <c r="AM68" s="1325"/>
      <c r="AN68" s="1325"/>
      <c r="AO68" s="1329">
        <f t="shared" ref="AO68:AO83" si="115">SUM((AF68/9))</f>
        <v>277.77777777777777</v>
      </c>
      <c r="AP68" s="1328">
        <f t="shared" ref="AP68:AP83" si="116">IF(($AG68&lt;10),SUM(ROUNDUP(($AG68*AH68),2)),SUM(ROUNDUP((9*AH68),2)))</f>
        <v>0</v>
      </c>
      <c r="AQ68" s="1325">
        <f t="shared" ref="AQ68:AQ83" si="117">IF(($AG68&lt;10),SUM(ROUNDUP(($AG68*AI68),2)),SUM(ROUNDUP((9*AI68),2)))</f>
        <v>0</v>
      </c>
      <c r="AR68" s="1325"/>
      <c r="AS68" s="1325"/>
      <c r="AT68" s="1329"/>
      <c r="AU68" s="1325">
        <f t="shared" ref="AU68:AW68" si="118">IF(($AG68&lt;10),SUM(ROUNDUP(($AG68*AM68),2)),SUM(ROUNDUP((9*AM68),2)))</f>
        <v>0</v>
      </c>
      <c r="AV68" s="1325">
        <f t="shared" si="118"/>
        <v>0</v>
      </c>
      <c r="AW68" s="1329">
        <f t="shared" si="118"/>
        <v>0</v>
      </c>
      <c r="AX68" s="1328">
        <f t="shared" ref="AX68:AX83" si="119">IF(($AG68&gt;9),SUM(((AH68*0.9)*1)),0)</f>
        <v>0</v>
      </c>
      <c r="AY68" s="1231">
        <f t="shared" ref="AY68:AY83" si="120">IF(($AG68&gt;9),SUM(((AI68*0.9)*1)),0)</f>
        <v>0</v>
      </c>
      <c r="AZ68" s="1231">
        <f t="shared" ref="AZ68:AZ83" si="121">IF(($AG68&gt;9),SUM(((AJ68*0.9)*1)),0)</f>
        <v>0</v>
      </c>
      <c r="BA68" s="1231">
        <f t="shared" ref="BA68:BA83" si="122">IF(($AG68&gt;9),SUM(((AK68*0.9)*1)),0)</f>
        <v>0</v>
      </c>
      <c r="BB68" s="1330">
        <f t="shared" ref="BB68:BB83" si="123">IF(($AG68&gt;9),SUM(((AL68*0.9)*1)),0)</f>
        <v>0</v>
      </c>
      <c r="BC68" s="1231">
        <f t="shared" ref="BC68:BC83" si="124">IF(($AG68&gt;9),SUM(((AM68*0.9)*1)),0)</f>
        <v>0</v>
      </c>
      <c r="BD68" s="1231">
        <f t="shared" ref="BD68:BD83" si="125">IF(($AG68&gt;9),SUM(((AN68*0.9)*1)),0)</f>
        <v>0</v>
      </c>
      <c r="BE68" s="1330">
        <f t="shared" ref="BE68:BE83" si="126">IF(($AG68&gt;9),SUM(((AO68*0.9)*1)),0)</f>
        <v>0</v>
      </c>
      <c r="BF68" s="1230">
        <f t="shared" ref="BF68:BF83" si="127">IF(($AG68&gt;10),SUM(((AH68*0.9)*0.9)),0)</f>
        <v>0</v>
      </c>
      <c r="BG68" s="1231">
        <f t="shared" ref="BG68:BG83" si="128">IF(($AG68&gt;10),SUM(((AI68*0.9)*0.9)),0)</f>
        <v>0</v>
      </c>
      <c r="BH68" s="1231">
        <f t="shared" ref="BH68:BH83" si="129">IF(($AG68&gt;10),SUM(((AJ68*0.9)*0.9)),0)</f>
        <v>0</v>
      </c>
      <c r="BI68" s="1231">
        <f t="shared" ref="BI68:BI83" si="130">IF(($AG68&gt;10),SUM(((AK68*0.9)*0.9)),0)</f>
        <v>0</v>
      </c>
      <c r="BJ68" s="1330">
        <f t="shared" ref="BJ68:BJ83" si="131">IF(($AG68&gt;10),SUM(((AL68*0.9)*0.9)),0)</f>
        <v>0</v>
      </c>
      <c r="BK68" s="1231">
        <f t="shared" ref="BK68:BK83" si="132">IF(($AG68&gt;10),SUM(((AM68*0.9)*0.9)),0)</f>
        <v>0</v>
      </c>
      <c r="BL68" s="1231">
        <f t="shared" ref="BL68:BL83" si="133">IF(($AG68&gt;10),SUM(((AN68*0.9)*0.9)),0)</f>
        <v>0</v>
      </c>
      <c r="BM68" s="1330">
        <f t="shared" ref="BM68:BM83" si="134">IF(($AG68&gt;10),SUM(((AO68*0.9)*0.9)),0)</f>
        <v>0</v>
      </c>
      <c r="BN68" s="1230">
        <f t="shared" ref="BN68:BN83" si="135">IF(($AG68&gt;11),SUM(((AH68*0.9)*0.8)),0)</f>
        <v>0</v>
      </c>
      <c r="BO68" s="1231">
        <f t="shared" ref="BO68:BO83" si="136">IF(($AG68&gt;11),SUM(((AI68*0.9)*0.8)),0)</f>
        <v>0</v>
      </c>
      <c r="BP68" s="1231">
        <f t="shared" ref="BP68:BP83" si="137">IF(($AG68&gt;11),SUM(((AJ68*0.9)*0.8)),0)</f>
        <v>0</v>
      </c>
      <c r="BQ68" s="1231">
        <f t="shared" ref="BQ68:BQ83" si="138">IF(($AG68&gt;11),SUM(((AK68*0.9)*0.8)),0)</f>
        <v>0</v>
      </c>
      <c r="BR68" s="1330">
        <f t="shared" ref="BR68:BR83" si="139">IF(($AG68&gt;11),SUM(((AL68*0.9)*0.8)),0)</f>
        <v>0</v>
      </c>
      <c r="BS68" s="1231">
        <f t="shared" ref="BS68:BS83" si="140">IF(($AG68&gt;11),SUM(((AM68*0.9)*0.8)),0)</f>
        <v>0</v>
      </c>
      <c r="BT68" s="1231">
        <f t="shared" ref="BT68:BT83" si="141">IF(($AG68&gt;11),SUM(((AN68*0.9)*0.8)),0)</f>
        <v>0</v>
      </c>
      <c r="BU68" s="1330">
        <f t="shared" ref="BU68:BU83" si="142">IF(($AG68&gt;11),SUM(((AO68*0.9)*0.8)),0)</f>
        <v>0</v>
      </c>
      <c r="BV68" s="1230">
        <f t="shared" ref="BV68:BV83" si="143">IF(($AG68&gt;12),SUM(((AH68*0.9)*0.7)),0)</f>
        <v>0</v>
      </c>
      <c r="BW68" s="1231">
        <f t="shared" ref="BW68:BW83" si="144">IF(($AG68&gt;12),SUM(((AI68*0.9)*0.7)),0)</f>
        <v>0</v>
      </c>
      <c r="BX68" s="1231">
        <f t="shared" ref="BX68:BX83" si="145">IF(($AG68&gt;12),SUM(((AJ68*0.9)*0.7)),0)</f>
        <v>0</v>
      </c>
      <c r="BY68" s="1231">
        <f t="shared" ref="BY68:BY83" si="146">IF(($AG68&gt;12),SUM(((AK68*0.9)*0.7)),0)</f>
        <v>0</v>
      </c>
      <c r="BZ68" s="1330">
        <f t="shared" ref="BZ68:BZ83" si="147">IF(($AG68&gt;12),SUM(((AL68*0.9)*0.7)),0)</f>
        <v>0</v>
      </c>
      <c r="CA68" s="1231">
        <f t="shared" ref="CA68:CA83" si="148">IF(($AG68&gt;12),SUM(((AM68*0.9)*0.7)),0)</f>
        <v>0</v>
      </c>
      <c r="CB68" s="1231">
        <f t="shared" ref="CB68:CB83" si="149">IF(($AG68&gt;12),SUM(((AN68*0.9)*0.7)),0)</f>
        <v>0</v>
      </c>
      <c r="CC68" s="1231">
        <f t="shared" ref="CC68:CC83" si="150">IF(($AG68&gt;12),SUM(((AO68*0.9)*0.7)),0)</f>
        <v>0</v>
      </c>
      <c r="CD68" s="1331">
        <f t="shared" ref="CD68:CD83" si="151">IF(($AG68&gt;13),SUM(((AH68*0.9)*0.6)),0)</f>
        <v>0</v>
      </c>
      <c r="CE68" s="1231">
        <f t="shared" ref="CE68:CE83" si="152">IF(($AG68&gt;13),SUM(((AI68*0.9)*0.6)),0)</f>
        <v>0</v>
      </c>
      <c r="CF68" s="1231">
        <f t="shared" ref="CF68:CF83" si="153">IF(($AG68&gt;13),SUM(((AJ68*0.9)*0.6)),0)</f>
        <v>0</v>
      </c>
      <c r="CG68" s="1231">
        <f t="shared" ref="CG68:CG83" si="154">IF(($AG68&gt;13),SUM(((AK68*0.9)*0.6)),0)</f>
        <v>0</v>
      </c>
      <c r="CH68" s="1330">
        <f t="shared" ref="CH68:CH83" si="155">IF(($AG68&gt;13),SUM(((AL68*0.9)*0.6)),0)</f>
        <v>0</v>
      </c>
      <c r="CI68" s="1231">
        <f t="shared" ref="CI68:CI83" si="156">IF(($AG68&gt;13),SUM(((AM68*0.9)*0.6)),0)</f>
        <v>0</v>
      </c>
      <c r="CJ68" s="1231">
        <f t="shared" ref="CJ68:CJ83" si="157">IF(($AG68&gt;13),SUM(((AN68*0.9)*0.6)),0)</f>
        <v>0</v>
      </c>
      <c r="CK68" s="1330">
        <f t="shared" ref="CK68:CK83" si="158">IF(($AG68&gt;13),SUM(((AO68*0.9)*0.6)),0)</f>
        <v>0</v>
      </c>
      <c r="CL68" s="1230">
        <f t="shared" ref="CL68:CL83" si="159">SUM(((((AX68+BF68)+BN68)+BV68)+CD68))</f>
        <v>0</v>
      </c>
      <c r="CM68" s="1231">
        <f t="shared" ref="CM68:CM83" si="160">SUM(((((AY68+BG68)+BO68)+BW68)+CE68))</f>
        <v>0</v>
      </c>
      <c r="CN68" s="1231">
        <f t="shared" ref="CN68:CN83" si="161">SUM(((((AZ68+BH68)+BP68)+BX68)+CF68))</f>
        <v>0</v>
      </c>
      <c r="CO68" s="1330">
        <f t="shared" ref="CO68:CO83" si="162">SUM(((((BA68+BI68)+BQ68)+BY68)+CG68))</f>
        <v>0</v>
      </c>
      <c r="CP68" s="1231">
        <f t="shared" ref="CP68:CP83" si="163">SUM(((((BB68+BJ68)+BR68)+BZ68)+CH68))</f>
        <v>0</v>
      </c>
      <c r="CQ68" s="1231">
        <f t="shared" ref="CQ68:CQ83" si="164">SUM(((((BC68+BK68)+BS68)+CA68)+CI68))</f>
        <v>0</v>
      </c>
      <c r="CR68" s="1231">
        <f t="shared" ref="CR68:CR83" si="165">SUM(((((BD68+BL68)+BT68)+CB68)+CJ68))</f>
        <v>0</v>
      </c>
      <c r="CS68" s="1231">
        <f t="shared" ref="CS68:CS83" si="166">SUM(((((BE68+BM68)+BU68)+CC68)+CK68))</f>
        <v>0</v>
      </c>
    </row>
    <row r="69" spans="1:97" ht="16.5" customHeight="1">
      <c r="A69" s="1739">
        <v>111</v>
      </c>
      <c r="B69" s="1982"/>
      <c r="C69" s="2008" t="s">
        <v>265</v>
      </c>
      <c r="D69" s="2026"/>
      <c r="E69" s="1190">
        <v>0</v>
      </c>
      <c r="F69" s="1191">
        <v>0</v>
      </c>
      <c r="G69" s="1192">
        <f>IF((S69&lt;&gt;""),(S69/100),"")</f>
        <v>0.66700000000000004</v>
      </c>
      <c r="H69" s="1191">
        <v>0</v>
      </c>
      <c r="I69" s="1191">
        <v>0</v>
      </c>
      <c r="J69" s="1191">
        <v>0</v>
      </c>
      <c r="K69" s="1193">
        <v>0</v>
      </c>
      <c r="L69" s="1194">
        <f t="shared" ref="L69:L83" si="167">IF((AC69&lt;&gt;""),SUM(((AC69+AU69)+CQ69)),"")</f>
        <v>15</v>
      </c>
      <c r="M69" s="1193">
        <f t="shared" ref="M69:M83" si="168">IF((AD69&lt;&gt;""),SUM(((AD69+AV69)+CR69)),"")</f>
        <v>15</v>
      </c>
      <c r="N69" s="1195">
        <f t="shared" si="114"/>
        <v>2500</v>
      </c>
      <c r="O69" s="1324"/>
      <c r="P69" s="1324"/>
      <c r="Q69" s="1230"/>
      <c r="R69" s="1231"/>
      <c r="S69" s="1231">
        <v>66.7</v>
      </c>
      <c r="T69" s="1231"/>
      <c r="U69" s="1231"/>
      <c r="V69" s="1231"/>
      <c r="W69" s="1231"/>
      <c r="X69" s="1231"/>
      <c r="Y69" s="1231"/>
      <c r="Z69" s="1231"/>
      <c r="AA69" s="1325"/>
      <c r="AB69" s="1325"/>
      <c r="AC69" s="1325">
        <v>15</v>
      </c>
      <c r="AD69" s="1325">
        <v>15</v>
      </c>
      <c r="AE69" s="1325"/>
      <c r="AF69" s="1326">
        <v>2500</v>
      </c>
      <c r="AG69" s="1327">
        <f t="shared" si="58"/>
        <v>0</v>
      </c>
      <c r="AH69" s="1328"/>
      <c r="AI69" s="1325"/>
      <c r="AJ69" s="1325"/>
      <c r="AK69" s="1325"/>
      <c r="AL69" s="1329"/>
      <c r="AM69" s="1325">
        <v>0</v>
      </c>
      <c r="AN69" s="1325">
        <v>0</v>
      </c>
      <c r="AO69" s="1329">
        <f t="shared" si="115"/>
        <v>277.77777777777777</v>
      </c>
      <c r="AP69" s="1328">
        <f t="shared" si="116"/>
        <v>0</v>
      </c>
      <c r="AQ69" s="1325">
        <f t="shared" si="117"/>
        <v>0</v>
      </c>
      <c r="AR69" s="1325"/>
      <c r="AS69" s="1325"/>
      <c r="AT69" s="1329"/>
      <c r="AU69" s="1325">
        <f>IF(($AG69=0),0,IF(($AG69&lt;10),CHOOSE($AG69,-1,-2,-3,-4,-5,-6,-7,-8,-9),-9))</f>
        <v>0</v>
      </c>
      <c r="AV69" s="1325">
        <f>IF(($AG69=0),0,IF(($AG69&lt;10),CHOOSE($AG69,-1.25,-2.25,-3,-3.5,-4,-4.5,-5,-5.5,-6),-6))</f>
        <v>0</v>
      </c>
      <c r="AW69" s="1329">
        <f t="shared" ref="AW69:AW83" si="169">IF(($AG69&lt;10),SUM(ROUNDUP(($AG69*AO69),2)),SUM(ROUNDUP((9*AO69),2)))</f>
        <v>0</v>
      </c>
      <c r="AX69" s="1328">
        <f t="shared" si="119"/>
        <v>0</v>
      </c>
      <c r="AY69" s="1231">
        <f t="shared" si="120"/>
        <v>0</v>
      </c>
      <c r="AZ69" s="1231">
        <f t="shared" si="121"/>
        <v>0</v>
      </c>
      <c r="BA69" s="1231">
        <f t="shared" si="122"/>
        <v>0</v>
      </c>
      <c r="BB69" s="1330">
        <f t="shared" si="123"/>
        <v>0</v>
      </c>
      <c r="BC69" s="1231">
        <f t="shared" si="124"/>
        <v>0</v>
      </c>
      <c r="BD69" s="1231">
        <f t="shared" si="125"/>
        <v>0</v>
      </c>
      <c r="BE69" s="1330">
        <f t="shared" si="126"/>
        <v>0</v>
      </c>
      <c r="BF69" s="1230">
        <f t="shared" si="127"/>
        <v>0</v>
      </c>
      <c r="BG69" s="1231">
        <f t="shared" si="128"/>
        <v>0</v>
      </c>
      <c r="BH69" s="1231">
        <f t="shared" si="129"/>
        <v>0</v>
      </c>
      <c r="BI69" s="1231">
        <f t="shared" si="130"/>
        <v>0</v>
      </c>
      <c r="BJ69" s="1330">
        <f t="shared" si="131"/>
        <v>0</v>
      </c>
      <c r="BK69" s="1231">
        <f t="shared" si="132"/>
        <v>0</v>
      </c>
      <c r="BL69" s="1231">
        <f t="shared" si="133"/>
        <v>0</v>
      </c>
      <c r="BM69" s="1330">
        <f t="shared" si="134"/>
        <v>0</v>
      </c>
      <c r="BN69" s="1230">
        <f t="shared" si="135"/>
        <v>0</v>
      </c>
      <c r="BO69" s="1231">
        <f t="shared" si="136"/>
        <v>0</v>
      </c>
      <c r="BP69" s="1231">
        <f t="shared" si="137"/>
        <v>0</v>
      </c>
      <c r="BQ69" s="1231">
        <f t="shared" si="138"/>
        <v>0</v>
      </c>
      <c r="BR69" s="1330">
        <f t="shared" si="139"/>
        <v>0</v>
      </c>
      <c r="BS69" s="1231">
        <f t="shared" si="140"/>
        <v>0</v>
      </c>
      <c r="BT69" s="1231">
        <f t="shared" si="141"/>
        <v>0</v>
      </c>
      <c r="BU69" s="1330">
        <f t="shared" si="142"/>
        <v>0</v>
      </c>
      <c r="BV69" s="1230">
        <f t="shared" si="143"/>
        <v>0</v>
      </c>
      <c r="BW69" s="1231">
        <f t="shared" si="144"/>
        <v>0</v>
      </c>
      <c r="BX69" s="1231">
        <f t="shared" si="145"/>
        <v>0</v>
      </c>
      <c r="BY69" s="1231">
        <f t="shared" si="146"/>
        <v>0</v>
      </c>
      <c r="BZ69" s="1330">
        <f t="shared" si="147"/>
        <v>0</v>
      </c>
      <c r="CA69" s="1231">
        <f t="shared" si="148"/>
        <v>0</v>
      </c>
      <c r="CB69" s="1231">
        <f t="shared" si="149"/>
        <v>0</v>
      </c>
      <c r="CC69" s="1231">
        <f t="shared" si="150"/>
        <v>0</v>
      </c>
      <c r="CD69" s="1331">
        <f t="shared" si="151"/>
        <v>0</v>
      </c>
      <c r="CE69" s="1231">
        <f t="shared" si="152"/>
        <v>0</v>
      </c>
      <c r="CF69" s="1231">
        <f t="shared" si="153"/>
        <v>0</v>
      </c>
      <c r="CG69" s="1231">
        <f t="shared" si="154"/>
        <v>0</v>
      </c>
      <c r="CH69" s="1330">
        <f t="shared" si="155"/>
        <v>0</v>
      </c>
      <c r="CI69" s="1231">
        <f t="shared" si="156"/>
        <v>0</v>
      </c>
      <c r="CJ69" s="1231">
        <f t="shared" si="157"/>
        <v>0</v>
      </c>
      <c r="CK69" s="1330">
        <f t="shared" si="158"/>
        <v>0</v>
      </c>
      <c r="CL69" s="1230">
        <f t="shared" si="159"/>
        <v>0</v>
      </c>
      <c r="CM69" s="1231">
        <f t="shared" si="160"/>
        <v>0</v>
      </c>
      <c r="CN69" s="1231">
        <f t="shared" si="161"/>
        <v>0</v>
      </c>
      <c r="CO69" s="1330">
        <f t="shared" si="162"/>
        <v>0</v>
      </c>
      <c r="CP69" s="1231">
        <f t="shared" si="163"/>
        <v>0</v>
      </c>
      <c r="CQ69" s="1231">
        <f t="shared" si="164"/>
        <v>0</v>
      </c>
      <c r="CR69" s="1231">
        <f t="shared" si="165"/>
        <v>0</v>
      </c>
      <c r="CS69" s="1231">
        <f t="shared" si="166"/>
        <v>0</v>
      </c>
    </row>
    <row r="70" spans="1:97" ht="16.5" customHeight="1" thickBot="1">
      <c r="A70" s="1739">
        <v>112</v>
      </c>
      <c r="B70" s="1983"/>
      <c r="C70" s="1994" t="s">
        <v>266</v>
      </c>
      <c r="D70" s="1995"/>
      <c r="E70" s="1202">
        <v>0</v>
      </c>
      <c r="F70" s="1203">
        <v>0</v>
      </c>
      <c r="G70" s="1204">
        <v>0</v>
      </c>
      <c r="H70" s="1203">
        <f t="shared" ref="H70:H83" si="170">IF((T70&lt;&gt;""),SUM(((T70+AR70)+CN70)),"")</f>
        <v>75</v>
      </c>
      <c r="I70" s="1203">
        <f t="shared" ref="I70:I83" si="171">IF((U70&lt;&gt;""),SUM(((U70+AS70)+CO70)),"")</f>
        <v>100</v>
      </c>
      <c r="J70" s="1203">
        <f t="shared" ref="J70:J83" si="172">IF((Y70&lt;&gt;""),SUM(((Y70+AT70)+CP70)),"")</f>
        <v>15</v>
      </c>
      <c r="K70" s="1205">
        <f t="shared" ref="K70:K83" si="173">IF((AB70&lt;&gt;""),AB70,"")</f>
        <v>100</v>
      </c>
      <c r="L70" s="1206">
        <f t="shared" si="167"/>
        <v>45</v>
      </c>
      <c r="M70" s="1205">
        <f t="shared" si="168"/>
        <v>30</v>
      </c>
      <c r="N70" s="1207">
        <f t="shared" si="114"/>
        <v>2500</v>
      </c>
      <c r="O70" s="1324"/>
      <c r="P70" s="1324"/>
      <c r="Q70" s="1230"/>
      <c r="R70" s="1231"/>
      <c r="S70" s="1231"/>
      <c r="T70" s="1231">
        <v>75</v>
      </c>
      <c r="U70" s="1231">
        <v>100</v>
      </c>
      <c r="V70" s="1231"/>
      <c r="W70" s="1231"/>
      <c r="X70" s="1231"/>
      <c r="Y70" s="1231">
        <v>15</v>
      </c>
      <c r="Z70" s="1231">
        <v>0</v>
      </c>
      <c r="AA70" s="1325">
        <v>150</v>
      </c>
      <c r="AB70" s="1325">
        <v>100</v>
      </c>
      <c r="AC70" s="1325">
        <v>45</v>
      </c>
      <c r="AD70" s="1325">
        <v>30</v>
      </c>
      <c r="AE70" s="1325">
        <v>0</v>
      </c>
      <c r="AF70" s="1326">
        <v>2500</v>
      </c>
      <c r="AG70" s="1327">
        <f t="shared" si="58"/>
        <v>0</v>
      </c>
      <c r="AH70" s="1328"/>
      <c r="AI70" s="1325"/>
      <c r="AJ70" s="1325">
        <v>0</v>
      </c>
      <c r="AK70" s="1325">
        <v>0</v>
      </c>
      <c r="AL70" s="1329">
        <v>0</v>
      </c>
      <c r="AM70" s="1325">
        <v>0</v>
      </c>
      <c r="AN70" s="1325">
        <v>0</v>
      </c>
      <c r="AO70" s="1329">
        <f t="shared" si="115"/>
        <v>277.77777777777777</v>
      </c>
      <c r="AP70" s="1328">
        <f t="shared" si="116"/>
        <v>0</v>
      </c>
      <c r="AQ70" s="1325">
        <f t="shared" si="117"/>
        <v>0</v>
      </c>
      <c r="AR70" s="1325">
        <f>IF(($AG70=0),0,IF(($AG70&lt;10),CHOOSE($AG70,10,20,30,40,50,60,70,80,100),100))</f>
        <v>0</v>
      </c>
      <c r="AS70" s="1325">
        <f>IF(($AG70=0),0,IF(($AG70&lt;10),CHOOSE($AG70,10,20,30,40,50,60,70,80,100),100))</f>
        <v>0</v>
      </c>
      <c r="AT70" s="1329">
        <f>IF(($AG70=0),0,IF(($AG70&lt;10),CHOOSE($AG70,0,0,0,1,1,1,1,1,2),2))</f>
        <v>0</v>
      </c>
      <c r="AU70" s="1325">
        <f>IF(($AG70=0),0,IF(($AG70&lt;10),CHOOSE($AG70,-1,-2,-3,-5,-7,-9,-11,-13,-15),-15))</f>
        <v>0</v>
      </c>
      <c r="AV70" s="1325">
        <f>IF(($AG70=0),0,IF(($AG70&lt;10),CHOOSE($AG70,-1,-2,-3,-4,-5,-6,-7,-8,-9),-9))</f>
        <v>0</v>
      </c>
      <c r="AW70" s="1329">
        <f t="shared" si="169"/>
        <v>0</v>
      </c>
      <c r="AX70" s="1328">
        <f t="shared" si="119"/>
        <v>0</v>
      </c>
      <c r="AY70" s="1231">
        <f t="shared" si="120"/>
        <v>0</v>
      </c>
      <c r="AZ70" s="1231">
        <f t="shared" si="121"/>
        <v>0</v>
      </c>
      <c r="BA70" s="1231">
        <f t="shared" si="122"/>
        <v>0</v>
      </c>
      <c r="BB70" s="1330">
        <f t="shared" si="123"/>
        <v>0</v>
      </c>
      <c r="BC70" s="1231">
        <f t="shared" si="124"/>
        <v>0</v>
      </c>
      <c r="BD70" s="1231">
        <f t="shared" si="125"/>
        <v>0</v>
      </c>
      <c r="BE70" s="1330">
        <f t="shared" si="126"/>
        <v>0</v>
      </c>
      <c r="BF70" s="1230">
        <f t="shared" si="127"/>
        <v>0</v>
      </c>
      <c r="BG70" s="1231">
        <f t="shared" si="128"/>
        <v>0</v>
      </c>
      <c r="BH70" s="1231">
        <f t="shared" si="129"/>
        <v>0</v>
      </c>
      <c r="BI70" s="1231">
        <f t="shared" si="130"/>
        <v>0</v>
      </c>
      <c r="BJ70" s="1330">
        <f t="shared" si="131"/>
        <v>0</v>
      </c>
      <c r="BK70" s="1231">
        <f t="shared" si="132"/>
        <v>0</v>
      </c>
      <c r="BL70" s="1231">
        <f t="shared" si="133"/>
        <v>0</v>
      </c>
      <c r="BM70" s="1330">
        <f t="shared" si="134"/>
        <v>0</v>
      </c>
      <c r="BN70" s="1230">
        <f t="shared" si="135"/>
        <v>0</v>
      </c>
      <c r="BO70" s="1231">
        <f t="shared" si="136"/>
        <v>0</v>
      </c>
      <c r="BP70" s="1231">
        <f t="shared" si="137"/>
        <v>0</v>
      </c>
      <c r="BQ70" s="1231">
        <f t="shared" si="138"/>
        <v>0</v>
      </c>
      <c r="BR70" s="1330">
        <f t="shared" si="139"/>
        <v>0</v>
      </c>
      <c r="BS70" s="1231">
        <f t="shared" si="140"/>
        <v>0</v>
      </c>
      <c r="BT70" s="1231">
        <f t="shared" si="141"/>
        <v>0</v>
      </c>
      <c r="BU70" s="1330">
        <f t="shared" si="142"/>
        <v>0</v>
      </c>
      <c r="BV70" s="1230">
        <f t="shared" si="143"/>
        <v>0</v>
      </c>
      <c r="BW70" s="1231">
        <f t="shared" si="144"/>
        <v>0</v>
      </c>
      <c r="BX70" s="1231">
        <f t="shared" si="145"/>
        <v>0</v>
      </c>
      <c r="BY70" s="1231">
        <f t="shared" si="146"/>
        <v>0</v>
      </c>
      <c r="BZ70" s="1330">
        <f t="shared" si="147"/>
        <v>0</v>
      </c>
      <c r="CA70" s="1231">
        <f t="shared" si="148"/>
        <v>0</v>
      </c>
      <c r="CB70" s="1231">
        <f t="shared" si="149"/>
        <v>0</v>
      </c>
      <c r="CC70" s="1231">
        <f t="shared" si="150"/>
        <v>0</v>
      </c>
      <c r="CD70" s="1331">
        <f t="shared" si="151"/>
        <v>0</v>
      </c>
      <c r="CE70" s="1231">
        <f t="shared" si="152"/>
        <v>0</v>
      </c>
      <c r="CF70" s="1231">
        <f t="shared" si="153"/>
        <v>0</v>
      </c>
      <c r="CG70" s="1231">
        <f t="shared" si="154"/>
        <v>0</v>
      </c>
      <c r="CH70" s="1330">
        <f t="shared" si="155"/>
        <v>0</v>
      </c>
      <c r="CI70" s="1231">
        <f t="shared" si="156"/>
        <v>0</v>
      </c>
      <c r="CJ70" s="1231">
        <f t="shared" si="157"/>
        <v>0</v>
      </c>
      <c r="CK70" s="1330">
        <f t="shared" si="158"/>
        <v>0</v>
      </c>
      <c r="CL70" s="1230">
        <f t="shared" si="159"/>
        <v>0</v>
      </c>
      <c r="CM70" s="1231">
        <f t="shared" si="160"/>
        <v>0</v>
      </c>
      <c r="CN70" s="1231">
        <f t="shared" si="161"/>
        <v>0</v>
      </c>
      <c r="CO70" s="1330">
        <f t="shared" si="162"/>
        <v>0</v>
      </c>
      <c r="CP70" s="1231">
        <f t="shared" si="163"/>
        <v>0</v>
      </c>
      <c r="CQ70" s="1231">
        <f t="shared" si="164"/>
        <v>0</v>
      </c>
      <c r="CR70" s="1231">
        <f t="shared" si="165"/>
        <v>0</v>
      </c>
      <c r="CS70" s="1231">
        <f t="shared" si="166"/>
        <v>0</v>
      </c>
    </row>
    <row r="71" spans="1:97" ht="16.5" customHeight="1" thickBot="1">
      <c r="A71" s="1739">
        <v>201</v>
      </c>
      <c r="B71" s="1984" t="s">
        <v>94</v>
      </c>
      <c r="C71" s="1992"/>
      <c r="D71" s="1993"/>
      <c r="E71" s="1168">
        <v>0</v>
      </c>
      <c r="F71" s="1169">
        <v>0</v>
      </c>
      <c r="G71" s="1170">
        <v>0</v>
      </c>
      <c r="H71" s="1169">
        <v>0</v>
      </c>
      <c r="I71" s="1169">
        <v>0</v>
      </c>
      <c r="J71" s="1169">
        <v>0</v>
      </c>
      <c r="K71" s="1171">
        <v>0</v>
      </c>
      <c r="L71" s="1172">
        <v>0</v>
      </c>
      <c r="M71" s="1171">
        <v>0</v>
      </c>
      <c r="N71" s="1173">
        <v>0</v>
      </c>
      <c r="O71" s="1348"/>
      <c r="P71" s="1348"/>
      <c r="Q71" s="1349"/>
      <c r="R71" s="1350"/>
      <c r="S71" s="1350"/>
      <c r="T71" s="1350"/>
      <c r="U71" s="1350"/>
      <c r="V71" s="1350"/>
      <c r="W71" s="1350"/>
      <c r="X71" s="1350"/>
      <c r="Y71" s="1350"/>
      <c r="Z71" s="1350"/>
      <c r="AA71" s="1351"/>
      <c r="AB71" s="1351"/>
      <c r="AC71" s="1351"/>
      <c r="AD71" s="1351"/>
      <c r="AE71" s="1351"/>
      <c r="AF71" s="1352"/>
      <c r="AG71" s="1353">
        <f t="shared" si="58"/>
        <v>0</v>
      </c>
      <c r="AH71" s="1354"/>
      <c r="AI71" s="1351"/>
      <c r="AJ71" s="1351"/>
      <c r="AK71" s="1351"/>
      <c r="AL71" s="1355"/>
      <c r="AM71" s="1351"/>
      <c r="AN71" s="1351"/>
      <c r="AO71" s="1355"/>
      <c r="AP71" s="1354"/>
      <c r="AQ71" s="1351"/>
      <c r="AR71" s="1351"/>
      <c r="AS71" s="1351"/>
      <c r="AT71" s="1355"/>
      <c r="AU71" s="1351"/>
      <c r="AV71" s="1351"/>
      <c r="AW71" s="1355"/>
      <c r="AX71" s="1354"/>
      <c r="AY71" s="1350"/>
      <c r="AZ71" s="1350"/>
      <c r="BA71" s="1350"/>
      <c r="BB71" s="1356"/>
      <c r="BC71" s="1350"/>
      <c r="BD71" s="1350"/>
      <c r="BE71" s="1356"/>
      <c r="BF71" s="1349"/>
      <c r="BG71" s="1350"/>
      <c r="BH71" s="1350"/>
      <c r="BI71" s="1350"/>
      <c r="BJ71" s="1356"/>
      <c r="BK71" s="1350"/>
      <c r="BL71" s="1350"/>
      <c r="BM71" s="1356"/>
      <c r="BN71" s="1349"/>
      <c r="BO71" s="1350"/>
      <c r="BP71" s="1350"/>
      <c r="BQ71" s="1350"/>
      <c r="BR71" s="1356"/>
      <c r="BS71" s="1350"/>
      <c r="BT71" s="1350"/>
      <c r="BU71" s="1356"/>
      <c r="BV71" s="1349"/>
      <c r="BW71" s="1350"/>
      <c r="BX71" s="1350"/>
      <c r="BY71" s="1350"/>
      <c r="BZ71" s="1356"/>
      <c r="CA71" s="1350"/>
      <c r="CB71" s="1350"/>
      <c r="CC71" s="1350"/>
      <c r="CD71" s="1357"/>
      <c r="CE71" s="1350"/>
      <c r="CF71" s="1350"/>
      <c r="CG71" s="1350"/>
      <c r="CH71" s="1356"/>
      <c r="CI71" s="1350"/>
      <c r="CJ71" s="1350"/>
      <c r="CK71" s="1356"/>
      <c r="CL71" s="1349"/>
      <c r="CM71" s="1350"/>
      <c r="CN71" s="1350"/>
      <c r="CO71" s="1356"/>
      <c r="CP71" s="1350"/>
      <c r="CQ71" s="1350"/>
      <c r="CR71" s="1350"/>
      <c r="CS71" s="1350"/>
    </row>
    <row r="72" spans="1:97" ht="16.5" customHeight="1" thickBot="1">
      <c r="A72" s="1739">
        <v>209</v>
      </c>
      <c r="B72" s="1985"/>
      <c r="C72" s="2015" t="s">
        <v>268</v>
      </c>
      <c r="D72" s="2016"/>
      <c r="E72" s="1174">
        <v>0</v>
      </c>
      <c r="F72" s="1175">
        <f t="shared" ref="F72" si="174">IF((R72&lt;&gt;""),SUM(((R72+AQ72)+CM72)),"")</f>
        <v>150</v>
      </c>
      <c r="G72" s="1176">
        <v>0</v>
      </c>
      <c r="H72" s="1175">
        <v>0</v>
      </c>
      <c r="I72" s="1175">
        <v>0</v>
      </c>
      <c r="J72" s="1175">
        <v>0</v>
      </c>
      <c r="K72" s="1177">
        <v>0</v>
      </c>
      <c r="L72" s="1178">
        <f t="shared" ref="L72" si="175">IF((AC72&lt;&gt;""),SUM(((AC72+AU72)+CQ72)),"")</f>
        <v>30</v>
      </c>
      <c r="M72" s="1177">
        <f t="shared" ref="M72" si="176">IF((AD72&lt;&gt;""),SUM(((AD72+AV72)+CR72)),"")</f>
        <v>100</v>
      </c>
      <c r="N72" s="1179">
        <f t="shared" ref="N72" si="177">IF((AF72&lt;&gt;""),SUM(((AF72+AW72)+CS72)),"")</f>
        <v>7500</v>
      </c>
      <c r="O72" s="1348"/>
      <c r="P72" s="1348"/>
      <c r="Q72" s="1349"/>
      <c r="R72" s="1350">
        <v>150</v>
      </c>
      <c r="S72" s="1350"/>
      <c r="T72" s="1350"/>
      <c r="U72" s="1350"/>
      <c r="V72" s="1350"/>
      <c r="W72" s="1350"/>
      <c r="X72" s="1350"/>
      <c r="Y72" s="1350"/>
      <c r="Z72" s="1350"/>
      <c r="AA72" s="1351"/>
      <c r="AB72" s="1351"/>
      <c r="AC72" s="1351">
        <v>30</v>
      </c>
      <c r="AD72" s="1351">
        <v>100</v>
      </c>
      <c r="AE72" s="1351"/>
      <c r="AF72" s="1352">
        <v>7500</v>
      </c>
      <c r="AG72" s="1353">
        <f t="shared" si="58"/>
        <v>0</v>
      </c>
      <c r="AH72" s="1354"/>
      <c r="AI72" s="1351">
        <f>SUM((R72/9))</f>
        <v>16.666666666666668</v>
      </c>
      <c r="AJ72" s="1351"/>
      <c r="AK72" s="1351"/>
      <c r="AL72" s="1355"/>
      <c r="AM72" s="1351"/>
      <c r="AN72" s="1351"/>
      <c r="AO72" s="1355">
        <f t="shared" ref="AO72" si="178">SUM((AF72/9))</f>
        <v>833.33333333333337</v>
      </c>
      <c r="AP72" s="1354">
        <f t="shared" ref="AP72" si="179">IF(($AG72&lt;10),SUM(ROUNDUP(($AG72*AH72),2)),SUM(ROUNDUP((9*AH72),2)))</f>
        <v>0</v>
      </c>
      <c r="AQ72" s="1351">
        <f t="shared" ref="AQ72" si="180">IF(($AG72&lt;10),SUM(ROUNDUP(($AG72*AI72),2)),SUM(ROUNDUP((9*AI72),2)))</f>
        <v>0</v>
      </c>
      <c r="AR72" s="1351"/>
      <c r="AS72" s="1351"/>
      <c r="AT72" s="1355"/>
      <c r="AU72" s="1351">
        <f>IF(($AG72&lt;10),SUM(ROUNDUP(($AG72*AM72),2)),SUM(ROUNDUP((9*AM72),2)))</f>
        <v>0</v>
      </c>
      <c r="AV72" s="1351">
        <f>IF(($AG72&lt;10),SUM(ROUNDUP(($AG72*AN72),2)),SUM(ROUNDUP((9*AN72),2)))</f>
        <v>0</v>
      </c>
      <c r="AW72" s="1355">
        <f t="shared" ref="AW72" si="181">IF(($AG72&lt;10),SUM(ROUNDUP(($AG72*AO72),2)),SUM(ROUNDUP((9*AO72),2)))</f>
        <v>0</v>
      </c>
      <c r="AX72" s="1354">
        <f t="shared" ref="AX72" si="182">IF(($AG72&gt;9),SUM(((AH72*0.9)*1)),0)</f>
        <v>0</v>
      </c>
      <c r="AY72" s="1350">
        <f t="shared" ref="AY72" si="183">IF(($AG72&gt;9),SUM(((AI72*0.9)*1)),0)</f>
        <v>0</v>
      </c>
      <c r="AZ72" s="1350">
        <f t="shared" ref="AZ72" si="184">IF(($AG72&gt;9),SUM(((AJ72*0.9)*1)),0)</f>
        <v>0</v>
      </c>
      <c r="BA72" s="1350">
        <f t="shared" ref="BA72" si="185">IF(($AG72&gt;9),SUM(((AK72*0.9)*1)),0)</f>
        <v>0</v>
      </c>
      <c r="BB72" s="1356">
        <f t="shared" ref="BB72" si="186">IF(($AG72&gt;9),SUM(((AL72*0.9)*1)),0)</f>
        <v>0</v>
      </c>
      <c r="BC72" s="1350">
        <f t="shared" ref="BC72" si="187">IF(($AG72&gt;9),SUM(((AM72*0.9)*1)),0)</f>
        <v>0</v>
      </c>
      <c r="BD72" s="1350">
        <f t="shared" ref="BD72" si="188">IF(($AG72&gt;9),SUM(((AN72*0.9)*1)),0)</f>
        <v>0</v>
      </c>
      <c r="BE72" s="1356">
        <f t="shared" ref="BE72" si="189">IF(($AG72&gt;9),SUM(((AO72*0.9)*1)),0)</f>
        <v>0</v>
      </c>
      <c r="BF72" s="1349">
        <f t="shared" ref="BF72" si="190">IF(($AG72&gt;10),SUM(((AH72*0.9)*0.9)),0)</f>
        <v>0</v>
      </c>
      <c r="BG72" s="1350">
        <f t="shared" ref="BG72" si="191">IF(($AG72&gt;10),SUM(((AI72*0.9)*0.9)),0)</f>
        <v>0</v>
      </c>
      <c r="BH72" s="1350">
        <f t="shared" ref="BH72" si="192">IF(($AG72&gt;10),SUM(((AJ72*0.9)*0.9)),0)</f>
        <v>0</v>
      </c>
      <c r="BI72" s="1350">
        <f t="shared" ref="BI72" si="193">IF(($AG72&gt;10),SUM(((AK72*0.9)*0.9)),0)</f>
        <v>0</v>
      </c>
      <c r="BJ72" s="1356">
        <f t="shared" ref="BJ72" si="194">IF(($AG72&gt;10),SUM(((AL72*0.9)*0.9)),0)</f>
        <v>0</v>
      </c>
      <c r="BK72" s="1350">
        <f t="shared" ref="BK72" si="195">IF(($AG72&gt;10),SUM(((AM72*0.9)*0.9)),0)</f>
        <v>0</v>
      </c>
      <c r="BL72" s="1350">
        <f t="shared" ref="BL72" si="196">IF(($AG72&gt;10),SUM(((AN72*0.9)*0.9)),0)</f>
        <v>0</v>
      </c>
      <c r="BM72" s="1356">
        <f t="shared" ref="BM72" si="197">IF(($AG72&gt;10),SUM(((AO72*0.9)*0.9)),0)</f>
        <v>0</v>
      </c>
      <c r="BN72" s="1349">
        <f t="shared" ref="BN72" si="198">IF(($AG72&gt;11),SUM(((AH72*0.9)*0.8)),0)</f>
        <v>0</v>
      </c>
      <c r="BO72" s="1350">
        <f t="shared" ref="BO72" si="199">IF(($AG72&gt;11),SUM(((AI72*0.9)*0.8)),0)</f>
        <v>0</v>
      </c>
      <c r="BP72" s="1350">
        <f t="shared" ref="BP72" si="200">IF(($AG72&gt;11),SUM(((AJ72*0.9)*0.8)),0)</f>
        <v>0</v>
      </c>
      <c r="BQ72" s="1350">
        <f t="shared" ref="BQ72" si="201">IF(($AG72&gt;11),SUM(((AK72*0.9)*0.8)),0)</f>
        <v>0</v>
      </c>
      <c r="BR72" s="1356">
        <f t="shared" ref="BR72" si="202">IF(($AG72&gt;11),SUM(((AL72*0.9)*0.8)),0)</f>
        <v>0</v>
      </c>
      <c r="BS72" s="1350">
        <f t="shared" ref="BS72" si="203">IF(($AG72&gt;11),SUM(((AM72*0.9)*0.8)),0)</f>
        <v>0</v>
      </c>
      <c r="BT72" s="1350">
        <f t="shared" ref="BT72" si="204">IF(($AG72&gt;11),SUM(((AN72*0.9)*0.8)),0)</f>
        <v>0</v>
      </c>
      <c r="BU72" s="1356">
        <f t="shared" ref="BU72" si="205">IF(($AG72&gt;11),SUM(((AO72*0.9)*0.8)),0)</f>
        <v>0</v>
      </c>
      <c r="BV72" s="1349">
        <f t="shared" ref="BV72" si="206">IF(($AG72&gt;12),SUM(((AH72*0.9)*0.7)),0)</f>
        <v>0</v>
      </c>
      <c r="BW72" s="1350">
        <f t="shared" ref="BW72" si="207">IF(($AG72&gt;12),SUM(((AI72*0.9)*0.7)),0)</f>
        <v>0</v>
      </c>
      <c r="BX72" s="1350">
        <f t="shared" ref="BX72" si="208">IF(($AG72&gt;12),SUM(((AJ72*0.9)*0.7)),0)</f>
        <v>0</v>
      </c>
      <c r="BY72" s="1350">
        <f t="shared" ref="BY72" si="209">IF(($AG72&gt;12),SUM(((AK72*0.9)*0.7)),0)</f>
        <v>0</v>
      </c>
      <c r="BZ72" s="1356">
        <f t="shared" ref="BZ72" si="210">IF(($AG72&gt;12),SUM(((AL72*0.9)*0.7)),0)</f>
        <v>0</v>
      </c>
      <c r="CA72" s="1350">
        <f t="shared" ref="CA72" si="211">IF(($AG72&gt;12),SUM(((AM72*0.9)*0.7)),0)</f>
        <v>0</v>
      </c>
      <c r="CB72" s="1350">
        <f t="shared" ref="CB72" si="212">IF(($AG72&gt;12),SUM(((AN72*0.9)*0.7)),0)</f>
        <v>0</v>
      </c>
      <c r="CC72" s="1350">
        <f t="shared" ref="CC72" si="213">IF(($AG72&gt;12),SUM(((AO72*0.9)*0.7)),0)</f>
        <v>0</v>
      </c>
      <c r="CD72" s="1357">
        <f t="shared" ref="CD72" si="214">IF(($AG72&gt;13),SUM(((AH72*0.9)*0.6)),0)</f>
        <v>0</v>
      </c>
      <c r="CE72" s="1350">
        <f t="shared" ref="CE72" si="215">IF(($AG72&gt;13),SUM(((AI72*0.9)*0.6)),0)</f>
        <v>0</v>
      </c>
      <c r="CF72" s="1350">
        <f t="shared" ref="CF72" si="216">IF(($AG72&gt;13),SUM(((AJ72*0.9)*0.6)),0)</f>
        <v>0</v>
      </c>
      <c r="CG72" s="1350">
        <f t="shared" ref="CG72" si="217">IF(($AG72&gt;13),SUM(((AK72*0.9)*0.6)),0)</f>
        <v>0</v>
      </c>
      <c r="CH72" s="1356">
        <f t="shared" ref="CH72" si="218">IF(($AG72&gt;13),SUM(((AL72*0.9)*0.6)),0)</f>
        <v>0</v>
      </c>
      <c r="CI72" s="1350">
        <f t="shared" ref="CI72" si="219">IF(($AG72&gt;13),SUM(((AM72*0.9)*0.6)),0)</f>
        <v>0</v>
      </c>
      <c r="CJ72" s="1350">
        <f t="shared" ref="CJ72" si="220">IF(($AG72&gt;13),SUM(((AN72*0.9)*0.6)),0)</f>
        <v>0</v>
      </c>
      <c r="CK72" s="1356">
        <f t="shared" ref="CK72" si="221">IF(($AG72&gt;13),SUM(((AO72*0.9)*0.6)),0)</f>
        <v>0</v>
      </c>
      <c r="CL72" s="1349">
        <f t="shared" ref="CL72" si="222">SUM(((((AX72+BF72)+BN72)+BV72)+CD72))</f>
        <v>0</v>
      </c>
      <c r="CM72" s="1350">
        <f t="shared" ref="CM72" si="223">SUM(((((AY72+BG72)+BO72)+BW72)+CE72))</f>
        <v>0</v>
      </c>
      <c r="CN72" s="1350">
        <f t="shared" ref="CN72" si="224">SUM(((((AZ72+BH72)+BP72)+BX72)+CF72))</f>
        <v>0</v>
      </c>
      <c r="CO72" s="1356">
        <f t="shared" ref="CO72" si="225">SUM(((((BA72+BI72)+BQ72)+BY72)+CG72))</f>
        <v>0</v>
      </c>
      <c r="CP72" s="1350">
        <f t="shared" ref="CP72" si="226">SUM(((((BB72+BJ72)+BR72)+BZ72)+CH72))</f>
        <v>0</v>
      </c>
      <c r="CQ72" s="1350">
        <f t="shared" ref="CQ72" si="227">SUM(((((BC72+BK72)+BS72)+CA72)+CI72))</f>
        <v>0</v>
      </c>
      <c r="CR72" s="1350">
        <f t="shared" ref="CR72" si="228">SUM(((((BD72+BL72)+BT72)+CB72)+CJ72))</f>
        <v>0</v>
      </c>
      <c r="CS72" s="1350">
        <f t="shared" ref="CS72" si="229">SUM(((((BE72+BM72)+BU72)+CC72)+CK72))</f>
        <v>0</v>
      </c>
    </row>
    <row r="73" spans="1:97" ht="16.5" customHeight="1">
      <c r="A73" s="1741">
        <v>210</v>
      </c>
      <c r="B73" s="1985"/>
      <c r="C73" s="2023" t="s">
        <v>267</v>
      </c>
      <c r="D73" s="2024"/>
      <c r="E73" s="1180">
        <f t="shared" si="113"/>
        <v>1.5</v>
      </c>
      <c r="F73" s="1181">
        <v>0</v>
      </c>
      <c r="G73" s="1182">
        <v>0</v>
      </c>
      <c r="H73" s="1181">
        <v>0</v>
      </c>
      <c r="I73" s="1181">
        <v>0</v>
      </c>
      <c r="J73" s="1181">
        <v>0</v>
      </c>
      <c r="K73" s="1177">
        <v>0</v>
      </c>
      <c r="L73" s="1178">
        <v>0</v>
      </c>
      <c r="M73" s="1177">
        <v>0</v>
      </c>
      <c r="N73" s="1179">
        <f t="shared" si="114"/>
        <v>7500</v>
      </c>
      <c r="O73" s="1348"/>
      <c r="P73" s="1348"/>
      <c r="Q73" s="1349">
        <v>1.5</v>
      </c>
      <c r="R73" s="1350"/>
      <c r="S73" s="1350"/>
      <c r="T73" s="1350"/>
      <c r="U73" s="1350"/>
      <c r="V73" s="1350"/>
      <c r="W73" s="1350"/>
      <c r="X73" s="1350"/>
      <c r="Y73" s="1350"/>
      <c r="Z73" s="1350"/>
      <c r="AA73" s="1351"/>
      <c r="AB73" s="1351"/>
      <c r="AC73" s="1351"/>
      <c r="AD73" s="1351"/>
      <c r="AE73" s="1351"/>
      <c r="AF73" s="1352">
        <v>7500</v>
      </c>
      <c r="AG73" s="1353">
        <f t="shared" si="58"/>
        <v>0</v>
      </c>
      <c r="AH73" s="1354">
        <f>SUM((Q73/9))</f>
        <v>0.16666666666666666</v>
      </c>
      <c r="AI73" s="1351"/>
      <c r="AJ73" s="1351"/>
      <c r="AK73" s="1351"/>
      <c r="AL73" s="1355"/>
      <c r="AM73" s="1351"/>
      <c r="AN73" s="1351"/>
      <c r="AO73" s="1355">
        <f t="shared" si="115"/>
        <v>833.33333333333337</v>
      </c>
      <c r="AP73" s="1354">
        <f t="shared" si="116"/>
        <v>0</v>
      </c>
      <c r="AQ73" s="1351">
        <f t="shared" si="117"/>
        <v>0</v>
      </c>
      <c r="AR73" s="1351"/>
      <c r="AS73" s="1351"/>
      <c r="AT73" s="1355"/>
      <c r="AU73" s="1351">
        <f>IF(($AG73&lt;10),SUM(ROUNDUP(($AG73*AM73),2)),SUM(ROUNDUP((9*AM73),2)))</f>
        <v>0</v>
      </c>
      <c r="AV73" s="1351">
        <f>IF(($AG73&lt;10),SUM(ROUNDUP(($AG73*AN73),2)),SUM(ROUNDUP((9*AN73),2)))</f>
        <v>0</v>
      </c>
      <c r="AW73" s="1355">
        <f t="shared" si="169"/>
        <v>0</v>
      </c>
      <c r="AX73" s="1354">
        <f t="shared" si="119"/>
        <v>0</v>
      </c>
      <c r="AY73" s="1350">
        <f t="shared" si="120"/>
        <v>0</v>
      </c>
      <c r="AZ73" s="1350">
        <f t="shared" si="121"/>
        <v>0</v>
      </c>
      <c r="BA73" s="1350">
        <f t="shared" si="122"/>
        <v>0</v>
      </c>
      <c r="BB73" s="1356">
        <f t="shared" si="123"/>
        <v>0</v>
      </c>
      <c r="BC73" s="1350">
        <f t="shared" si="124"/>
        <v>0</v>
      </c>
      <c r="BD73" s="1350">
        <f t="shared" si="125"/>
        <v>0</v>
      </c>
      <c r="BE73" s="1356">
        <f t="shared" si="126"/>
        <v>0</v>
      </c>
      <c r="BF73" s="1349">
        <f t="shared" si="127"/>
        <v>0</v>
      </c>
      <c r="BG73" s="1350">
        <f t="shared" si="128"/>
        <v>0</v>
      </c>
      <c r="BH73" s="1350">
        <f t="shared" si="129"/>
        <v>0</v>
      </c>
      <c r="BI73" s="1350">
        <f t="shared" si="130"/>
        <v>0</v>
      </c>
      <c r="BJ73" s="1356">
        <f t="shared" si="131"/>
        <v>0</v>
      </c>
      <c r="BK73" s="1350">
        <f t="shared" si="132"/>
        <v>0</v>
      </c>
      <c r="BL73" s="1350">
        <f t="shared" si="133"/>
        <v>0</v>
      </c>
      <c r="BM73" s="1356">
        <f t="shared" si="134"/>
        <v>0</v>
      </c>
      <c r="BN73" s="1349">
        <f t="shared" si="135"/>
        <v>0</v>
      </c>
      <c r="BO73" s="1350">
        <f t="shared" si="136"/>
        <v>0</v>
      </c>
      <c r="BP73" s="1350">
        <f t="shared" si="137"/>
        <v>0</v>
      </c>
      <c r="BQ73" s="1350">
        <f t="shared" si="138"/>
        <v>0</v>
      </c>
      <c r="BR73" s="1356">
        <f t="shared" si="139"/>
        <v>0</v>
      </c>
      <c r="BS73" s="1350">
        <f t="shared" si="140"/>
        <v>0</v>
      </c>
      <c r="BT73" s="1350">
        <f t="shared" si="141"/>
        <v>0</v>
      </c>
      <c r="BU73" s="1356">
        <f t="shared" si="142"/>
        <v>0</v>
      </c>
      <c r="BV73" s="1349">
        <f t="shared" si="143"/>
        <v>0</v>
      </c>
      <c r="BW73" s="1350">
        <f t="shared" si="144"/>
        <v>0</v>
      </c>
      <c r="BX73" s="1350">
        <f t="shared" si="145"/>
        <v>0</v>
      </c>
      <c r="BY73" s="1350">
        <f t="shared" si="146"/>
        <v>0</v>
      </c>
      <c r="BZ73" s="1356">
        <f t="shared" si="147"/>
        <v>0</v>
      </c>
      <c r="CA73" s="1350">
        <f t="shared" si="148"/>
        <v>0</v>
      </c>
      <c r="CB73" s="1350">
        <f t="shared" si="149"/>
        <v>0</v>
      </c>
      <c r="CC73" s="1350">
        <f t="shared" si="150"/>
        <v>0</v>
      </c>
      <c r="CD73" s="1357">
        <f t="shared" si="151"/>
        <v>0</v>
      </c>
      <c r="CE73" s="1350">
        <f t="shared" si="152"/>
        <v>0</v>
      </c>
      <c r="CF73" s="1350">
        <f t="shared" si="153"/>
        <v>0</v>
      </c>
      <c r="CG73" s="1350">
        <f t="shared" si="154"/>
        <v>0</v>
      </c>
      <c r="CH73" s="1356">
        <f t="shared" si="155"/>
        <v>0</v>
      </c>
      <c r="CI73" s="1350">
        <f t="shared" si="156"/>
        <v>0</v>
      </c>
      <c r="CJ73" s="1350">
        <f t="shared" si="157"/>
        <v>0</v>
      </c>
      <c r="CK73" s="1356">
        <f t="shared" si="158"/>
        <v>0</v>
      </c>
      <c r="CL73" s="1349">
        <f t="shared" si="159"/>
        <v>0</v>
      </c>
      <c r="CM73" s="1350">
        <f t="shared" si="160"/>
        <v>0</v>
      </c>
      <c r="CN73" s="1350">
        <f t="shared" si="161"/>
        <v>0</v>
      </c>
      <c r="CO73" s="1356">
        <f t="shared" si="162"/>
        <v>0</v>
      </c>
      <c r="CP73" s="1350">
        <f t="shared" si="163"/>
        <v>0</v>
      </c>
      <c r="CQ73" s="1350">
        <f t="shared" si="164"/>
        <v>0</v>
      </c>
      <c r="CR73" s="1350">
        <f t="shared" si="165"/>
        <v>0</v>
      </c>
      <c r="CS73" s="1350">
        <f t="shared" si="166"/>
        <v>0</v>
      </c>
    </row>
    <row r="74" spans="1:97" ht="16.5" customHeight="1">
      <c r="A74" s="1739">
        <v>211</v>
      </c>
      <c r="B74" s="1985"/>
      <c r="C74" s="2015" t="s">
        <v>269</v>
      </c>
      <c r="D74" s="2016"/>
      <c r="E74" s="1174">
        <v>0</v>
      </c>
      <c r="F74" s="1175">
        <v>0</v>
      </c>
      <c r="G74" s="1176">
        <f>IF((S74&lt;&gt;""),(S74/100),"")</f>
        <v>0.66700000000000004</v>
      </c>
      <c r="H74" s="1175">
        <v>0</v>
      </c>
      <c r="I74" s="1175">
        <v>0</v>
      </c>
      <c r="J74" s="1175">
        <v>0</v>
      </c>
      <c r="K74" s="1177">
        <v>0</v>
      </c>
      <c r="L74" s="1178">
        <f t="shared" si="167"/>
        <v>14</v>
      </c>
      <c r="M74" s="1177">
        <f t="shared" si="168"/>
        <v>25</v>
      </c>
      <c r="N74" s="1179">
        <f t="shared" si="114"/>
        <v>7500</v>
      </c>
      <c r="O74" s="1348"/>
      <c r="P74" s="1348"/>
      <c r="Q74" s="1349"/>
      <c r="R74" s="1350"/>
      <c r="S74" s="1350">
        <v>66.7</v>
      </c>
      <c r="T74" s="1350"/>
      <c r="U74" s="1350"/>
      <c r="V74" s="1350"/>
      <c r="W74" s="1350"/>
      <c r="X74" s="1350"/>
      <c r="Y74" s="1350"/>
      <c r="Z74" s="1350"/>
      <c r="AA74" s="1351"/>
      <c r="AB74" s="1351"/>
      <c r="AC74" s="1351">
        <v>14</v>
      </c>
      <c r="AD74" s="1351">
        <v>25</v>
      </c>
      <c r="AE74" s="1351"/>
      <c r="AF74" s="1352">
        <v>7500</v>
      </c>
      <c r="AG74" s="1353">
        <f t="shared" si="58"/>
        <v>0</v>
      </c>
      <c r="AH74" s="1354"/>
      <c r="AI74" s="1351"/>
      <c r="AJ74" s="1351"/>
      <c r="AK74" s="1351"/>
      <c r="AL74" s="1355"/>
      <c r="AM74" s="1351">
        <v>0</v>
      </c>
      <c r="AN74" s="1351">
        <v>0</v>
      </c>
      <c r="AO74" s="1355">
        <f t="shared" si="115"/>
        <v>833.33333333333337</v>
      </c>
      <c r="AP74" s="1354">
        <f t="shared" si="116"/>
        <v>0</v>
      </c>
      <c r="AQ74" s="1351">
        <f t="shared" si="117"/>
        <v>0</v>
      </c>
      <c r="AR74" s="1351"/>
      <c r="AS74" s="1351"/>
      <c r="AT74" s="1355"/>
      <c r="AU74" s="1351">
        <f>IF(($AG74=0),0,IF(($AG74&lt;10),CHOOSE($AG74,-1,-2,-3,-4,-5,-6,-7,-8,-8.75),-8.75))</f>
        <v>0</v>
      </c>
      <c r="AV74" s="1351">
        <f>IF(($AG74=0),0,IF(($AG74&lt;10),CHOOSE($AG74,-2.5,-5,-5.85,-6.6,-7.35,-8.1,-8.85,-9.6,-10.35),-10.35))</f>
        <v>0</v>
      </c>
      <c r="AW74" s="1355">
        <f t="shared" si="169"/>
        <v>0</v>
      </c>
      <c r="AX74" s="1354">
        <f t="shared" si="119"/>
        <v>0</v>
      </c>
      <c r="AY74" s="1350">
        <f t="shared" si="120"/>
        <v>0</v>
      </c>
      <c r="AZ74" s="1350">
        <f t="shared" si="121"/>
        <v>0</v>
      </c>
      <c r="BA74" s="1350">
        <f t="shared" si="122"/>
        <v>0</v>
      </c>
      <c r="BB74" s="1356">
        <f t="shared" si="123"/>
        <v>0</v>
      </c>
      <c r="BC74" s="1350">
        <f t="shared" si="124"/>
        <v>0</v>
      </c>
      <c r="BD74" s="1350">
        <f t="shared" si="125"/>
        <v>0</v>
      </c>
      <c r="BE74" s="1356">
        <f t="shared" si="126"/>
        <v>0</v>
      </c>
      <c r="BF74" s="1349">
        <f t="shared" si="127"/>
        <v>0</v>
      </c>
      <c r="BG74" s="1350">
        <f t="shared" si="128"/>
        <v>0</v>
      </c>
      <c r="BH74" s="1350">
        <f t="shared" si="129"/>
        <v>0</v>
      </c>
      <c r="BI74" s="1350">
        <f t="shared" si="130"/>
        <v>0</v>
      </c>
      <c r="BJ74" s="1356">
        <f t="shared" si="131"/>
        <v>0</v>
      </c>
      <c r="BK74" s="1350">
        <f t="shared" si="132"/>
        <v>0</v>
      </c>
      <c r="BL74" s="1350">
        <f t="shared" si="133"/>
        <v>0</v>
      </c>
      <c r="BM74" s="1356">
        <f t="shared" si="134"/>
        <v>0</v>
      </c>
      <c r="BN74" s="1349">
        <f t="shared" si="135"/>
        <v>0</v>
      </c>
      <c r="BO74" s="1350">
        <f t="shared" si="136"/>
        <v>0</v>
      </c>
      <c r="BP74" s="1350">
        <f t="shared" si="137"/>
        <v>0</v>
      </c>
      <c r="BQ74" s="1350">
        <f t="shared" si="138"/>
        <v>0</v>
      </c>
      <c r="BR74" s="1356">
        <f t="shared" si="139"/>
        <v>0</v>
      </c>
      <c r="BS74" s="1350">
        <f t="shared" si="140"/>
        <v>0</v>
      </c>
      <c r="BT74" s="1350">
        <f t="shared" si="141"/>
        <v>0</v>
      </c>
      <c r="BU74" s="1356">
        <f t="shared" si="142"/>
        <v>0</v>
      </c>
      <c r="BV74" s="1349">
        <f t="shared" si="143"/>
        <v>0</v>
      </c>
      <c r="BW74" s="1350">
        <f t="shared" si="144"/>
        <v>0</v>
      </c>
      <c r="BX74" s="1350">
        <f t="shared" si="145"/>
        <v>0</v>
      </c>
      <c r="BY74" s="1350">
        <f t="shared" si="146"/>
        <v>0</v>
      </c>
      <c r="BZ74" s="1356">
        <f t="shared" si="147"/>
        <v>0</v>
      </c>
      <c r="CA74" s="1350">
        <f t="shared" si="148"/>
        <v>0</v>
      </c>
      <c r="CB74" s="1350">
        <f t="shared" si="149"/>
        <v>0</v>
      </c>
      <c r="CC74" s="1350">
        <f t="shared" si="150"/>
        <v>0</v>
      </c>
      <c r="CD74" s="1357">
        <f t="shared" si="151"/>
        <v>0</v>
      </c>
      <c r="CE74" s="1350">
        <f t="shared" si="152"/>
        <v>0</v>
      </c>
      <c r="CF74" s="1350">
        <f t="shared" si="153"/>
        <v>0</v>
      </c>
      <c r="CG74" s="1350">
        <f t="shared" si="154"/>
        <v>0</v>
      </c>
      <c r="CH74" s="1356">
        <f t="shared" si="155"/>
        <v>0</v>
      </c>
      <c r="CI74" s="1350">
        <f t="shared" si="156"/>
        <v>0</v>
      </c>
      <c r="CJ74" s="1350">
        <f t="shared" si="157"/>
        <v>0</v>
      </c>
      <c r="CK74" s="1356">
        <f t="shared" si="158"/>
        <v>0</v>
      </c>
      <c r="CL74" s="1349">
        <f t="shared" si="159"/>
        <v>0</v>
      </c>
      <c r="CM74" s="1350">
        <f t="shared" si="160"/>
        <v>0</v>
      </c>
      <c r="CN74" s="1350">
        <f t="shared" si="161"/>
        <v>0</v>
      </c>
      <c r="CO74" s="1356">
        <f t="shared" si="162"/>
        <v>0</v>
      </c>
      <c r="CP74" s="1350">
        <f t="shared" si="163"/>
        <v>0</v>
      </c>
      <c r="CQ74" s="1350">
        <f t="shared" si="164"/>
        <v>0</v>
      </c>
      <c r="CR74" s="1350">
        <f t="shared" si="165"/>
        <v>0</v>
      </c>
      <c r="CS74" s="1350">
        <f t="shared" si="166"/>
        <v>0</v>
      </c>
    </row>
    <row r="75" spans="1:97" ht="16.5" customHeight="1" thickBot="1">
      <c r="A75" s="1739">
        <v>212</v>
      </c>
      <c r="B75" s="1986"/>
      <c r="C75" s="1996" t="s">
        <v>270</v>
      </c>
      <c r="D75" s="1997"/>
      <c r="E75" s="1183">
        <v>0</v>
      </c>
      <c r="F75" s="1184">
        <v>0</v>
      </c>
      <c r="G75" s="1185">
        <v>0</v>
      </c>
      <c r="H75" s="1184">
        <f t="shared" si="170"/>
        <v>175</v>
      </c>
      <c r="I75" s="1184">
        <f t="shared" si="171"/>
        <v>200</v>
      </c>
      <c r="J75" s="1184">
        <f t="shared" si="172"/>
        <v>25</v>
      </c>
      <c r="K75" s="1186">
        <f t="shared" si="173"/>
        <v>100</v>
      </c>
      <c r="L75" s="1187">
        <f t="shared" si="167"/>
        <v>60</v>
      </c>
      <c r="M75" s="1186">
        <f t="shared" si="168"/>
        <v>80</v>
      </c>
      <c r="N75" s="1188">
        <f t="shared" si="114"/>
        <v>7500</v>
      </c>
      <c r="O75" s="1348"/>
      <c r="P75" s="1348"/>
      <c r="Q75" s="1349"/>
      <c r="R75" s="1350"/>
      <c r="S75" s="1350"/>
      <c r="T75" s="1350">
        <v>175</v>
      </c>
      <c r="U75" s="1350">
        <v>200</v>
      </c>
      <c r="V75" s="1350"/>
      <c r="W75" s="1350"/>
      <c r="X75" s="1350"/>
      <c r="Y75" s="1350">
        <v>25</v>
      </c>
      <c r="Z75" s="1350">
        <v>0</v>
      </c>
      <c r="AA75" s="1351">
        <v>200</v>
      </c>
      <c r="AB75" s="1351">
        <v>100</v>
      </c>
      <c r="AC75" s="1351">
        <v>60</v>
      </c>
      <c r="AD75" s="1351">
        <v>80</v>
      </c>
      <c r="AE75" s="1351">
        <v>0</v>
      </c>
      <c r="AF75" s="1352">
        <v>7500</v>
      </c>
      <c r="AG75" s="1353">
        <f t="shared" si="58"/>
        <v>0</v>
      </c>
      <c r="AH75" s="1354"/>
      <c r="AI75" s="1351"/>
      <c r="AJ75" s="1351">
        <v>0</v>
      </c>
      <c r="AK75" s="1351">
        <v>0</v>
      </c>
      <c r="AL75" s="1355">
        <v>0</v>
      </c>
      <c r="AM75" s="1351">
        <v>0</v>
      </c>
      <c r="AN75" s="1351">
        <v>0</v>
      </c>
      <c r="AO75" s="1355">
        <f t="shared" si="115"/>
        <v>833.33333333333337</v>
      </c>
      <c r="AP75" s="1354">
        <f t="shared" si="116"/>
        <v>0</v>
      </c>
      <c r="AQ75" s="1351">
        <f t="shared" si="117"/>
        <v>0</v>
      </c>
      <c r="AR75" s="1351">
        <f>IF(($AG75=0),0,IF(($AG75&lt;10),CHOOSE($AG75,10,20,30,40,50,60,70,80,100),100))</f>
        <v>0</v>
      </c>
      <c r="AS75" s="1351">
        <f>IF(($AG75=0),0,IF(($AG75&lt;10),CHOOSE($AG75,10,20,30,40,50,60,70,80,100),100))</f>
        <v>0</v>
      </c>
      <c r="AT75" s="1355">
        <f>IF(($AG75=0),0,IF(($AG75&lt;10),CHOOSE($AG75,0,0,0,1,1,2,2,3,3),3))</f>
        <v>0</v>
      </c>
      <c r="AU75" s="1351">
        <f>IF(($AG75=0),0,IF(($AG75&lt;10),CHOOSE($AG75,-1,-2,-3,-4,-5,-6,-7,-8,-10),-10))</f>
        <v>0</v>
      </c>
      <c r="AV75" s="1351">
        <f>IF(($AG75=0),0,IF(($AG75&lt;10),CHOOSE($AG75,-2,-5,-7,-10,-12,-15,-17,-20,-22),-22))</f>
        <v>0</v>
      </c>
      <c r="AW75" s="1355">
        <f t="shared" si="169"/>
        <v>0</v>
      </c>
      <c r="AX75" s="1354">
        <f t="shared" si="119"/>
        <v>0</v>
      </c>
      <c r="AY75" s="1350">
        <f t="shared" si="120"/>
        <v>0</v>
      </c>
      <c r="AZ75" s="1350">
        <f t="shared" si="121"/>
        <v>0</v>
      </c>
      <c r="BA75" s="1350">
        <f t="shared" si="122"/>
        <v>0</v>
      </c>
      <c r="BB75" s="1356">
        <f t="shared" si="123"/>
        <v>0</v>
      </c>
      <c r="BC75" s="1350">
        <f t="shared" si="124"/>
        <v>0</v>
      </c>
      <c r="BD75" s="1350">
        <f t="shared" si="125"/>
        <v>0</v>
      </c>
      <c r="BE75" s="1356">
        <f t="shared" si="126"/>
        <v>0</v>
      </c>
      <c r="BF75" s="1349">
        <f t="shared" si="127"/>
        <v>0</v>
      </c>
      <c r="BG75" s="1350">
        <f t="shared" si="128"/>
        <v>0</v>
      </c>
      <c r="BH75" s="1350">
        <f t="shared" si="129"/>
        <v>0</v>
      </c>
      <c r="BI75" s="1350">
        <f t="shared" si="130"/>
        <v>0</v>
      </c>
      <c r="BJ75" s="1356">
        <f t="shared" si="131"/>
        <v>0</v>
      </c>
      <c r="BK75" s="1350">
        <f t="shared" si="132"/>
        <v>0</v>
      </c>
      <c r="BL75" s="1350">
        <f t="shared" si="133"/>
        <v>0</v>
      </c>
      <c r="BM75" s="1356">
        <f t="shared" si="134"/>
        <v>0</v>
      </c>
      <c r="BN75" s="1349">
        <f t="shared" si="135"/>
        <v>0</v>
      </c>
      <c r="BO75" s="1350">
        <f t="shared" si="136"/>
        <v>0</v>
      </c>
      <c r="BP75" s="1350">
        <f t="shared" si="137"/>
        <v>0</v>
      </c>
      <c r="BQ75" s="1350">
        <f t="shared" si="138"/>
        <v>0</v>
      </c>
      <c r="BR75" s="1356">
        <f t="shared" si="139"/>
        <v>0</v>
      </c>
      <c r="BS75" s="1350">
        <f t="shared" si="140"/>
        <v>0</v>
      </c>
      <c r="BT75" s="1350">
        <f t="shared" si="141"/>
        <v>0</v>
      </c>
      <c r="BU75" s="1356">
        <f t="shared" si="142"/>
        <v>0</v>
      </c>
      <c r="BV75" s="1349">
        <f t="shared" si="143"/>
        <v>0</v>
      </c>
      <c r="BW75" s="1350">
        <f t="shared" si="144"/>
        <v>0</v>
      </c>
      <c r="BX75" s="1350">
        <f t="shared" si="145"/>
        <v>0</v>
      </c>
      <c r="BY75" s="1350">
        <f t="shared" si="146"/>
        <v>0</v>
      </c>
      <c r="BZ75" s="1356">
        <f t="shared" si="147"/>
        <v>0</v>
      </c>
      <c r="CA75" s="1350">
        <f t="shared" si="148"/>
        <v>0</v>
      </c>
      <c r="CB75" s="1350">
        <f t="shared" si="149"/>
        <v>0</v>
      </c>
      <c r="CC75" s="1350">
        <f t="shared" si="150"/>
        <v>0</v>
      </c>
      <c r="CD75" s="1357">
        <f t="shared" si="151"/>
        <v>0</v>
      </c>
      <c r="CE75" s="1350">
        <f t="shared" si="152"/>
        <v>0</v>
      </c>
      <c r="CF75" s="1350">
        <f t="shared" si="153"/>
        <v>0</v>
      </c>
      <c r="CG75" s="1350">
        <f t="shared" si="154"/>
        <v>0</v>
      </c>
      <c r="CH75" s="1356">
        <f t="shared" si="155"/>
        <v>0</v>
      </c>
      <c r="CI75" s="1350">
        <f t="shared" si="156"/>
        <v>0</v>
      </c>
      <c r="CJ75" s="1350">
        <f t="shared" si="157"/>
        <v>0</v>
      </c>
      <c r="CK75" s="1356">
        <f t="shared" si="158"/>
        <v>0</v>
      </c>
      <c r="CL75" s="1349">
        <f t="shared" si="159"/>
        <v>0</v>
      </c>
      <c r="CM75" s="1350">
        <f t="shared" si="160"/>
        <v>0</v>
      </c>
      <c r="CN75" s="1350">
        <f t="shared" si="161"/>
        <v>0</v>
      </c>
      <c r="CO75" s="1356">
        <f t="shared" si="162"/>
        <v>0</v>
      </c>
      <c r="CP75" s="1350">
        <f t="shared" si="163"/>
        <v>0</v>
      </c>
      <c r="CQ75" s="1350">
        <f t="shared" si="164"/>
        <v>0</v>
      </c>
      <c r="CR75" s="1350">
        <f t="shared" si="165"/>
        <v>0</v>
      </c>
      <c r="CS75" s="1350">
        <f t="shared" si="166"/>
        <v>0</v>
      </c>
    </row>
    <row r="76" spans="1:97" ht="16.5" customHeight="1" thickBot="1">
      <c r="A76" s="1739">
        <v>301</v>
      </c>
      <c r="B76" s="2027" t="s">
        <v>109</v>
      </c>
      <c r="C76" s="2032"/>
      <c r="D76" s="2033"/>
      <c r="E76" s="1147">
        <v>0</v>
      </c>
      <c r="F76" s="1148">
        <v>0</v>
      </c>
      <c r="G76" s="1149">
        <v>0</v>
      </c>
      <c r="H76" s="1148">
        <v>0</v>
      </c>
      <c r="I76" s="1148">
        <v>0</v>
      </c>
      <c r="J76" s="1148">
        <v>0</v>
      </c>
      <c r="K76" s="1150">
        <v>0</v>
      </c>
      <c r="L76" s="1151">
        <v>0</v>
      </c>
      <c r="M76" s="1150">
        <v>0</v>
      </c>
      <c r="N76" s="1152">
        <v>0</v>
      </c>
      <c r="O76" s="1332"/>
      <c r="P76" s="1332"/>
      <c r="Q76" s="1247"/>
      <c r="R76" s="1248"/>
      <c r="S76" s="1248"/>
      <c r="T76" s="1248"/>
      <c r="U76" s="1248"/>
      <c r="V76" s="1248"/>
      <c r="W76" s="1248"/>
      <c r="X76" s="1248"/>
      <c r="Y76" s="1248"/>
      <c r="Z76" s="1248"/>
      <c r="AA76" s="1333"/>
      <c r="AB76" s="1333"/>
      <c r="AC76" s="1333"/>
      <c r="AD76" s="1333"/>
      <c r="AE76" s="1333"/>
      <c r="AF76" s="1334"/>
      <c r="AG76" s="1335">
        <f t="shared" si="58"/>
        <v>0</v>
      </c>
      <c r="AH76" s="1336"/>
      <c r="AI76" s="1333"/>
      <c r="AJ76" s="1333"/>
      <c r="AK76" s="1333"/>
      <c r="AL76" s="1337"/>
      <c r="AM76" s="1333"/>
      <c r="AN76" s="1333"/>
      <c r="AO76" s="1337"/>
      <c r="AP76" s="1336"/>
      <c r="AQ76" s="1333"/>
      <c r="AR76" s="1333"/>
      <c r="AS76" s="1333"/>
      <c r="AT76" s="1337"/>
      <c r="AU76" s="1333"/>
      <c r="AV76" s="1333"/>
      <c r="AW76" s="1337"/>
      <c r="AX76" s="1336"/>
      <c r="AY76" s="1248"/>
      <c r="AZ76" s="1248"/>
      <c r="BA76" s="1248"/>
      <c r="BB76" s="1338"/>
      <c r="BC76" s="1248"/>
      <c r="BD76" s="1248"/>
      <c r="BE76" s="1338"/>
      <c r="BF76" s="1247"/>
      <c r="BG76" s="1248"/>
      <c r="BH76" s="1248"/>
      <c r="BI76" s="1248"/>
      <c r="BJ76" s="1338"/>
      <c r="BK76" s="1248"/>
      <c r="BL76" s="1248"/>
      <c r="BM76" s="1338"/>
      <c r="BN76" s="1247"/>
      <c r="BO76" s="1248"/>
      <c r="BP76" s="1248"/>
      <c r="BQ76" s="1248"/>
      <c r="BR76" s="1338"/>
      <c r="BS76" s="1248"/>
      <c r="BT76" s="1248"/>
      <c r="BU76" s="1338"/>
      <c r="BV76" s="1247"/>
      <c r="BW76" s="1248"/>
      <c r="BX76" s="1248"/>
      <c r="BY76" s="1248"/>
      <c r="BZ76" s="1338"/>
      <c r="CA76" s="1248"/>
      <c r="CB76" s="1248"/>
      <c r="CC76" s="1248"/>
      <c r="CD76" s="1339"/>
      <c r="CE76" s="1248"/>
      <c r="CF76" s="1248"/>
      <c r="CG76" s="1248"/>
      <c r="CH76" s="1338"/>
      <c r="CI76" s="1248"/>
      <c r="CJ76" s="1248"/>
      <c r="CK76" s="1338"/>
      <c r="CL76" s="1247"/>
      <c r="CM76" s="1248"/>
      <c r="CN76" s="1248"/>
      <c r="CO76" s="1338"/>
      <c r="CP76" s="1248"/>
      <c r="CQ76" s="1248"/>
      <c r="CR76" s="1248"/>
      <c r="CS76" s="1248"/>
    </row>
    <row r="77" spans="1:97" ht="16.5" customHeight="1" thickBot="1">
      <c r="A77" s="1739">
        <v>309</v>
      </c>
      <c r="B77" s="2028"/>
      <c r="C77" s="1908" t="s">
        <v>272</v>
      </c>
      <c r="D77" s="1909"/>
      <c r="E77" s="1153">
        <v>0</v>
      </c>
      <c r="F77" s="1154">
        <f t="shared" ref="F77" si="230">IF((R77&lt;&gt;""),SUM(((R77+AQ77)+CM77)),"")</f>
        <v>350</v>
      </c>
      <c r="G77" s="1155">
        <v>0</v>
      </c>
      <c r="H77" s="1154">
        <v>0</v>
      </c>
      <c r="I77" s="1154">
        <v>0</v>
      </c>
      <c r="J77" s="1154">
        <v>0</v>
      </c>
      <c r="K77" s="1156">
        <v>0</v>
      </c>
      <c r="L77" s="1157">
        <f t="shared" ref="L77" si="231">IF((AC77&lt;&gt;""),SUM(((AC77+AU77)+CQ77)),"")</f>
        <v>30</v>
      </c>
      <c r="M77" s="1156">
        <f t="shared" ref="M77" si="232">IF((AD77&lt;&gt;""),SUM(((AD77+AV77)+CR77)),"")</f>
        <v>250</v>
      </c>
      <c r="N77" s="1158">
        <f t="shared" ref="N77" si="233">IF((AF77&lt;&gt;""),SUM(((AF77+AW77)+CS77)),"")</f>
        <v>17500</v>
      </c>
      <c r="O77" s="1332"/>
      <c r="P77" s="1332"/>
      <c r="Q77" s="1247"/>
      <c r="R77" s="1248">
        <v>350</v>
      </c>
      <c r="S77" s="1248"/>
      <c r="T77" s="1248"/>
      <c r="U77" s="1248"/>
      <c r="V77" s="1248"/>
      <c r="W77" s="1248"/>
      <c r="X77" s="1248"/>
      <c r="Y77" s="1248"/>
      <c r="Z77" s="1248"/>
      <c r="AA77" s="1333"/>
      <c r="AB77" s="1333"/>
      <c r="AC77" s="1333">
        <v>30</v>
      </c>
      <c r="AD77" s="1333">
        <v>250</v>
      </c>
      <c r="AE77" s="1333"/>
      <c r="AF77" s="1334">
        <v>17500</v>
      </c>
      <c r="AG77" s="1335">
        <f t="shared" si="58"/>
        <v>0</v>
      </c>
      <c r="AH77" s="1336"/>
      <c r="AI77" s="1333">
        <f>SUM((R77/9))</f>
        <v>38.888888888888886</v>
      </c>
      <c r="AJ77" s="1333"/>
      <c r="AK77" s="1333"/>
      <c r="AL77" s="1337"/>
      <c r="AM77" s="1333"/>
      <c r="AN77" s="1333"/>
      <c r="AO77" s="1337">
        <f t="shared" ref="AO77" si="234">SUM((AF77/9))</f>
        <v>1944.4444444444443</v>
      </c>
      <c r="AP77" s="1336">
        <f t="shared" ref="AP77" si="235">IF(($AG77&lt;10),SUM(ROUNDUP(($AG77*AH77),2)),SUM(ROUNDUP((9*AH77),2)))</f>
        <v>0</v>
      </c>
      <c r="AQ77" s="1333">
        <f t="shared" ref="AQ77" si="236">IF(($AG77&lt;10),SUM(ROUNDUP(($AG77*AI77),2)),SUM(ROUNDUP((9*AI77),2)))</f>
        <v>0</v>
      </c>
      <c r="AR77" s="1333"/>
      <c r="AS77" s="1333"/>
      <c r="AT77" s="1337"/>
      <c r="AU77" s="1333">
        <f>IF(($AG77&lt;10),SUM(ROUNDUP(($AG77*AM77),2)),SUM(ROUNDUP((9*AM77),2)))</f>
        <v>0</v>
      </c>
      <c r="AV77" s="1333">
        <f>IF(($AG77&lt;10),SUM(ROUNDUP(($AG77*AN77),2)),SUM(ROUNDUP((9*AN77),2)))</f>
        <v>0</v>
      </c>
      <c r="AW77" s="1337">
        <f t="shared" ref="AW77" si="237">IF(($AG77&lt;10),SUM(ROUNDUP(($AG77*AO77),2)),SUM(ROUNDUP((9*AO77),2)))</f>
        <v>0</v>
      </c>
      <c r="AX77" s="1336">
        <f t="shared" ref="AX77" si="238">IF(($AG77&gt;9),SUM(((AH77*0.9)*1)),0)</f>
        <v>0</v>
      </c>
      <c r="AY77" s="1248">
        <f t="shared" ref="AY77" si="239">IF(($AG77&gt;9),SUM(((AI77*0.9)*1)),0)</f>
        <v>0</v>
      </c>
      <c r="AZ77" s="1248">
        <f t="shared" ref="AZ77" si="240">IF(($AG77&gt;9),SUM(((AJ77*0.9)*1)),0)</f>
        <v>0</v>
      </c>
      <c r="BA77" s="1248">
        <f t="shared" ref="BA77" si="241">IF(($AG77&gt;9),SUM(((AK77*0.9)*1)),0)</f>
        <v>0</v>
      </c>
      <c r="BB77" s="1338">
        <f t="shared" ref="BB77" si="242">IF(($AG77&gt;9),SUM(((AL77*0.9)*1)),0)</f>
        <v>0</v>
      </c>
      <c r="BC77" s="1248">
        <f t="shared" ref="BC77" si="243">IF(($AG77&gt;9),SUM(((AM77*0.9)*1)),0)</f>
        <v>0</v>
      </c>
      <c r="BD77" s="1248">
        <f t="shared" ref="BD77" si="244">IF(($AG77&gt;9),SUM(((AN77*0.9)*1)),0)</f>
        <v>0</v>
      </c>
      <c r="BE77" s="1338">
        <f t="shared" ref="BE77" si="245">IF(($AG77&gt;9),SUM(((AO77*0.9)*1)),0)</f>
        <v>0</v>
      </c>
      <c r="BF77" s="1247">
        <f t="shared" ref="BF77" si="246">IF(($AG77&gt;10),SUM(((AH77*0.9)*0.9)),0)</f>
        <v>0</v>
      </c>
      <c r="BG77" s="1248">
        <f t="shared" ref="BG77" si="247">IF(($AG77&gt;10),SUM(((AI77*0.9)*0.9)),0)</f>
        <v>0</v>
      </c>
      <c r="BH77" s="1248">
        <f t="shared" ref="BH77" si="248">IF(($AG77&gt;10),SUM(((AJ77*0.9)*0.9)),0)</f>
        <v>0</v>
      </c>
      <c r="BI77" s="1248">
        <f t="shared" ref="BI77" si="249">IF(($AG77&gt;10),SUM(((AK77*0.9)*0.9)),0)</f>
        <v>0</v>
      </c>
      <c r="BJ77" s="1338">
        <f t="shared" ref="BJ77" si="250">IF(($AG77&gt;10),SUM(((AL77*0.9)*0.9)),0)</f>
        <v>0</v>
      </c>
      <c r="BK77" s="1248">
        <f t="shared" ref="BK77" si="251">IF(($AG77&gt;10),SUM(((AM77*0.9)*0.9)),0)</f>
        <v>0</v>
      </c>
      <c r="BL77" s="1248">
        <f t="shared" ref="BL77" si="252">IF(($AG77&gt;10),SUM(((AN77*0.9)*0.9)),0)</f>
        <v>0</v>
      </c>
      <c r="BM77" s="1338">
        <f t="shared" ref="BM77" si="253">IF(($AG77&gt;10),SUM(((AO77*0.9)*0.9)),0)</f>
        <v>0</v>
      </c>
      <c r="BN77" s="1247">
        <f t="shared" ref="BN77" si="254">IF(($AG77&gt;11),SUM(((AH77*0.9)*0.8)),0)</f>
        <v>0</v>
      </c>
      <c r="BO77" s="1248">
        <f t="shared" ref="BO77" si="255">IF(($AG77&gt;11),SUM(((AI77*0.9)*0.8)),0)</f>
        <v>0</v>
      </c>
      <c r="BP77" s="1248">
        <f t="shared" ref="BP77" si="256">IF(($AG77&gt;11),SUM(((AJ77*0.9)*0.8)),0)</f>
        <v>0</v>
      </c>
      <c r="BQ77" s="1248">
        <f t="shared" ref="BQ77" si="257">IF(($AG77&gt;11),SUM(((AK77*0.9)*0.8)),0)</f>
        <v>0</v>
      </c>
      <c r="BR77" s="1338">
        <f t="shared" ref="BR77" si="258">IF(($AG77&gt;11),SUM(((AL77*0.9)*0.8)),0)</f>
        <v>0</v>
      </c>
      <c r="BS77" s="1248">
        <f t="shared" ref="BS77" si="259">IF(($AG77&gt;11),SUM(((AM77*0.9)*0.8)),0)</f>
        <v>0</v>
      </c>
      <c r="BT77" s="1248">
        <f t="shared" ref="BT77" si="260">IF(($AG77&gt;11),SUM(((AN77*0.9)*0.8)),0)</f>
        <v>0</v>
      </c>
      <c r="BU77" s="1338">
        <f t="shared" ref="BU77" si="261">IF(($AG77&gt;11),SUM(((AO77*0.9)*0.8)),0)</f>
        <v>0</v>
      </c>
      <c r="BV77" s="1247">
        <f t="shared" ref="BV77" si="262">IF(($AG77&gt;12),SUM(((AH77*0.9)*0.7)),0)</f>
        <v>0</v>
      </c>
      <c r="BW77" s="1248">
        <f t="shared" ref="BW77" si="263">IF(($AG77&gt;12),SUM(((AI77*0.9)*0.7)),0)</f>
        <v>0</v>
      </c>
      <c r="BX77" s="1248">
        <f t="shared" ref="BX77" si="264">IF(($AG77&gt;12),SUM(((AJ77*0.9)*0.7)),0)</f>
        <v>0</v>
      </c>
      <c r="BY77" s="1248">
        <f t="shared" ref="BY77" si="265">IF(($AG77&gt;12),SUM(((AK77*0.9)*0.7)),0)</f>
        <v>0</v>
      </c>
      <c r="BZ77" s="1338">
        <f t="shared" ref="BZ77" si="266">IF(($AG77&gt;12),SUM(((AL77*0.9)*0.7)),0)</f>
        <v>0</v>
      </c>
      <c r="CA77" s="1248">
        <f t="shared" ref="CA77" si="267">IF(($AG77&gt;12),SUM(((AM77*0.9)*0.7)),0)</f>
        <v>0</v>
      </c>
      <c r="CB77" s="1248">
        <f t="shared" ref="CB77" si="268">IF(($AG77&gt;12),SUM(((AN77*0.9)*0.7)),0)</f>
        <v>0</v>
      </c>
      <c r="CC77" s="1248">
        <f t="shared" ref="CC77" si="269">IF(($AG77&gt;12),SUM(((AO77*0.9)*0.7)),0)</f>
        <v>0</v>
      </c>
      <c r="CD77" s="1339">
        <f t="shared" ref="CD77" si="270">IF(($AG77&gt;13),SUM(((AH77*0.9)*0.6)),0)</f>
        <v>0</v>
      </c>
      <c r="CE77" s="1248">
        <f t="shared" ref="CE77" si="271">IF(($AG77&gt;13),SUM(((AI77*0.9)*0.6)),0)</f>
        <v>0</v>
      </c>
      <c r="CF77" s="1248">
        <f t="shared" ref="CF77" si="272">IF(($AG77&gt;13),SUM(((AJ77*0.9)*0.6)),0)</f>
        <v>0</v>
      </c>
      <c r="CG77" s="1248">
        <f t="shared" ref="CG77" si="273">IF(($AG77&gt;13),SUM(((AK77*0.9)*0.6)),0)</f>
        <v>0</v>
      </c>
      <c r="CH77" s="1338">
        <f t="shared" ref="CH77" si="274">IF(($AG77&gt;13),SUM(((AL77*0.9)*0.6)),0)</f>
        <v>0</v>
      </c>
      <c r="CI77" s="1248">
        <f t="shared" ref="CI77" si="275">IF(($AG77&gt;13),SUM(((AM77*0.9)*0.6)),0)</f>
        <v>0</v>
      </c>
      <c r="CJ77" s="1248">
        <f t="shared" ref="CJ77" si="276">IF(($AG77&gt;13),SUM(((AN77*0.9)*0.6)),0)</f>
        <v>0</v>
      </c>
      <c r="CK77" s="1338">
        <f t="shared" ref="CK77" si="277">IF(($AG77&gt;13),SUM(((AO77*0.9)*0.6)),0)</f>
        <v>0</v>
      </c>
      <c r="CL77" s="1247">
        <f t="shared" ref="CL77" si="278">SUM(((((AX77+BF77)+BN77)+BV77)+CD77))</f>
        <v>0</v>
      </c>
      <c r="CM77" s="1248">
        <f t="shared" ref="CM77" si="279">SUM(((((AY77+BG77)+BO77)+BW77)+CE77))</f>
        <v>0</v>
      </c>
      <c r="CN77" s="1248">
        <f t="shared" ref="CN77" si="280">SUM(((((AZ77+BH77)+BP77)+BX77)+CF77))</f>
        <v>0</v>
      </c>
      <c r="CO77" s="1338">
        <f t="shared" ref="CO77" si="281">SUM(((((BA77+BI77)+BQ77)+BY77)+CG77))</f>
        <v>0</v>
      </c>
      <c r="CP77" s="1248">
        <f t="shared" ref="CP77" si="282">SUM(((((BB77+BJ77)+BR77)+BZ77)+CH77))</f>
        <v>0</v>
      </c>
      <c r="CQ77" s="1248">
        <f t="shared" ref="CQ77" si="283">SUM(((((BC77+BK77)+BS77)+CA77)+CI77))</f>
        <v>0</v>
      </c>
      <c r="CR77" s="1248">
        <f t="shared" ref="CR77" si="284">SUM(((((BD77+BL77)+BT77)+CB77)+CJ77))</f>
        <v>0</v>
      </c>
      <c r="CS77" s="1248">
        <f t="shared" ref="CS77" si="285">SUM(((((BE77+BM77)+BU77)+CC77)+CK77))</f>
        <v>0</v>
      </c>
    </row>
    <row r="78" spans="1:97" ht="16.5" customHeight="1">
      <c r="A78" s="1741">
        <v>310</v>
      </c>
      <c r="B78" s="2028"/>
      <c r="C78" s="1998" t="s">
        <v>271</v>
      </c>
      <c r="D78" s="1926"/>
      <c r="E78" s="1159">
        <f t="shared" si="113"/>
        <v>3.5</v>
      </c>
      <c r="F78" s="1160">
        <v>0</v>
      </c>
      <c r="G78" s="1161">
        <v>0</v>
      </c>
      <c r="H78" s="1160">
        <v>0</v>
      </c>
      <c r="I78" s="1160">
        <v>0</v>
      </c>
      <c r="J78" s="1160">
        <v>0</v>
      </c>
      <c r="K78" s="1156">
        <v>0</v>
      </c>
      <c r="L78" s="1157">
        <v>0</v>
      </c>
      <c r="M78" s="1156">
        <v>0</v>
      </c>
      <c r="N78" s="1158">
        <f t="shared" si="114"/>
        <v>17500</v>
      </c>
      <c r="O78" s="1332"/>
      <c r="P78" s="1332"/>
      <c r="Q78" s="1247">
        <v>3.5</v>
      </c>
      <c r="R78" s="1248"/>
      <c r="S78" s="1248"/>
      <c r="T78" s="1248"/>
      <c r="U78" s="1248"/>
      <c r="V78" s="1248"/>
      <c r="W78" s="1248"/>
      <c r="X78" s="1248"/>
      <c r="Y78" s="1248"/>
      <c r="Z78" s="1248"/>
      <c r="AA78" s="1333"/>
      <c r="AB78" s="1333"/>
      <c r="AC78" s="1333"/>
      <c r="AD78" s="1333"/>
      <c r="AE78" s="1333"/>
      <c r="AF78" s="1334">
        <v>17500</v>
      </c>
      <c r="AG78" s="1335">
        <f t="shared" si="58"/>
        <v>0</v>
      </c>
      <c r="AH78" s="1336">
        <f>SUM((Q78/9))</f>
        <v>0.3888888888888889</v>
      </c>
      <c r="AI78" s="1333"/>
      <c r="AJ78" s="1333"/>
      <c r="AK78" s="1333"/>
      <c r="AL78" s="1337"/>
      <c r="AM78" s="1333"/>
      <c r="AN78" s="1333"/>
      <c r="AO78" s="1337">
        <f t="shared" si="115"/>
        <v>1944.4444444444443</v>
      </c>
      <c r="AP78" s="1336">
        <f t="shared" si="116"/>
        <v>0</v>
      </c>
      <c r="AQ78" s="1333">
        <f t="shared" si="117"/>
        <v>0</v>
      </c>
      <c r="AR78" s="1333"/>
      <c r="AS78" s="1333"/>
      <c r="AT78" s="1337"/>
      <c r="AU78" s="1333">
        <f>IF(($AG78&lt;10),SUM(ROUNDUP(($AG78*AM78),2)),SUM(ROUNDUP((9*AM78),2)))</f>
        <v>0</v>
      </c>
      <c r="AV78" s="1333">
        <f>IF(($AG78&lt;10),SUM(ROUNDUP(($AG78*AN78),2)),SUM(ROUNDUP((9*AN78),2)))</f>
        <v>0</v>
      </c>
      <c r="AW78" s="1337">
        <f t="shared" si="169"/>
        <v>0</v>
      </c>
      <c r="AX78" s="1336">
        <f t="shared" si="119"/>
        <v>0</v>
      </c>
      <c r="AY78" s="1248">
        <f t="shared" si="120"/>
        <v>0</v>
      </c>
      <c r="AZ78" s="1248">
        <f t="shared" si="121"/>
        <v>0</v>
      </c>
      <c r="BA78" s="1248">
        <f t="shared" si="122"/>
        <v>0</v>
      </c>
      <c r="BB78" s="1338">
        <f t="shared" si="123"/>
        <v>0</v>
      </c>
      <c r="BC78" s="1248">
        <f t="shared" si="124"/>
        <v>0</v>
      </c>
      <c r="BD78" s="1248">
        <f t="shared" si="125"/>
        <v>0</v>
      </c>
      <c r="BE78" s="1338">
        <f t="shared" si="126"/>
        <v>0</v>
      </c>
      <c r="BF78" s="1247">
        <f t="shared" si="127"/>
        <v>0</v>
      </c>
      <c r="BG78" s="1248">
        <f t="shared" si="128"/>
        <v>0</v>
      </c>
      <c r="BH78" s="1248">
        <f t="shared" si="129"/>
        <v>0</v>
      </c>
      <c r="BI78" s="1248">
        <f t="shared" si="130"/>
        <v>0</v>
      </c>
      <c r="BJ78" s="1338">
        <f t="shared" si="131"/>
        <v>0</v>
      </c>
      <c r="BK78" s="1248">
        <f t="shared" si="132"/>
        <v>0</v>
      </c>
      <c r="BL78" s="1248">
        <f t="shared" si="133"/>
        <v>0</v>
      </c>
      <c r="BM78" s="1338">
        <f t="shared" si="134"/>
        <v>0</v>
      </c>
      <c r="BN78" s="1247">
        <f t="shared" si="135"/>
        <v>0</v>
      </c>
      <c r="BO78" s="1248">
        <f t="shared" si="136"/>
        <v>0</v>
      </c>
      <c r="BP78" s="1248">
        <f t="shared" si="137"/>
        <v>0</v>
      </c>
      <c r="BQ78" s="1248">
        <f t="shared" si="138"/>
        <v>0</v>
      </c>
      <c r="BR78" s="1338">
        <f t="shared" si="139"/>
        <v>0</v>
      </c>
      <c r="BS78" s="1248">
        <f t="shared" si="140"/>
        <v>0</v>
      </c>
      <c r="BT78" s="1248">
        <f t="shared" si="141"/>
        <v>0</v>
      </c>
      <c r="BU78" s="1338">
        <f t="shared" si="142"/>
        <v>0</v>
      </c>
      <c r="BV78" s="1247">
        <f t="shared" si="143"/>
        <v>0</v>
      </c>
      <c r="BW78" s="1248">
        <f t="shared" si="144"/>
        <v>0</v>
      </c>
      <c r="BX78" s="1248">
        <f t="shared" si="145"/>
        <v>0</v>
      </c>
      <c r="BY78" s="1248">
        <f t="shared" si="146"/>
        <v>0</v>
      </c>
      <c r="BZ78" s="1338">
        <f t="shared" si="147"/>
        <v>0</v>
      </c>
      <c r="CA78" s="1248">
        <f t="shared" si="148"/>
        <v>0</v>
      </c>
      <c r="CB78" s="1248">
        <f t="shared" si="149"/>
        <v>0</v>
      </c>
      <c r="CC78" s="1248">
        <f t="shared" si="150"/>
        <v>0</v>
      </c>
      <c r="CD78" s="1339">
        <f t="shared" si="151"/>
        <v>0</v>
      </c>
      <c r="CE78" s="1248">
        <f t="shared" si="152"/>
        <v>0</v>
      </c>
      <c r="CF78" s="1248">
        <f t="shared" si="153"/>
        <v>0</v>
      </c>
      <c r="CG78" s="1248">
        <f t="shared" si="154"/>
        <v>0</v>
      </c>
      <c r="CH78" s="1338">
        <f t="shared" si="155"/>
        <v>0</v>
      </c>
      <c r="CI78" s="1248">
        <f t="shared" si="156"/>
        <v>0</v>
      </c>
      <c r="CJ78" s="1248">
        <f t="shared" si="157"/>
        <v>0</v>
      </c>
      <c r="CK78" s="1338">
        <f t="shared" si="158"/>
        <v>0</v>
      </c>
      <c r="CL78" s="1247">
        <f t="shared" si="159"/>
        <v>0</v>
      </c>
      <c r="CM78" s="1248">
        <f t="shared" si="160"/>
        <v>0</v>
      </c>
      <c r="CN78" s="1248">
        <f t="shared" si="161"/>
        <v>0</v>
      </c>
      <c r="CO78" s="1338">
        <f t="shared" si="162"/>
        <v>0</v>
      </c>
      <c r="CP78" s="1248">
        <f t="shared" si="163"/>
        <v>0</v>
      </c>
      <c r="CQ78" s="1248">
        <f t="shared" si="164"/>
        <v>0</v>
      </c>
      <c r="CR78" s="1248">
        <f t="shared" si="165"/>
        <v>0</v>
      </c>
      <c r="CS78" s="1248">
        <f t="shared" si="166"/>
        <v>0</v>
      </c>
    </row>
    <row r="79" spans="1:97" ht="16.5" customHeight="1" thickBot="1">
      <c r="A79" s="1739">
        <v>311</v>
      </c>
      <c r="B79" s="2029"/>
      <c r="C79" s="1908" t="s">
        <v>273</v>
      </c>
      <c r="D79" s="1909"/>
      <c r="E79" s="1162">
        <v>0</v>
      </c>
      <c r="F79" s="1163">
        <v>0</v>
      </c>
      <c r="G79" s="1164">
        <v>0</v>
      </c>
      <c r="H79" s="1163">
        <f t="shared" si="170"/>
        <v>75</v>
      </c>
      <c r="I79" s="1163">
        <f t="shared" si="171"/>
        <v>95</v>
      </c>
      <c r="J79" s="1163">
        <f t="shared" si="172"/>
        <v>35</v>
      </c>
      <c r="K79" s="1165">
        <f t="shared" si="173"/>
        <v>100</v>
      </c>
      <c r="L79" s="1166">
        <f t="shared" si="167"/>
        <v>340</v>
      </c>
      <c r="M79" s="1165">
        <f t="shared" si="168"/>
        <v>500</v>
      </c>
      <c r="N79" s="1167">
        <f t="shared" si="114"/>
        <v>17500</v>
      </c>
      <c r="O79" s="1332"/>
      <c r="P79" s="1332"/>
      <c r="Q79" s="1247"/>
      <c r="R79" s="1248"/>
      <c r="S79" s="1248"/>
      <c r="T79" s="1248">
        <v>75</v>
      </c>
      <c r="U79" s="1248">
        <v>95</v>
      </c>
      <c r="V79" s="1248"/>
      <c r="W79" s="1248"/>
      <c r="X79" s="1248"/>
      <c r="Y79" s="1248">
        <v>35</v>
      </c>
      <c r="Z79" s="1248">
        <v>0</v>
      </c>
      <c r="AA79" s="1333">
        <v>0</v>
      </c>
      <c r="AB79" s="1333">
        <v>100</v>
      </c>
      <c r="AC79" s="1333">
        <v>340</v>
      </c>
      <c r="AD79" s="1333">
        <v>500</v>
      </c>
      <c r="AE79" s="1333">
        <v>0</v>
      </c>
      <c r="AF79" s="1334">
        <v>17500</v>
      </c>
      <c r="AG79" s="1335">
        <f t="shared" si="58"/>
        <v>0</v>
      </c>
      <c r="AH79" s="1336"/>
      <c r="AI79" s="1333"/>
      <c r="AJ79" s="1333">
        <v>0</v>
      </c>
      <c r="AK79" s="1333">
        <v>0</v>
      </c>
      <c r="AL79" s="1337">
        <v>0</v>
      </c>
      <c r="AM79" s="1333">
        <v>0</v>
      </c>
      <c r="AN79" s="1333">
        <v>0</v>
      </c>
      <c r="AO79" s="1337">
        <f t="shared" si="115"/>
        <v>1944.4444444444443</v>
      </c>
      <c r="AP79" s="1336">
        <f t="shared" si="116"/>
        <v>0</v>
      </c>
      <c r="AQ79" s="1333">
        <f t="shared" si="117"/>
        <v>0</v>
      </c>
      <c r="AR79" s="1333">
        <f>IF(($AG79=0),0,IF(($AG79&lt;10),CHOOSE($AG79,1,2,3,4,5,7,9,11,13),13))</f>
        <v>0</v>
      </c>
      <c r="AS79" s="1333">
        <f>IF(($AG79=0),0,IF(($AG79&lt;10),CHOOSE($AG79,2,4,6,8,10,12,14,16,18),18))</f>
        <v>0</v>
      </c>
      <c r="AT79" s="1337">
        <v>0</v>
      </c>
      <c r="AU79" s="1333">
        <f>IF(($AG79=0),0,IF(($AG79&lt;10),CHOOSE($AG79,-10,-20,-30,-40,-50,-60,-70,-80,-90),-90))</f>
        <v>0</v>
      </c>
      <c r="AV79" s="1333">
        <f>IF(($AG79=0),0,IF(($AG79&lt;10),CHOOSE($AG79,-3,-6,-9,-12,-15,-18,-21,-24,-27),-27))</f>
        <v>0</v>
      </c>
      <c r="AW79" s="1337">
        <f t="shared" si="169"/>
        <v>0</v>
      </c>
      <c r="AX79" s="1336">
        <f t="shared" si="119"/>
        <v>0</v>
      </c>
      <c r="AY79" s="1248">
        <f t="shared" si="120"/>
        <v>0</v>
      </c>
      <c r="AZ79" s="1248">
        <f t="shared" si="121"/>
        <v>0</v>
      </c>
      <c r="BA79" s="1248">
        <f t="shared" si="122"/>
        <v>0</v>
      </c>
      <c r="BB79" s="1338">
        <f t="shared" si="123"/>
        <v>0</v>
      </c>
      <c r="BC79" s="1248">
        <f t="shared" si="124"/>
        <v>0</v>
      </c>
      <c r="BD79" s="1248">
        <f t="shared" si="125"/>
        <v>0</v>
      </c>
      <c r="BE79" s="1338">
        <f t="shared" si="126"/>
        <v>0</v>
      </c>
      <c r="BF79" s="1247">
        <f t="shared" si="127"/>
        <v>0</v>
      </c>
      <c r="BG79" s="1248">
        <f t="shared" si="128"/>
        <v>0</v>
      </c>
      <c r="BH79" s="1248">
        <f t="shared" si="129"/>
        <v>0</v>
      </c>
      <c r="BI79" s="1248">
        <f t="shared" si="130"/>
        <v>0</v>
      </c>
      <c r="BJ79" s="1338">
        <f t="shared" si="131"/>
        <v>0</v>
      </c>
      <c r="BK79" s="1248">
        <f t="shared" si="132"/>
        <v>0</v>
      </c>
      <c r="BL79" s="1248">
        <f t="shared" si="133"/>
        <v>0</v>
      </c>
      <c r="BM79" s="1338">
        <f t="shared" si="134"/>
        <v>0</v>
      </c>
      <c r="BN79" s="1247">
        <f t="shared" si="135"/>
        <v>0</v>
      </c>
      <c r="BO79" s="1248">
        <f t="shared" si="136"/>
        <v>0</v>
      </c>
      <c r="BP79" s="1248">
        <f t="shared" si="137"/>
        <v>0</v>
      </c>
      <c r="BQ79" s="1248">
        <f t="shared" si="138"/>
        <v>0</v>
      </c>
      <c r="BR79" s="1338">
        <f t="shared" si="139"/>
        <v>0</v>
      </c>
      <c r="BS79" s="1248">
        <f t="shared" si="140"/>
        <v>0</v>
      </c>
      <c r="BT79" s="1248">
        <f t="shared" si="141"/>
        <v>0</v>
      </c>
      <c r="BU79" s="1338">
        <f t="shared" si="142"/>
        <v>0</v>
      </c>
      <c r="BV79" s="1247">
        <f t="shared" si="143"/>
        <v>0</v>
      </c>
      <c r="BW79" s="1248">
        <f t="shared" si="144"/>
        <v>0</v>
      </c>
      <c r="BX79" s="1248">
        <f t="shared" si="145"/>
        <v>0</v>
      </c>
      <c r="BY79" s="1248">
        <f t="shared" si="146"/>
        <v>0</v>
      </c>
      <c r="BZ79" s="1338">
        <f t="shared" si="147"/>
        <v>0</v>
      </c>
      <c r="CA79" s="1248">
        <f t="shared" si="148"/>
        <v>0</v>
      </c>
      <c r="CB79" s="1248">
        <f t="shared" si="149"/>
        <v>0</v>
      </c>
      <c r="CC79" s="1248">
        <f t="shared" si="150"/>
        <v>0</v>
      </c>
      <c r="CD79" s="1339">
        <f t="shared" si="151"/>
        <v>0</v>
      </c>
      <c r="CE79" s="1248">
        <f t="shared" si="152"/>
        <v>0</v>
      </c>
      <c r="CF79" s="1248">
        <f t="shared" si="153"/>
        <v>0</v>
      </c>
      <c r="CG79" s="1248">
        <f t="shared" si="154"/>
        <v>0</v>
      </c>
      <c r="CH79" s="1338">
        <f t="shared" si="155"/>
        <v>0</v>
      </c>
      <c r="CI79" s="1248">
        <f t="shared" si="156"/>
        <v>0</v>
      </c>
      <c r="CJ79" s="1248">
        <f t="shared" si="157"/>
        <v>0</v>
      </c>
      <c r="CK79" s="1338">
        <f t="shared" si="158"/>
        <v>0</v>
      </c>
      <c r="CL79" s="1247">
        <f t="shared" si="159"/>
        <v>0</v>
      </c>
      <c r="CM79" s="1248">
        <f t="shared" si="160"/>
        <v>0</v>
      </c>
      <c r="CN79" s="1248">
        <f t="shared" si="161"/>
        <v>0</v>
      </c>
      <c r="CO79" s="1338">
        <f t="shared" si="162"/>
        <v>0</v>
      </c>
      <c r="CP79" s="1248">
        <f t="shared" si="163"/>
        <v>0</v>
      </c>
      <c r="CQ79" s="1248">
        <f t="shared" si="164"/>
        <v>0</v>
      </c>
      <c r="CR79" s="1248">
        <f t="shared" si="165"/>
        <v>0</v>
      </c>
      <c r="CS79" s="1248">
        <f t="shared" si="166"/>
        <v>0</v>
      </c>
    </row>
    <row r="80" spans="1:97" ht="16.5" customHeight="1" thickBot="1">
      <c r="A80" s="1739">
        <v>401</v>
      </c>
      <c r="B80" s="2030" t="s">
        <v>112</v>
      </c>
      <c r="C80" s="2034"/>
      <c r="D80" s="2035"/>
      <c r="E80" s="1129">
        <v>0</v>
      </c>
      <c r="F80" s="1130">
        <v>0</v>
      </c>
      <c r="G80" s="1131">
        <v>0</v>
      </c>
      <c r="H80" s="1130">
        <v>0</v>
      </c>
      <c r="I80" s="1130">
        <v>0</v>
      </c>
      <c r="J80" s="1130">
        <v>0</v>
      </c>
      <c r="K80" s="1132">
        <v>0</v>
      </c>
      <c r="L80" s="1133">
        <v>0</v>
      </c>
      <c r="M80" s="1132">
        <v>0</v>
      </c>
      <c r="N80" s="1134">
        <v>0</v>
      </c>
      <c r="O80" s="1340"/>
      <c r="P80" s="1340"/>
      <c r="Q80" s="1261"/>
      <c r="R80" s="1262"/>
      <c r="S80" s="1262"/>
      <c r="T80" s="1262"/>
      <c r="U80" s="1262"/>
      <c r="V80" s="1262"/>
      <c r="W80" s="1262"/>
      <c r="X80" s="1262"/>
      <c r="Y80" s="1262"/>
      <c r="Z80" s="1262"/>
      <c r="AA80" s="1341"/>
      <c r="AB80" s="1341"/>
      <c r="AC80" s="1341"/>
      <c r="AD80" s="1341"/>
      <c r="AE80" s="1341"/>
      <c r="AF80" s="1342"/>
      <c r="AG80" s="1343">
        <f t="shared" si="58"/>
        <v>0</v>
      </c>
      <c r="AH80" s="1344"/>
      <c r="AI80" s="1341"/>
      <c r="AJ80" s="1341"/>
      <c r="AK80" s="1341"/>
      <c r="AL80" s="1345"/>
      <c r="AM80" s="1341"/>
      <c r="AN80" s="1341"/>
      <c r="AO80" s="1345"/>
      <c r="AP80" s="1344"/>
      <c r="AQ80" s="1341"/>
      <c r="AR80" s="1341"/>
      <c r="AS80" s="1341"/>
      <c r="AT80" s="1345"/>
      <c r="AU80" s="1341"/>
      <c r="AV80" s="1341"/>
      <c r="AW80" s="1345"/>
      <c r="AX80" s="1344"/>
      <c r="AY80" s="1262"/>
      <c r="AZ80" s="1262"/>
      <c r="BA80" s="1262"/>
      <c r="BB80" s="1346"/>
      <c r="BC80" s="1262"/>
      <c r="BD80" s="1262"/>
      <c r="BE80" s="1346"/>
      <c r="BF80" s="1261"/>
      <c r="BG80" s="1262"/>
      <c r="BH80" s="1262"/>
      <c r="BI80" s="1262"/>
      <c r="BJ80" s="1346"/>
      <c r="BK80" s="1262"/>
      <c r="BL80" s="1262"/>
      <c r="BM80" s="1346"/>
      <c r="BN80" s="1261"/>
      <c r="BO80" s="1262"/>
      <c r="BP80" s="1262"/>
      <c r="BQ80" s="1262"/>
      <c r="BR80" s="1346"/>
      <c r="BS80" s="1262"/>
      <c r="BT80" s="1262"/>
      <c r="BU80" s="1346"/>
      <c r="BV80" s="1261"/>
      <c r="BW80" s="1262"/>
      <c r="BX80" s="1262"/>
      <c r="BY80" s="1262"/>
      <c r="BZ80" s="1346"/>
      <c r="CA80" s="1262"/>
      <c r="CB80" s="1262"/>
      <c r="CC80" s="1262"/>
      <c r="CD80" s="1347"/>
      <c r="CE80" s="1262"/>
      <c r="CF80" s="1262"/>
      <c r="CG80" s="1262"/>
      <c r="CH80" s="1346"/>
      <c r="CI80" s="1262"/>
      <c r="CJ80" s="1262"/>
      <c r="CK80" s="1346"/>
      <c r="CL80" s="1261"/>
      <c r="CM80" s="1262"/>
      <c r="CN80" s="1262"/>
      <c r="CO80" s="1346"/>
      <c r="CP80" s="1262"/>
      <c r="CQ80" s="1262"/>
      <c r="CR80" s="1262"/>
      <c r="CS80" s="1262"/>
    </row>
    <row r="81" spans="1:97" ht="16.5" customHeight="1">
      <c r="A81" s="1741"/>
      <c r="B81" s="2031"/>
      <c r="C81" s="1906" t="s">
        <v>274</v>
      </c>
      <c r="D81" s="1907"/>
      <c r="E81" s="1135">
        <f t="shared" si="113"/>
        <v>3.5</v>
      </c>
      <c r="F81" s="1136">
        <v>0</v>
      </c>
      <c r="G81" s="1137">
        <v>0</v>
      </c>
      <c r="H81" s="1136">
        <v>0</v>
      </c>
      <c r="I81" s="1136">
        <v>0</v>
      </c>
      <c r="J81" s="1136">
        <v>0</v>
      </c>
      <c r="K81" s="1138">
        <v>0</v>
      </c>
      <c r="L81" s="1139">
        <v>0</v>
      </c>
      <c r="M81" s="1138">
        <v>0</v>
      </c>
      <c r="N81" s="1140">
        <f t="shared" si="114"/>
        <v>15000</v>
      </c>
      <c r="O81" s="1340"/>
      <c r="P81" s="1340"/>
      <c r="Q81" s="1261">
        <v>3.5</v>
      </c>
      <c r="R81" s="1262"/>
      <c r="S81" s="1262"/>
      <c r="T81" s="1262"/>
      <c r="U81" s="1262"/>
      <c r="V81" s="1262"/>
      <c r="W81" s="1262"/>
      <c r="X81" s="1262"/>
      <c r="Y81" s="1262"/>
      <c r="Z81" s="1262"/>
      <c r="AA81" s="1341"/>
      <c r="AB81" s="1341"/>
      <c r="AC81" s="1341"/>
      <c r="AD81" s="1341"/>
      <c r="AE81" s="1341"/>
      <c r="AF81" s="1342">
        <v>15000</v>
      </c>
      <c r="AG81" s="1343">
        <f t="shared" si="58"/>
        <v>0</v>
      </c>
      <c r="AH81" s="1344">
        <f>SUM((Q81/9))</f>
        <v>0.3888888888888889</v>
      </c>
      <c r="AI81" s="1341"/>
      <c r="AJ81" s="1341"/>
      <c r="AK81" s="1341"/>
      <c r="AL81" s="1345"/>
      <c r="AM81" s="1341"/>
      <c r="AN81" s="1341"/>
      <c r="AO81" s="1345">
        <f t="shared" si="115"/>
        <v>1666.6666666666667</v>
      </c>
      <c r="AP81" s="1344">
        <f t="shared" si="116"/>
        <v>0</v>
      </c>
      <c r="AQ81" s="1341">
        <f t="shared" si="117"/>
        <v>0</v>
      </c>
      <c r="AR81" s="1341"/>
      <c r="AS81" s="1341"/>
      <c r="AT81" s="1345"/>
      <c r="AU81" s="1341">
        <f>IF(($AG81&lt;10),SUM(ROUNDUP(($AG81*AM81),2)),SUM(ROUNDUP((9*AM81),2)))</f>
        <v>0</v>
      </c>
      <c r="AV81" s="1341">
        <f>IF(($AG81&lt;10),SUM(ROUNDUP(($AG81*AN81),2)),SUM(ROUNDUP((9*AN81),2)))</f>
        <v>0</v>
      </c>
      <c r="AW81" s="1345">
        <f t="shared" si="169"/>
        <v>0</v>
      </c>
      <c r="AX81" s="1344">
        <f t="shared" si="119"/>
        <v>0</v>
      </c>
      <c r="AY81" s="1262">
        <f t="shared" si="120"/>
        <v>0</v>
      </c>
      <c r="AZ81" s="1262">
        <f t="shared" si="121"/>
        <v>0</v>
      </c>
      <c r="BA81" s="1262">
        <f t="shared" si="122"/>
        <v>0</v>
      </c>
      <c r="BB81" s="1346">
        <f t="shared" si="123"/>
        <v>0</v>
      </c>
      <c r="BC81" s="1262">
        <f t="shared" si="124"/>
        <v>0</v>
      </c>
      <c r="BD81" s="1262">
        <f t="shared" si="125"/>
        <v>0</v>
      </c>
      <c r="BE81" s="1346">
        <f t="shared" si="126"/>
        <v>0</v>
      </c>
      <c r="BF81" s="1261">
        <f t="shared" si="127"/>
        <v>0</v>
      </c>
      <c r="BG81" s="1262">
        <f t="shared" si="128"/>
        <v>0</v>
      </c>
      <c r="BH81" s="1262">
        <f t="shared" si="129"/>
        <v>0</v>
      </c>
      <c r="BI81" s="1262">
        <f t="shared" si="130"/>
        <v>0</v>
      </c>
      <c r="BJ81" s="1346">
        <f t="shared" si="131"/>
        <v>0</v>
      </c>
      <c r="BK81" s="1262">
        <f t="shared" si="132"/>
        <v>0</v>
      </c>
      <c r="BL81" s="1262">
        <f t="shared" si="133"/>
        <v>0</v>
      </c>
      <c r="BM81" s="1346">
        <f t="shared" si="134"/>
        <v>0</v>
      </c>
      <c r="BN81" s="1261">
        <f t="shared" si="135"/>
        <v>0</v>
      </c>
      <c r="BO81" s="1262">
        <f t="shared" si="136"/>
        <v>0</v>
      </c>
      <c r="BP81" s="1262">
        <f t="shared" si="137"/>
        <v>0</v>
      </c>
      <c r="BQ81" s="1262">
        <f t="shared" si="138"/>
        <v>0</v>
      </c>
      <c r="BR81" s="1346">
        <f t="shared" si="139"/>
        <v>0</v>
      </c>
      <c r="BS81" s="1262">
        <f t="shared" si="140"/>
        <v>0</v>
      </c>
      <c r="BT81" s="1262">
        <f t="shared" si="141"/>
        <v>0</v>
      </c>
      <c r="BU81" s="1346">
        <f t="shared" si="142"/>
        <v>0</v>
      </c>
      <c r="BV81" s="1261">
        <f t="shared" si="143"/>
        <v>0</v>
      </c>
      <c r="BW81" s="1262">
        <f t="shared" si="144"/>
        <v>0</v>
      </c>
      <c r="BX81" s="1262">
        <f t="shared" si="145"/>
        <v>0</v>
      </c>
      <c r="BY81" s="1262">
        <f t="shared" si="146"/>
        <v>0</v>
      </c>
      <c r="BZ81" s="1346">
        <f t="shared" si="147"/>
        <v>0</v>
      </c>
      <c r="CA81" s="1262">
        <f t="shared" si="148"/>
        <v>0</v>
      </c>
      <c r="CB81" s="1262">
        <f t="shared" si="149"/>
        <v>0</v>
      </c>
      <c r="CC81" s="1262">
        <f t="shared" si="150"/>
        <v>0</v>
      </c>
      <c r="CD81" s="1347">
        <f t="shared" si="151"/>
        <v>0</v>
      </c>
      <c r="CE81" s="1262">
        <f t="shared" si="152"/>
        <v>0</v>
      </c>
      <c r="CF81" s="1262">
        <f t="shared" si="153"/>
        <v>0</v>
      </c>
      <c r="CG81" s="1262">
        <f t="shared" si="154"/>
        <v>0</v>
      </c>
      <c r="CH81" s="1346">
        <f t="shared" si="155"/>
        <v>0</v>
      </c>
      <c r="CI81" s="1262">
        <f t="shared" si="156"/>
        <v>0</v>
      </c>
      <c r="CJ81" s="1262">
        <f t="shared" si="157"/>
        <v>0</v>
      </c>
      <c r="CK81" s="1346">
        <f t="shared" si="158"/>
        <v>0</v>
      </c>
      <c r="CL81" s="1261">
        <f t="shared" si="159"/>
        <v>0</v>
      </c>
      <c r="CM81" s="1262">
        <f t="shared" si="160"/>
        <v>0</v>
      </c>
      <c r="CN81" s="1262">
        <f t="shared" si="161"/>
        <v>0</v>
      </c>
      <c r="CO81" s="1346">
        <f t="shared" si="162"/>
        <v>0</v>
      </c>
      <c r="CP81" s="1262">
        <f t="shared" si="163"/>
        <v>0</v>
      </c>
      <c r="CQ81" s="1262">
        <f t="shared" si="164"/>
        <v>0</v>
      </c>
      <c r="CR81" s="1262">
        <f t="shared" si="165"/>
        <v>0</v>
      </c>
      <c r="CS81" s="1262">
        <f t="shared" si="166"/>
        <v>0</v>
      </c>
    </row>
    <row r="82" spans="1:97" ht="16.5" customHeight="1">
      <c r="B82" s="2031"/>
      <c r="C82" s="1906" t="s">
        <v>275</v>
      </c>
      <c r="D82" s="1907"/>
      <c r="E82" s="1141">
        <v>0</v>
      </c>
      <c r="F82" s="1142">
        <f t="shared" ref="F82" si="286">IF((R82&lt;&gt;""),SUM(((R82+AQ82)+CM82)),"")</f>
        <v>1000</v>
      </c>
      <c r="G82" s="1143">
        <v>0</v>
      </c>
      <c r="H82" s="1142">
        <v>0</v>
      </c>
      <c r="I82" s="1142">
        <v>0</v>
      </c>
      <c r="J82" s="1142">
        <v>0</v>
      </c>
      <c r="K82" s="1144">
        <v>0</v>
      </c>
      <c r="L82" s="1145">
        <f t="shared" si="167"/>
        <v>40</v>
      </c>
      <c r="M82" s="1144">
        <f t="shared" si="168"/>
        <v>400</v>
      </c>
      <c r="N82" s="1146">
        <f t="shared" si="114"/>
        <v>15000</v>
      </c>
      <c r="O82" s="1340"/>
      <c r="P82" s="1340"/>
      <c r="Q82" s="1261"/>
      <c r="R82" s="1262">
        <v>1000</v>
      </c>
      <c r="S82" s="1262"/>
      <c r="T82" s="1262"/>
      <c r="U82" s="1262"/>
      <c r="V82" s="1262"/>
      <c r="W82" s="1262"/>
      <c r="X82" s="1262"/>
      <c r="Y82" s="1262"/>
      <c r="Z82" s="1262"/>
      <c r="AA82" s="1341"/>
      <c r="AB82" s="1341"/>
      <c r="AC82" s="1341">
        <v>40</v>
      </c>
      <c r="AD82" s="1341">
        <v>400</v>
      </c>
      <c r="AE82" s="1341"/>
      <c r="AF82" s="1342">
        <v>15000</v>
      </c>
      <c r="AG82" s="1343">
        <f t="shared" si="58"/>
        <v>0</v>
      </c>
      <c r="AH82" s="1344"/>
      <c r="AI82" s="1341">
        <f>SUM((R82/9))</f>
        <v>111.11111111111111</v>
      </c>
      <c r="AJ82" s="1341"/>
      <c r="AK82" s="1341"/>
      <c r="AL82" s="1345"/>
      <c r="AM82" s="1341"/>
      <c r="AN82" s="1341"/>
      <c r="AO82" s="1345">
        <f t="shared" si="115"/>
        <v>1666.6666666666667</v>
      </c>
      <c r="AP82" s="1344">
        <f t="shared" si="116"/>
        <v>0</v>
      </c>
      <c r="AQ82" s="1341">
        <f t="shared" si="117"/>
        <v>0</v>
      </c>
      <c r="AR82" s="1341"/>
      <c r="AS82" s="1341"/>
      <c r="AT82" s="1345"/>
      <c r="AU82" s="1341">
        <f>IF(($AG82&lt;10),SUM(ROUNDUP(($AG82*AM82),2)),SUM(ROUNDUP((9*AM82),2)))</f>
        <v>0</v>
      </c>
      <c r="AV82" s="1341">
        <f>IF(($AG82&lt;10),SUM(ROUNDUP(($AG82*AN82),2)),SUM(ROUNDUP((9*AN82),2)))</f>
        <v>0</v>
      </c>
      <c r="AW82" s="1345">
        <f t="shared" si="169"/>
        <v>0</v>
      </c>
      <c r="AX82" s="1344">
        <f t="shared" si="119"/>
        <v>0</v>
      </c>
      <c r="AY82" s="1262">
        <f t="shared" si="120"/>
        <v>0</v>
      </c>
      <c r="AZ82" s="1262">
        <f t="shared" si="121"/>
        <v>0</v>
      </c>
      <c r="BA82" s="1262">
        <f t="shared" si="122"/>
        <v>0</v>
      </c>
      <c r="BB82" s="1346">
        <f t="shared" si="123"/>
        <v>0</v>
      </c>
      <c r="BC82" s="1262">
        <f t="shared" si="124"/>
        <v>0</v>
      </c>
      <c r="BD82" s="1262">
        <f t="shared" si="125"/>
        <v>0</v>
      </c>
      <c r="BE82" s="1346">
        <f t="shared" si="126"/>
        <v>0</v>
      </c>
      <c r="BF82" s="1261">
        <f t="shared" si="127"/>
        <v>0</v>
      </c>
      <c r="BG82" s="1262">
        <f t="shared" si="128"/>
        <v>0</v>
      </c>
      <c r="BH82" s="1262">
        <f t="shared" si="129"/>
        <v>0</v>
      </c>
      <c r="BI82" s="1262">
        <f t="shared" si="130"/>
        <v>0</v>
      </c>
      <c r="BJ82" s="1346">
        <f t="shared" si="131"/>
        <v>0</v>
      </c>
      <c r="BK82" s="1262">
        <f t="shared" si="132"/>
        <v>0</v>
      </c>
      <c r="BL82" s="1262">
        <f t="shared" si="133"/>
        <v>0</v>
      </c>
      <c r="BM82" s="1346">
        <f t="shared" si="134"/>
        <v>0</v>
      </c>
      <c r="BN82" s="1261">
        <f t="shared" si="135"/>
        <v>0</v>
      </c>
      <c r="BO82" s="1262">
        <f t="shared" si="136"/>
        <v>0</v>
      </c>
      <c r="BP82" s="1262">
        <f t="shared" si="137"/>
        <v>0</v>
      </c>
      <c r="BQ82" s="1262">
        <f t="shared" si="138"/>
        <v>0</v>
      </c>
      <c r="BR82" s="1346">
        <f t="shared" si="139"/>
        <v>0</v>
      </c>
      <c r="BS82" s="1262">
        <f t="shared" si="140"/>
        <v>0</v>
      </c>
      <c r="BT82" s="1262">
        <f t="shared" si="141"/>
        <v>0</v>
      </c>
      <c r="BU82" s="1346">
        <f t="shared" si="142"/>
        <v>0</v>
      </c>
      <c r="BV82" s="1261">
        <f t="shared" si="143"/>
        <v>0</v>
      </c>
      <c r="BW82" s="1262">
        <f t="shared" si="144"/>
        <v>0</v>
      </c>
      <c r="BX82" s="1262">
        <f t="shared" si="145"/>
        <v>0</v>
      </c>
      <c r="BY82" s="1262">
        <f t="shared" si="146"/>
        <v>0</v>
      </c>
      <c r="BZ82" s="1346">
        <f t="shared" si="147"/>
        <v>0</v>
      </c>
      <c r="CA82" s="1262">
        <f t="shared" si="148"/>
        <v>0</v>
      </c>
      <c r="CB82" s="1262">
        <f t="shared" si="149"/>
        <v>0</v>
      </c>
      <c r="CC82" s="1262">
        <f t="shared" si="150"/>
        <v>0</v>
      </c>
      <c r="CD82" s="1347">
        <f t="shared" si="151"/>
        <v>0</v>
      </c>
      <c r="CE82" s="1262">
        <f t="shared" si="152"/>
        <v>0</v>
      </c>
      <c r="CF82" s="1262">
        <f t="shared" si="153"/>
        <v>0</v>
      </c>
      <c r="CG82" s="1262">
        <f t="shared" si="154"/>
        <v>0</v>
      </c>
      <c r="CH82" s="1346">
        <f t="shared" si="155"/>
        <v>0</v>
      </c>
      <c r="CI82" s="1262">
        <f t="shared" si="156"/>
        <v>0</v>
      </c>
      <c r="CJ82" s="1262">
        <f t="shared" si="157"/>
        <v>0</v>
      </c>
      <c r="CK82" s="1346">
        <f t="shared" si="158"/>
        <v>0</v>
      </c>
      <c r="CL82" s="1261">
        <f t="shared" si="159"/>
        <v>0</v>
      </c>
      <c r="CM82" s="1262">
        <f t="shared" si="160"/>
        <v>0</v>
      </c>
      <c r="CN82" s="1262">
        <f t="shared" si="161"/>
        <v>0</v>
      </c>
      <c r="CO82" s="1346">
        <f t="shared" si="162"/>
        <v>0</v>
      </c>
      <c r="CP82" s="1262">
        <f t="shared" si="163"/>
        <v>0</v>
      </c>
      <c r="CQ82" s="1262">
        <f t="shared" si="164"/>
        <v>0</v>
      </c>
      <c r="CR82" s="1262">
        <f t="shared" si="165"/>
        <v>0</v>
      </c>
      <c r="CS82" s="1262">
        <f t="shared" si="166"/>
        <v>0</v>
      </c>
    </row>
    <row r="83" spans="1:97" ht="16.5" customHeight="1">
      <c r="B83" s="2031"/>
      <c r="C83" s="2036" t="s">
        <v>276</v>
      </c>
      <c r="D83" s="2037"/>
      <c r="E83" s="1358">
        <v>0</v>
      </c>
      <c r="F83" s="1359">
        <v>0</v>
      </c>
      <c r="G83" s="1360">
        <v>0</v>
      </c>
      <c r="H83" s="1359">
        <f t="shared" si="170"/>
        <v>120</v>
      </c>
      <c r="I83" s="1359">
        <f t="shared" si="171"/>
        <v>140</v>
      </c>
      <c r="J83" s="1359">
        <f t="shared" si="172"/>
        <v>35</v>
      </c>
      <c r="K83" s="1361">
        <f t="shared" si="173"/>
        <v>100</v>
      </c>
      <c r="L83" s="1362">
        <f t="shared" si="167"/>
        <v>340</v>
      </c>
      <c r="M83" s="1361">
        <f t="shared" si="168"/>
        <v>750</v>
      </c>
      <c r="N83" s="1363">
        <f t="shared" si="114"/>
        <v>15000</v>
      </c>
      <c r="O83" s="1340"/>
      <c r="P83" s="1340"/>
      <c r="Q83" s="1366"/>
      <c r="R83" s="1367"/>
      <c r="S83" s="1367"/>
      <c r="T83" s="1367">
        <v>120</v>
      </c>
      <c r="U83" s="1367">
        <v>140</v>
      </c>
      <c r="V83" s="1367"/>
      <c r="W83" s="1367"/>
      <c r="X83" s="1367"/>
      <c r="Y83" s="1367">
        <v>35</v>
      </c>
      <c r="Z83" s="1367">
        <v>0</v>
      </c>
      <c r="AA83" s="1368">
        <v>0</v>
      </c>
      <c r="AB83" s="1368">
        <v>100</v>
      </c>
      <c r="AC83" s="1368">
        <v>340</v>
      </c>
      <c r="AD83" s="1368">
        <v>750</v>
      </c>
      <c r="AE83" s="1368">
        <v>0</v>
      </c>
      <c r="AF83" s="1342">
        <v>15000</v>
      </c>
      <c r="AG83" s="1343">
        <f t="shared" si="58"/>
        <v>0</v>
      </c>
      <c r="AH83" s="1371"/>
      <c r="AI83" s="1368"/>
      <c r="AJ83" s="1368">
        <v>0</v>
      </c>
      <c r="AK83" s="1368">
        <v>0</v>
      </c>
      <c r="AL83" s="1372">
        <v>0</v>
      </c>
      <c r="AM83" s="1368">
        <v>0</v>
      </c>
      <c r="AN83" s="1368">
        <v>0</v>
      </c>
      <c r="AO83" s="1372">
        <f t="shared" si="115"/>
        <v>1666.6666666666667</v>
      </c>
      <c r="AP83" s="1371">
        <f t="shared" si="116"/>
        <v>0</v>
      </c>
      <c r="AQ83" s="1368">
        <f t="shared" si="117"/>
        <v>0</v>
      </c>
      <c r="AR83" s="1368">
        <f>IF(($AG83=0),0,IF(($AG83&lt;10),CHOOSE($AG83,2,4,6,8,10,12,14,16,18),18))</f>
        <v>0</v>
      </c>
      <c r="AS83" s="1368">
        <f>IF(($AG83=0),0,IF(($AG83&lt;10),CHOOSE($AG83,2,4,6,8,10,12,14,16,18),18))</f>
        <v>0</v>
      </c>
      <c r="AT83" s="1372">
        <v>0</v>
      </c>
      <c r="AU83" s="1368">
        <f>IF(($AG83=0),0,IF(($AG83&lt;10),CHOOSE($AG83,-10,-20,-30,-40,-50,-60,-70,-80,-90),-90))</f>
        <v>0</v>
      </c>
      <c r="AV83" s="1368">
        <f>IF(($AG83=0),0,IF(($AG83&lt;10),CHOOSE($AG83,-2,-4,-6,-10,-12,-14,-16,-18,-20),-20))</f>
        <v>0</v>
      </c>
      <c r="AW83" s="1372">
        <f t="shared" si="169"/>
        <v>0</v>
      </c>
      <c r="AX83" s="1371">
        <f t="shared" si="119"/>
        <v>0</v>
      </c>
      <c r="AY83" s="1367">
        <f t="shared" si="120"/>
        <v>0</v>
      </c>
      <c r="AZ83" s="1367">
        <f t="shared" si="121"/>
        <v>0</v>
      </c>
      <c r="BA83" s="1367">
        <f t="shared" si="122"/>
        <v>0</v>
      </c>
      <c r="BB83" s="1373">
        <f t="shared" si="123"/>
        <v>0</v>
      </c>
      <c r="BC83" s="1367">
        <f t="shared" si="124"/>
        <v>0</v>
      </c>
      <c r="BD83" s="1367">
        <f t="shared" si="125"/>
        <v>0</v>
      </c>
      <c r="BE83" s="1373">
        <f t="shared" si="126"/>
        <v>0</v>
      </c>
      <c r="BF83" s="1366">
        <f t="shared" si="127"/>
        <v>0</v>
      </c>
      <c r="BG83" s="1367">
        <f t="shared" si="128"/>
        <v>0</v>
      </c>
      <c r="BH83" s="1367">
        <f t="shared" si="129"/>
        <v>0</v>
      </c>
      <c r="BI83" s="1367">
        <f t="shared" si="130"/>
        <v>0</v>
      </c>
      <c r="BJ83" s="1373">
        <f t="shared" si="131"/>
        <v>0</v>
      </c>
      <c r="BK83" s="1367">
        <f t="shared" si="132"/>
        <v>0</v>
      </c>
      <c r="BL83" s="1367">
        <f t="shared" si="133"/>
        <v>0</v>
      </c>
      <c r="BM83" s="1373">
        <f t="shared" si="134"/>
        <v>0</v>
      </c>
      <c r="BN83" s="1366">
        <f t="shared" si="135"/>
        <v>0</v>
      </c>
      <c r="BO83" s="1367">
        <f t="shared" si="136"/>
        <v>0</v>
      </c>
      <c r="BP83" s="1367">
        <f t="shared" si="137"/>
        <v>0</v>
      </c>
      <c r="BQ83" s="1367">
        <f t="shared" si="138"/>
        <v>0</v>
      </c>
      <c r="BR83" s="1373">
        <f t="shared" si="139"/>
        <v>0</v>
      </c>
      <c r="BS83" s="1367">
        <f t="shared" si="140"/>
        <v>0</v>
      </c>
      <c r="BT83" s="1367">
        <f t="shared" si="141"/>
        <v>0</v>
      </c>
      <c r="BU83" s="1373">
        <f t="shared" si="142"/>
        <v>0</v>
      </c>
      <c r="BV83" s="1366">
        <f t="shared" si="143"/>
        <v>0</v>
      </c>
      <c r="BW83" s="1367">
        <f t="shared" si="144"/>
        <v>0</v>
      </c>
      <c r="BX83" s="1367">
        <f t="shared" si="145"/>
        <v>0</v>
      </c>
      <c r="BY83" s="1367">
        <f t="shared" si="146"/>
        <v>0</v>
      </c>
      <c r="BZ83" s="1373">
        <f t="shared" si="147"/>
        <v>0</v>
      </c>
      <c r="CA83" s="1367">
        <f t="shared" si="148"/>
        <v>0</v>
      </c>
      <c r="CB83" s="1367">
        <f t="shared" si="149"/>
        <v>0</v>
      </c>
      <c r="CC83" s="1367">
        <f t="shared" si="150"/>
        <v>0</v>
      </c>
      <c r="CD83" s="1374">
        <f t="shared" si="151"/>
        <v>0</v>
      </c>
      <c r="CE83" s="1367">
        <f t="shared" si="152"/>
        <v>0</v>
      </c>
      <c r="CF83" s="1367">
        <f t="shared" si="153"/>
        <v>0</v>
      </c>
      <c r="CG83" s="1367">
        <f t="shared" si="154"/>
        <v>0</v>
      </c>
      <c r="CH83" s="1373">
        <f t="shared" si="155"/>
        <v>0</v>
      </c>
      <c r="CI83" s="1367">
        <f t="shared" si="156"/>
        <v>0</v>
      </c>
      <c r="CJ83" s="1367">
        <f t="shared" si="157"/>
        <v>0</v>
      </c>
      <c r="CK83" s="1373">
        <f t="shared" si="158"/>
        <v>0</v>
      </c>
      <c r="CL83" s="1366">
        <f t="shared" si="159"/>
        <v>0</v>
      </c>
      <c r="CM83" s="1367">
        <f t="shared" si="160"/>
        <v>0</v>
      </c>
      <c r="CN83" s="1367">
        <f t="shared" si="161"/>
        <v>0</v>
      </c>
      <c r="CO83" s="1373">
        <f t="shared" si="162"/>
        <v>0</v>
      </c>
      <c r="CP83" s="1367">
        <f t="shared" si="163"/>
        <v>0</v>
      </c>
      <c r="CQ83" s="1367">
        <f t="shared" si="164"/>
        <v>0</v>
      </c>
      <c r="CR83" s="1367">
        <f t="shared" si="165"/>
        <v>0</v>
      </c>
      <c r="CS83" s="1367">
        <f t="shared" si="166"/>
        <v>0</v>
      </c>
    </row>
    <row r="84" spans="1:97" ht="15" customHeight="1">
      <c r="A84" s="1739">
        <v>501</v>
      </c>
      <c r="B84" s="2020" t="s">
        <v>767</v>
      </c>
      <c r="C84" s="1743"/>
      <c r="D84" s="1297"/>
      <c r="E84" s="1297"/>
      <c r="F84" s="1297"/>
      <c r="G84" s="1297"/>
      <c r="H84" s="1297"/>
      <c r="I84" s="1297"/>
      <c r="J84" s="1297"/>
      <c r="K84" s="1297"/>
      <c r="L84" s="1297"/>
      <c r="M84" s="1297"/>
      <c r="N84" s="1297"/>
      <c r="O84" s="1364"/>
      <c r="P84" s="1364"/>
      <c r="Q84" s="1369"/>
      <c r="R84" s="1369"/>
      <c r="S84" s="1369"/>
      <c r="T84" s="1369"/>
      <c r="U84" s="1369"/>
      <c r="V84" s="1369"/>
      <c r="W84" s="1369"/>
      <c r="X84" s="1369"/>
      <c r="Y84" s="1369"/>
      <c r="Z84" s="1369"/>
      <c r="AA84" s="1370"/>
      <c r="AB84" s="1370"/>
      <c r="AC84" s="1370"/>
      <c r="AD84" s="1370"/>
      <c r="AE84" s="1370"/>
      <c r="AF84" s="1370"/>
      <c r="AG84" s="1365"/>
      <c r="AH84" s="1370"/>
      <c r="AI84" s="1370"/>
      <c r="AJ84" s="1370"/>
      <c r="AK84" s="1370"/>
      <c r="AL84" s="1370"/>
      <c r="AM84" s="1370"/>
      <c r="AN84" s="1370"/>
      <c r="AO84" s="1370"/>
      <c r="AP84" s="1370"/>
      <c r="AQ84" s="1370"/>
      <c r="AR84" s="1370"/>
      <c r="AS84" s="1370"/>
      <c r="AT84" s="1370"/>
      <c r="AU84" s="1370"/>
      <c r="AV84" s="1370"/>
      <c r="AW84" s="1370"/>
      <c r="AX84" s="1370"/>
      <c r="AY84" s="1369"/>
      <c r="AZ84" s="1369"/>
      <c r="BA84" s="1369"/>
      <c r="BB84" s="1369"/>
      <c r="BC84" s="1369"/>
      <c r="BD84" s="1369"/>
      <c r="BE84" s="1369"/>
      <c r="BF84" s="1369"/>
      <c r="BG84" s="1369"/>
      <c r="BH84" s="1369"/>
      <c r="BI84" s="1369"/>
      <c r="BJ84" s="1369"/>
      <c r="BK84" s="1369"/>
      <c r="BL84" s="1369"/>
      <c r="BM84" s="1369"/>
      <c r="BN84" s="1369"/>
      <c r="BO84" s="1369"/>
      <c r="BP84" s="1369"/>
      <c r="BQ84" s="1369"/>
      <c r="BR84" s="1369"/>
      <c r="BS84" s="1369"/>
      <c r="BT84" s="1369"/>
      <c r="BU84" s="1369"/>
      <c r="BV84" s="1369"/>
      <c r="BW84" s="1369"/>
      <c r="BX84" s="1369"/>
      <c r="BY84" s="1369"/>
      <c r="BZ84" s="1369"/>
      <c r="CA84" s="1369"/>
      <c r="CB84" s="1369"/>
      <c r="CC84" s="1369"/>
      <c r="CD84" s="1369"/>
      <c r="CE84" s="1369"/>
      <c r="CF84" s="1369"/>
      <c r="CG84" s="1369"/>
      <c r="CH84" s="1369"/>
      <c r="CI84" s="1369"/>
      <c r="CJ84" s="1369"/>
      <c r="CK84" s="1369"/>
      <c r="CL84" s="1369"/>
      <c r="CM84" s="1369"/>
      <c r="CN84" s="1369"/>
      <c r="CO84" s="1369"/>
      <c r="CP84" s="1369"/>
      <c r="CQ84" s="1369"/>
      <c r="CR84" s="1369"/>
      <c r="CS84" s="1369"/>
    </row>
    <row r="85" spans="1:97" ht="15" customHeight="1">
      <c r="B85" s="2020"/>
      <c r="C85" s="1743"/>
      <c r="D85" s="1297"/>
      <c r="E85" s="1297"/>
      <c r="F85" s="1297"/>
      <c r="G85" s="1297"/>
      <c r="H85" s="1297"/>
      <c r="I85" s="1297"/>
      <c r="J85" s="1297"/>
      <c r="K85" s="1297"/>
      <c r="L85" s="1297"/>
      <c r="M85" s="1297"/>
      <c r="N85" s="1297"/>
      <c r="O85" s="1364"/>
      <c r="P85" s="1364"/>
      <c r="Q85" s="1369"/>
      <c r="R85" s="1369"/>
      <c r="S85" s="1369"/>
      <c r="T85" s="1369"/>
      <c r="U85" s="1369"/>
      <c r="V85" s="1369"/>
      <c r="W85" s="1369"/>
      <c r="X85" s="1369"/>
      <c r="Y85" s="1369"/>
      <c r="Z85" s="1369"/>
      <c r="AA85" s="1370"/>
      <c r="AB85" s="1370"/>
      <c r="AC85" s="1370"/>
      <c r="AD85" s="1370"/>
      <c r="AE85" s="1370"/>
      <c r="AF85" s="1370"/>
      <c r="AG85" s="1365"/>
      <c r="AH85" s="1370"/>
      <c r="AI85" s="1370"/>
      <c r="AJ85" s="1370"/>
      <c r="AK85" s="1370"/>
      <c r="AL85" s="1370"/>
      <c r="AM85" s="1370"/>
      <c r="AN85" s="1370"/>
      <c r="AO85" s="1370"/>
      <c r="AP85" s="1370"/>
      <c r="AQ85" s="1370"/>
      <c r="AR85" s="1370"/>
      <c r="AS85" s="1370"/>
      <c r="AT85" s="1370"/>
      <c r="AU85" s="1370"/>
      <c r="AV85" s="1370"/>
      <c r="AW85" s="1370"/>
      <c r="AX85" s="1370"/>
      <c r="AY85" s="1369"/>
      <c r="AZ85" s="1369"/>
      <c r="BA85" s="1369"/>
      <c r="BB85" s="1369"/>
      <c r="BC85" s="1369"/>
      <c r="BD85" s="1369"/>
      <c r="BE85" s="1369"/>
      <c r="BF85" s="1369"/>
      <c r="BG85" s="1369"/>
      <c r="BH85" s="1369"/>
      <c r="BI85" s="1369"/>
      <c r="BJ85" s="1369"/>
      <c r="BK85" s="1369"/>
      <c r="BL85" s="1369"/>
      <c r="BM85" s="1369"/>
      <c r="BN85" s="1369"/>
      <c r="BO85" s="1369"/>
      <c r="BP85" s="1369"/>
      <c r="BQ85" s="1369"/>
      <c r="BR85" s="1369"/>
      <c r="BS85" s="1369"/>
      <c r="BT85" s="1369"/>
      <c r="BU85" s="1369"/>
      <c r="BV85" s="1369"/>
      <c r="BW85" s="1369"/>
      <c r="BX85" s="1369"/>
      <c r="BY85" s="1369"/>
      <c r="BZ85" s="1369"/>
      <c r="CA85" s="1369"/>
      <c r="CB85" s="1369"/>
      <c r="CC85" s="1369"/>
      <c r="CD85" s="1369"/>
      <c r="CE85" s="1369"/>
      <c r="CF85" s="1369"/>
      <c r="CG85" s="1369"/>
      <c r="CH85" s="1369"/>
      <c r="CI85" s="1369"/>
      <c r="CJ85" s="1369"/>
      <c r="CK85" s="1369"/>
      <c r="CL85" s="1369"/>
      <c r="CM85" s="1369"/>
      <c r="CN85" s="1369"/>
      <c r="CO85" s="1369"/>
      <c r="CP85" s="1369"/>
      <c r="CQ85" s="1369"/>
      <c r="CR85" s="1369"/>
      <c r="CS85" s="1369"/>
    </row>
    <row r="86" spans="1:97" ht="15" customHeight="1">
      <c r="B86" s="2020"/>
      <c r="C86" s="1743"/>
      <c r="D86" s="1297"/>
      <c r="E86" s="1297"/>
      <c r="F86" s="1297"/>
      <c r="G86" s="1297"/>
      <c r="H86" s="1297"/>
      <c r="I86" s="1297"/>
      <c r="J86" s="1297"/>
      <c r="K86" s="1297"/>
      <c r="L86" s="1297"/>
      <c r="M86" s="1297"/>
      <c r="N86" s="1297"/>
      <c r="O86" s="1364"/>
      <c r="P86" s="1364"/>
      <c r="Q86" s="1369"/>
      <c r="R86" s="1369"/>
      <c r="S86" s="1369"/>
      <c r="T86" s="1369"/>
      <c r="U86" s="1369"/>
      <c r="V86" s="1369"/>
      <c r="W86" s="1369"/>
      <c r="X86" s="1369"/>
      <c r="Y86" s="1369"/>
      <c r="Z86" s="1369"/>
      <c r="AA86" s="1370"/>
      <c r="AB86" s="1370"/>
      <c r="AC86" s="1370"/>
      <c r="AD86" s="1370"/>
      <c r="AE86" s="1370"/>
      <c r="AF86" s="1370"/>
      <c r="AG86" s="1365"/>
      <c r="AH86" s="1370"/>
      <c r="AI86" s="1370"/>
      <c r="AJ86" s="1370"/>
      <c r="AK86" s="1370"/>
      <c r="AL86" s="1370"/>
      <c r="AM86" s="1370"/>
      <c r="AN86" s="1370"/>
      <c r="AO86" s="1370"/>
      <c r="AP86" s="1370"/>
      <c r="AQ86" s="1370"/>
      <c r="AR86" s="1370"/>
      <c r="AS86" s="1370"/>
      <c r="AT86" s="1370"/>
      <c r="AU86" s="1370"/>
      <c r="AV86" s="1370"/>
      <c r="AW86" s="1370"/>
      <c r="AX86" s="1370"/>
      <c r="AY86" s="1369"/>
      <c r="AZ86" s="1369"/>
      <c r="BA86" s="1369"/>
      <c r="BB86" s="1369"/>
      <c r="BC86" s="1369"/>
      <c r="BD86" s="1369"/>
      <c r="BE86" s="1369"/>
      <c r="BF86" s="1369"/>
      <c r="BG86" s="1369"/>
      <c r="BH86" s="1369"/>
      <c r="BI86" s="1369"/>
      <c r="BJ86" s="1369"/>
      <c r="BK86" s="1369"/>
      <c r="BL86" s="1369"/>
      <c r="BM86" s="1369"/>
      <c r="BN86" s="1369"/>
      <c r="BO86" s="1369"/>
      <c r="BP86" s="1369"/>
      <c r="BQ86" s="1369"/>
      <c r="BR86" s="1369"/>
      <c r="BS86" s="1369"/>
      <c r="BT86" s="1369"/>
      <c r="BU86" s="1369"/>
      <c r="BV86" s="1369"/>
      <c r="BW86" s="1369"/>
      <c r="BX86" s="1369"/>
      <c r="BY86" s="1369"/>
      <c r="BZ86" s="1369"/>
      <c r="CA86" s="1369"/>
      <c r="CB86" s="1369"/>
      <c r="CC86" s="1369"/>
      <c r="CD86" s="1369"/>
      <c r="CE86" s="1369"/>
      <c r="CF86" s="1369"/>
      <c r="CG86" s="1369"/>
      <c r="CH86" s="1369"/>
      <c r="CI86" s="1369"/>
      <c r="CJ86" s="1369"/>
      <c r="CK86" s="1369"/>
      <c r="CL86" s="1369"/>
      <c r="CM86" s="1369"/>
      <c r="CN86" s="1369"/>
      <c r="CO86" s="1369"/>
      <c r="CP86" s="1369"/>
      <c r="CQ86" s="1369"/>
      <c r="CR86" s="1369"/>
      <c r="CS86" s="1369"/>
    </row>
    <row r="87" spans="1:97" ht="15" customHeight="1">
      <c r="B87" s="2020"/>
      <c r="C87" s="1743"/>
      <c r="D87" s="1297"/>
      <c r="E87" s="1297"/>
      <c r="F87" s="1297"/>
      <c r="G87" s="1297"/>
      <c r="H87" s="1297"/>
      <c r="I87" s="1297"/>
      <c r="J87" s="1297"/>
      <c r="K87" s="1297"/>
      <c r="L87" s="1297"/>
      <c r="M87" s="1297"/>
      <c r="N87" s="1297"/>
      <c r="O87" s="1364"/>
      <c r="P87" s="1364"/>
      <c r="Q87" s="1369"/>
      <c r="R87" s="1369"/>
      <c r="S87" s="1369"/>
      <c r="T87" s="1369"/>
      <c r="U87" s="1369"/>
      <c r="V87" s="1369"/>
      <c r="W87" s="1369"/>
      <c r="X87" s="1369"/>
      <c r="Y87" s="1369"/>
      <c r="Z87" s="1369"/>
      <c r="AA87" s="1370"/>
      <c r="AB87" s="1370"/>
      <c r="AC87" s="1370"/>
      <c r="AD87" s="1370"/>
      <c r="AE87" s="1370"/>
      <c r="AF87" s="1370"/>
      <c r="AG87" s="1365"/>
      <c r="AH87" s="1370"/>
      <c r="AI87" s="1370"/>
      <c r="AJ87" s="1370"/>
      <c r="AK87" s="1370"/>
      <c r="AL87" s="1370"/>
      <c r="AM87" s="1370"/>
      <c r="AN87" s="1370"/>
      <c r="AO87" s="1370"/>
      <c r="AP87" s="1370"/>
      <c r="AQ87" s="1370"/>
      <c r="AR87" s="1370"/>
      <c r="AS87" s="1370"/>
      <c r="AT87" s="1370"/>
      <c r="AU87" s="1370"/>
      <c r="AV87" s="1370"/>
      <c r="AW87" s="1370"/>
      <c r="AX87" s="1370"/>
      <c r="AY87" s="1369"/>
      <c r="AZ87" s="1369"/>
      <c r="BA87" s="1369"/>
      <c r="BB87" s="1369"/>
      <c r="BC87" s="1369"/>
      <c r="BD87" s="1369"/>
      <c r="BE87" s="1369"/>
      <c r="BF87" s="1369"/>
      <c r="BG87" s="1369"/>
      <c r="BH87" s="1369"/>
      <c r="BI87" s="1369"/>
      <c r="BJ87" s="1369"/>
      <c r="BK87" s="1369"/>
      <c r="BL87" s="1369"/>
      <c r="BM87" s="1369"/>
      <c r="BN87" s="1369"/>
      <c r="BO87" s="1369"/>
      <c r="BP87" s="1369"/>
      <c r="BQ87" s="1369"/>
      <c r="BR87" s="1369"/>
      <c r="BS87" s="1369"/>
      <c r="BT87" s="1369"/>
      <c r="BU87" s="1369"/>
      <c r="BV87" s="1369"/>
      <c r="BW87" s="1369"/>
      <c r="BX87" s="1369"/>
      <c r="BY87" s="1369"/>
      <c r="BZ87" s="1369"/>
      <c r="CA87" s="1369"/>
      <c r="CB87" s="1369"/>
      <c r="CC87" s="1369"/>
      <c r="CD87" s="1369"/>
      <c r="CE87" s="1369"/>
      <c r="CF87" s="1369"/>
      <c r="CG87" s="1369"/>
      <c r="CH87" s="1369"/>
      <c r="CI87" s="1369"/>
      <c r="CJ87" s="1369"/>
      <c r="CK87" s="1369"/>
      <c r="CL87" s="1369"/>
      <c r="CM87" s="1369"/>
      <c r="CN87" s="1369"/>
      <c r="CO87" s="1369"/>
      <c r="CP87" s="1369"/>
      <c r="CQ87" s="1369"/>
      <c r="CR87" s="1369"/>
      <c r="CS87" s="1369"/>
    </row>
    <row r="88" spans="1:97" ht="15" customHeight="1">
      <c r="B88" s="2020"/>
      <c r="C88" s="1743"/>
      <c r="D88" s="1297"/>
      <c r="E88" s="1297"/>
      <c r="F88" s="1297"/>
      <c r="G88" s="1297"/>
      <c r="H88" s="1297"/>
      <c r="I88" s="1297"/>
      <c r="J88" s="1297"/>
      <c r="K88" s="1297"/>
      <c r="L88" s="1297"/>
      <c r="M88" s="1297"/>
      <c r="N88" s="1297"/>
      <c r="O88" s="1364"/>
      <c r="P88" s="1364"/>
      <c r="Q88" s="1369"/>
      <c r="R88" s="1369"/>
      <c r="S88" s="1369"/>
      <c r="T88" s="1369"/>
      <c r="U88" s="1369"/>
      <c r="V88" s="1369"/>
      <c r="W88" s="1369"/>
      <c r="X88" s="1369"/>
      <c r="Y88" s="1369"/>
      <c r="Z88" s="1369"/>
      <c r="AA88" s="1370"/>
      <c r="AB88" s="1370"/>
      <c r="AC88" s="1370"/>
      <c r="AD88" s="1370"/>
      <c r="AE88" s="1370"/>
      <c r="AF88" s="1370"/>
      <c r="AG88" s="1365"/>
      <c r="AH88" s="1370"/>
      <c r="AI88" s="1370"/>
      <c r="AJ88" s="1370"/>
      <c r="AK88" s="1370"/>
      <c r="AL88" s="1370"/>
      <c r="AM88" s="1370"/>
      <c r="AN88" s="1370"/>
      <c r="AO88" s="1370"/>
      <c r="AP88" s="1370"/>
      <c r="AQ88" s="1370"/>
      <c r="AR88" s="1370"/>
      <c r="AS88" s="1370"/>
      <c r="AT88" s="1370"/>
      <c r="AU88" s="1370"/>
      <c r="AV88" s="1370"/>
      <c r="AW88" s="1370"/>
      <c r="AX88" s="1370"/>
      <c r="AY88" s="1369"/>
      <c r="AZ88" s="1369"/>
      <c r="BA88" s="1369"/>
      <c r="BB88" s="1369"/>
      <c r="BC88" s="1369"/>
      <c r="BD88" s="1369"/>
      <c r="BE88" s="1369"/>
      <c r="BF88" s="1369"/>
      <c r="BG88" s="1369"/>
      <c r="BH88" s="1369"/>
      <c r="BI88" s="1369"/>
      <c r="BJ88" s="1369"/>
      <c r="BK88" s="1369"/>
      <c r="BL88" s="1369"/>
      <c r="BM88" s="1369"/>
      <c r="BN88" s="1369"/>
      <c r="BO88" s="1369"/>
      <c r="BP88" s="1369"/>
      <c r="BQ88" s="1369"/>
      <c r="BR88" s="1369"/>
      <c r="BS88" s="1369"/>
      <c r="BT88" s="1369"/>
      <c r="BU88" s="1369"/>
      <c r="BV88" s="1369"/>
      <c r="BW88" s="1369"/>
      <c r="BX88" s="1369"/>
      <c r="BY88" s="1369"/>
      <c r="BZ88" s="1369"/>
      <c r="CA88" s="1369"/>
      <c r="CB88" s="1369"/>
      <c r="CC88" s="1369"/>
      <c r="CD88" s="1369"/>
      <c r="CE88" s="1369"/>
      <c r="CF88" s="1369"/>
      <c r="CG88" s="1369"/>
      <c r="CH88" s="1369"/>
      <c r="CI88" s="1369"/>
      <c r="CJ88" s="1369"/>
      <c r="CK88" s="1369"/>
      <c r="CL88" s="1369"/>
      <c r="CM88" s="1369"/>
      <c r="CN88" s="1369"/>
      <c r="CO88" s="1369"/>
      <c r="CP88" s="1369"/>
      <c r="CQ88" s="1369"/>
      <c r="CR88" s="1369"/>
      <c r="CS88" s="1369"/>
    </row>
    <row r="89" spans="1:97" ht="15" customHeight="1">
      <c r="B89" s="2020"/>
      <c r="C89" s="1743"/>
      <c r="D89" s="1297"/>
      <c r="E89" s="1297"/>
      <c r="F89" s="1297"/>
      <c r="G89" s="1297"/>
      <c r="H89" s="1297"/>
      <c r="I89" s="1297"/>
      <c r="J89" s="1297"/>
      <c r="K89" s="1297"/>
      <c r="L89" s="1297"/>
      <c r="M89" s="1297"/>
      <c r="N89" s="1297"/>
      <c r="O89" s="1364"/>
      <c r="P89" s="1364"/>
      <c r="Q89" s="1369"/>
      <c r="R89" s="1369"/>
      <c r="S89" s="1369"/>
      <c r="T89" s="1369"/>
      <c r="U89" s="1369"/>
      <c r="V89" s="1369"/>
      <c r="W89" s="1369"/>
      <c r="X89" s="1369"/>
      <c r="Y89" s="1369"/>
      <c r="Z89" s="1369"/>
      <c r="AA89" s="1370"/>
      <c r="AB89" s="1370"/>
      <c r="AC89" s="1370"/>
      <c r="AD89" s="1370"/>
      <c r="AE89" s="1370"/>
      <c r="AF89" s="1370"/>
      <c r="AG89" s="1365"/>
      <c r="AH89" s="1370"/>
      <c r="AI89" s="1370"/>
      <c r="AJ89" s="1370"/>
      <c r="AK89" s="1370"/>
      <c r="AL89" s="1370"/>
      <c r="AM89" s="1370"/>
      <c r="AN89" s="1370"/>
      <c r="AO89" s="1370"/>
      <c r="AP89" s="1370"/>
      <c r="AQ89" s="1370"/>
      <c r="AR89" s="1370"/>
      <c r="AS89" s="1370"/>
      <c r="AT89" s="1370"/>
      <c r="AU89" s="1370"/>
      <c r="AV89" s="1370"/>
      <c r="AW89" s="1370"/>
      <c r="AX89" s="1370"/>
      <c r="AY89" s="1369"/>
      <c r="AZ89" s="1369"/>
      <c r="BA89" s="1369"/>
      <c r="BB89" s="1369"/>
      <c r="BC89" s="1369"/>
      <c r="BD89" s="1369"/>
      <c r="BE89" s="1369"/>
      <c r="BF89" s="1369"/>
      <c r="BG89" s="1369"/>
      <c r="BH89" s="1369"/>
      <c r="BI89" s="1369"/>
      <c r="BJ89" s="1369"/>
      <c r="BK89" s="1369"/>
      <c r="BL89" s="1369"/>
      <c r="BM89" s="1369"/>
      <c r="BN89" s="1369"/>
      <c r="BO89" s="1369"/>
      <c r="BP89" s="1369"/>
      <c r="BQ89" s="1369"/>
      <c r="BR89" s="1369"/>
      <c r="BS89" s="1369"/>
      <c r="BT89" s="1369"/>
      <c r="BU89" s="1369"/>
      <c r="BV89" s="1369"/>
      <c r="BW89" s="1369"/>
      <c r="BX89" s="1369"/>
      <c r="BY89" s="1369"/>
      <c r="BZ89" s="1369"/>
      <c r="CA89" s="1369"/>
      <c r="CB89" s="1369"/>
      <c r="CC89" s="1369"/>
      <c r="CD89" s="1369"/>
      <c r="CE89" s="1369"/>
      <c r="CF89" s="1369"/>
      <c r="CG89" s="1369"/>
      <c r="CH89" s="1369"/>
      <c r="CI89" s="1369"/>
      <c r="CJ89" s="1369"/>
      <c r="CK89" s="1369"/>
      <c r="CL89" s="1369"/>
      <c r="CM89" s="1369"/>
      <c r="CN89" s="1369"/>
      <c r="CO89" s="1369"/>
      <c r="CP89" s="1369"/>
      <c r="CQ89" s="1369"/>
      <c r="CR89" s="1369"/>
      <c r="CS89" s="1369"/>
    </row>
    <row r="90" spans="1:97" ht="15" customHeight="1">
      <c r="B90" s="2020"/>
      <c r="C90" s="1743"/>
      <c r="D90" s="1297"/>
      <c r="E90" s="1297"/>
      <c r="F90" s="1297"/>
      <c r="G90" s="1297"/>
      <c r="H90" s="1297"/>
      <c r="I90" s="1297"/>
      <c r="J90" s="1297"/>
      <c r="K90" s="1297"/>
      <c r="L90" s="1297"/>
      <c r="M90" s="1297"/>
      <c r="N90" s="1297"/>
      <c r="O90" s="1364"/>
      <c r="P90" s="1364"/>
      <c r="Q90" s="1369"/>
      <c r="R90" s="1369"/>
      <c r="S90" s="1369"/>
      <c r="T90" s="1369"/>
      <c r="U90" s="1369"/>
      <c r="V90" s="1369"/>
      <c r="W90" s="1369"/>
      <c r="X90" s="1369"/>
      <c r="Y90" s="1369"/>
      <c r="Z90" s="1369"/>
      <c r="AA90" s="1370"/>
      <c r="AB90" s="1370"/>
      <c r="AC90" s="1370"/>
      <c r="AD90" s="1370"/>
      <c r="AE90" s="1370"/>
      <c r="AF90" s="1370"/>
      <c r="AG90" s="1365"/>
      <c r="AH90" s="1370"/>
      <c r="AI90" s="1370"/>
      <c r="AJ90" s="1370"/>
      <c r="AK90" s="1370"/>
      <c r="AL90" s="1370"/>
      <c r="AM90" s="1370"/>
      <c r="AN90" s="1370"/>
      <c r="AO90" s="1370"/>
      <c r="AP90" s="1370"/>
      <c r="AQ90" s="1370"/>
      <c r="AR90" s="1370"/>
      <c r="AS90" s="1370"/>
      <c r="AT90" s="1370"/>
      <c r="AU90" s="1370"/>
      <c r="AV90" s="1370"/>
      <c r="AW90" s="1370"/>
      <c r="AX90" s="1370"/>
      <c r="AY90" s="1369"/>
      <c r="AZ90" s="1369"/>
      <c r="BA90" s="1369"/>
      <c r="BB90" s="1369"/>
      <c r="BC90" s="1369"/>
      <c r="BD90" s="1369"/>
      <c r="BE90" s="1369"/>
      <c r="BF90" s="1369"/>
      <c r="BG90" s="1369"/>
      <c r="BH90" s="1369"/>
      <c r="BI90" s="1369"/>
      <c r="BJ90" s="1369"/>
      <c r="BK90" s="1369"/>
      <c r="BL90" s="1369"/>
      <c r="BM90" s="1369"/>
      <c r="BN90" s="1369"/>
      <c r="BO90" s="1369"/>
      <c r="BP90" s="1369"/>
      <c r="BQ90" s="1369"/>
      <c r="BR90" s="1369"/>
      <c r="BS90" s="1369"/>
      <c r="BT90" s="1369"/>
      <c r="BU90" s="1369"/>
      <c r="BV90" s="1369"/>
      <c r="BW90" s="1369"/>
      <c r="BX90" s="1369"/>
      <c r="BY90" s="1369"/>
      <c r="BZ90" s="1369"/>
      <c r="CA90" s="1369"/>
      <c r="CB90" s="1369"/>
      <c r="CC90" s="1369"/>
      <c r="CD90" s="1369"/>
      <c r="CE90" s="1369"/>
      <c r="CF90" s="1369"/>
      <c r="CG90" s="1369"/>
      <c r="CH90" s="1369"/>
      <c r="CI90" s="1369"/>
      <c r="CJ90" s="1369"/>
      <c r="CK90" s="1369"/>
      <c r="CL90" s="1369"/>
      <c r="CM90" s="1369"/>
      <c r="CN90" s="1369"/>
      <c r="CO90" s="1369"/>
      <c r="CP90" s="1369"/>
      <c r="CQ90" s="1369"/>
      <c r="CR90" s="1369"/>
      <c r="CS90" s="1369"/>
    </row>
    <row r="91" spans="1:97" ht="15" customHeight="1">
      <c r="B91" s="2020"/>
      <c r="C91" s="1743"/>
      <c r="D91" s="1297"/>
      <c r="E91" s="1297"/>
      <c r="F91" s="1297"/>
      <c r="G91" s="1297"/>
      <c r="H91" s="1297"/>
      <c r="I91" s="1297"/>
      <c r="J91" s="1297"/>
      <c r="K91" s="1297"/>
      <c r="L91" s="1297"/>
      <c r="M91" s="1297"/>
      <c r="N91" s="1297"/>
      <c r="O91" s="1364"/>
      <c r="P91" s="1364"/>
      <c r="Q91" s="1369"/>
      <c r="R91" s="1369"/>
      <c r="S91" s="1369"/>
      <c r="T91" s="1369"/>
      <c r="U91" s="1369"/>
      <c r="V91" s="1369"/>
      <c r="W91" s="1369"/>
      <c r="X91" s="1369"/>
      <c r="Y91" s="1369"/>
      <c r="Z91" s="1369"/>
      <c r="AA91" s="1370"/>
      <c r="AB91" s="1370"/>
      <c r="AC91" s="1370"/>
      <c r="AD91" s="1370"/>
      <c r="AE91" s="1370"/>
      <c r="AF91" s="1370"/>
      <c r="AG91" s="1365"/>
      <c r="AH91" s="1370"/>
      <c r="AI91" s="1370"/>
      <c r="AJ91" s="1370"/>
      <c r="AK91" s="1370"/>
      <c r="AL91" s="1370"/>
      <c r="AM91" s="1370"/>
      <c r="AN91" s="1370"/>
      <c r="AO91" s="1370"/>
      <c r="AP91" s="1370"/>
      <c r="AQ91" s="1370"/>
      <c r="AR91" s="1370"/>
      <c r="AS91" s="1370"/>
      <c r="AT91" s="1370"/>
      <c r="AU91" s="1370"/>
      <c r="AV91" s="1370"/>
      <c r="AW91" s="1370"/>
      <c r="AX91" s="1370"/>
      <c r="AY91" s="1369"/>
      <c r="AZ91" s="1369"/>
      <c r="BA91" s="1369"/>
      <c r="BB91" s="1369"/>
      <c r="BC91" s="1369"/>
      <c r="BD91" s="1369"/>
      <c r="BE91" s="1369"/>
      <c r="BF91" s="1369"/>
      <c r="BG91" s="1369"/>
      <c r="BH91" s="1369"/>
      <c r="BI91" s="1369"/>
      <c r="BJ91" s="1369"/>
      <c r="BK91" s="1369"/>
      <c r="BL91" s="1369"/>
      <c r="BM91" s="1369"/>
      <c r="BN91" s="1369"/>
      <c r="BO91" s="1369"/>
      <c r="BP91" s="1369"/>
      <c r="BQ91" s="1369"/>
      <c r="BR91" s="1369"/>
      <c r="BS91" s="1369"/>
      <c r="BT91" s="1369"/>
      <c r="BU91" s="1369"/>
      <c r="BV91" s="1369"/>
      <c r="BW91" s="1369"/>
      <c r="BX91" s="1369"/>
      <c r="BY91" s="1369"/>
      <c r="BZ91" s="1369"/>
      <c r="CA91" s="1369"/>
      <c r="CB91" s="1369"/>
      <c r="CC91" s="1369"/>
      <c r="CD91" s="1369"/>
      <c r="CE91" s="1369"/>
      <c r="CF91" s="1369"/>
      <c r="CG91" s="1369"/>
      <c r="CH91" s="1369"/>
      <c r="CI91" s="1369"/>
      <c r="CJ91" s="1369"/>
      <c r="CK91" s="1369"/>
      <c r="CL91" s="1369"/>
      <c r="CM91" s="1369"/>
      <c r="CN91" s="1369"/>
      <c r="CO91" s="1369"/>
      <c r="CP91" s="1369"/>
      <c r="CQ91" s="1369"/>
      <c r="CR91" s="1369"/>
      <c r="CS91" s="1369"/>
    </row>
    <row r="92" spans="1:97" ht="15" customHeight="1">
      <c r="B92" s="2020"/>
      <c r="C92" s="1743"/>
      <c r="D92" s="1297"/>
      <c r="E92" s="1297"/>
      <c r="F92" s="1297"/>
      <c r="G92" s="1297"/>
      <c r="H92" s="1297"/>
      <c r="I92" s="1297"/>
      <c r="J92" s="1297"/>
      <c r="K92" s="1297"/>
      <c r="L92" s="1297"/>
      <c r="M92" s="1297"/>
      <c r="N92" s="1297"/>
      <c r="O92" s="1364"/>
      <c r="P92" s="1364"/>
      <c r="Q92" s="1369"/>
      <c r="R92" s="1369"/>
      <c r="S92" s="1369"/>
      <c r="T92" s="1369"/>
      <c r="U92" s="1369"/>
      <c r="V92" s="1369"/>
      <c r="W92" s="1369"/>
      <c r="X92" s="1369"/>
      <c r="Y92" s="1369"/>
      <c r="Z92" s="1369"/>
      <c r="AA92" s="1370"/>
      <c r="AB92" s="1370"/>
      <c r="AC92" s="1370"/>
      <c r="AD92" s="1370"/>
      <c r="AE92" s="1370"/>
      <c r="AF92" s="1370"/>
      <c r="AG92" s="1365"/>
      <c r="AH92" s="1370"/>
      <c r="AI92" s="1370"/>
      <c r="AJ92" s="1370"/>
      <c r="AK92" s="1370"/>
      <c r="AL92" s="1370"/>
      <c r="AM92" s="1370"/>
      <c r="AN92" s="1370"/>
      <c r="AO92" s="1370"/>
      <c r="AP92" s="1370"/>
      <c r="AQ92" s="1370"/>
      <c r="AR92" s="1370"/>
      <c r="AS92" s="1370"/>
      <c r="AT92" s="1370"/>
      <c r="AU92" s="1370"/>
      <c r="AV92" s="1370"/>
      <c r="AW92" s="1370"/>
      <c r="AX92" s="1370"/>
      <c r="AY92" s="1369"/>
      <c r="AZ92" s="1369"/>
      <c r="BA92" s="1369"/>
      <c r="BB92" s="1369"/>
      <c r="BC92" s="1369"/>
      <c r="BD92" s="1369"/>
      <c r="BE92" s="1369"/>
      <c r="BF92" s="1369"/>
      <c r="BG92" s="1369"/>
      <c r="BH92" s="1369"/>
      <c r="BI92" s="1369"/>
      <c r="BJ92" s="1369"/>
      <c r="BK92" s="1369"/>
      <c r="BL92" s="1369"/>
      <c r="BM92" s="1369"/>
      <c r="BN92" s="1369"/>
      <c r="BO92" s="1369"/>
      <c r="BP92" s="1369"/>
      <c r="BQ92" s="1369"/>
      <c r="BR92" s="1369"/>
      <c r="BS92" s="1369"/>
      <c r="BT92" s="1369"/>
      <c r="BU92" s="1369"/>
      <c r="BV92" s="1369"/>
      <c r="BW92" s="1369"/>
      <c r="BX92" s="1369"/>
      <c r="BY92" s="1369"/>
      <c r="BZ92" s="1369"/>
      <c r="CA92" s="1369"/>
      <c r="CB92" s="1369"/>
      <c r="CC92" s="1369"/>
      <c r="CD92" s="1369"/>
      <c r="CE92" s="1369"/>
      <c r="CF92" s="1369"/>
      <c r="CG92" s="1369"/>
      <c r="CH92" s="1369"/>
      <c r="CI92" s="1369"/>
      <c r="CJ92" s="1369"/>
      <c r="CK92" s="1369"/>
      <c r="CL92" s="1369"/>
      <c r="CM92" s="1369"/>
      <c r="CN92" s="1369"/>
      <c r="CO92" s="1369"/>
      <c r="CP92" s="1369"/>
      <c r="CQ92" s="1369"/>
      <c r="CR92" s="1369"/>
      <c r="CS92" s="1369"/>
    </row>
    <row r="93" spans="1:97" ht="15" customHeight="1">
      <c r="B93" s="2020"/>
      <c r="C93" s="1743"/>
      <c r="D93" s="1297"/>
      <c r="E93" s="1297"/>
      <c r="F93" s="1297"/>
      <c r="G93" s="1297"/>
      <c r="H93" s="1297"/>
      <c r="I93" s="1297"/>
      <c r="J93" s="1297"/>
      <c r="K93" s="1297"/>
      <c r="L93" s="1297"/>
      <c r="M93" s="1297"/>
      <c r="N93" s="1297"/>
      <c r="O93" s="1364"/>
      <c r="P93" s="1364"/>
      <c r="Q93" s="1369"/>
      <c r="R93" s="1369"/>
      <c r="S93" s="1369"/>
      <c r="T93" s="1369"/>
      <c r="U93" s="1369"/>
      <c r="V93" s="1369"/>
      <c r="W93" s="1369"/>
      <c r="X93" s="1369"/>
      <c r="Y93" s="1369"/>
      <c r="Z93" s="1369"/>
      <c r="AA93" s="1370"/>
      <c r="AB93" s="1370"/>
      <c r="AC93" s="1370"/>
      <c r="AD93" s="1370"/>
      <c r="AE93" s="1370"/>
      <c r="AF93" s="1370"/>
      <c r="AG93" s="1365"/>
      <c r="AH93" s="1370"/>
      <c r="AI93" s="1370"/>
      <c r="AJ93" s="1370"/>
      <c r="AK93" s="1370"/>
      <c r="AL93" s="1370"/>
      <c r="AM93" s="1370"/>
      <c r="AN93" s="1370"/>
      <c r="AO93" s="1370"/>
      <c r="AP93" s="1370"/>
      <c r="AQ93" s="1370"/>
      <c r="AR93" s="1370"/>
      <c r="AS93" s="1370"/>
      <c r="AT93" s="1370"/>
      <c r="AU93" s="1370"/>
      <c r="AV93" s="1370"/>
      <c r="AW93" s="1370"/>
      <c r="AX93" s="1370"/>
      <c r="AY93" s="1369"/>
      <c r="AZ93" s="1369"/>
      <c r="BA93" s="1369"/>
      <c r="BB93" s="1369"/>
      <c r="BC93" s="1369"/>
      <c r="BD93" s="1369"/>
      <c r="BE93" s="1369"/>
      <c r="BF93" s="1369"/>
      <c r="BG93" s="1369"/>
      <c r="BH93" s="1369"/>
      <c r="BI93" s="1369"/>
      <c r="BJ93" s="1369"/>
      <c r="BK93" s="1369"/>
      <c r="BL93" s="1369"/>
      <c r="BM93" s="1369"/>
      <c r="BN93" s="1369"/>
      <c r="BO93" s="1369"/>
      <c r="BP93" s="1369"/>
      <c r="BQ93" s="1369"/>
      <c r="BR93" s="1369"/>
      <c r="BS93" s="1369"/>
      <c r="BT93" s="1369"/>
      <c r="BU93" s="1369"/>
      <c r="BV93" s="1369"/>
      <c r="BW93" s="1369"/>
      <c r="BX93" s="1369"/>
      <c r="BY93" s="1369"/>
      <c r="BZ93" s="1369"/>
      <c r="CA93" s="1369"/>
      <c r="CB93" s="1369"/>
      <c r="CC93" s="1369"/>
      <c r="CD93" s="1369"/>
      <c r="CE93" s="1369"/>
      <c r="CF93" s="1369"/>
      <c r="CG93" s="1369"/>
      <c r="CH93" s="1369"/>
      <c r="CI93" s="1369"/>
      <c r="CJ93" s="1369"/>
      <c r="CK93" s="1369"/>
      <c r="CL93" s="1369"/>
      <c r="CM93" s="1369"/>
      <c r="CN93" s="1369"/>
      <c r="CO93" s="1369"/>
      <c r="CP93" s="1369"/>
      <c r="CQ93" s="1369"/>
      <c r="CR93" s="1369"/>
      <c r="CS93" s="1369"/>
    </row>
    <row r="94" spans="1:97" ht="15" customHeight="1">
      <c r="B94" s="2020"/>
      <c r="C94" s="1743"/>
      <c r="D94" s="1297"/>
      <c r="E94" s="1297"/>
      <c r="F94" s="1297"/>
      <c r="G94" s="1297"/>
      <c r="H94" s="1297"/>
      <c r="I94" s="1297"/>
      <c r="J94" s="1297"/>
      <c r="K94" s="1297"/>
      <c r="L94" s="1297"/>
      <c r="M94" s="1297"/>
      <c r="N94" s="1297"/>
      <c r="O94" s="1364"/>
      <c r="P94" s="1364"/>
      <c r="Q94" s="1369"/>
      <c r="R94" s="1369"/>
      <c r="S94" s="1369"/>
      <c r="T94" s="1369"/>
      <c r="U94" s="1369"/>
      <c r="V94" s="1369"/>
      <c r="W94" s="1369"/>
      <c r="X94" s="1369"/>
      <c r="Y94" s="1369"/>
      <c r="Z94" s="1369"/>
      <c r="AA94" s="1370"/>
      <c r="AB94" s="1370"/>
      <c r="AC94" s="1370"/>
      <c r="AD94" s="1370"/>
      <c r="AE94" s="1370"/>
      <c r="AF94" s="1370"/>
      <c r="AG94" s="1365"/>
      <c r="AH94" s="1370"/>
      <c r="AI94" s="1370"/>
      <c r="AJ94" s="1370"/>
      <c r="AK94" s="1370"/>
      <c r="AL94" s="1370"/>
      <c r="AM94" s="1370"/>
      <c r="AN94" s="1370"/>
      <c r="AO94" s="1370"/>
      <c r="AP94" s="1370"/>
      <c r="AQ94" s="1370"/>
      <c r="AR94" s="1370"/>
      <c r="AS94" s="1370"/>
      <c r="AT94" s="1370"/>
      <c r="AU94" s="1370"/>
      <c r="AV94" s="1370"/>
      <c r="AW94" s="1370"/>
      <c r="AX94" s="1370"/>
      <c r="AY94" s="1369"/>
      <c r="AZ94" s="1369"/>
      <c r="BA94" s="1369"/>
      <c r="BB94" s="1369"/>
      <c r="BC94" s="1369"/>
      <c r="BD94" s="1369"/>
      <c r="BE94" s="1369"/>
      <c r="BF94" s="1369"/>
      <c r="BG94" s="1369"/>
      <c r="BH94" s="1369"/>
      <c r="BI94" s="1369"/>
      <c r="BJ94" s="1369"/>
      <c r="BK94" s="1369"/>
      <c r="BL94" s="1369"/>
      <c r="BM94" s="1369"/>
      <c r="BN94" s="1369"/>
      <c r="BO94" s="1369"/>
      <c r="BP94" s="1369"/>
      <c r="BQ94" s="1369"/>
      <c r="BR94" s="1369"/>
      <c r="BS94" s="1369"/>
      <c r="BT94" s="1369"/>
      <c r="BU94" s="1369"/>
      <c r="BV94" s="1369"/>
      <c r="BW94" s="1369"/>
      <c r="BX94" s="1369"/>
      <c r="BY94" s="1369"/>
      <c r="BZ94" s="1369"/>
      <c r="CA94" s="1369"/>
      <c r="CB94" s="1369"/>
      <c r="CC94" s="1369"/>
      <c r="CD94" s="1369"/>
      <c r="CE94" s="1369"/>
      <c r="CF94" s="1369"/>
      <c r="CG94" s="1369"/>
      <c r="CH94" s="1369"/>
      <c r="CI94" s="1369"/>
      <c r="CJ94" s="1369"/>
      <c r="CK94" s="1369"/>
      <c r="CL94" s="1369"/>
      <c r="CM94" s="1369"/>
      <c r="CN94" s="1369"/>
      <c r="CO94" s="1369"/>
      <c r="CP94" s="1369"/>
      <c r="CQ94" s="1369"/>
      <c r="CR94" s="1369"/>
      <c r="CS94" s="1369"/>
    </row>
  </sheetData>
  <sheetProtection password="CD67" sheet="1" objects="1" scenarios="1" selectLockedCells="1"/>
  <mergeCells count="112">
    <mergeCell ref="V3:V4"/>
    <mergeCell ref="W3:W4"/>
    <mergeCell ref="X3:X4"/>
    <mergeCell ref="B84:B94"/>
    <mergeCell ref="E45:F45"/>
    <mergeCell ref="E46:F46"/>
    <mergeCell ref="E47:F47"/>
    <mergeCell ref="E48:F48"/>
    <mergeCell ref="E49:F49"/>
    <mergeCell ref="E50:F50"/>
    <mergeCell ref="E51:F51"/>
    <mergeCell ref="E52:F52"/>
    <mergeCell ref="E53:F53"/>
    <mergeCell ref="E54:F54"/>
    <mergeCell ref="E55:F55"/>
    <mergeCell ref="C73:D73"/>
    <mergeCell ref="C68:D68"/>
    <mergeCell ref="C69:D69"/>
    <mergeCell ref="C74:D74"/>
    <mergeCell ref="B76:B79"/>
    <mergeCell ref="B80:B83"/>
    <mergeCell ref="C76:D76"/>
    <mergeCell ref="C80:D80"/>
    <mergeCell ref="C83:D83"/>
    <mergeCell ref="C78:D78"/>
    <mergeCell ref="C79:D79"/>
    <mergeCell ref="C81:D81"/>
    <mergeCell ref="D40:D44"/>
    <mergeCell ref="D45:D55"/>
    <mergeCell ref="B63:D65"/>
    <mergeCell ref="C67:D67"/>
    <mergeCell ref="D17:D28"/>
    <mergeCell ref="D29:D39"/>
    <mergeCell ref="C72:D72"/>
    <mergeCell ref="E42:F42"/>
    <mergeCell ref="E43:F43"/>
    <mergeCell ref="E44:F44"/>
    <mergeCell ref="B66:B70"/>
    <mergeCell ref="B71:B75"/>
    <mergeCell ref="E35:F35"/>
    <mergeCell ref="E24:F24"/>
    <mergeCell ref="E30:F30"/>
    <mergeCell ref="E31:F31"/>
    <mergeCell ref="E27:F27"/>
    <mergeCell ref="E28:F28"/>
    <mergeCell ref="E39:F39"/>
    <mergeCell ref="C66:D66"/>
    <mergeCell ref="C71:D71"/>
    <mergeCell ref="C70:D70"/>
    <mergeCell ref="C75:D75"/>
    <mergeCell ref="E33:F33"/>
    <mergeCell ref="E34:F34"/>
    <mergeCell ref="CL64:CN64"/>
    <mergeCell ref="BF64:BJ64"/>
    <mergeCell ref="BN64:BR64"/>
    <mergeCell ref="BV64:BZ64"/>
    <mergeCell ref="E63:I64"/>
    <mergeCell ref="M63:N64"/>
    <mergeCell ref="AH64:AL64"/>
    <mergeCell ref="J63:J64"/>
    <mergeCell ref="Q3:Q4"/>
    <mergeCell ref="AP4:AR4"/>
    <mergeCell ref="AS4:AU4"/>
    <mergeCell ref="CD64:CH64"/>
    <mergeCell ref="AV4:AX4"/>
    <mergeCell ref="AJ4:AL4"/>
    <mergeCell ref="AM4:AO4"/>
    <mergeCell ref="AP64:AT64"/>
    <mergeCell ref="AX64:BB64"/>
    <mergeCell ref="AA4:AC4"/>
    <mergeCell ref="AD4:AF4"/>
    <mergeCell ref="AG4:AI4"/>
    <mergeCell ref="R3:R4"/>
    <mergeCell ref="S3:S4"/>
    <mergeCell ref="T3:T4"/>
    <mergeCell ref="U3:U4"/>
    <mergeCell ref="D2:F4"/>
    <mergeCell ref="E14:F14"/>
    <mergeCell ref="G2:I3"/>
    <mergeCell ref="K2:K3"/>
    <mergeCell ref="E10:F10"/>
    <mergeCell ref="D5:D16"/>
    <mergeCell ref="E15:F15"/>
    <mergeCell ref="E16:F16"/>
    <mergeCell ref="E11:F11"/>
    <mergeCell ref="E12:F12"/>
    <mergeCell ref="E6:F6"/>
    <mergeCell ref="E7:F7"/>
    <mergeCell ref="C82:D82"/>
    <mergeCell ref="C77:D77"/>
    <mergeCell ref="Y3:Z3"/>
    <mergeCell ref="E36:F36"/>
    <mergeCell ref="E41:F41"/>
    <mergeCell ref="E23:F23"/>
    <mergeCell ref="J2:J3"/>
    <mergeCell ref="E26:F26"/>
    <mergeCell ref="E5:F5"/>
    <mergeCell ref="E8:F8"/>
    <mergeCell ref="E9:F9"/>
    <mergeCell ref="E32:F32"/>
    <mergeCell ref="E38:F38"/>
    <mergeCell ref="E13:F13"/>
    <mergeCell ref="E25:F25"/>
    <mergeCell ref="E37:F37"/>
    <mergeCell ref="E17:F17"/>
    <mergeCell ref="E29:F29"/>
    <mergeCell ref="E40:F40"/>
    <mergeCell ref="E18:F18"/>
    <mergeCell ref="E19:F19"/>
    <mergeCell ref="E20:F20"/>
    <mergeCell ref="E21:F21"/>
    <mergeCell ref="E22:F22"/>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codeName="Feuil4"/>
  <dimension ref="A1:DX55"/>
  <sheetViews>
    <sheetView showGridLines="0" zoomScale="85" zoomScaleNormal="85" workbookViewId="0">
      <selection activeCell="K1" sqref="K1:K2"/>
    </sheetView>
  </sheetViews>
  <sheetFormatPr baseColWidth="10" defaultColWidth="8.7109375" defaultRowHeight="15" customHeight="1"/>
  <cols>
    <col min="1" max="1" width="8.7109375" style="1750"/>
    <col min="2" max="2" width="10.5703125" style="92" customWidth="1"/>
    <col min="3" max="3" width="35.42578125" style="92" customWidth="1"/>
    <col min="4" max="17" width="12.7109375" style="92" customWidth="1"/>
    <col min="18" max="18" width="12.7109375" style="375" hidden="1" customWidth="1"/>
    <col min="19" max="21" width="9.5703125" style="92" hidden="1" customWidth="1"/>
    <col min="22" max="33" width="12.140625" style="92" hidden="1" customWidth="1"/>
    <col min="34" max="34" width="10.5703125" style="92" hidden="1" customWidth="1"/>
    <col min="35" max="124" width="12.7109375" style="92" hidden="1" customWidth="1"/>
    <col min="125" max="126" width="8.7109375" hidden="1" customWidth="1"/>
    <col min="127" max="128" width="0" hidden="1" customWidth="1"/>
  </cols>
  <sheetData>
    <row r="1" spans="1:128" ht="15" customHeight="1">
      <c r="B1" s="2052" t="s">
        <v>113</v>
      </c>
      <c r="C1" s="2053"/>
      <c r="D1" s="2058"/>
      <c r="E1" s="2060" t="s">
        <v>114</v>
      </c>
      <c r="F1" s="2061"/>
      <c r="G1" s="2061"/>
      <c r="H1" s="2061"/>
      <c r="I1" s="2061"/>
      <c r="J1" s="2060"/>
      <c r="K1" s="2064">
        <v>1</v>
      </c>
      <c r="L1" s="2050">
        <v>15</v>
      </c>
      <c r="M1" s="2069" t="s">
        <v>68</v>
      </c>
      <c r="N1" s="2070"/>
      <c r="O1" s="194"/>
      <c r="P1" s="194"/>
      <c r="Q1" s="194"/>
      <c r="R1" s="372"/>
      <c r="S1" s="369"/>
      <c r="DT1"/>
    </row>
    <row r="2" spans="1:128" ht="26.25" customHeight="1" thickBot="1">
      <c r="B2" s="2054"/>
      <c r="C2" s="2055"/>
      <c r="D2" s="2059"/>
      <c r="E2" s="2062"/>
      <c r="F2" s="2062"/>
      <c r="G2" s="2062"/>
      <c r="H2" s="2062"/>
      <c r="I2" s="2062"/>
      <c r="J2" s="2063"/>
      <c r="K2" s="2065"/>
      <c r="L2" s="2051"/>
      <c r="M2" s="2071"/>
      <c r="N2" s="2072"/>
      <c r="O2" s="194"/>
      <c r="P2" s="194"/>
      <c r="Q2" s="194"/>
      <c r="R2" s="372"/>
      <c r="S2" s="369"/>
      <c r="AH2" s="2066" t="s">
        <v>71</v>
      </c>
      <c r="AI2" s="2066"/>
      <c r="AJ2" s="2066"/>
      <c r="AK2" s="2066"/>
      <c r="AL2" s="2066"/>
      <c r="AM2" s="2066"/>
      <c r="AN2" s="2066"/>
      <c r="AO2" s="2066"/>
      <c r="AP2" s="2066"/>
      <c r="AQ2" s="2066"/>
      <c r="AR2" s="2066"/>
      <c r="AS2" s="2066"/>
      <c r="AU2" s="2066" t="s">
        <v>73</v>
      </c>
      <c r="AV2" s="2066"/>
      <c r="AW2" s="2066"/>
      <c r="AX2" s="2066"/>
      <c r="AY2" s="2066"/>
      <c r="AZ2" s="2066"/>
      <c r="BA2" s="2066"/>
      <c r="BB2" s="2066"/>
      <c r="BC2" s="2066"/>
      <c r="BD2" s="2066"/>
      <c r="BE2" s="2066"/>
      <c r="BF2" s="2066"/>
      <c r="BH2" s="2066" t="s">
        <v>74</v>
      </c>
      <c r="BI2" s="2066"/>
      <c r="BJ2" s="2066"/>
      <c r="BK2" s="2066"/>
      <c r="BL2" s="2066"/>
      <c r="BM2" s="2066"/>
      <c r="BN2" s="2066"/>
      <c r="BO2" s="2066"/>
      <c r="BP2" s="2066"/>
      <c r="BQ2" s="2066"/>
      <c r="BR2" s="2066"/>
      <c r="BS2" s="2066"/>
      <c r="BU2" s="2066" t="s">
        <v>75</v>
      </c>
      <c r="BV2" s="2066"/>
      <c r="BW2" s="2066"/>
      <c r="BX2" s="2066"/>
      <c r="BY2" s="2066"/>
      <c r="BZ2" s="2066"/>
      <c r="CA2" s="2066"/>
      <c r="CB2" s="2066"/>
      <c r="CC2" s="2066"/>
      <c r="CD2" s="2066"/>
      <c r="CE2" s="2066"/>
      <c r="CF2" s="2066"/>
      <c r="CH2" s="2066" t="s">
        <v>76</v>
      </c>
      <c r="CI2" s="2066"/>
      <c r="CJ2" s="2066"/>
      <c r="CK2" s="2066"/>
      <c r="CL2" s="2066"/>
      <c r="CM2" s="2066"/>
      <c r="CN2" s="2066"/>
      <c r="CO2" s="2066"/>
      <c r="CP2" s="2066"/>
      <c r="CQ2" s="2066"/>
      <c r="CR2" s="2066"/>
      <c r="CS2" s="2066"/>
      <c r="CU2" s="2066" t="s">
        <v>77</v>
      </c>
      <c r="CV2" s="2066"/>
      <c r="CW2" s="2066"/>
      <c r="CX2" s="2066"/>
      <c r="CY2" s="2066"/>
      <c r="CZ2" s="2066"/>
      <c r="DA2" s="2066"/>
      <c r="DB2" s="2066"/>
      <c r="DC2" s="2066"/>
      <c r="DD2" s="2066"/>
      <c r="DE2" s="2066"/>
      <c r="DF2" s="2066"/>
      <c r="DH2" s="2067" t="s">
        <v>78</v>
      </c>
      <c r="DI2" s="2067"/>
      <c r="DJ2" s="2067"/>
      <c r="DK2" s="2067"/>
      <c r="DL2" s="2067"/>
      <c r="DM2" s="2067"/>
      <c r="DN2" s="2067"/>
      <c r="DO2" s="2068">
        <f>U3</f>
        <v>0</v>
      </c>
      <c r="DP2" s="2068"/>
      <c r="DQ2" s="2068"/>
      <c r="DR2" s="2068"/>
      <c r="DS2" s="2068"/>
      <c r="DT2"/>
    </row>
    <row r="3" spans="1:128" ht="30.75" customHeight="1">
      <c r="B3" s="2056"/>
      <c r="C3" s="2057"/>
      <c r="D3" s="209" t="s">
        <v>55</v>
      </c>
      <c r="E3" s="210" t="s">
        <v>115</v>
      </c>
      <c r="F3" s="210" t="s">
        <v>53</v>
      </c>
      <c r="G3" s="210" t="s">
        <v>52</v>
      </c>
      <c r="H3" s="210" t="s">
        <v>116</v>
      </c>
      <c r="I3" s="210" t="s">
        <v>51</v>
      </c>
      <c r="J3" s="210" t="s">
        <v>117</v>
      </c>
      <c r="K3" s="211" t="s">
        <v>118</v>
      </c>
      <c r="L3" s="212" t="s">
        <v>119</v>
      </c>
      <c r="M3" s="210" t="s">
        <v>72</v>
      </c>
      <c r="N3" s="379" t="s">
        <v>88</v>
      </c>
      <c r="O3" s="392" t="s">
        <v>48</v>
      </c>
      <c r="P3" s="428" t="s">
        <v>730</v>
      </c>
      <c r="Q3" s="428" t="s">
        <v>741</v>
      </c>
      <c r="R3" s="373"/>
      <c r="S3" s="194"/>
      <c r="T3" s="86" t="s">
        <v>90</v>
      </c>
      <c r="U3" s="86">
        <f>K1-1</f>
        <v>0</v>
      </c>
      <c r="V3" s="31" t="s">
        <v>55</v>
      </c>
      <c r="W3" s="31" t="s">
        <v>115</v>
      </c>
      <c r="X3" s="31" t="s">
        <v>53</v>
      </c>
      <c r="Y3" s="31" t="s">
        <v>52</v>
      </c>
      <c r="Z3" s="31" t="s">
        <v>116</v>
      </c>
      <c r="AA3" s="31" t="s">
        <v>51</v>
      </c>
      <c r="AB3" s="31" t="s">
        <v>117</v>
      </c>
      <c r="AC3" s="31" t="s">
        <v>118</v>
      </c>
      <c r="AD3" s="31" t="s">
        <v>119</v>
      </c>
      <c r="AE3" s="31" t="s">
        <v>72</v>
      </c>
      <c r="AF3" s="31" t="s">
        <v>88</v>
      </c>
      <c r="AG3" s="31" t="s">
        <v>48</v>
      </c>
      <c r="AH3" s="86"/>
      <c r="AI3" s="31" t="s">
        <v>55</v>
      </c>
      <c r="AJ3" s="31" t="s">
        <v>115</v>
      </c>
      <c r="AK3" s="31" t="s">
        <v>53</v>
      </c>
      <c r="AL3" s="31" t="s">
        <v>52</v>
      </c>
      <c r="AM3" s="31" t="s">
        <v>116</v>
      </c>
      <c r="AN3" s="31" t="s">
        <v>51</v>
      </c>
      <c r="AO3" s="31" t="s">
        <v>117</v>
      </c>
      <c r="AP3" s="31" t="s">
        <v>118</v>
      </c>
      <c r="AQ3" s="31" t="s">
        <v>119</v>
      </c>
      <c r="AR3" s="31" t="s">
        <v>72</v>
      </c>
      <c r="AS3" s="31" t="s">
        <v>88</v>
      </c>
      <c r="AT3" s="31" t="s">
        <v>48</v>
      </c>
      <c r="AV3" s="31" t="s">
        <v>55</v>
      </c>
      <c r="AW3" s="31" t="s">
        <v>115</v>
      </c>
      <c r="AX3" s="31" t="s">
        <v>53</v>
      </c>
      <c r="AY3" s="31" t="s">
        <v>52</v>
      </c>
      <c r="AZ3" s="31" t="s">
        <v>116</v>
      </c>
      <c r="BA3" s="31" t="s">
        <v>51</v>
      </c>
      <c r="BB3" s="31" t="s">
        <v>117</v>
      </c>
      <c r="BC3" s="31" t="s">
        <v>118</v>
      </c>
      <c r="BD3" s="31" t="s">
        <v>119</v>
      </c>
      <c r="BE3" s="31" t="s">
        <v>72</v>
      </c>
      <c r="BF3" s="31" t="s">
        <v>88</v>
      </c>
      <c r="BG3" s="31" t="s">
        <v>48</v>
      </c>
      <c r="BI3" s="31" t="s">
        <v>55</v>
      </c>
      <c r="BJ3" s="31" t="s">
        <v>115</v>
      </c>
      <c r="BK3" s="31" t="s">
        <v>53</v>
      </c>
      <c r="BL3" s="31" t="s">
        <v>52</v>
      </c>
      <c r="BM3" s="31" t="s">
        <v>116</v>
      </c>
      <c r="BN3" s="31" t="s">
        <v>51</v>
      </c>
      <c r="BO3" s="31" t="s">
        <v>117</v>
      </c>
      <c r="BP3" s="31" t="s">
        <v>118</v>
      </c>
      <c r="BQ3" s="31" t="s">
        <v>119</v>
      </c>
      <c r="BR3" s="31" t="s">
        <v>72</v>
      </c>
      <c r="BS3" s="31" t="s">
        <v>88</v>
      </c>
      <c r="BT3" s="31" t="s">
        <v>48</v>
      </c>
      <c r="BV3" s="31" t="s">
        <v>55</v>
      </c>
      <c r="BW3" s="31" t="s">
        <v>115</v>
      </c>
      <c r="BX3" s="31" t="s">
        <v>53</v>
      </c>
      <c r="BY3" s="31" t="s">
        <v>52</v>
      </c>
      <c r="BZ3" s="31" t="s">
        <v>116</v>
      </c>
      <c r="CA3" s="31" t="s">
        <v>51</v>
      </c>
      <c r="CB3" s="31" t="s">
        <v>117</v>
      </c>
      <c r="CC3" s="31" t="s">
        <v>118</v>
      </c>
      <c r="CD3" s="31" t="s">
        <v>119</v>
      </c>
      <c r="CE3" s="31" t="s">
        <v>72</v>
      </c>
      <c r="CF3" s="31" t="s">
        <v>88</v>
      </c>
      <c r="CG3" s="31" t="s">
        <v>48</v>
      </c>
      <c r="CI3" s="31" t="s">
        <v>55</v>
      </c>
      <c r="CJ3" s="31" t="s">
        <v>115</v>
      </c>
      <c r="CK3" s="31" t="s">
        <v>53</v>
      </c>
      <c r="CL3" s="31" t="s">
        <v>52</v>
      </c>
      <c r="CM3" s="31" t="s">
        <v>116</v>
      </c>
      <c r="CN3" s="31" t="s">
        <v>51</v>
      </c>
      <c r="CO3" s="31" t="s">
        <v>117</v>
      </c>
      <c r="CP3" s="31" t="s">
        <v>118</v>
      </c>
      <c r="CQ3" s="31" t="s">
        <v>119</v>
      </c>
      <c r="CR3" s="31" t="s">
        <v>72</v>
      </c>
      <c r="CS3" s="31" t="s">
        <v>88</v>
      </c>
      <c r="CT3" s="31" t="s">
        <v>48</v>
      </c>
      <c r="CV3" s="31" t="s">
        <v>55</v>
      </c>
      <c r="CW3" s="31" t="s">
        <v>115</v>
      </c>
      <c r="CX3" s="31" t="s">
        <v>53</v>
      </c>
      <c r="CY3" s="31" t="s">
        <v>52</v>
      </c>
      <c r="CZ3" s="31" t="s">
        <v>116</v>
      </c>
      <c r="DA3" s="31" t="s">
        <v>51</v>
      </c>
      <c r="DB3" s="31" t="s">
        <v>117</v>
      </c>
      <c r="DC3" s="31" t="s">
        <v>118</v>
      </c>
      <c r="DD3" s="31" t="s">
        <v>119</v>
      </c>
      <c r="DE3" s="31" t="s">
        <v>72</v>
      </c>
      <c r="DF3" s="31" t="s">
        <v>88</v>
      </c>
      <c r="DG3" s="31" t="s">
        <v>48</v>
      </c>
      <c r="DI3" s="31" t="s">
        <v>55</v>
      </c>
      <c r="DJ3" s="31" t="s">
        <v>115</v>
      </c>
      <c r="DK3" s="31" t="s">
        <v>53</v>
      </c>
      <c r="DL3" s="31" t="s">
        <v>52</v>
      </c>
      <c r="DM3" s="31" t="s">
        <v>116</v>
      </c>
      <c r="DN3" s="31" t="s">
        <v>51</v>
      </c>
      <c r="DO3" s="31" t="s">
        <v>117</v>
      </c>
      <c r="DP3" s="31" t="s">
        <v>118</v>
      </c>
      <c r="DQ3" s="31" t="s">
        <v>119</v>
      </c>
      <c r="DR3" s="31" t="s">
        <v>72</v>
      </c>
      <c r="DS3" s="31" t="s">
        <v>88</v>
      </c>
      <c r="DT3" s="31" t="s">
        <v>48</v>
      </c>
      <c r="DW3" s="423"/>
      <c r="DX3" s="423"/>
    </row>
    <row r="4" spans="1:128" s="338" customFormat="1" ht="30.75" customHeight="1">
      <c r="A4" s="1750">
        <v>1</v>
      </c>
      <c r="B4" s="430">
        <v>2</v>
      </c>
      <c r="C4" s="431">
        <v>3</v>
      </c>
      <c r="D4" s="432">
        <v>4</v>
      </c>
      <c r="E4" s="433">
        <v>5</v>
      </c>
      <c r="F4" s="433">
        <v>6</v>
      </c>
      <c r="G4" s="433">
        <v>7</v>
      </c>
      <c r="H4" s="433">
        <v>8</v>
      </c>
      <c r="I4" s="433">
        <v>9</v>
      </c>
      <c r="J4" s="433">
        <v>10</v>
      </c>
      <c r="K4" s="392">
        <v>11</v>
      </c>
      <c r="L4" s="432">
        <v>12</v>
      </c>
      <c r="M4" s="433">
        <v>13</v>
      </c>
      <c r="N4" s="433">
        <v>14</v>
      </c>
      <c r="O4" s="392">
        <v>15</v>
      </c>
      <c r="P4" s="392">
        <v>16</v>
      </c>
      <c r="Q4" s="392">
        <v>17</v>
      </c>
      <c r="R4" s="373"/>
      <c r="S4" s="194"/>
      <c r="T4" s="337"/>
      <c r="U4" s="337"/>
      <c r="V4" s="336"/>
      <c r="W4" s="336"/>
      <c r="X4" s="336"/>
      <c r="Y4" s="336"/>
      <c r="Z4" s="336"/>
      <c r="AA4" s="336"/>
      <c r="AB4" s="336"/>
      <c r="AC4" s="336"/>
      <c r="AD4" s="336"/>
      <c r="AE4" s="336"/>
      <c r="AF4" s="336"/>
      <c r="AG4" s="336"/>
      <c r="AH4" s="337"/>
      <c r="AI4" s="336"/>
      <c r="AJ4" s="336"/>
      <c r="AK4" s="336"/>
      <c r="AL4" s="336"/>
      <c r="AM4" s="336"/>
      <c r="AN4" s="336"/>
      <c r="AO4" s="336"/>
      <c r="AP4" s="336"/>
      <c r="AQ4" s="336"/>
      <c r="AR4" s="336"/>
      <c r="AS4" s="336"/>
      <c r="AT4" s="336"/>
      <c r="AU4" s="92"/>
      <c r="AV4" s="336"/>
      <c r="AW4" s="336"/>
      <c r="AX4" s="336"/>
      <c r="AY4" s="336"/>
      <c r="AZ4" s="336"/>
      <c r="BA4" s="336"/>
      <c r="BB4" s="336"/>
      <c r="BC4" s="336"/>
      <c r="BD4" s="336"/>
      <c r="BE4" s="336"/>
      <c r="BF4" s="336"/>
      <c r="BG4" s="336"/>
      <c r="BH4" s="92"/>
      <c r="BI4" s="336"/>
      <c r="BJ4" s="336"/>
      <c r="BK4" s="336"/>
      <c r="BL4" s="336"/>
      <c r="BM4" s="336"/>
      <c r="BN4" s="336"/>
      <c r="BO4" s="336"/>
      <c r="BP4" s="336"/>
      <c r="BQ4" s="336"/>
      <c r="BR4" s="336"/>
      <c r="BS4" s="336"/>
      <c r="BT4" s="336"/>
      <c r="BU4" s="92"/>
      <c r="BV4" s="336"/>
      <c r="BW4" s="336"/>
      <c r="BX4" s="336"/>
      <c r="BY4" s="336"/>
      <c r="BZ4" s="336"/>
      <c r="CA4" s="336"/>
      <c r="CB4" s="336"/>
      <c r="CC4" s="336"/>
      <c r="CD4" s="336"/>
      <c r="CE4" s="336"/>
      <c r="CF4" s="336"/>
      <c r="CG4" s="336"/>
      <c r="CH4" s="92"/>
      <c r="CI4" s="336"/>
      <c r="CJ4" s="336"/>
      <c r="CK4" s="336"/>
      <c r="CL4" s="336"/>
      <c r="CM4" s="336"/>
      <c r="CN4" s="336"/>
      <c r="CO4" s="336"/>
      <c r="CP4" s="336"/>
      <c r="CQ4" s="336"/>
      <c r="CR4" s="336"/>
      <c r="CS4" s="336"/>
      <c r="CT4" s="336"/>
      <c r="CU4" s="92"/>
      <c r="CV4" s="336"/>
      <c r="CW4" s="336"/>
      <c r="CX4" s="336"/>
      <c r="CY4" s="336"/>
      <c r="CZ4" s="336"/>
      <c r="DA4" s="336"/>
      <c r="DB4" s="336"/>
      <c r="DC4" s="336"/>
      <c r="DD4" s="336"/>
      <c r="DE4" s="336"/>
      <c r="DF4" s="336"/>
      <c r="DG4" s="336"/>
      <c r="DH4" s="92"/>
      <c r="DI4" s="336"/>
      <c r="DJ4" s="336"/>
      <c r="DK4" s="336"/>
      <c r="DL4" s="336"/>
      <c r="DM4" s="336"/>
      <c r="DN4" s="336"/>
      <c r="DO4" s="336"/>
      <c r="DP4" s="336"/>
      <c r="DQ4" s="336"/>
      <c r="DR4" s="336"/>
      <c r="DS4" s="336"/>
      <c r="DT4" s="336"/>
      <c r="DW4" s="423"/>
      <c r="DX4" s="423"/>
    </row>
    <row r="5" spans="1:128" s="338" customFormat="1" ht="30.75" customHeight="1" thickBot="1">
      <c r="A5" s="1750">
        <v>101</v>
      </c>
      <c r="B5" s="340"/>
      <c r="C5" s="341"/>
      <c r="D5" s="429"/>
      <c r="E5" s="342"/>
      <c r="F5" s="342"/>
      <c r="G5" s="342"/>
      <c r="H5" s="342"/>
      <c r="I5" s="342"/>
      <c r="J5" s="342"/>
      <c r="K5" s="343"/>
      <c r="L5" s="344"/>
      <c r="M5" s="342"/>
      <c r="N5" s="380"/>
      <c r="O5" s="393"/>
      <c r="P5" s="393"/>
      <c r="Q5" s="393"/>
      <c r="R5" s="373"/>
      <c r="S5" s="345"/>
      <c r="T5" s="346"/>
      <c r="U5" s="346"/>
      <c r="V5" s="347"/>
      <c r="W5" s="347"/>
      <c r="X5" s="347"/>
      <c r="Y5" s="347"/>
      <c r="Z5" s="347"/>
      <c r="AA5" s="347"/>
      <c r="AB5" s="347"/>
      <c r="AC5" s="347"/>
      <c r="AD5" s="347"/>
      <c r="AE5" s="347"/>
      <c r="AF5" s="347"/>
      <c r="AG5" s="347"/>
      <c r="AH5" s="346"/>
      <c r="AI5" s="347"/>
      <c r="AJ5" s="347"/>
      <c r="AK5" s="347"/>
      <c r="AL5" s="347"/>
      <c r="AM5" s="347"/>
      <c r="AN5" s="347"/>
      <c r="AO5" s="347"/>
      <c r="AP5" s="347"/>
      <c r="AQ5" s="347"/>
      <c r="AR5" s="347"/>
      <c r="AS5" s="347"/>
      <c r="AT5" s="347"/>
      <c r="AU5" s="348"/>
      <c r="AV5" s="347"/>
      <c r="AW5" s="347"/>
      <c r="AX5" s="347"/>
      <c r="AY5" s="347"/>
      <c r="AZ5" s="347"/>
      <c r="BA5" s="347"/>
      <c r="BB5" s="347"/>
      <c r="BC5" s="347"/>
      <c r="BD5" s="347"/>
      <c r="BE5" s="347"/>
      <c r="BF5" s="347"/>
      <c r="BG5" s="347"/>
      <c r="BH5" s="348"/>
      <c r="BI5" s="347"/>
      <c r="BJ5" s="347"/>
      <c r="BK5" s="347"/>
      <c r="BL5" s="347"/>
      <c r="BM5" s="347"/>
      <c r="BN5" s="347"/>
      <c r="BO5" s="347"/>
      <c r="BP5" s="347"/>
      <c r="BQ5" s="347"/>
      <c r="BR5" s="347"/>
      <c r="BS5" s="347"/>
      <c r="BT5" s="347"/>
      <c r="BU5" s="348"/>
      <c r="BV5" s="347"/>
      <c r="BW5" s="347"/>
      <c r="BX5" s="347"/>
      <c r="BY5" s="347"/>
      <c r="BZ5" s="347"/>
      <c r="CA5" s="347"/>
      <c r="CB5" s="347"/>
      <c r="CC5" s="347"/>
      <c r="CD5" s="347"/>
      <c r="CE5" s="347"/>
      <c r="CF5" s="347"/>
      <c r="CG5" s="347"/>
      <c r="CH5" s="348"/>
      <c r="CI5" s="347"/>
      <c r="CJ5" s="347"/>
      <c r="CK5" s="347"/>
      <c r="CL5" s="347"/>
      <c r="CM5" s="347"/>
      <c r="CN5" s="347"/>
      <c r="CO5" s="347"/>
      <c r="CP5" s="347"/>
      <c r="CQ5" s="347"/>
      <c r="CR5" s="347"/>
      <c r="CS5" s="347"/>
      <c r="CT5" s="347"/>
      <c r="CU5" s="348"/>
      <c r="CV5" s="347"/>
      <c r="CW5" s="347"/>
      <c r="CX5" s="347"/>
      <c r="CY5" s="347"/>
      <c r="CZ5" s="347"/>
      <c r="DA5" s="347"/>
      <c r="DB5" s="347"/>
      <c r="DC5" s="347"/>
      <c r="DD5" s="347"/>
      <c r="DE5" s="347"/>
      <c r="DF5" s="347"/>
      <c r="DG5" s="347"/>
      <c r="DH5" s="348"/>
      <c r="DI5" s="347"/>
      <c r="DJ5" s="347"/>
      <c r="DK5" s="347"/>
      <c r="DL5" s="347"/>
      <c r="DM5" s="347"/>
      <c r="DN5" s="347"/>
      <c r="DO5" s="347"/>
      <c r="DP5" s="347"/>
      <c r="DQ5" s="347"/>
      <c r="DR5" s="347"/>
      <c r="DS5" s="347"/>
      <c r="DT5" s="347"/>
      <c r="DU5" s="349"/>
      <c r="DV5" s="349"/>
      <c r="DW5" s="424"/>
      <c r="DX5" s="424"/>
    </row>
    <row r="6" spans="1:128" ht="16.5" customHeight="1">
      <c r="A6" s="1750">
        <v>102</v>
      </c>
      <c r="B6" s="2038" t="s">
        <v>92</v>
      </c>
      <c r="C6" s="204" t="s">
        <v>120</v>
      </c>
      <c r="D6" s="203">
        <f>IF((U6&lt;10),SUM((V6+(ROUNDUP((U6*AI6),2)))),SUM((V6+(ROUNDUP(((9*AI6)+DI6),2)))))</f>
        <v>1.25</v>
      </c>
      <c r="E6" s="203">
        <f>IF((U6&lt;10),SUM((W6+(ROUNDUP((U6*AJ6),2)))),SUM((W6+(ROUNDUP(((9*AJ6)+DJ6),2)))))</f>
        <v>1.25</v>
      </c>
      <c r="F6" s="203"/>
      <c r="G6" s="213"/>
      <c r="H6" s="203"/>
      <c r="I6" s="203"/>
      <c r="J6" s="203"/>
      <c r="K6" s="203"/>
      <c r="L6" s="203"/>
      <c r="M6" s="203"/>
      <c r="N6" s="381"/>
      <c r="O6" s="394">
        <f t="shared" ref="O6:O35" si="0">IF((U6&lt;10),SUM((AG6+(ROUNDUP((U6*AT6),2)))),SUM((AG6+(ROUNDUP(((9*AT6)+DT6),2)))))</f>
        <v>2500</v>
      </c>
      <c r="P6" s="394"/>
      <c r="Q6" s="394"/>
      <c r="R6" s="374"/>
      <c r="S6" s="190"/>
      <c r="T6" s="96">
        <v>1</v>
      </c>
      <c r="U6" s="96">
        <f>U3</f>
        <v>0</v>
      </c>
      <c r="V6" s="58">
        <v>1.25</v>
      </c>
      <c r="W6" s="58">
        <v>1.25</v>
      </c>
      <c r="X6" s="58"/>
      <c r="Y6" s="58"/>
      <c r="Z6" s="58"/>
      <c r="AA6" s="58"/>
      <c r="AB6" s="58"/>
      <c r="AC6" s="58"/>
      <c r="AD6" s="58"/>
      <c r="AE6" s="58"/>
      <c r="AF6" s="58"/>
      <c r="AG6" s="58">
        <v>2500</v>
      </c>
      <c r="AH6" s="96"/>
      <c r="AI6" s="96">
        <f>SUM((V6/9))</f>
        <v>0.1388888888888889</v>
      </c>
      <c r="AJ6" s="96">
        <f>SUM((W6/9))</f>
        <v>0.1388888888888889</v>
      </c>
      <c r="AK6" s="96"/>
      <c r="AL6" s="96"/>
      <c r="AM6" s="96"/>
      <c r="AN6" s="96"/>
      <c r="AO6" s="96"/>
      <c r="AP6" s="96"/>
      <c r="AQ6" s="96"/>
      <c r="AR6" s="96"/>
      <c r="AS6" s="96"/>
      <c r="AT6" s="96">
        <f t="shared" ref="AT6:AT35" si="1">SUM((AG6/9))</f>
        <v>277.77777777777777</v>
      </c>
      <c r="AU6" s="96"/>
      <c r="AV6" s="96">
        <f t="shared" ref="AV6:BG7" si="2">SUM(((AI6*0.9)*1))</f>
        <v>0.125</v>
      </c>
      <c r="AW6" s="96">
        <f t="shared" si="2"/>
        <v>0.125</v>
      </c>
      <c r="AX6" s="96">
        <f t="shared" si="2"/>
        <v>0</v>
      </c>
      <c r="AY6" s="96">
        <f t="shared" si="2"/>
        <v>0</v>
      </c>
      <c r="AZ6" s="96">
        <f t="shared" si="2"/>
        <v>0</v>
      </c>
      <c r="BA6" s="96">
        <f t="shared" si="2"/>
        <v>0</v>
      </c>
      <c r="BB6" s="96">
        <f t="shared" si="2"/>
        <v>0</v>
      </c>
      <c r="BC6" s="96">
        <f t="shared" si="2"/>
        <v>0</v>
      </c>
      <c r="BD6" s="96">
        <f t="shared" si="2"/>
        <v>0</v>
      </c>
      <c r="BE6" s="96">
        <f t="shared" si="2"/>
        <v>0</v>
      </c>
      <c r="BF6" s="96">
        <f t="shared" si="2"/>
        <v>0</v>
      </c>
      <c r="BG6" s="96">
        <f t="shared" si="2"/>
        <v>250</v>
      </c>
      <c r="BH6" s="96"/>
      <c r="BI6" s="96">
        <f t="shared" ref="BI6:BT7" si="3">SUM(((AI6*0.9)*0.9))</f>
        <v>0.1125</v>
      </c>
      <c r="BJ6" s="96">
        <f t="shared" si="3"/>
        <v>0.1125</v>
      </c>
      <c r="BK6" s="96">
        <f t="shared" si="3"/>
        <v>0</v>
      </c>
      <c r="BL6" s="96">
        <f t="shared" si="3"/>
        <v>0</v>
      </c>
      <c r="BM6" s="96">
        <f t="shared" si="3"/>
        <v>0</v>
      </c>
      <c r="BN6" s="96">
        <f t="shared" si="3"/>
        <v>0</v>
      </c>
      <c r="BO6" s="96">
        <f t="shared" si="3"/>
        <v>0</v>
      </c>
      <c r="BP6" s="96">
        <f t="shared" si="3"/>
        <v>0</v>
      </c>
      <c r="BQ6" s="96">
        <f t="shared" si="3"/>
        <v>0</v>
      </c>
      <c r="BR6" s="96">
        <f t="shared" si="3"/>
        <v>0</v>
      </c>
      <c r="BS6" s="96">
        <f t="shared" si="3"/>
        <v>0</v>
      </c>
      <c r="BT6" s="96">
        <f t="shared" si="3"/>
        <v>225</v>
      </c>
      <c r="BU6" s="96"/>
      <c r="BV6" s="96">
        <f t="shared" ref="BV6:CG7" si="4">SUM(((AI6*0.9)*0.8))</f>
        <v>0.1</v>
      </c>
      <c r="BW6" s="96">
        <f t="shared" si="4"/>
        <v>0.1</v>
      </c>
      <c r="BX6" s="96">
        <f t="shared" si="4"/>
        <v>0</v>
      </c>
      <c r="BY6" s="96">
        <f t="shared" si="4"/>
        <v>0</v>
      </c>
      <c r="BZ6" s="96">
        <f t="shared" si="4"/>
        <v>0</v>
      </c>
      <c r="CA6" s="96">
        <f t="shared" si="4"/>
        <v>0</v>
      </c>
      <c r="CB6" s="96">
        <f t="shared" si="4"/>
        <v>0</v>
      </c>
      <c r="CC6" s="96">
        <f t="shared" si="4"/>
        <v>0</v>
      </c>
      <c r="CD6" s="96">
        <f t="shared" si="4"/>
        <v>0</v>
      </c>
      <c r="CE6" s="96">
        <f t="shared" si="4"/>
        <v>0</v>
      </c>
      <c r="CF6" s="96">
        <f t="shared" si="4"/>
        <v>0</v>
      </c>
      <c r="CG6" s="96">
        <f t="shared" si="4"/>
        <v>200</v>
      </c>
      <c r="CH6" s="96"/>
      <c r="CI6" s="96">
        <f t="shared" ref="CI6:CT7" si="5">SUM(((AI6*0.9)*0.7))</f>
        <v>8.7499999999999994E-2</v>
      </c>
      <c r="CJ6" s="96">
        <f t="shared" si="5"/>
        <v>8.7499999999999994E-2</v>
      </c>
      <c r="CK6" s="96">
        <f t="shared" si="5"/>
        <v>0</v>
      </c>
      <c r="CL6" s="96">
        <f t="shared" si="5"/>
        <v>0</v>
      </c>
      <c r="CM6" s="96">
        <f t="shared" si="5"/>
        <v>0</v>
      </c>
      <c r="CN6" s="96">
        <f t="shared" si="5"/>
        <v>0</v>
      </c>
      <c r="CO6" s="96">
        <f t="shared" si="5"/>
        <v>0</v>
      </c>
      <c r="CP6" s="96">
        <f t="shared" si="5"/>
        <v>0</v>
      </c>
      <c r="CQ6" s="96">
        <f t="shared" si="5"/>
        <v>0</v>
      </c>
      <c r="CR6" s="96">
        <f t="shared" si="5"/>
        <v>0</v>
      </c>
      <c r="CS6" s="96">
        <f t="shared" si="5"/>
        <v>0</v>
      </c>
      <c r="CT6" s="96">
        <f t="shared" si="5"/>
        <v>175</v>
      </c>
      <c r="CU6" s="96"/>
      <c r="CV6" s="96">
        <f t="shared" ref="CV6:DG7" si="6">SUM(((AI6*0.9)*0.6))</f>
        <v>7.4999999999999997E-2</v>
      </c>
      <c r="CW6" s="96">
        <f t="shared" si="6"/>
        <v>7.4999999999999997E-2</v>
      </c>
      <c r="CX6" s="96">
        <f t="shared" si="6"/>
        <v>0</v>
      </c>
      <c r="CY6" s="96">
        <f t="shared" si="6"/>
        <v>0</v>
      </c>
      <c r="CZ6" s="96">
        <f t="shared" si="6"/>
        <v>0</v>
      </c>
      <c r="DA6" s="96">
        <f t="shared" si="6"/>
        <v>0</v>
      </c>
      <c r="DB6" s="96">
        <f t="shared" si="6"/>
        <v>0</v>
      </c>
      <c r="DC6" s="96">
        <f t="shared" si="6"/>
        <v>0</v>
      </c>
      <c r="DD6" s="96">
        <f t="shared" si="6"/>
        <v>0</v>
      </c>
      <c r="DE6" s="96">
        <f t="shared" si="6"/>
        <v>0</v>
      </c>
      <c r="DF6" s="96">
        <f t="shared" si="6"/>
        <v>0</v>
      </c>
      <c r="DG6" s="96">
        <f t="shared" si="6"/>
        <v>150</v>
      </c>
      <c r="DH6" s="96"/>
      <c r="DI6" s="96" t="e">
        <f>CHOOSE((U6-9),AV6,(AV6+BI6),((AV6+BI6)+BV6),(((AV6+BI6)+BV6)+CI6),((((AV6+BI6)+BV6)+CI6)+CV6),)</f>
        <v>#VALUE!</v>
      </c>
      <c r="DJ6" s="96" t="e">
        <f t="shared" ref="DJ6:DJ35" si="7">CHOOSE((U6-9),AW6,(AW6+BJ6),((AW6+BJ6)+BW6),(((AW6+BJ6)+BW6)+CJ6),((((AW6+BJ6)+BW6)+CJ6)+CW6),)</f>
        <v>#VALUE!</v>
      </c>
      <c r="DK6" s="96" t="e">
        <f t="shared" ref="DK6:DK35" si="8">CHOOSE((U6-9),AX6,(AX6+BK6),((AX6+BK6)+BX6),(((AX6+BK6)+BX6)+CK6),((((AX6+BK6)+BX6)+CK6)+CX6),)</f>
        <v>#VALUE!</v>
      </c>
      <c r="DL6" s="96" t="e">
        <f t="shared" ref="DL6:DL35" si="9">CHOOSE((U6-9),AY6,(AY6+BL6),((AY6+BL6)+BY6),(((AY6+BL6)+BY6)+CL6),((((AY6+BL6)+BY6)+CL6)+CY6),)</f>
        <v>#VALUE!</v>
      </c>
      <c r="DM6" s="96" t="e">
        <f t="shared" ref="DM6:DM35" si="10">CHOOSE((U6-9),AZ6,(AZ6+BM6),((AZ6+BM6)+BZ6),(((AZ6+BM6)+BZ6)+CM6),((((AZ6+BM6)+BZ6)+CM6)+CZ6),)</f>
        <v>#VALUE!</v>
      </c>
      <c r="DN6" s="96" t="e">
        <f t="shared" ref="DN6:DN35" si="11">CHOOSE((U6-9),BA6,(BA6+BN6),((BA6+BN6)+CA6),(((BA6+BN6)+CA6)+CN6),((((BA6+BN6)+CA6)+CN6)+DA6),)</f>
        <v>#VALUE!</v>
      </c>
      <c r="DO6" s="96" t="e">
        <f t="shared" ref="DO6:DO35" si="12">CHOOSE((U6-9),BB6,(BB6+BO6),((BB6+BO6)+CB6),(((BB6+BO6)+CB6)+CO6),((((BB6+BO6)+CB6)+CO6)+DB6),)</f>
        <v>#VALUE!</v>
      </c>
      <c r="DP6" s="96" t="e">
        <f t="shared" ref="DP6:DP35" si="13">CHOOSE((U6-9),BC6,(BC6+BP6),((BC6+BP6)+CC6),(((BC6+BP6)+CC6)+CP6),((((BC6+BP6)+CC6)+CP6)+DC6),)</f>
        <v>#VALUE!</v>
      </c>
      <c r="DQ6" s="96" t="e">
        <f t="shared" ref="DQ6:DQ35" si="14">CHOOSE((U6-9),BD6,(BD6+BQ6),((BD6+BQ6)+CD6),(((BD6+BQ6)+CD6)+CQ6),((((BD6+BQ6)+CD6)+CQ6)+DD6),)</f>
        <v>#VALUE!</v>
      </c>
      <c r="DR6" s="96" t="e">
        <f t="shared" ref="DR6:DR35" si="15">CHOOSE((U6-9),BE6,(BE6+BR6),((BE6+BR6)+CE6),(((BE6+BR6)+CE6)+CR6),((((BE6+BR6)+CE6)+CR6)+DE6),)</f>
        <v>#VALUE!</v>
      </c>
      <c r="DS6" s="96" t="e">
        <f t="shared" ref="DS6:DS35" si="16">CHOOSE((U6-9),BF6,(BF6+BS6),((BF6+BS6)+CF6),(((BF6+BS6)+CF6)+CS6),((((BF6+BS6)+CF6)+CS6)+DF6),)</f>
        <v>#VALUE!</v>
      </c>
      <c r="DT6" s="96" t="e">
        <f t="shared" ref="DT6:DT35" si="17">CHOOSE((U6-9),BG6,(BG6+BT6),((BG6+BT6)+CG6),(((BG6+BT6)+CG6)+CT6),((((BG6+BT6)+CG6)+CT6)+DG6),)</f>
        <v>#VALUE!</v>
      </c>
      <c r="DW6" s="178"/>
      <c r="DX6" s="178"/>
    </row>
    <row r="7" spans="1:128" ht="16.5" customHeight="1">
      <c r="A7" s="1751">
        <v>103</v>
      </c>
      <c r="B7" s="2039"/>
      <c r="C7" s="176" t="s">
        <v>121</v>
      </c>
      <c r="D7" s="185">
        <f>IF((U7&lt;10),SUM((V7+(ROUNDUP((U7*AI7),2)))),SUM((V7+(ROUNDUP(((9*AI7)+DI7),2)))))</f>
        <v>2.5</v>
      </c>
      <c r="E7" s="185"/>
      <c r="F7" s="196">
        <f>IF((U7&lt;10),SUM((X7+(ROUNDUP((U7*AK7),2)))),SUM((X7+(ROUNDUP(((9*AK7)+DK7),2)))))</f>
        <v>1</v>
      </c>
      <c r="G7" s="197"/>
      <c r="H7" s="198"/>
      <c r="I7" s="185"/>
      <c r="J7" s="185"/>
      <c r="K7" s="185"/>
      <c r="L7" s="185"/>
      <c r="M7" s="185"/>
      <c r="N7" s="382"/>
      <c r="O7" s="395">
        <f t="shared" si="0"/>
        <v>2500</v>
      </c>
      <c r="P7" s="395"/>
      <c r="Q7" s="395"/>
      <c r="R7" s="374"/>
      <c r="S7" s="190"/>
      <c r="T7" s="96">
        <v>2</v>
      </c>
      <c r="U7" s="96">
        <f t="shared" ref="U7:U35" si="18">U6</f>
        <v>0</v>
      </c>
      <c r="V7" s="58">
        <v>2.5</v>
      </c>
      <c r="W7" s="58"/>
      <c r="X7" s="58">
        <v>1</v>
      </c>
      <c r="Y7" s="58"/>
      <c r="Z7" s="58"/>
      <c r="AA7" s="58"/>
      <c r="AB7" s="58"/>
      <c r="AC7" s="58"/>
      <c r="AD7" s="58"/>
      <c r="AE7" s="58"/>
      <c r="AF7" s="58"/>
      <c r="AG7" s="58">
        <v>2500</v>
      </c>
      <c r="AH7" s="96"/>
      <c r="AI7" s="96">
        <f>SUM((V7/9))</f>
        <v>0.27777777777777779</v>
      </c>
      <c r="AJ7" s="96"/>
      <c r="AK7" s="96">
        <f>SUM((X7/9))</f>
        <v>0.1111111111111111</v>
      </c>
      <c r="AL7" s="96"/>
      <c r="AM7" s="96"/>
      <c r="AN7" s="96"/>
      <c r="AO7" s="96"/>
      <c r="AP7" s="96"/>
      <c r="AQ7" s="96"/>
      <c r="AR7" s="96"/>
      <c r="AS7" s="96"/>
      <c r="AT7" s="96">
        <f t="shared" si="1"/>
        <v>277.77777777777777</v>
      </c>
      <c r="AU7" s="96"/>
      <c r="AV7" s="96">
        <f t="shared" si="2"/>
        <v>0.25</v>
      </c>
      <c r="AW7" s="96">
        <f t="shared" si="2"/>
        <v>0</v>
      </c>
      <c r="AX7" s="96">
        <f t="shared" si="2"/>
        <v>9.9999999999999992E-2</v>
      </c>
      <c r="AY7" s="96">
        <f t="shared" si="2"/>
        <v>0</v>
      </c>
      <c r="AZ7" s="96">
        <f t="shared" si="2"/>
        <v>0</v>
      </c>
      <c r="BA7" s="96">
        <f t="shared" si="2"/>
        <v>0</v>
      </c>
      <c r="BB7" s="96">
        <f t="shared" si="2"/>
        <v>0</v>
      </c>
      <c r="BC7" s="96">
        <f t="shared" si="2"/>
        <v>0</v>
      </c>
      <c r="BD7" s="96">
        <f t="shared" si="2"/>
        <v>0</v>
      </c>
      <c r="BE7" s="96">
        <f t="shared" si="2"/>
        <v>0</v>
      </c>
      <c r="BF7" s="96">
        <f t="shared" si="2"/>
        <v>0</v>
      </c>
      <c r="BG7" s="96">
        <f t="shared" si="2"/>
        <v>250</v>
      </c>
      <c r="BH7" s="96"/>
      <c r="BI7" s="96">
        <f t="shared" si="3"/>
        <v>0.22500000000000001</v>
      </c>
      <c r="BJ7" s="96">
        <f t="shared" si="3"/>
        <v>0</v>
      </c>
      <c r="BK7" s="96">
        <f t="shared" si="3"/>
        <v>0.09</v>
      </c>
      <c r="BL7" s="96">
        <f t="shared" si="3"/>
        <v>0</v>
      </c>
      <c r="BM7" s="96">
        <f t="shared" si="3"/>
        <v>0</v>
      </c>
      <c r="BN7" s="96">
        <f t="shared" si="3"/>
        <v>0</v>
      </c>
      <c r="BO7" s="96">
        <f t="shared" si="3"/>
        <v>0</v>
      </c>
      <c r="BP7" s="96">
        <f t="shared" si="3"/>
        <v>0</v>
      </c>
      <c r="BQ7" s="96">
        <f t="shared" si="3"/>
        <v>0</v>
      </c>
      <c r="BR7" s="96">
        <f t="shared" si="3"/>
        <v>0</v>
      </c>
      <c r="BS7" s="96">
        <f t="shared" si="3"/>
        <v>0</v>
      </c>
      <c r="BT7" s="96">
        <f t="shared" si="3"/>
        <v>225</v>
      </c>
      <c r="BU7" s="96"/>
      <c r="BV7" s="96">
        <f t="shared" si="4"/>
        <v>0.2</v>
      </c>
      <c r="BW7" s="96">
        <f t="shared" si="4"/>
        <v>0</v>
      </c>
      <c r="BX7" s="96">
        <f t="shared" si="4"/>
        <v>0.08</v>
      </c>
      <c r="BY7" s="96">
        <f t="shared" si="4"/>
        <v>0</v>
      </c>
      <c r="BZ7" s="96">
        <f t="shared" si="4"/>
        <v>0</v>
      </c>
      <c r="CA7" s="96">
        <f t="shared" si="4"/>
        <v>0</v>
      </c>
      <c r="CB7" s="96">
        <f t="shared" si="4"/>
        <v>0</v>
      </c>
      <c r="CC7" s="96">
        <f t="shared" si="4"/>
        <v>0</v>
      </c>
      <c r="CD7" s="96">
        <f t="shared" si="4"/>
        <v>0</v>
      </c>
      <c r="CE7" s="96">
        <f t="shared" si="4"/>
        <v>0</v>
      </c>
      <c r="CF7" s="96">
        <f t="shared" si="4"/>
        <v>0</v>
      </c>
      <c r="CG7" s="96">
        <f t="shared" si="4"/>
        <v>200</v>
      </c>
      <c r="CH7" s="96"/>
      <c r="CI7" s="96">
        <f t="shared" si="5"/>
        <v>0.17499999999999999</v>
      </c>
      <c r="CJ7" s="96">
        <f t="shared" si="5"/>
        <v>0</v>
      </c>
      <c r="CK7" s="96">
        <f t="shared" si="5"/>
        <v>6.9999999999999993E-2</v>
      </c>
      <c r="CL7" s="96">
        <f t="shared" si="5"/>
        <v>0</v>
      </c>
      <c r="CM7" s="96">
        <f t="shared" si="5"/>
        <v>0</v>
      </c>
      <c r="CN7" s="96">
        <f t="shared" si="5"/>
        <v>0</v>
      </c>
      <c r="CO7" s="96">
        <f t="shared" si="5"/>
        <v>0</v>
      </c>
      <c r="CP7" s="96">
        <f t="shared" si="5"/>
        <v>0</v>
      </c>
      <c r="CQ7" s="96">
        <f t="shared" si="5"/>
        <v>0</v>
      </c>
      <c r="CR7" s="96">
        <f t="shared" si="5"/>
        <v>0</v>
      </c>
      <c r="CS7" s="96">
        <f t="shared" si="5"/>
        <v>0</v>
      </c>
      <c r="CT7" s="96">
        <f t="shared" si="5"/>
        <v>175</v>
      </c>
      <c r="CU7" s="96"/>
      <c r="CV7" s="96">
        <f t="shared" si="6"/>
        <v>0.15</v>
      </c>
      <c r="CW7" s="96">
        <f t="shared" si="6"/>
        <v>0</v>
      </c>
      <c r="CX7" s="96">
        <f t="shared" si="6"/>
        <v>5.9999999999999991E-2</v>
      </c>
      <c r="CY7" s="96">
        <f t="shared" si="6"/>
        <v>0</v>
      </c>
      <c r="CZ7" s="96">
        <f t="shared" si="6"/>
        <v>0</v>
      </c>
      <c r="DA7" s="96">
        <f t="shared" si="6"/>
        <v>0</v>
      </c>
      <c r="DB7" s="96">
        <f t="shared" si="6"/>
        <v>0</v>
      </c>
      <c r="DC7" s="96">
        <f t="shared" si="6"/>
        <v>0</v>
      </c>
      <c r="DD7" s="96">
        <f t="shared" si="6"/>
        <v>0</v>
      </c>
      <c r="DE7" s="96">
        <f t="shared" si="6"/>
        <v>0</v>
      </c>
      <c r="DF7" s="96">
        <f t="shared" si="6"/>
        <v>0</v>
      </c>
      <c r="DG7" s="96">
        <f t="shared" si="6"/>
        <v>150</v>
      </c>
      <c r="DH7" s="96"/>
      <c r="DI7" s="96" t="e">
        <f>CHOOSE((U7-9),AV7,(AV7+BI7),((AV7+BI7)+BV7),(((AV7+BI7)+BV7)+CI7),((((AV7+BI7)+BV7)+CI7)+CV7),)</f>
        <v>#VALUE!</v>
      </c>
      <c r="DJ7" s="96" t="e">
        <f t="shared" si="7"/>
        <v>#VALUE!</v>
      </c>
      <c r="DK7" s="96" t="e">
        <f t="shared" si="8"/>
        <v>#VALUE!</v>
      </c>
      <c r="DL7" s="96" t="e">
        <f t="shared" si="9"/>
        <v>#VALUE!</v>
      </c>
      <c r="DM7" s="96" t="e">
        <f t="shared" si="10"/>
        <v>#VALUE!</v>
      </c>
      <c r="DN7" s="96" t="e">
        <f t="shared" si="11"/>
        <v>#VALUE!</v>
      </c>
      <c r="DO7" s="96" t="e">
        <f t="shared" si="12"/>
        <v>#VALUE!</v>
      </c>
      <c r="DP7" s="96" t="e">
        <f t="shared" si="13"/>
        <v>#VALUE!</v>
      </c>
      <c r="DQ7" s="96" t="e">
        <f t="shared" si="14"/>
        <v>#VALUE!</v>
      </c>
      <c r="DR7" s="96" t="e">
        <f t="shared" si="15"/>
        <v>#VALUE!</v>
      </c>
      <c r="DS7" s="96" t="e">
        <f t="shared" si="16"/>
        <v>#VALUE!</v>
      </c>
      <c r="DT7" s="96" t="e">
        <f t="shared" si="17"/>
        <v>#VALUE!</v>
      </c>
      <c r="DW7" s="178"/>
      <c r="DX7" s="178"/>
    </row>
    <row r="8" spans="1:128" ht="16.5" customHeight="1">
      <c r="A8" s="1750">
        <v>104</v>
      </c>
      <c r="B8" s="2039"/>
      <c r="C8" s="177" t="s">
        <v>122</v>
      </c>
      <c r="D8" s="184"/>
      <c r="E8" s="184"/>
      <c r="F8" s="184"/>
      <c r="G8" s="195">
        <f>IF((U8&lt;10),SUM(((Y8+(ROUNDUP((U8*AL8),2)))/100)),SUM(((Y8+(ROUNDUP(((9*AL8)+DL8),2)))/100)))</f>
        <v>2.5000000000000001E-2</v>
      </c>
      <c r="H8" s="184">
        <f>IF((U8&lt;10),SUM((Z8+(ROUNDUP((U8*AM8),2)))),SUM((Z8+(ROUNDUP(((9*AM8)+DM8),2)))))</f>
        <v>2.5</v>
      </c>
      <c r="I8" s="184"/>
      <c r="J8" s="184"/>
      <c r="K8" s="184"/>
      <c r="L8" s="184"/>
      <c r="M8" s="184"/>
      <c r="N8" s="383"/>
      <c r="O8" s="394">
        <f t="shared" si="0"/>
        <v>2500</v>
      </c>
      <c r="P8" s="394"/>
      <c r="Q8" s="394"/>
      <c r="R8" s="374"/>
      <c r="S8" s="190"/>
      <c r="T8" s="96">
        <v>3</v>
      </c>
      <c r="U8" s="96">
        <f t="shared" si="18"/>
        <v>0</v>
      </c>
      <c r="V8" s="58"/>
      <c r="W8" s="58"/>
      <c r="X8" s="58"/>
      <c r="Y8" s="58">
        <v>2.5</v>
      </c>
      <c r="Z8" s="58">
        <v>2.5</v>
      </c>
      <c r="AA8" s="58"/>
      <c r="AB8" s="58"/>
      <c r="AC8" s="58"/>
      <c r="AD8" s="58"/>
      <c r="AE8" s="58"/>
      <c r="AF8" s="58"/>
      <c r="AG8" s="58">
        <v>2500</v>
      </c>
      <c r="AH8" s="96"/>
      <c r="AI8" s="96"/>
      <c r="AJ8" s="96"/>
      <c r="AK8" s="96"/>
      <c r="AL8" s="96">
        <f>SUM((Y8/9))</f>
        <v>0.27777777777777779</v>
      </c>
      <c r="AM8" s="96">
        <f>SUM((Z8/9))</f>
        <v>0.27777777777777779</v>
      </c>
      <c r="AN8" s="96"/>
      <c r="AO8" s="96"/>
      <c r="AP8" s="96"/>
      <c r="AQ8" s="96"/>
      <c r="AR8" s="96"/>
      <c r="AS8" s="96"/>
      <c r="AT8" s="96">
        <f t="shared" si="1"/>
        <v>277.77777777777777</v>
      </c>
      <c r="AU8" s="96"/>
      <c r="AV8" s="96">
        <f t="shared" ref="AV8:BE8" si="19">SUM(((AI8*0.9)*1))</f>
        <v>0</v>
      </c>
      <c r="AW8" s="96">
        <f t="shared" si="19"/>
        <v>0</v>
      </c>
      <c r="AX8" s="96">
        <f t="shared" si="19"/>
        <v>0</v>
      </c>
      <c r="AY8" s="96">
        <f t="shared" si="19"/>
        <v>0.25</v>
      </c>
      <c r="AZ8" s="96">
        <f t="shared" si="19"/>
        <v>0.25</v>
      </c>
      <c r="BA8" s="96">
        <f t="shared" si="19"/>
        <v>0</v>
      </c>
      <c r="BB8" s="96">
        <f t="shared" si="19"/>
        <v>0</v>
      </c>
      <c r="BC8" s="96">
        <f t="shared" si="19"/>
        <v>0</v>
      </c>
      <c r="BD8" s="96">
        <f t="shared" si="19"/>
        <v>0</v>
      </c>
      <c r="BE8" s="96">
        <f t="shared" si="19"/>
        <v>0</v>
      </c>
      <c r="BF8" s="96">
        <f>SUM(((-AF8/50)*CEILING((60/100),0.01)))</f>
        <v>0</v>
      </c>
      <c r="BG8" s="96">
        <f t="shared" ref="BG8:BG35" si="20">SUM(((AT8*0.9)*1))</f>
        <v>250</v>
      </c>
      <c r="BI8" s="96">
        <f t="shared" ref="BI8:BR8" si="21">SUM(((AI8*0.9)*0.9))</f>
        <v>0</v>
      </c>
      <c r="BJ8" s="96">
        <f t="shared" si="21"/>
        <v>0</v>
      </c>
      <c r="BK8" s="96">
        <f t="shared" si="21"/>
        <v>0</v>
      </c>
      <c r="BL8" s="96">
        <f t="shared" si="21"/>
        <v>0.22500000000000001</v>
      </c>
      <c r="BM8" s="96">
        <f t="shared" si="21"/>
        <v>0.22500000000000001</v>
      </c>
      <c r="BN8" s="96">
        <f t="shared" si="21"/>
        <v>0</v>
      </c>
      <c r="BO8" s="96">
        <f t="shared" si="21"/>
        <v>0</v>
      </c>
      <c r="BP8" s="96">
        <f t="shared" si="21"/>
        <v>0</v>
      </c>
      <c r="BQ8" s="96">
        <f t="shared" si="21"/>
        <v>0</v>
      </c>
      <c r="BR8" s="96">
        <f t="shared" si="21"/>
        <v>0</v>
      </c>
      <c r="BS8" s="96">
        <f>SUM(((-AF8/50)*CEILING((48/100),0.01)))</f>
        <v>0</v>
      </c>
      <c r="BT8" s="96">
        <f t="shared" ref="BT8:BT35" si="22">SUM(((AT8*0.9)*0.9))</f>
        <v>225</v>
      </c>
      <c r="BU8" s="96"/>
      <c r="BV8" s="96">
        <f t="shared" ref="BV8:CE8" si="23">SUM(((AI8*0.9)*0.8))</f>
        <v>0</v>
      </c>
      <c r="BW8" s="96">
        <f t="shared" si="23"/>
        <v>0</v>
      </c>
      <c r="BX8" s="96">
        <f t="shared" si="23"/>
        <v>0</v>
      </c>
      <c r="BY8" s="96">
        <f t="shared" si="23"/>
        <v>0.2</v>
      </c>
      <c r="BZ8" s="96">
        <f t="shared" si="23"/>
        <v>0.2</v>
      </c>
      <c r="CA8" s="96">
        <f t="shared" si="23"/>
        <v>0</v>
      </c>
      <c r="CB8" s="96">
        <f t="shared" si="23"/>
        <v>0</v>
      </c>
      <c r="CC8" s="96">
        <f t="shared" si="23"/>
        <v>0</v>
      </c>
      <c r="CD8" s="96">
        <f t="shared" si="23"/>
        <v>0</v>
      </c>
      <c r="CE8" s="96">
        <f t="shared" si="23"/>
        <v>0</v>
      </c>
      <c r="CF8" s="96">
        <f>SUM(((-AF8/50)*CEILING((40.5/100),0.01)))</f>
        <v>0</v>
      </c>
      <c r="CG8" s="96">
        <f t="shared" ref="CG8:CG35" si="24">SUM(((AT8*0.9)*0.8))</f>
        <v>200</v>
      </c>
      <c r="CH8" s="96"/>
      <c r="CI8" s="96">
        <f t="shared" ref="CI8:CR8" si="25">SUM(((AI8*0.9)*0.7))</f>
        <v>0</v>
      </c>
      <c r="CJ8" s="96">
        <f t="shared" si="25"/>
        <v>0</v>
      </c>
      <c r="CK8" s="96">
        <f t="shared" si="25"/>
        <v>0</v>
      </c>
      <c r="CL8" s="96">
        <f t="shared" si="25"/>
        <v>0.17499999999999999</v>
      </c>
      <c r="CM8" s="96">
        <f t="shared" si="25"/>
        <v>0.17499999999999999</v>
      </c>
      <c r="CN8" s="96">
        <f t="shared" si="25"/>
        <v>0</v>
      </c>
      <c r="CO8" s="96">
        <f t="shared" si="25"/>
        <v>0</v>
      </c>
      <c r="CP8" s="96">
        <f t="shared" si="25"/>
        <v>0</v>
      </c>
      <c r="CQ8" s="96">
        <f t="shared" si="25"/>
        <v>0</v>
      </c>
      <c r="CR8" s="96">
        <f t="shared" si="25"/>
        <v>0</v>
      </c>
      <c r="CS8" s="96">
        <f>SUM(((-AF8/50)*CEILING((33/100),0.01)))</f>
        <v>0</v>
      </c>
      <c r="CT8" s="96">
        <f t="shared" ref="CT8:CT35" si="26">SUM(((AT8*0.9)*0.7))</f>
        <v>175</v>
      </c>
      <c r="CU8" s="96"/>
      <c r="CV8" s="96">
        <f t="shared" ref="CV8:DE8" si="27">SUM(((AI8*0.9)*0.6))</f>
        <v>0</v>
      </c>
      <c r="CW8" s="96">
        <f t="shared" si="27"/>
        <v>0</v>
      </c>
      <c r="CX8" s="96">
        <f t="shared" si="27"/>
        <v>0</v>
      </c>
      <c r="CY8" s="96">
        <f t="shared" si="27"/>
        <v>0.15</v>
      </c>
      <c r="CZ8" s="96">
        <f t="shared" si="27"/>
        <v>0.15</v>
      </c>
      <c r="DA8" s="96">
        <f t="shared" si="27"/>
        <v>0</v>
      </c>
      <c r="DB8" s="96">
        <f t="shared" si="27"/>
        <v>0</v>
      </c>
      <c r="DC8" s="96">
        <f t="shared" si="27"/>
        <v>0</v>
      </c>
      <c r="DD8" s="96">
        <f t="shared" si="27"/>
        <v>0</v>
      </c>
      <c r="DE8" s="96">
        <f t="shared" si="27"/>
        <v>0</v>
      </c>
      <c r="DF8" s="96">
        <f>SUM(((-AF8/50)*CEILING((25.5/100),0.01)))</f>
        <v>0</v>
      </c>
      <c r="DG8" s="96">
        <f t="shared" ref="DG8:DG35" si="28">SUM(((AT8*0.9)*0.6))</f>
        <v>150</v>
      </c>
      <c r="DH8" s="96"/>
      <c r="DI8" s="96" t="e">
        <f t="shared" ref="DI8:DI35" si="29">CHOOSE((U8-9),AV8,(AV8+BI8),((AV8+BI8)+BV8),(((AV8+BI8)+BV8)+CI8),((((AV8+BI8)+BV8)+CI8)+CV8),)</f>
        <v>#VALUE!</v>
      </c>
      <c r="DJ8" s="96" t="e">
        <f t="shared" si="7"/>
        <v>#VALUE!</v>
      </c>
      <c r="DK8" s="96" t="e">
        <f t="shared" si="8"/>
        <v>#VALUE!</v>
      </c>
      <c r="DL8" s="96" t="e">
        <f t="shared" si="9"/>
        <v>#VALUE!</v>
      </c>
      <c r="DM8" s="96" t="e">
        <f t="shared" si="10"/>
        <v>#VALUE!</v>
      </c>
      <c r="DN8" s="96" t="e">
        <f t="shared" si="11"/>
        <v>#VALUE!</v>
      </c>
      <c r="DO8" s="96" t="e">
        <f t="shared" si="12"/>
        <v>#VALUE!</v>
      </c>
      <c r="DP8" s="96" t="e">
        <f t="shared" si="13"/>
        <v>#VALUE!</v>
      </c>
      <c r="DQ8" s="96" t="e">
        <f t="shared" si="14"/>
        <v>#VALUE!</v>
      </c>
      <c r="DR8" s="96" t="e">
        <f t="shared" si="15"/>
        <v>#VALUE!</v>
      </c>
      <c r="DS8" s="96" t="e">
        <f t="shared" si="16"/>
        <v>#VALUE!</v>
      </c>
      <c r="DT8" s="96" t="e">
        <f t="shared" si="17"/>
        <v>#VALUE!</v>
      </c>
      <c r="DW8" s="178"/>
      <c r="DX8" s="178"/>
    </row>
    <row r="9" spans="1:128" ht="16.5" customHeight="1">
      <c r="A9" s="1751">
        <v>105</v>
      </c>
      <c r="B9" s="2039"/>
      <c r="C9" s="176" t="s">
        <v>123</v>
      </c>
      <c r="D9" s="185"/>
      <c r="E9" s="185"/>
      <c r="F9" s="185"/>
      <c r="G9" s="199"/>
      <c r="H9" s="185"/>
      <c r="I9" s="185">
        <f>IF((U9&lt;10),SUM((AA9+(ROUNDUP((U9*AN9),2)))),SUM((AA9+(ROUNDUP(((9*AN9)+DN9),2)))))</f>
        <v>15</v>
      </c>
      <c r="J9" s="185"/>
      <c r="K9" s="185"/>
      <c r="L9" s="185"/>
      <c r="M9" s="185"/>
      <c r="N9" s="382"/>
      <c r="O9" s="395">
        <f t="shared" si="0"/>
        <v>2500</v>
      </c>
      <c r="P9" s="395"/>
      <c r="Q9" s="395"/>
      <c r="R9" s="374"/>
      <c r="S9" s="190"/>
      <c r="T9" s="96">
        <v>4</v>
      </c>
      <c r="U9" s="96">
        <f t="shared" si="18"/>
        <v>0</v>
      </c>
      <c r="V9" s="58"/>
      <c r="W9" s="58"/>
      <c r="X9" s="58"/>
      <c r="Y9" s="58"/>
      <c r="Z9" s="58"/>
      <c r="AA9" s="58">
        <v>15</v>
      </c>
      <c r="AB9" s="58"/>
      <c r="AC9" s="58"/>
      <c r="AD9" s="58"/>
      <c r="AE9" s="58"/>
      <c r="AF9" s="58"/>
      <c r="AG9" s="58">
        <v>2500</v>
      </c>
      <c r="AI9" s="96"/>
      <c r="AJ9" s="96"/>
      <c r="AK9" s="96"/>
      <c r="AL9" s="96"/>
      <c r="AM9" s="96"/>
      <c r="AN9" s="96">
        <f>SUM((AA9/9))</f>
        <v>1.6666666666666667</v>
      </c>
      <c r="AO9" s="96"/>
      <c r="AP9" s="96"/>
      <c r="AQ9" s="96"/>
      <c r="AR9" s="96"/>
      <c r="AS9" s="96"/>
      <c r="AT9" s="96">
        <f t="shared" si="1"/>
        <v>277.77777777777777</v>
      </c>
      <c r="AU9" s="96"/>
      <c r="AV9" s="96">
        <f>SUM(((AL9*0.9)*1))</f>
        <v>0</v>
      </c>
      <c r="AW9" s="96">
        <f t="shared" ref="AW9:BF15" si="30">SUM(((AJ9*0.9)*1))</f>
        <v>0</v>
      </c>
      <c r="AX9" s="96">
        <f t="shared" si="30"/>
        <v>0</v>
      </c>
      <c r="AY9" s="96">
        <f t="shared" si="30"/>
        <v>0</v>
      </c>
      <c r="AZ9" s="96">
        <f t="shared" si="30"/>
        <v>0</v>
      </c>
      <c r="BA9" s="96">
        <f t="shared" si="30"/>
        <v>1.5</v>
      </c>
      <c r="BB9" s="96">
        <f t="shared" si="30"/>
        <v>0</v>
      </c>
      <c r="BC9" s="96">
        <f t="shared" si="30"/>
        <v>0</v>
      </c>
      <c r="BD9" s="96">
        <f t="shared" si="30"/>
        <v>0</v>
      </c>
      <c r="BE9" s="96">
        <f t="shared" si="30"/>
        <v>0</v>
      </c>
      <c r="BF9" s="96">
        <f t="shared" si="30"/>
        <v>0</v>
      </c>
      <c r="BG9" s="96">
        <f t="shared" si="20"/>
        <v>250</v>
      </c>
      <c r="BH9" s="96"/>
      <c r="BI9" s="96" t="e">
        <f>SUM(((#REF!*0.9)*0.9))</f>
        <v>#REF!</v>
      </c>
      <c r="BJ9" s="96">
        <f t="shared" ref="BJ9:BS15" si="31">SUM(((AJ9*0.9)*0.9))</f>
        <v>0</v>
      </c>
      <c r="BK9" s="96">
        <f t="shared" si="31"/>
        <v>0</v>
      </c>
      <c r="BL9" s="96">
        <f t="shared" si="31"/>
        <v>0</v>
      </c>
      <c r="BM9" s="96">
        <f t="shared" si="31"/>
        <v>0</v>
      </c>
      <c r="BN9" s="96">
        <f t="shared" si="31"/>
        <v>1.35</v>
      </c>
      <c r="BO9" s="96">
        <f t="shared" si="31"/>
        <v>0</v>
      </c>
      <c r="BP9" s="96">
        <f t="shared" si="31"/>
        <v>0</v>
      </c>
      <c r="BQ9" s="96">
        <f t="shared" si="31"/>
        <v>0</v>
      </c>
      <c r="BR9" s="96">
        <f t="shared" si="31"/>
        <v>0</v>
      </c>
      <c r="BS9" s="96">
        <f t="shared" si="31"/>
        <v>0</v>
      </c>
      <c r="BT9" s="96">
        <f t="shared" si="22"/>
        <v>225</v>
      </c>
      <c r="BU9" s="96"/>
      <c r="BV9" s="96" t="e">
        <f>SUM(((#REF!*0.9)*0.8))</f>
        <v>#REF!</v>
      </c>
      <c r="BW9" s="96">
        <f t="shared" ref="BW9:CF15" si="32">SUM(((AJ9*0.9)*0.8))</f>
        <v>0</v>
      </c>
      <c r="BX9" s="96">
        <f t="shared" si="32"/>
        <v>0</v>
      </c>
      <c r="BY9" s="96">
        <f t="shared" si="32"/>
        <v>0</v>
      </c>
      <c r="BZ9" s="96">
        <f t="shared" si="32"/>
        <v>0</v>
      </c>
      <c r="CA9" s="96">
        <f t="shared" si="32"/>
        <v>1.2000000000000002</v>
      </c>
      <c r="CB9" s="96">
        <f t="shared" si="32"/>
        <v>0</v>
      </c>
      <c r="CC9" s="96">
        <f t="shared" si="32"/>
        <v>0</v>
      </c>
      <c r="CD9" s="96">
        <f t="shared" si="32"/>
        <v>0</v>
      </c>
      <c r="CE9" s="96">
        <f t="shared" si="32"/>
        <v>0</v>
      </c>
      <c r="CF9" s="96">
        <f t="shared" si="32"/>
        <v>0</v>
      </c>
      <c r="CG9" s="96">
        <f t="shared" si="24"/>
        <v>200</v>
      </c>
      <c r="CH9" s="96"/>
      <c r="CI9" s="96" t="e">
        <f>SUM(((#REF!*0.9)*0.7))</f>
        <v>#REF!</v>
      </c>
      <c r="CJ9" s="96">
        <f t="shared" ref="CJ9:CS15" si="33">SUM(((AJ9*0.9)*0.7))</f>
        <v>0</v>
      </c>
      <c r="CK9" s="96">
        <f t="shared" si="33"/>
        <v>0</v>
      </c>
      <c r="CL9" s="96">
        <f t="shared" si="33"/>
        <v>0</v>
      </c>
      <c r="CM9" s="96">
        <f t="shared" si="33"/>
        <v>0</v>
      </c>
      <c r="CN9" s="96">
        <f t="shared" si="33"/>
        <v>1.0499999999999998</v>
      </c>
      <c r="CO9" s="96">
        <f t="shared" si="33"/>
        <v>0</v>
      </c>
      <c r="CP9" s="96">
        <f t="shared" si="33"/>
        <v>0</v>
      </c>
      <c r="CQ9" s="96">
        <f t="shared" si="33"/>
        <v>0</v>
      </c>
      <c r="CR9" s="96">
        <f t="shared" si="33"/>
        <v>0</v>
      </c>
      <c r="CS9" s="96">
        <f t="shared" si="33"/>
        <v>0</v>
      </c>
      <c r="CT9" s="96">
        <f t="shared" si="26"/>
        <v>175</v>
      </c>
      <c r="CU9" s="96"/>
      <c r="CV9" s="96" t="e">
        <f>SUM(((#REF!*0.9)*0.6))</f>
        <v>#REF!</v>
      </c>
      <c r="CW9" s="96">
        <f t="shared" ref="CW9:DF15" si="34">SUM(((AJ9*0.9)*0.6))</f>
        <v>0</v>
      </c>
      <c r="CX9" s="96">
        <f t="shared" si="34"/>
        <v>0</v>
      </c>
      <c r="CY9" s="96">
        <f t="shared" si="34"/>
        <v>0</v>
      </c>
      <c r="CZ9" s="96">
        <f t="shared" si="34"/>
        <v>0</v>
      </c>
      <c r="DA9" s="96">
        <f t="shared" si="34"/>
        <v>0.89999999999999991</v>
      </c>
      <c r="DB9" s="96">
        <f t="shared" si="34"/>
        <v>0</v>
      </c>
      <c r="DC9" s="96">
        <f t="shared" si="34"/>
        <v>0</v>
      </c>
      <c r="DD9" s="96">
        <f t="shared" si="34"/>
        <v>0</v>
      </c>
      <c r="DE9" s="96">
        <f t="shared" si="34"/>
        <v>0</v>
      </c>
      <c r="DF9" s="96">
        <f t="shared" si="34"/>
        <v>0</v>
      </c>
      <c r="DG9" s="96">
        <f t="shared" si="28"/>
        <v>150</v>
      </c>
      <c r="DH9" s="96"/>
      <c r="DI9" s="96" t="e">
        <f t="shared" si="29"/>
        <v>#VALUE!</v>
      </c>
      <c r="DJ9" s="96" t="e">
        <f t="shared" si="7"/>
        <v>#VALUE!</v>
      </c>
      <c r="DK9" s="96" t="e">
        <f t="shared" si="8"/>
        <v>#VALUE!</v>
      </c>
      <c r="DL9" s="96" t="e">
        <f t="shared" si="9"/>
        <v>#VALUE!</v>
      </c>
      <c r="DM9" s="96" t="e">
        <f t="shared" si="10"/>
        <v>#VALUE!</v>
      </c>
      <c r="DN9" s="96" t="e">
        <f t="shared" si="11"/>
        <v>#VALUE!</v>
      </c>
      <c r="DO9" s="96" t="e">
        <f t="shared" si="12"/>
        <v>#VALUE!</v>
      </c>
      <c r="DP9" s="96" t="e">
        <f t="shared" si="13"/>
        <v>#VALUE!</v>
      </c>
      <c r="DQ9" s="96" t="e">
        <f t="shared" si="14"/>
        <v>#VALUE!</v>
      </c>
      <c r="DR9" s="96" t="e">
        <f t="shared" si="15"/>
        <v>#VALUE!</v>
      </c>
      <c r="DS9" s="96" t="e">
        <f t="shared" si="16"/>
        <v>#VALUE!</v>
      </c>
      <c r="DT9" s="96" t="e">
        <f t="shared" si="17"/>
        <v>#VALUE!</v>
      </c>
      <c r="DW9" s="178"/>
      <c r="DX9" s="178"/>
    </row>
    <row r="10" spans="1:128" ht="16.5" customHeight="1">
      <c r="A10" s="1750">
        <v>106</v>
      </c>
      <c r="B10" s="2039"/>
      <c r="C10" s="177" t="s">
        <v>124</v>
      </c>
      <c r="D10" s="184"/>
      <c r="E10" s="184"/>
      <c r="F10" s="184"/>
      <c r="G10" s="195"/>
      <c r="H10" s="184"/>
      <c r="I10" s="184"/>
      <c r="J10" s="184">
        <f>IF((U10&lt;10),SUM((AB10+(ROUNDUP((U10*AO10),2)))),SUM((AB10+(ROUNDUP(((9*AO10)+DO10),2)))))</f>
        <v>0.5</v>
      </c>
      <c r="K10" s="184"/>
      <c r="L10" s="184"/>
      <c r="M10" s="184"/>
      <c r="N10" s="383"/>
      <c r="O10" s="394">
        <f t="shared" si="0"/>
        <v>2500</v>
      </c>
      <c r="P10" s="394"/>
      <c r="Q10" s="394"/>
      <c r="R10" s="374"/>
      <c r="S10" s="190"/>
      <c r="T10" s="96">
        <v>5</v>
      </c>
      <c r="U10" s="96">
        <f t="shared" si="18"/>
        <v>0</v>
      </c>
      <c r="V10" s="58"/>
      <c r="W10" s="58"/>
      <c r="X10" s="58"/>
      <c r="Y10" s="58"/>
      <c r="Z10" s="58"/>
      <c r="AA10" s="58"/>
      <c r="AB10" s="58">
        <v>0.5</v>
      </c>
      <c r="AC10" s="58"/>
      <c r="AD10" s="58"/>
      <c r="AE10" s="58"/>
      <c r="AF10" s="58"/>
      <c r="AG10" s="58">
        <v>2500</v>
      </c>
      <c r="AH10" s="96"/>
      <c r="AI10" s="96"/>
      <c r="AJ10" s="96"/>
      <c r="AK10" s="96"/>
      <c r="AL10" s="96"/>
      <c r="AM10" s="96"/>
      <c r="AN10" s="96"/>
      <c r="AO10" s="96">
        <f>SUM((AB10/9))</f>
        <v>5.5555555555555552E-2</v>
      </c>
      <c r="AP10" s="96"/>
      <c r="AQ10" s="96"/>
      <c r="AR10" s="96"/>
      <c r="AS10" s="96"/>
      <c r="AT10" s="96">
        <f t="shared" si="1"/>
        <v>277.77777777777777</v>
      </c>
      <c r="AU10" s="96"/>
      <c r="AV10" s="96">
        <f t="shared" ref="AV10:AV35" si="35">SUM(((AI10*0.9)*1))</f>
        <v>0</v>
      </c>
      <c r="AW10" s="96">
        <f t="shared" si="30"/>
        <v>0</v>
      </c>
      <c r="AX10" s="96">
        <f t="shared" si="30"/>
        <v>0</v>
      </c>
      <c r="AY10" s="96">
        <f t="shared" si="30"/>
        <v>0</v>
      </c>
      <c r="AZ10" s="96">
        <f t="shared" si="30"/>
        <v>0</v>
      </c>
      <c r="BA10" s="96">
        <f t="shared" si="30"/>
        <v>0</v>
      </c>
      <c r="BB10" s="96">
        <f t="shared" si="30"/>
        <v>4.9999999999999996E-2</v>
      </c>
      <c r="BC10" s="96">
        <f t="shared" si="30"/>
        <v>0</v>
      </c>
      <c r="BD10" s="96">
        <f t="shared" si="30"/>
        <v>0</v>
      </c>
      <c r="BE10" s="96">
        <f t="shared" si="30"/>
        <v>0</v>
      </c>
      <c r="BF10" s="96">
        <f t="shared" si="30"/>
        <v>0</v>
      </c>
      <c r="BG10" s="96">
        <f t="shared" si="20"/>
        <v>250</v>
      </c>
      <c r="BH10" s="96"/>
      <c r="BI10" s="96">
        <f t="shared" ref="BI10:BI35" si="36">SUM(((AI10*0.9)*0.9))</f>
        <v>0</v>
      </c>
      <c r="BJ10" s="96">
        <f t="shared" si="31"/>
        <v>0</v>
      </c>
      <c r="BK10" s="96">
        <f t="shared" si="31"/>
        <v>0</v>
      </c>
      <c r="BL10" s="96">
        <f t="shared" si="31"/>
        <v>0</v>
      </c>
      <c r="BM10" s="96">
        <f t="shared" si="31"/>
        <v>0</v>
      </c>
      <c r="BN10" s="96">
        <f t="shared" si="31"/>
        <v>0</v>
      </c>
      <c r="BO10" s="96">
        <f t="shared" si="31"/>
        <v>4.4999999999999998E-2</v>
      </c>
      <c r="BP10" s="96">
        <f t="shared" si="31"/>
        <v>0</v>
      </c>
      <c r="BQ10" s="96">
        <f t="shared" si="31"/>
        <v>0</v>
      </c>
      <c r="BR10" s="96">
        <f t="shared" si="31"/>
        <v>0</v>
      </c>
      <c r="BS10" s="96">
        <f t="shared" si="31"/>
        <v>0</v>
      </c>
      <c r="BT10" s="96">
        <f t="shared" si="22"/>
        <v>225</v>
      </c>
      <c r="BU10" s="96"/>
      <c r="BV10" s="96">
        <f t="shared" ref="BV10:BV35" si="37">SUM(((AI10*0.9)*0.8))</f>
        <v>0</v>
      </c>
      <c r="BW10" s="96">
        <f t="shared" si="32"/>
        <v>0</v>
      </c>
      <c r="BX10" s="96">
        <f t="shared" si="32"/>
        <v>0</v>
      </c>
      <c r="BY10" s="96">
        <f t="shared" si="32"/>
        <v>0</v>
      </c>
      <c r="BZ10" s="96">
        <f t="shared" si="32"/>
        <v>0</v>
      </c>
      <c r="CA10" s="96">
        <f t="shared" si="32"/>
        <v>0</v>
      </c>
      <c r="CB10" s="96">
        <f t="shared" si="32"/>
        <v>0.04</v>
      </c>
      <c r="CC10" s="96">
        <f t="shared" si="32"/>
        <v>0</v>
      </c>
      <c r="CD10" s="96">
        <f t="shared" si="32"/>
        <v>0</v>
      </c>
      <c r="CE10" s="96">
        <f t="shared" si="32"/>
        <v>0</v>
      </c>
      <c r="CF10" s="96">
        <f t="shared" si="32"/>
        <v>0</v>
      </c>
      <c r="CG10" s="96">
        <f t="shared" si="24"/>
        <v>200</v>
      </c>
      <c r="CH10" s="96"/>
      <c r="CI10" s="96">
        <f t="shared" ref="CI10:CI35" si="38">SUM(((AI10*0.9)*0.7))</f>
        <v>0</v>
      </c>
      <c r="CJ10" s="96">
        <f t="shared" si="33"/>
        <v>0</v>
      </c>
      <c r="CK10" s="96">
        <f t="shared" si="33"/>
        <v>0</v>
      </c>
      <c r="CL10" s="96">
        <f t="shared" si="33"/>
        <v>0</v>
      </c>
      <c r="CM10" s="96">
        <f t="shared" si="33"/>
        <v>0</v>
      </c>
      <c r="CN10" s="96">
        <f t="shared" si="33"/>
        <v>0</v>
      </c>
      <c r="CO10" s="96">
        <f t="shared" si="33"/>
        <v>3.4999999999999996E-2</v>
      </c>
      <c r="CP10" s="96">
        <f t="shared" si="33"/>
        <v>0</v>
      </c>
      <c r="CQ10" s="96">
        <f t="shared" si="33"/>
        <v>0</v>
      </c>
      <c r="CR10" s="96">
        <f t="shared" si="33"/>
        <v>0</v>
      </c>
      <c r="CS10" s="96">
        <f t="shared" si="33"/>
        <v>0</v>
      </c>
      <c r="CT10" s="96">
        <f t="shared" si="26"/>
        <v>175</v>
      </c>
      <c r="CU10" s="96"/>
      <c r="CV10" s="96">
        <f t="shared" ref="CV10:CV35" si="39">SUM(((AI10*0.9)*0.6))</f>
        <v>0</v>
      </c>
      <c r="CW10" s="96">
        <f t="shared" si="34"/>
        <v>0</v>
      </c>
      <c r="CX10" s="96">
        <f t="shared" si="34"/>
        <v>0</v>
      </c>
      <c r="CY10" s="96">
        <f t="shared" si="34"/>
        <v>0</v>
      </c>
      <c r="CZ10" s="96">
        <f t="shared" si="34"/>
        <v>0</v>
      </c>
      <c r="DA10" s="96">
        <f t="shared" si="34"/>
        <v>0</v>
      </c>
      <c r="DB10" s="96">
        <f t="shared" si="34"/>
        <v>2.9999999999999995E-2</v>
      </c>
      <c r="DC10" s="96">
        <f t="shared" si="34"/>
        <v>0</v>
      </c>
      <c r="DD10" s="96">
        <f t="shared" si="34"/>
        <v>0</v>
      </c>
      <c r="DE10" s="96">
        <f t="shared" si="34"/>
        <v>0</v>
      </c>
      <c r="DF10" s="96">
        <f t="shared" si="34"/>
        <v>0</v>
      </c>
      <c r="DG10" s="96">
        <f t="shared" si="28"/>
        <v>150</v>
      </c>
      <c r="DH10" s="96"/>
      <c r="DI10" s="96" t="e">
        <f t="shared" si="29"/>
        <v>#VALUE!</v>
      </c>
      <c r="DJ10" s="96" t="e">
        <f t="shared" si="7"/>
        <v>#VALUE!</v>
      </c>
      <c r="DK10" s="96" t="e">
        <f t="shared" si="8"/>
        <v>#VALUE!</v>
      </c>
      <c r="DL10" s="96" t="e">
        <f t="shared" si="9"/>
        <v>#VALUE!</v>
      </c>
      <c r="DM10" s="96" t="e">
        <f t="shared" si="10"/>
        <v>#VALUE!</v>
      </c>
      <c r="DN10" s="96" t="e">
        <f t="shared" si="11"/>
        <v>#VALUE!</v>
      </c>
      <c r="DO10" s="96" t="e">
        <f t="shared" si="12"/>
        <v>#VALUE!</v>
      </c>
      <c r="DP10" s="96" t="e">
        <f t="shared" si="13"/>
        <v>#VALUE!</v>
      </c>
      <c r="DQ10" s="96" t="e">
        <f t="shared" si="14"/>
        <v>#VALUE!</v>
      </c>
      <c r="DR10" s="96" t="e">
        <f t="shared" si="15"/>
        <v>#VALUE!</v>
      </c>
      <c r="DS10" s="96" t="e">
        <f t="shared" si="16"/>
        <v>#VALUE!</v>
      </c>
      <c r="DT10" s="96" t="e">
        <f t="shared" si="17"/>
        <v>#VALUE!</v>
      </c>
      <c r="DW10" s="178"/>
      <c r="DX10" s="178"/>
    </row>
    <row r="11" spans="1:128" ht="16.5" customHeight="1">
      <c r="A11" s="1751">
        <v>107</v>
      </c>
      <c r="B11" s="2039"/>
      <c r="C11" s="176" t="s">
        <v>125</v>
      </c>
      <c r="D11" s="185"/>
      <c r="E11" s="185"/>
      <c r="F11" s="185"/>
      <c r="G11" s="199"/>
      <c r="H11" s="185"/>
      <c r="I11" s="185"/>
      <c r="J11" s="185">
        <f>IF((U11&lt;10),SUM((AB11+(ROUNDUP((U11*AO11),2)))),SUM((AB11+(ROUNDUP(((9*AO11)+DO11),2)))))</f>
        <v>0.5</v>
      </c>
      <c r="K11" s="185">
        <f>IF((U11&lt;10),SUM((AC11+(ROUNDUP((U11*AP11),2)))),SUM((AC11+(ROUNDUP(((9*AP11)+DP11),2)))))</f>
        <v>-1</v>
      </c>
      <c r="L11" s="185"/>
      <c r="M11" s="185"/>
      <c r="N11" s="382"/>
      <c r="O11" s="395">
        <f t="shared" si="0"/>
        <v>2500</v>
      </c>
      <c r="P11" s="395"/>
      <c r="Q11" s="395"/>
      <c r="R11" s="374"/>
      <c r="S11" s="190"/>
      <c r="T11" s="96">
        <v>6</v>
      </c>
      <c r="U11" s="96">
        <f t="shared" si="18"/>
        <v>0</v>
      </c>
      <c r="V11" s="58"/>
      <c r="W11" s="58"/>
      <c r="X11" s="58"/>
      <c r="Y11" s="58"/>
      <c r="Z11" s="58"/>
      <c r="AA11" s="58"/>
      <c r="AB11" s="58">
        <v>0.5</v>
      </c>
      <c r="AC11" s="58">
        <v>-1</v>
      </c>
      <c r="AD11" s="58"/>
      <c r="AE11" s="58"/>
      <c r="AF11" s="58"/>
      <c r="AG11" s="58">
        <v>2500</v>
      </c>
      <c r="AI11" s="96"/>
      <c r="AJ11" s="96"/>
      <c r="AK11" s="96"/>
      <c r="AL11" s="96"/>
      <c r="AM11" s="96"/>
      <c r="AN11" s="96"/>
      <c r="AO11" s="96">
        <f>SUM((AB11/9))</f>
        <v>5.5555555555555552E-2</v>
      </c>
      <c r="AP11" s="96">
        <f>SUM((AC11/9))</f>
        <v>-0.1111111111111111</v>
      </c>
      <c r="AQ11" s="96"/>
      <c r="AR11" s="96"/>
      <c r="AS11" s="96"/>
      <c r="AT11" s="96">
        <f t="shared" si="1"/>
        <v>277.77777777777777</v>
      </c>
      <c r="AU11" s="96"/>
      <c r="AV11" s="96">
        <f t="shared" si="35"/>
        <v>0</v>
      </c>
      <c r="AW11" s="96">
        <f t="shared" si="30"/>
        <v>0</v>
      </c>
      <c r="AX11" s="96">
        <f t="shared" si="30"/>
        <v>0</v>
      </c>
      <c r="AY11" s="96">
        <f t="shared" si="30"/>
        <v>0</v>
      </c>
      <c r="AZ11" s="96">
        <f t="shared" si="30"/>
        <v>0</v>
      </c>
      <c r="BA11" s="96">
        <f t="shared" si="30"/>
        <v>0</v>
      </c>
      <c r="BB11" s="96">
        <f t="shared" si="30"/>
        <v>4.9999999999999996E-2</v>
      </c>
      <c r="BC11" s="96">
        <f t="shared" si="30"/>
        <v>-9.9999999999999992E-2</v>
      </c>
      <c r="BD11" s="96">
        <f t="shared" si="30"/>
        <v>0</v>
      </c>
      <c r="BE11" s="96">
        <f t="shared" si="30"/>
        <v>0</v>
      </c>
      <c r="BF11" s="96">
        <f t="shared" si="30"/>
        <v>0</v>
      </c>
      <c r="BG11" s="96">
        <f t="shared" si="20"/>
        <v>250</v>
      </c>
      <c r="BH11" s="96"/>
      <c r="BI11" s="96">
        <f t="shared" si="36"/>
        <v>0</v>
      </c>
      <c r="BJ11" s="96">
        <f t="shared" si="31"/>
        <v>0</v>
      </c>
      <c r="BK11" s="96">
        <f t="shared" si="31"/>
        <v>0</v>
      </c>
      <c r="BL11" s="96">
        <f t="shared" si="31"/>
        <v>0</v>
      </c>
      <c r="BM11" s="96">
        <f t="shared" si="31"/>
        <v>0</v>
      </c>
      <c r="BN11" s="96">
        <f t="shared" si="31"/>
        <v>0</v>
      </c>
      <c r="BO11" s="96">
        <f t="shared" si="31"/>
        <v>4.4999999999999998E-2</v>
      </c>
      <c r="BP11" s="96">
        <f t="shared" si="31"/>
        <v>-0.09</v>
      </c>
      <c r="BQ11" s="96">
        <f t="shared" si="31"/>
        <v>0</v>
      </c>
      <c r="BR11" s="96">
        <f t="shared" si="31"/>
        <v>0</v>
      </c>
      <c r="BS11" s="96">
        <f t="shared" si="31"/>
        <v>0</v>
      </c>
      <c r="BT11" s="96">
        <f t="shared" si="22"/>
        <v>225</v>
      </c>
      <c r="BU11" s="96"/>
      <c r="BV11" s="96">
        <f t="shared" si="37"/>
        <v>0</v>
      </c>
      <c r="BW11" s="96">
        <f t="shared" si="32"/>
        <v>0</v>
      </c>
      <c r="BX11" s="96">
        <f t="shared" si="32"/>
        <v>0</v>
      </c>
      <c r="BY11" s="96">
        <f t="shared" si="32"/>
        <v>0</v>
      </c>
      <c r="BZ11" s="96">
        <f t="shared" si="32"/>
        <v>0</v>
      </c>
      <c r="CA11" s="96">
        <f t="shared" si="32"/>
        <v>0</v>
      </c>
      <c r="CB11" s="96">
        <f t="shared" si="32"/>
        <v>0.04</v>
      </c>
      <c r="CC11" s="96">
        <f t="shared" si="32"/>
        <v>-0.08</v>
      </c>
      <c r="CD11" s="96">
        <f t="shared" si="32"/>
        <v>0</v>
      </c>
      <c r="CE11" s="96">
        <f t="shared" si="32"/>
        <v>0</v>
      </c>
      <c r="CF11" s="96">
        <f t="shared" si="32"/>
        <v>0</v>
      </c>
      <c r="CG11" s="96">
        <f t="shared" si="24"/>
        <v>200</v>
      </c>
      <c r="CH11" s="96"/>
      <c r="CI11" s="96">
        <f t="shared" si="38"/>
        <v>0</v>
      </c>
      <c r="CJ11" s="96">
        <f t="shared" si="33"/>
        <v>0</v>
      </c>
      <c r="CK11" s="96">
        <f t="shared" si="33"/>
        <v>0</v>
      </c>
      <c r="CL11" s="96">
        <f t="shared" si="33"/>
        <v>0</v>
      </c>
      <c r="CM11" s="96">
        <f t="shared" si="33"/>
        <v>0</v>
      </c>
      <c r="CN11" s="96">
        <f t="shared" si="33"/>
        <v>0</v>
      </c>
      <c r="CO11" s="96">
        <f t="shared" si="33"/>
        <v>3.4999999999999996E-2</v>
      </c>
      <c r="CP11" s="96">
        <f t="shared" si="33"/>
        <v>-6.9999999999999993E-2</v>
      </c>
      <c r="CQ11" s="96">
        <f t="shared" si="33"/>
        <v>0</v>
      </c>
      <c r="CR11" s="96">
        <f t="shared" si="33"/>
        <v>0</v>
      </c>
      <c r="CS11" s="96">
        <f t="shared" si="33"/>
        <v>0</v>
      </c>
      <c r="CT11" s="96">
        <f t="shared" si="26"/>
        <v>175</v>
      </c>
      <c r="CU11" s="96"/>
      <c r="CV11" s="96">
        <f t="shared" si="39"/>
        <v>0</v>
      </c>
      <c r="CW11" s="96">
        <f t="shared" si="34"/>
        <v>0</v>
      </c>
      <c r="CX11" s="96">
        <f t="shared" si="34"/>
        <v>0</v>
      </c>
      <c r="CY11" s="96">
        <f t="shared" si="34"/>
        <v>0</v>
      </c>
      <c r="CZ11" s="96">
        <f t="shared" si="34"/>
        <v>0</v>
      </c>
      <c r="DA11" s="96">
        <f t="shared" si="34"/>
        <v>0</v>
      </c>
      <c r="DB11" s="96">
        <f t="shared" si="34"/>
        <v>2.9999999999999995E-2</v>
      </c>
      <c r="DC11" s="96">
        <f t="shared" si="34"/>
        <v>-5.9999999999999991E-2</v>
      </c>
      <c r="DD11" s="96">
        <f t="shared" si="34"/>
        <v>0</v>
      </c>
      <c r="DE11" s="96">
        <f t="shared" si="34"/>
        <v>0</v>
      </c>
      <c r="DF11" s="96">
        <f t="shared" si="34"/>
        <v>0</v>
      </c>
      <c r="DG11" s="96">
        <f t="shared" si="28"/>
        <v>150</v>
      </c>
      <c r="DH11" s="96"/>
      <c r="DI11" s="96" t="e">
        <f t="shared" si="29"/>
        <v>#VALUE!</v>
      </c>
      <c r="DJ11" s="96" t="e">
        <f t="shared" si="7"/>
        <v>#VALUE!</v>
      </c>
      <c r="DK11" s="96" t="e">
        <f t="shared" si="8"/>
        <v>#VALUE!</v>
      </c>
      <c r="DL11" s="96" t="e">
        <f t="shared" si="9"/>
        <v>#VALUE!</v>
      </c>
      <c r="DM11" s="96" t="e">
        <f t="shared" si="10"/>
        <v>#VALUE!</v>
      </c>
      <c r="DN11" s="96" t="e">
        <f t="shared" si="11"/>
        <v>#VALUE!</v>
      </c>
      <c r="DO11" s="96" t="e">
        <f t="shared" si="12"/>
        <v>#VALUE!</v>
      </c>
      <c r="DP11" s="96" t="e">
        <f t="shared" si="13"/>
        <v>#VALUE!</v>
      </c>
      <c r="DQ11" s="96" t="e">
        <f t="shared" si="14"/>
        <v>#VALUE!</v>
      </c>
      <c r="DR11" s="96" t="e">
        <f t="shared" si="15"/>
        <v>#VALUE!</v>
      </c>
      <c r="DS11" s="96" t="e">
        <f t="shared" si="16"/>
        <v>#VALUE!</v>
      </c>
      <c r="DT11" s="96" t="e">
        <f t="shared" si="17"/>
        <v>#VALUE!</v>
      </c>
      <c r="DW11" s="178"/>
      <c r="DX11" s="178"/>
    </row>
    <row r="12" spans="1:128" ht="16.5" customHeight="1">
      <c r="A12" s="1750">
        <v>108</v>
      </c>
      <c r="B12" s="2039"/>
      <c r="C12" s="177" t="s">
        <v>126</v>
      </c>
      <c r="D12" s="184"/>
      <c r="E12" s="184"/>
      <c r="F12" s="184"/>
      <c r="G12" s="195"/>
      <c r="H12" s="184"/>
      <c r="I12" s="184"/>
      <c r="J12" s="184"/>
      <c r="K12" s="184">
        <f>IF((U12&lt;10),SUM((AC12+(ROUNDUP((U12*AP12),2)))),SUM((AC12+(ROUNDUP(((9*AP12)+DP12),2)))))</f>
        <v>-1</v>
      </c>
      <c r="L12" s="184"/>
      <c r="M12" s="184"/>
      <c r="N12" s="383"/>
      <c r="O12" s="394">
        <f t="shared" si="0"/>
        <v>2500</v>
      </c>
      <c r="P12" s="394"/>
      <c r="Q12" s="394"/>
      <c r="R12" s="374"/>
      <c r="S12" s="190"/>
      <c r="T12" s="96">
        <v>7</v>
      </c>
      <c r="U12" s="96">
        <f t="shared" si="18"/>
        <v>0</v>
      </c>
      <c r="V12" s="58"/>
      <c r="W12" s="58"/>
      <c r="X12" s="58"/>
      <c r="Y12" s="58"/>
      <c r="Z12" s="58"/>
      <c r="AA12" s="58"/>
      <c r="AB12" s="58"/>
      <c r="AC12" s="58">
        <v>-1</v>
      </c>
      <c r="AD12" s="58"/>
      <c r="AE12" s="58"/>
      <c r="AF12" s="58"/>
      <c r="AG12" s="58">
        <v>2500</v>
      </c>
      <c r="AH12" s="96"/>
      <c r="AI12" s="96"/>
      <c r="AJ12" s="96"/>
      <c r="AK12" s="96"/>
      <c r="AL12" s="96"/>
      <c r="AM12" s="96"/>
      <c r="AN12" s="96"/>
      <c r="AO12" s="96"/>
      <c r="AP12" s="96">
        <f>SUM((AC12/9))</f>
        <v>-0.1111111111111111</v>
      </c>
      <c r="AQ12" s="96"/>
      <c r="AR12" s="96"/>
      <c r="AS12" s="96"/>
      <c r="AT12" s="96">
        <f t="shared" si="1"/>
        <v>277.77777777777777</v>
      </c>
      <c r="AU12" s="96"/>
      <c r="AV12" s="96">
        <f t="shared" si="35"/>
        <v>0</v>
      </c>
      <c r="AW12" s="96">
        <f t="shared" si="30"/>
        <v>0</v>
      </c>
      <c r="AX12" s="96">
        <f t="shared" si="30"/>
        <v>0</v>
      </c>
      <c r="AY12" s="96">
        <f t="shared" si="30"/>
        <v>0</v>
      </c>
      <c r="AZ12" s="96">
        <f t="shared" si="30"/>
        <v>0</v>
      </c>
      <c r="BA12" s="96">
        <f t="shared" si="30"/>
        <v>0</v>
      </c>
      <c r="BB12" s="96">
        <f t="shared" si="30"/>
        <v>0</v>
      </c>
      <c r="BC12" s="96">
        <f t="shared" si="30"/>
        <v>-9.9999999999999992E-2</v>
      </c>
      <c r="BD12" s="96">
        <f t="shared" si="30"/>
        <v>0</v>
      </c>
      <c r="BE12" s="96">
        <f t="shared" si="30"/>
        <v>0</v>
      </c>
      <c r="BF12" s="96">
        <f t="shared" si="30"/>
        <v>0</v>
      </c>
      <c r="BG12" s="96">
        <f t="shared" si="20"/>
        <v>250</v>
      </c>
      <c r="BH12" s="96"/>
      <c r="BI12" s="96">
        <f t="shared" si="36"/>
        <v>0</v>
      </c>
      <c r="BJ12" s="96">
        <f t="shared" si="31"/>
        <v>0</v>
      </c>
      <c r="BK12" s="96">
        <f t="shared" si="31"/>
        <v>0</v>
      </c>
      <c r="BL12" s="96">
        <f t="shared" si="31"/>
        <v>0</v>
      </c>
      <c r="BM12" s="96">
        <f t="shared" si="31"/>
        <v>0</v>
      </c>
      <c r="BN12" s="96">
        <f t="shared" si="31"/>
        <v>0</v>
      </c>
      <c r="BO12" s="96">
        <f t="shared" si="31"/>
        <v>0</v>
      </c>
      <c r="BP12" s="96">
        <f t="shared" si="31"/>
        <v>-0.09</v>
      </c>
      <c r="BQ12" s="96">
        <f t="shared" si="31"/>
        <v>0</v>
      </c>
      <c r="BR12" s="96">
        <f t="shared" si="31"/>
        <v>0</v>
      </c>
      <c r="BS12" s="96">
        <f t="shared" si="31"/>
        <v>0</v>
      </c>
      <c r="BT12" s="96">
        <f t="shared" si="22"/>
        <v>225</v>
      </c>
      <c r="BU12" s="96"/>
      <c r="BV12" s="96">
        <f t="shared" si="37"/>
        <v>0</v>
      </c>
      <c r="BW12" s="96">
        <f t="shared" si="32"/>
        <v>0</v>
      </c>
      <c r="BX12" s="96">
        <f t="shared" si="32"/>
        <v>0</v>
      </c>
      <c r="BY12" s="96">
        <f t="shared" si="32"/>
        <v>0</v>
      </c>
      <c r="BZ12" s="96">
        <f t="shared" si="32"/>
        <v>0</v>
      </c>
      <c r="CA12" s="96">
        <f t="shared" si="32"/>
        <v>0</v>
      </c>
      <c r="CB12" s="96">
        <f t="shared" si="32"/>
        <v>0</v>
      </c>
      <c r="CC12" s="96">
        <f t="shared" si="32"/>
        <v>-0.08</v>
      </c>
      <c r="CD12" s="96">
        <f t="shared" si="32"/>
        <v>0</v>
      </c>
      <c r="CE12" s="96">
        <f t="shared" si="32"/>
        <v>0</v>
      </c>
      <c r="CF12" s="96">
        <f t="shared" si="32"/>
        <v>0</v>
      </c>
      <c r="CG12" s="96">
        <f t="shared" si="24"/>
        <v>200</v>
      </c>
      <c r="CH12" s="96"/>
      <c r="CI12" s="96">
        <f t="shared" si="38"/>
        <v>0</v>
      </c>
      <c r="CJ12" s="96">
        <f t="shared" si="33"/>
        <v>0</v>
      </c>
      <c r="CK12" s="96">
        <f t="shared" si="33"/>
        <v>0</v>
      </c>
      <c r="CL12" s="96">
        <f t="shared" si="33"/>
        <v>0</v>
      </c>
      <c r="CM12" s="96">
        <f t="shared" si="33"/>
        <v>0</v>
      </c>
      <c r="CN12" s="96">
        <f t="shared" si="33"/>
        <v>0</v>
      </c>
      <c r="CO12" s="96">
        <f t="shared" si="33"/>
        <v>0</v>
      </c>
      <c r="CP12" s="96">
        <f t="shared" si="33"/>
        <v>-6.9999999999999993E-2</v>
      </c>
      <c r="CQ12" s="96">
        <f t="shared" si="33"/>
        <v>0</v>
      </c>
      <c r="CR12" s="96">
        <f t="shared" si="33"/>
        <v>0</v>
      </c>
      <c r="CS12" s="96">
        <f t="shared" si="33"/>
        <v>0</v>
      </c>
      <c r="CT12" s="96">
        <f t="shared" si="26"/>
        <v>175</v>
      </c>
      <c r="CU12" s="96"/>
      <c r="CV12" s="96">
        <f t="shared" si="39"/>
        <v>0</v>
      </c>
      <c r="CW12" s="96">
        <f t="shared" si="34"/>
        <v>0</v>
      </c>
      <c r="CX12" s="96">
        <f t="shared" si="34"/>
        <v>0</v>
      </c>
      <c r="CY12" s="96">
        <f t="shared" si="34"/>
        <v>0</v>
      </c>
      <c r="CZ12" s="96">
        <f t="shared" si="34"/>
        <v>0</v>
      </c>
      <c r="DA12" s="96">
        <f t="shared" si="34"/>
        <v>0</v>
      </c>
      <c r="DB12" s="96">
        <f t="shared" si="34"/>
        <v>0</v>
      </c>
      <c r="DC12" s="96">
        <f t="shared" si="34"/>
        <v>-5.9999999999999991E-2</v>
      </c>
      <c r="DD12" s="96">
        <f t="shared" si="34"/>
        <v>0</v>
      </c>
      <c r="DE12" s="96">
        <f t="shared" si="34"/>
        <v>0</v>
      </c>
      <c r="DF12" s="96">
        <f t="shared" si="34"/>
        <v>0</v>
      </c>
      <c r="DG12" s="96">
        <f t="shared" si="28"/>
        <v>150</v>
      </c>
      <c r="DH12" s="96"/>
      <c r="DI12" s="96" t="e">
        <f t="shared" si="29"/>
        <v>#VALUE!</v>
      </c>
      <c r="DJ12" s="96" t="e">
        <f t="shared" si="7"/>
        <v>#VALUE!</v>
      </c>
      <c r="DK12" s="96" t="e">
        <f t="shared" si="8"/>
        <v>#VALUE!</v>
      </c>
      <c r="DL12" s="96" t="e">
        <f t="shared" si="9"/>
        <v>#VALUE!</v>
      </c>
      <c r="DM12" s="96" t="e">
        <f t="shared" si="10"/>
        <v>#VALUE!</v>
      </c>
      <c r="DN12" s="96" t="e">
        <f t="shared" si="11"/>
        <v>#VALUE!</v>
      </c>
      <c r="DO12" s="96" t="e">
        <f t="shared" si="12"/>
        <v>#VALUE!</v>
      </c>
      <c r="DP12" s="96" t="e">
        <f t="shared" si="13"/>
        <v>#VALUE!</v>
      </c>
      <c r="DQ12" s="96" t="e">
        <f t="shared" si="14"/>
        <v>#VALUE!</v>
      </c>
      <c r="DR12" s="96" t="e">
        <f t="shared" si="15"/>
        <v>#VALUE!</v>
      </c>
      <c r="DS12" s="96" t="e">
        <f t="shared" si="16"/>
        <v>#VALUE!</v>
      </c>
      <c r="DT12" s="96" t="e">
        <f t="shared" si="17"/>
        <v>#VALUE!</v>
      </c>
      <c r="DW12" s="178"/>
      <c r="DX12" s="178"/>
    </row>
    <row r="13" spans="1:128" ht="16.5" customHeight="1" thickBot="1">
      <c r="A13" s="1751">
        <v>109</v>
      </c>
      <c r="B13" s="2040"/>
      <c r="C13" s="205" t="s">
        <v>127</v>
      </c>
      <c r="D13" s="214"/>
      <c r="E13" s="214"/>
      <c r="F13" s="214"/>
      <c r="G13" s="215"/>
      <c r="H13" s="214"/>
      <c r="I13" s="214"/>
      <c r="J13" s="214"/>
      <c r="K13" s="214"/>
      <c r="L13" s="214">
        <f>IF((U13&lt;10),SUM((AD13+(ROUNDUP((U13*AQ13),2)))),SUM((AD13+(ROUNDUP(((9*AQ13)+DQ13),2)))))</f>
        <v>10</v>
      </c>
      <c r="M13" s="214">
        <f>IF((U13&lt;10),SUM((AE13+(ROUNDUP((U13*AR13),2)))),SUM((AE13+(ROUNDUP(((9*AR13)+DR13),2)))))</f>
        <v>30</v>
      </c>
      <c r="N13" s="384">
        <f>IF((U13&lt;10),SUM((AF13+(ROUNDUP((U13*AS13),2)))),SUM((AF13+(ROUNDUP(((9*AS13)+DS13),2)))))</f>
        <v>25</v>
      </c>
      <c r="O13" s="395">
        <f t="shared" si="0"/>
        <v>2500</v>
      </c>
      <c r="P13" s="395"/>
      <c r="Q13" s="395"/>
      <c r="R13" s="374"/>
      <c r="S13" s="190"/>
      <c r="T13" s="96">
        <v>8</v>
      </c>
      <c r="U13" s="96">
        <f t="shared" si="18"/>
        <v>0</v>
      </c>
      <c r="V13" s="58"/>
      <c r="W13" s="58"/>
      <c r="X13" s="58"/>
      <c r="Y13" s="58"/>
      <c r="Z13" s="58"/>
      <c r="AA13" s="58"/>
      <c r="AB13" s="58"/>
      <c r="AC13" s="58"/>
      <c r="AD13" s="58">
        <v>10</v>
      </c>
      <c r="AE13" s="58">
        <v>30</v>
      </c>
      <c r="AF13" s="58">
        <v>25</v>
      </c>
      <c r="AG13" s="58">
        <v>2500</v>
      </c>
      <c r="AH13" s="96"/>
      <c r="AI13" s="96"/>
      <c r="AJ13" s="96"/>
      <c r="AK13" s="96"/>
      <c r="AL13" s="96"/>
      <c r="AM13" s="96"/>
      <c r="AN13" s="96"/>
      <c r="AO13" s="96"/>
      <c r="AP13" s="96"/>
      <c r="AQ13" s="96">
        <f>SUM((AD13/9))</f>
        <v>1.1111111111111112</v>
      </c>
      <c r="AR13" s="96"/>
      <c r="AS13" s="96"/>
      <c r="AT13" s="96">
        <f t="shared" si="1"/>
        <v>277.77777777777777</v>
      </c>
      <c r="AU13" s="96"/>
      <c r="AV13" s="96">
        <f t="shared" si="35"/>
        <v>0</v>
      </c>
      <c r="AW13" s="96">
        <f t="shared" si="30"/>
        <v>0</v>
      </c>
      <c r="AX13" s="96">
        <f t="shared" si="30"/>
        <v>0</v>
      </c>
      <c r="AY13" s="96">
        <f t="shared" si="30"/>
        <v>0</v>
      </c>
      <c r="AZ13" s="96">
        <f t="shared" si="30"/>
        <v>0</v>
      </c>
      <c r="BA13" s="96">
        <f t="shared" si="30"/>
        <v>0</v>
      </c>
      <c r="BB13" s="96">
        <f t="shared" si="30"/>
        <v>0</v>
      </c>
      <c r="BC13" s="96">
        <f t="shared" si="30"/>
        <v>0</v>
      </c>
      <c r="BD13" s="96">
        <f t="shared" si="30"/>
        <v>1</v>
      </c>
      <c r="BE13" s="96">
        <f t="shared" si="30"/>
        <v>0</v>
      </c>
      <c r="BF13" s="96">
        <f t="shared" si="30"/>
        <v>0</v>
      </c>
      <c r="BG13" s="96">
        <f t="shared" si="20"/>
        <v>250</v>
      </c>
      <c r="BH13" s="96"/>
      <c r="BI13" s="96">
        <f t="shared" si="36"/>
        <v>0</v>
      </c>
      <c r="BJ13" s="96">
        <f t="shared" si="31"/>
        <v>0</v>
      </c>
      <c r="BK13" s="96">
        <f t="shared" si="31"/>
        <v>0</v>
      </c>
      <c r="BL13" s="96">
        <f t="shared" si="31"/>
        <v>0</v>
      </c>
      <c r="BM13" s="96">
        <f t="shared" si="31"/>
        <v>0</v>
      </c>
      <c r="BN13" s="96">
        <f t="shared" si="31"/>
        <v>0</v>
      </c>
      <c r="BO13" s="96">
        <f t="shared" si="31"/>
        <v>0</v>
      </c>
      <c r="BP13" s="96">
        <f t="shared" si="31"/>
        <v>0</v>
      </c>
      <c r="BQ13" s="96">
        <f t="shared" si="31"/>
        <v>0.9</v>
      </c>
      <c r="BR13" s="96">
        <f t="shared" si="31"/>
        <v>0</v>
      </c>
      <c r="BS13" s="96">
        <f t="shared" si="31"/>
        <v>0</v>
      </c>
      <c r="BT13" s="96">
        <f t="shared" si="22"/>
        <v>225</v>
      </c>
      <c r="BU13" s="96"/>
      <c r="BV13" s="96">
        <f t="shared" si="37"/>
        <v>0</v>
      </c>
      <c r="BW13" s="96">
        <f t="shared" si="32"/>
        <v>0</v>
      </c>
      <c r="BX13" s="96">
        <f t="shared" si="32"/>
        <v>0</v>
      </c>
      <c r="BY13" s="96">
        <f t="shared" si="32"/>
        <v>0</v>
      </c>
      <c r="BZ13" s="96">
        <f t="shared" si="32"/>
        <v>0</v>
      </c>
      <c r="CA13" s="96">
        <f t="shared" si="32"/>
        <v>0</v>
      </c>
      <c r="CB13" s="96">
        <f t="shared" si="32"/>
        <v>0</v>
      </c>
      <c r="CC13" s="96">
        <f t="shared" si="32"/>
        <v>0</v>
      </c>
      <c r="CD13" s="96">
        <f t="shared" si="32"/>
        <v>0.8</v>
      </c>
      <c r="CE13" s="96">
        <f t="shared" si="32"/>
        <v>0</v>
      </c>
      <c r="CF13" s="96">
        <f t="shared" si="32"/>
        <v>0</v>
      </c>
      <c r="CG13" s="96">
        <f t="shared" si="24"/>
        <v>200</v>
      </c>
      <c r="CH13" s="96"/>
      <c r="CI13" s="96">
        <f t="shared" si="38"/>
        <v>0</v>
      </c>
      <c r="CJ13" s="96">
        <f t="shared" si="33"/>
        <v>0</v>
      </c>
      <c r="CK13" s="96">
        <f t="shared" si="33"/>
        <v>0</v>
      </c>
      <c r="CL13" s="96">
        <f t="shared" si="33"/>
        <v>0</v>
      </c>
      <c r="CM13" s="96">
        <f t="shared" si="33"/>
        <v>0</v>
      </c>
      <c r="CN13" s="96">
        <f t="shared" si="33"/>
        <v>0</v>
      </c>
      <c r="CO13" s="96">
        <f t="shared" si="33"/>
        <v>0</v>
      </c>
      <c r="CP13" s="96">
        <f t="shared" si="33"/>
        <v>0</v>
      </c>
      <c r="CQ13" s="96">
        <f t="shared" si="33"/>
        <v>0.7</v>
      </c>
      <c r="CR13" s="96">
        <f t="shared" si="33"/>
        <v>0</v>
      </c>
      <c r="CS13" s="96">
        <f t="shared" si="33"/>
        <v>0</v>
      </c>
      <c r="CT13" s="96">
        <f t="shared" si="26"/>
        <v>175</v>
      </c>
      <c r="CU13" s="96"/>
      <c r="CV13" s="96">
        <f t="shared" si="39"/>
        <v>0</v>
      </c>
      <c r="CW13" s="96">
        <f t="shared" si="34"/>
        <v>0</v>
      </c>
      <c r="CX13" s="96">
        <f t="shared" si="34"/>
        <v>0</v>
      </c>
      <c r="CY13" s="96">
        <f t="shared" si="34"/>
        <v>0</v>
      </c>
      <c r="CZ13" s="96">
        <f t="shared" si="34"/>
        <v>0</v>
      </c>
      <c r="DA13" s="96">
        <f t="shared" si="34"/>
        <v>0</v>
      </c>
      <c r="DB13" s="96">
        <f t="shared" si="34"/>
        <v>0</v>
      </c>
      <c r="DC13" s="96">
        <f t="shared" si="34"/>
        <v>0</v>
      </c>
      <c r="DD13" s="96">
        <f t="shared" si="34"/>
        <v>0.6</v>
      </c>
      <c r="DE13" s="96">
        <f t="shared" si="34"/>
        <v>0</v>
      </c>
      <c r="DF13" s="96">
        <f t="shared" si="34"/>
        <v>0</v>
      </c>
      <c r="DG13" s="96">
        <f t="shared" si="28"/>
        <v>150</v>
      </c>
      <c r="DH13" s="96"/>
      <c r="DI13" s="96" t="e">
        <f t="shared" si="29"/>
        <v>#VALUE!</v>
      </c>
      <c r="DJ13" s="96" t="e">
        <f t="shared" si="7"/>
        <v>#VALUE!</v>
      </c>
      <c r="DK13" s="96" t="e">
        <f t="shared" si="8"/>
        <v>#VALUE!</v>
      </c>
      <c r="DL13" s="96" t="e">
        <f t="shared" si="9"/>
        <v>#VALUE!</v>
      </c>
      <c r="DM13" s="96" t="e">
        <f t="shared" si="10"/>
        <v>#VALUE!</v>
      </c>
      <c r="DN13" s="96" t="e">
        <f t="shared" si="11"/>
        <v>#VALUE!</v>
      </c>
      <c r="DO13" s="96" t="e">
        <f t="shared" si="12"/>
        <v>#VALUE!</v>
      </c>
      <c r="DP13" s="96" t="e">
        <f t="shared" si="13"/>
        <v>#VALUE!</v>
      </c>
      <c r="DQ13" s="96" t="e">
        <f t="shared" si="14"/>
        <v>#VALUE!</v>
      </c>
      <c r="DR13" s="96" t="e">
        <f t="shared" si="15"/>
        <v>#VALUE!</v>
      </c>
      <c r="DS13" s="96" t="e">
        <f t="shared" si="16"/>
        <v>#VALUE!</v>
      </c>
      <c r="DT13" s="96" t="e">
        <f t="shared" si="17"/>
        <v>#VALUE!</v>
      </c>
      <c r="DW13" s="178"/>
      <c r="DX13" s="178"/>
    </row>
    <row r="14" spans="1:128" s="338" customFormat="1" ht="16.5" customHeight="1" thickBot="1">
      <c r="A14" s="1751">
        <v>201</v>
      </c>
      <c r="B14" s="350"/>
      <c r="C14" s="351"/>
      <c r="D14" s="352"/>
      <c r="E14" s="352"/>
      <c r="F14" s="352"/>
      <c r="G14" s="353"/>
      <c r="H14" s="352"/>
      <c r="I14" s="352"/>
      <c r="J14" s="352"/>
      <c r="K14" s="352"/>
      <c r="L14" s="352"/>
      <c r="M14" s="352"/>
      <c r="N14" s="370"/>
      <c r="O14" s="396"/>
      <c r="P14" s="396"/>
      <c r="Q14" s="396"/>
      <c r="R14" s="374"/>
      <c r="S14" s="376"/>
      <c r="T14" s="354"/>
      <c r="U14" s="354"/>
      <c r="V14" s="355"/>
      <c r="W14" s="355"/>
      <c r="X14" s="355"/>
      <c r="Y14" s="355"/>
      <c r="Z14" s="355"/>
      <c r="AA14" s="355"/>
      <c r="AB14" s="355"/>
      <c r="AC14" s="355"/>
      <c r="AD14" s="355"/>
      <c r="AE14" s="355"/>
      <c r="AF14" s="355"/>
      <c r="AG14" s="355"/>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4"/>
      <c r="BT14" s="354"/>
      <c r="BU14" s="354"/>
      <c r="BV14" s="354"/>
      <c r="BW14" s="354"/>
      <c r="BX14" s="354"/>
      <c r="BY14" s="354"/>
      <c r="BZ14" s="354"/>
      <c r="CA14" s="354"/>
      <c r="CB14" s="354"/>
      <c r="CC14" s="354"/>
      <c r="CD14" s="354"/>
      <c r="CE14" s="354"/>
      <c r="CF14" s="354"/>
      <c r="CG14" s="354"/>
      <c r="CH14" s="354"/>
      <c r="CI14" s="354"/>
      <c r="CJ14" s="354"/>
      <c r="CK14" s="354"/>
      <c r="CL14" s="354"/>
      <c r="CM14" s="354"/>
      <c r="CN14" s="354"/>
      <c r="CO14" s="354"/>
      <c r="CP14" s="354"/>
      <c r="CQ14" s="354"/>
      <c r="CR14" s="354"/>
      <c r="CS14" s="354"/>
      <c r="CT14" s="354"/>
      <c r="CU14" s="354"/>
      <c r="CV14" s="354"/>
      <c r="CW14" s="354"/>
      <c r="CX14" s="354"/>
      <c r="CY14" s="354"/>
      <c r="CZ14" s="354"/>
      <c r="DA14" s="354"/>
      <c r="DB14" s="354"/>
      <c r="DC14" s="354"/>
      <c r="DD14" s="354"/>
      <c r="DE14" s="354"/>
      <c r="DF14" s="354"/>
      <c r="DG14" s="354"/>
      <c r="DH14" s="354"/>
      <c r="DI14" s="354"/>
      <c r="DJ14" s="354"/>
      <c r="DK14" s="354"/>
      <c r="DL14" s="354"/>
      <c r="DM14" s="354"/>
      <c r="DN14" s="354"/>
      <c r="DO14" s="354"/>
      <c r="DP14" s="354"/>
      <c r="DQ14" s="354"/>
      <c r="DR14" s="354"/>
      <c r="DS14" s="354"/>
      <c r="DT14" s="354"/>
      <c r="DU14" s="356"/>
      <c r="DV14" s="356"/>
      <c r="DW14" s="425"/>
      <c r="DX14" s="425"/>
    </row>
    <row r="15" spans="1:128" ht="16.5" customHeight="1">
      <c r="A15" s="1750">
        <v>202</v>
      </c>
      <c r="B15" s="2041" t="s">
        <v>94</v>
      </c>
      <c r="C15" s="206" t="s">
        <v>128</v>
      </c>
      <c r="D15" s="216">
        <f>IF((U15&lt;10),SUM((V15+(ROUNDUP((U15*AI15),2)))),SUM((V15+(ROUNDUP(((9*AI15)+DI15),2)))))</f>
        <v>1</v>
      </c>
      <c r="E15" s="216">
        <f>IF((U15&lt;10),SUM((W15+(ROUNDUP((U15*AJ15),2)))),SUM((W15+(ROUNDUP(((9*AJ15)+DJ15),2)))))</f>
        <v>1</v>
      </c>
      <c r="F15" s="216"/>
      <c r="G15" s="217"/>
      <c r="H15" s="216"/>
      <c r="I15" s="216"/>
      <c r="J15" s="216"/>
      <c r="K15" s="216"/>
      <c r="L15" s="216"/>
      <c r="M15" s="216"/>
      <c r="N15" s="385"/>
      <c r="O15" s="397">
        <f t="shared" si="0"/>
        <v>7500</v>
      </c>
      <c r="P15" s="397"/>
      <c r="Q15" s="397"/>
      <c r="R15" s="374"/>
      <c r="S15" s="190"/>
      <c r="T15" s="96">
        <v>9</v>
      </c>
      <c r="U15" s="96">
        <f>U13</f>
        <v>0</v>
      </c>
      <c r="V15" s="58">
        <v>1</v>
      </c>
      <c r="W15" s="58">
        <v>1</v>
      </c>
      <c r="X15" s="58"/>
      <c r="Y15" s="58"/>
      <c r="Z15" s="58"/>
      <c r="AA15" s="58"/>
      <c r="AB15" s="58"/>
      <c r="AC15" s="58"/>
      <c r="AD15" s="58"/>
      <c r="AE15" s="58"/>
      <c r="AF15" s="58"/>
      <c r="AG15" s="58">
        <v>7500</v>
      </c>
      <c r="AH15" s="96"/>
      <c r="AI15" s="96">
        <f>SUM((V15/9))</f>
        <v>0.1111111111111111</v>
      </c>
      <c r="AJ15" s="96">
        <f>SUM((W15/9))</f>
        <v>0.1111111111111111</v>
      </c>
      <c r="AK15" s="96"/>
      <c r="AL15" s="96"/>
      <c r="AM15" s="96"/>
      <c r="AN15" s="96"/>
      <c r="AO15" s="96"/>
      <c r="AP15" s="96"/>
      <c r="AQ15" s="96"/>
      <c r="AR15" s="96"/>
      <c r="AS15" s="96"/>
      <c r="AT15" s="96">
        <f t="shared" si="1"/>
        <v>833.33333333333337</v>
      </c>
      <c r="AU15" s="96"/>
      <c r="AV15" s="96">
        <f t="shared" si="35"/>
        <v>9.9999999999999992E-2</v>
      </c>
      <c r="AW15" s="96">
        <f t="shared" si="30"/>
        <v>9.9999999999999992E-2</v>
      </c>
      <c r="AX15" s="96">
        <f t="shared" si="30"/>
        <v>0</v>
      </c>
      <c r="AY15" s="96">
        <f t="shared" si="30"/>
        <v>0</v>
      </c>
      <c r="AZ15" s="96">
        <f t="shared" si="30"/>
        <v>0</v>
      </c>
      <c r="BA15" s="96">
        <f t="shared" si="30"/>
        <v>0</v>
      </c>
      <c r="BB15" s="96">
        <f t="shared" si="30"/>
        <v>0</v>
      </c>
      <c r="BC15" s="96">
        <f t="shared" si="30"/>
        <v>0</v>
      </c>
      <c r="BD15" s="96">
        <f t="shared" si="30"/>
        <v>0</v>
      </c>
      <c r="BE15" s="96">
        <f t="shared" si="30"/>
        <v>0</v>
      </c>
      <c r="BF15" s="96">
        <f t="shared" si="30"/>
        <v>0</v>
      </c>
      <c r="BG15" s="96">
        <f t="shared" si="20"/>
        <v>750</v>
      </c>
      <c r="BH15" s="96"/>
      <c r="BI15" s="96">
        <f t="shared" si="36"/>
        <v>0.09</v>
      </c>
      <c r="BJ15" s="96">
        <f t="shared" si="31"/>
        <v>0.09</v>
      </c>
      <c r="BK15" s="96">
        <f t="shared" si="31"/>
        <v>0</v>
      </c>
      <c r="BL15" s="96">
        <f t="shared" si="31"/>
        <v>0</v>
      </c>
      <c r="BM15" s="96">
        <f t="shared" si="31"/>
        <v>0</v>
      </c>
      <c r="BN15" s="96">
        <f t="shared" si="31"/>
        <v>0</v>
      </c>
      <c r="BO15" s="96">
        <f t="shared" si="31"/>
        <v>0</v>
      </c>
      <c r="BP15" s="96">
        <f t="shared" si="31"/>
        <v>0</v>
      </c>
      <c r="BQ15" s="96">
        <f t="shared" si="31"/>
        <v>0</v>
      </c>
      <c r="BR15" s="96">
        <f t="shared" si="31"/>
        <v>0</v>
      </c>
      <c r="BS15" s="96">
        <f t="shared" si="31"/>
        <v>0</v>
      </c>
      <c r="BT15" s="96">
        <f t="shared" si="22"/>
        <v>675</v>
      </c>
      <c r="BU15" s="96"/>
      <c r="BV15" s="96">
        <f t="shared" si="37"/>
        <v>0.08</v>
      </c>
      <c r="BW15" s="96">
        <f t="shared" si="32"/>
        <v>0.08</v>
      </c>
      <c r="BX15" s="96">
        <f t="shared" si="32"/>
        <v>0</v>
      </c>
      <c r="BY15" s="96">
        <f t="shared" si="32"/>
        <v>0</v>
      </c>
      <c r="BZ15" s="96">
        <f t="shared" si="32"/>
        <v>0</v>
      </c>
      <c r="CA15" s="96">
        <f t="shared" si="32"/>
        <v>0</v>
      </c>
      <c r="CB15" s="96">
        <f t="shared" si="32"/>
        <v>0</v>
      </c>
      <c r="CC15" s="96">
        <f t="shared" si="32"/>
        <v>0</v>
      </c>
      <c r="CD15" s="96">
        <f t="shared" si="32"/>
        <v>0</v>
      </c>
      <c r="CE15" s="96">
        <f t="shared" si="32"/>
        <v>0</v>
      </c>
      <c r="CF15" s="96">
        <f t="shared" si="32"/>
        <v>0</v>
      </c>
      <c r="CG15" s="96">
        <f t="shared" si="24"/>
        <v>600</v>
      </c>
      <c r="CH15" s="96"/>
      <c r="CI15" s="96">
        <f t="shared" si="38"/>
        <v>6.9999999999999993E-2</v>
      </c>
      <c r="CJ15" s="96">
        <f t="shared" si="33"/>
        <v>6.9999999999999993E-2</v>
      </c>
      <c r="CK15" s="96">
        <f t="shared" si="33"/>
        <v>0</v>
      </c>
      <c r="CL15" s="96">
        <f t="shared" si="33"/>
        <v>0</v>
      </c>
      <c r="CM15" s="96">
        <f t="shared" si="33"/>
        <v>0</v>
      </c>
      <c r="CN15" s="96">
        <f t="shared" si="33"/>
        <v>0</v>
      </c>
      <c r="CO15" s="96">
        <f t="shared" si="33"/>
        <v>0</v>
      </c>
      <c r="CP15" s="96">
        <f t="shared" si="33"/>
        <v>0</v>
      </c>
      <c r="CQ15" s="96">
        <f t="shared" si="33"/>
        <v>0</v>
      </c>
      <c r="CR15" s="96">
        <f t="shared" si="33"/>
        <v>0</v>
      </c>
      <c r="CS15" s="96">
        <f t="shared" si="33"/>
        <v>0</v>
      </c>
      <c r="CT15" s="96">
        <f t="shared" si="26"/>
        <v>525</v>
      </c>
      <c r="CU15" s="96"/>
      <c r="CV15" s="96">
        <f t="shared" si="39"/>
        <v>5.9999999999999991E-2</v>
      </c>
      <c r="CW15" s="96">
        <f t="shared" si="34"/>
        <v>5.9999999999999991E-2</v>
      </c>
      <c r="CX15" s="96">
        <f t="shared" si="34"/>
        <v>0</v>
      </c>
      <c r="CY15" s="96">
        <f t="shared" si="34"/>
        <v>0</v>
      </c>
      <c r="CZ15" s="96">
        <f t="shared" si="34"/>
        <v>0</v>
      </c>
      <c r="DA15" s="96">
        <f t="shared" si="34"/>
        <v>0</v>
      </c>
      <c r="DB15" s="96">
        <f t="shared" si="34"/>
        <v>0</v>
      </c>
      <c r="DC15" s="96">
        <f t="shared" si="34"/>
        <v>0</v>
      </c>
      <c r="DD15" s="96">
        <f t="shared" si="34"/>
        <v>0</v>
      </c>
      <c r="DE15" s="96">
        <f t="shared" si="34"/>
        <v>0</v>
      </c>
      <c r="DF15" s="96">
        <f t="shared" si="34"/>
        <v>0</v>
      </c>
      <c r="DG15" s="96">
        <f t="shared" si="28"/>
        <v>450</v>
      </c>
      <c r="DH15" s="96"/>
      <c r="DI15" s="96" t="e">
        <f t="shared" si="29"/>
        <v>#VALUE!</v>
      </c>
      <c r="DJ15" s="96" t="e">
        <f t="shared" si="7"/>
        <v>#VALUE!</v>
      </c>
      <c r="DK15" s="96" t="e">
        <f t="shared" si="8"/>
        <v>#VALUE!</v>
      </c>
      <c r="DL15" s="96" t="e">
        <f t="shared" si="9"/>
        <v>#VALUE!</v>
      </c>
      <c r="DM15" s="96" t="e">
        <f t="shared" si="10"/>
        <v>#VALUE!</v>
      </c>
      <c r="DN15" s="96" t="e">
        <f t="shared" si="11"/>
        <v>#VALUE!</v>
      </c>
      <c r="DO15" s="96" t="e">
        <f t="shared" si="12"/>
        <v>#VALUE!</v>
      </c>
      <c r="DP15" s="96" t="e">
        <f t="shared" si="13"/>
        <v>#VALUE!</v>
      </c>
      <c r="DQ15" s="96" t="e">
        <f t="shared" si="14"/>
        <v>#VALUE!</v>
      </c>
      <c r="DR15" s="96" t="e">
        <f t="shared" si="15"/>
        <v>#VALUE!</v>
      </c>
      <c r="DS15" s="96" t="e">
        <f t="shared" si="16"/>
        <v>#VALUE!</v>
      </c>
      <c r="DT15" s="96" t="e">
        <f t="shared" si="17"/>
        <v>#VALUE!</v>
      </c>
      <c r="DW15" s="178"/>
      <c r="DX15" s="178"/>
    </row>
    <row r="16" spans="1:128" ht="16.5" customHeight="1">
      <c r="A16" s="1751">
        <v>203</v>
      </c>
      <c r="B16" s="2042"/>
      <c r="C16" s="180" t="s">
        <v>129</v>
      </c>
      <c r="D16" s="187">
        <f>IF((U16&lt;10),SUM((V16+(ROUNDUP((U16*AI16),2)))),SUM((V16+(ROUNDUP(((9*AI16)+DI16),2)))))</f>
        <v>2</v>
      </c>
      <c r="E16" s="187"/>
      <c r="F16" s="187">
        <f>IF((U16&lt;10),SUM((X16+(ROUNDUP((U16*AK16),2)))),SUM((X16+(ROUNDUP(((9*AK16)+DK16),2)))))</f>
        <v>0.5</v>
      </c>
      <c r="G16" s="104"/>
      <c r="H16" s="187"/>
      <c r="I16" s="187"/>
      <c r="J16" s="187"/>
      <c r="K16" s="187"/>
      <c r="L16" s="187"/>
      <c r="M16" s="187"/>
      <c r="N16" s="386"/>
      <c r="O16" s="398">
        <f t="shared" si="0"/>
        <v>7500</v>
      </c>
      <c r="P16" s="398"/>
      <c r="Q16" s="398"/>
      <c r="R16" s="374"/>
      <c r="S16" s="190"/>
      <c r="T16" s="96">
        <v>10</v>
      </c>
      <c r="U16" s="96">
        <f t="shared" si="18"/>
        <v>0</v>
      </c>
      <c r="V16" s="58">
        <v>2</v>
      </c>
      <c r="W16" s="58"/>
      <c r="X16" s="58">
        <v>0.5</v>
      </c>
      <c r="Y16" s="58"/>
      <c r="Z16" s="58"/>
      <c r="AA16" s="58"/>
      <c r="AB16" s="58"/>
      <c r="AC16" s="58"/>
      <c r="AD16" s="58"/>
      <c r="AE16" s="58"/>
      <c r="AF16" s="58"/>
      <c r="AG16" s="58">
        <v>7500</v>
      </c>
      <c r="AH16" s="96"/>
      <c r="AI16" s="96">
        <f>SUM((V16/9))</f>
        <v>0.22222222222222221</v>
      </c>
      <c r="AJ16" s="96"/>
      <c r="AK16" s="96">
        <f>SUM((X16/9))</f>
        <v>5.5555555555555552E-2</v>
      </c>
      <c r="AL16" s="96"/>
      <c r="AM16" s="96"/>
      <c r="AN16" s="96"/>
      <c r="AO16" s="96"/>
      <c r="AP16" s="96"/>
      <c r="AQ16" s="96"/>
      <c r="AR16" s="96"/>
      <c r="AS16" s="96"/>
      <c r="AT16" s="96">
        <f t="shared" si="1"/>
        <v>833.33333333333337</v>
      </c>
      <c r="AU16" s="96"/>
      <c r="AV16" s="96">
        <f t="shared" si="35"/>
        <v>0.19999999999999998</v>
      </c>
      <c r="AW16" s="96">
        <f t="shared" ref="AW16:AW35" si="40">SUM(((AJ16*0.9)*1))</f>
        <v>0</v>
      </c>
      <c r="AX16" s="96">
        <f t="shared" ref="AX16:AX35" si="41">SUM(((AK16*0.9)*1))</f>
        <v>4.9999999999999996E-2</v>
      </c>
      <c r="AY16" s="96">
        <f t="shared" ref="AY16:AY35" si="42">SUM(((AL16*0.9)*1))</f>
        <v>0</v>
      </c>
      <c r="AZ16" s="96">
        <f t="shared" ref="AZ16:AZ35" si="43">SUM(((AM16*0.9)*1))</f>
        <v>0</v>
      </c>
      <c r="BA16" s="96">
        <f t="shared" ref="BA16:BA35" si="44">SUM(((AN16*0.9)*1))</f>
        <v>0</v>
      </c>
      <c r="BB16" s="96">
        <f t="shared" ref="BB16:BB35" si="45">SUM(((AO16*0.9)*1))</f>
        <v>0</v>
      </c>
      <c r="BC16" s="96">
        <f t="shared" ref="BC16:BC35" si="46">SUM(((AP16*0.9)*1))</f>
        <v>0</v>
      </c>
      <c r="BD16" s="96">
        <f t="shared" ref="BD16:BD35" si="47">SUM(((AQ16*0.9)*1))</f>
        <v>0</v>
      </c>
      <c r="BE16" s="96">
        <f t="shared" ref="BE16:BE35" si="48">SUM(((AR16*0.9)*1))</f>
        <v>0</v>
      </c>
      <c r="BF16" s="96">
        <f>SUM(((-AF16/50)*CEILING((60/100),0.01)))</f>
        <v>0</v>
      </c>
      <c r="BG16" s="96">
        <f t="shared" si="20"/>
        <v>750</v>
      </c>
      <c r="BH16" s="96"/>
      <c r="BI16" s="96">
        <f t="shared" si="36"/>
        <v>0.18</v>
      </c>
      <c r="BJ16" s="96">
        <f t="shared" ref="BJ16:BJ35" si="49">SUM(((AJ16*0.9)*0.9))</f>
        <v>0</v>
      </c>
      <c r="BK16" s="96">
        <f t="shared" ref="BK16:BK35" si="50">SUM(((AK16*0.9)*0.9))</f>
        <v>4.4999999999999998E-2</v>
      </c>
      <c r="BL16" s="96">
        <f t="shared" ref="BL16:BL35" si="51">SUM(((AL16*0.9)*0.9))</f>
        <v>0</v>
      </c>
      <c r="BM16" s="96">
        <f t="shared" ref="BM16:BM35" si="52">SUM(((AM16*0.9)*0.9))</f>
        <v>0</v>
      </c>
      <c r="BN16" s="96">
        <f t="shared" ref="BN16:BN35" si="53">SUM(((AN16*0.9)*0.9))</f>
        <v>0</v>
      </c>
      <c r="BO16" s="96">
        <f t="shared" ref="BO16:BO35" si="54">SUM(((AO16*0.9)*0.9))</f>
        <v>0</v>
      </c>
      <c r="BP16" s="96">
        <f t="shared" ref="BP16:BP35" si="55">SUM(((AP16*0.9)*0.9))</f>
        <v>0</v>
      </c>
      <c r="BQ16" s="96">
        <f t="shared" ref="BQ16:BQ35" si="56">SUM(((AQ16*0.9)*0.9))</f>
        <v>0</v>
      </c>
      <c r="BR16" s="96">
        <f t="shared" ref="BR16:BR35" si="57">SUM(((AR16*0.9)*0.9))</f>
        <v>0</v>
      </c>
      <c r="BS16" s="96">
        <f>SUM(((-AF16/50)*CEILING((48/100),0.01)))</f>
        <v>0</v>
      </c>
      <c r="BT16" s="96">
        <f t="shared" si="22"/>
        <v>675</v>
      </c>
      <c r="BU16" s="96"/>
      <c r="BV16" s="96">
        <f t="shared" si="37"/>
        <v>0.16</v>
      </c>
      <c r="BW16" s="96">
        <f t="shared" ref="BW16:BW35" si="58">SUM(((AJ16*0.9)*0.8))</f>
        <v>0</v>
      </c>
      <c r="BX16" s="96">
        <f t="shared" ref="BX16:BX35" si="59">SUM(((AK16*0.9)*0.8))</f>
        <v>0.04</v>
      </c>
      <c r="BY16" s="96">
        <f t="shared" ref="BY16:BY35" si="60">SUM(((AL16*0.9)*0.8))</f>
        <v>0</v>
      </c>
      <c r="BZ16" s="96">
        <f t="shared" ref="BZ16:BZ35" si="61">SUM(((AM16*0.9)*0.8))</f>
        <v>0</v>
      </c>
      <c r="CA16" s="96">
        <f t="shared" ref="CA16:CA35" si="62">SUM(((AN16*0.9)*0.8))</f>
        <v>0</v>
      </c>
      <c r="CB16" s="96">
        <f t="shared" ref="CB16:CB35" si="63">SUM(((AO16*0.9)*0.8))</f>
        <v>0</v>
      </c>
      <c r="CC16" s="96">
        <f t="shared" ref="CC16:CC35" si="64">SUM(((AP16*0.9)*0.8))</f>
        <v>0</v>
      </c>
      <c r="CD16" s="96">
        <f t="shared" ref="CD16:CD35" si="65">SUM(((AQ16*0.9)*0.8))</f>
        <v>0</v>
      </c>
      <c r="CE16" s="96">
        <f t="shared" ref="CE16:CE35" si="66">SUM(((AR16*0.9)*0.8))</f>
        <v>0</v>
      </c>
      <c r="CF16" s="96">
        <f>SUM(((-AF16/50)*CEILING((40.5/100),0.01)))</f>
        <v>0</v>
      </c>
      <c r="CG16" s="96">
        <f t="shared" si="24"/>
        <v>600</v>
      </c>
      <c r="CH16" s="96"/>
      <c r="CI16" s="96">
        <f t="shared" si="38"/>
        <v>0.13999999999999999</v>
      </c>
      <c r="CJ16" s="96">
        <f t="shared" ref="CJ16:CJ35" si="67">SUM(((AJ16*0.9)*0.7))</f>
        <v>0</v>
      </c>
      <c r="CK16" s="96">
        <f t="shared" ref="CK16:CK35" si="68">SUM(((AK16*0.9)*0.7))</f>
        <v>3.4999999999999996E-2</v>
      </c>
      <c r="CL16" s="96">
        <f t="shared" ref="CL16:CL35" si="69">SUM(((AL16*0.9)*0.7))</f>
        <v>0</v>
      </c>
      <c r="CM16" s="96">
        <f t="shared" ref="CM16:CM35" si="70">SUM(((AM16*0.9)*0.7))</f>
        <v>0</v>
      </c>
      <c r="CN16" s="96">
        <f t="shared" ref="CN16:CN35" si="71">SUM(((AN16*0.9)*0.7))</f>
        <v>0</v>
      </c>
      <c r="CO16" s="96">
        <f t="shared" ref="CO16:CO35" si="72">SUM(((AO16*0.9)*0.7))</f>
        <v>0</v>
      </c>
      <c r="CP16" s="96">
        <f t="shared" ref="CP16:CP35" si="73">SUM(((AP16*0.9)*0.7))</f>
        <v>0</v>
      </c>
      <c r="CQ16" s="96">
        <f t="shared" ref="CQ16:CQ35" si="74">SUM(((AQ16*0.9)*0.7))</f>
        <v>0</v>
      </c>
      <c r="CR16" s="96">
        <f t="shared" ref="CR16:CR35" si="75">SUM(((AR16*0.9)*0.7))</f>
        <v>0</v>
      </c>
      <c r="CS16" s="96">
        <f>SUM(((-AF16/50)*CEILING((33/100),0.01)))</f>
        <v>0</v>
      </c>
      <c r="CT16" s="96">
        <f t="shared" si="26"/>
        <v>525</v>
      </c>
      <c r="CU16" s="96"/>
      <c r="CV16" s="96">
        <f t="shared" si="39"/>
        <v>0.11999999999999998</v>
      </c>
      <c r="CW16" s="96">
        <f t="shared" ref="CW16:CW35" si="76">SUM(((AJ16*0.9)*0.6))</f>
        <v>0</v>
      </c>
      <c r="CX16" s="96">
        <f t="shared" ref="CX16:CX35" si="77">SUM(((AK16*0.9)*0.6))</f>
        <v>2.9999999999999995E-2</v>
      </c>
      <c r="CY16" s="96">
        <f t="shared" ref="CY16:CY35" si="78">SUM(((AL16*0.9)*0.6))</f>
        <v>0</v>
      </c>
      <c r="CZ16" s="96">
        <f t="shared" ref="CZ16:CZ35" si="79">SUM(((AM16*0.9)*0.6))</f>
        <v>0</v>
      </c>
      <c r="DA16" s="96">
        <f t="shared" ref="DA16:DA35" si="80">SUM(((AN16*0.9)*0.6))</f>
        <v>0</v>
      </c>
      <c r="DB16" s="96">
        <f t="shared" ref="DB16:DB35" si="81">SUM(((AO16*0.9)*0.6))</f>
        <v>0</v>
      </c>
      <c r="DC16" s="96">
        <f t="shared" ref="DC16:DC35" si="82">SUM(((AP16*0.9)*0.6))</f>
        <v>0</v>
      </c>
      <c r="DD16" s="96">
        <f t="shared" ref="DD16:DD35" si="83">SUM(((AQ16*0.9)*0.6))</f>
        <v>0</v>
      </c>
      <c r="DE16" s="96">
        <f t="shared" ref="DE16:DE35" si="84">SUM(((AR16*0.9)*0.6))</f>
        <v>0</v>
      </c>
      <c r="DF16" s="96">
        <f>SUM(((-AF16/50)*CEILING((25.5/100),0.01)))</f>
        <v>0</v>
      </c>
      <c r="DG16" s="96">
        <f t="shared" si="28"/>
        <v>450</v>
      </c>
      <c r="DH16" s="96"/>
      <c r="DI16" s="96" t="e">
        <f t="shared" si="29"/>
        <v>#VALUE!</v>
      </c>
      <c r="DJ16" s="96" t="e">
        <f t="shared" si="7"/>
        <v>#VALUE!</v>
      </c>
      <c r="DK16" s="96" t="e">
        <f t="shared" si="8"/>
        <v>#VALUE!</v>
      </c>
      <c r="DL16" s="96" t="e">
        <f t="shared" si="9"/>
        <v>#VALUE!</v>
      </c>
      <c r="DM16" s="96" t="e">
        <f t="shared" si="10"/>
        <v>#VALUE!</v>
      </c>
      <c r="DN16" s="96" t="e">
        <f t="shared" si="11"/>
        <v>#VALUE!</v>
      </c>
      <c r="DO16" s="96" t="e">
        <f t="shared" si="12"/>
        <v>#VALUE!</v>
      </c>
      <c r="DP16" s="96" t="e">
        <f t="shared" si="13"/>
        <v>#VALUE!</v>
      </c>
      <c r="DQ16" s="96" t="e">
        <f t="shared" si="14"/>
        <v>#VALUE!</v>
      </c>
      <c r="DR16" s="96" t="e">
        <f t="shared" si="15"/>
        <v>#VALUE!</v>
      </c>
      <c r="DS16" s="96" t="e">
        <f t="shared" si="16"/>
        <v>#VALUE!</v>
      </c>
      <c r="DT16" s="96" t="e">
        <f t="shared" si="17"/>
        <v>#VALUE!</v>
      </c>
      <c r="DW16" s="178"/>
      <c r="DX16" s="178"/>
    </row>
    <row r="17" spans="1:128" ht="16.5" customHeight="1">
      <c r="A17" s="1750">
        <v>204</v>
      </c>
      <c r="B17" s="2042"/>
      <c r="C17" s="181" t="s">
        <v>130</v>
      </c>
      <c r="D17" s="186"/>
      <c r="E17" s="186"/>
      <c r="F17" s="186"/>
      <c r="G17" s="200">
        <f>IF((U17&lt;10),SUM(((Y17+(ROUNDUP((U17*AL17),2)))/100)),SUM(((Y17+(ROUNDUP(((9*AL17)+DL17),2)))/100)))</f>
        <v>1.2500000000000001E-2</v>
      </c>
      <c r="H17" s="186">
        <f>IF((U17&lt;10),SUM((Z17+(ROUNDUP((U17*AM17),2)))),SUM((Z17+(ROUNDUP(((9*AM17)+DM17),2)))))</f>
        <v>1.25</v>
      </c>
      <c r="I17" s="186"/>
      <c r="J17" s="186"/>
      <c r="K17" s="186"/>
      <c r="L17" s="186"/>
      <c r="M17" s="186"/>
      <c r="N17" s="387"/>
      <c r="O17" s="397">
        <f t="shared" si="0"/>
        <v>7500</v>
      </c>
      <c r="P17" s="397"/>
      <c r="Q17" s="397"/>
      <c r="R17" s="374"/>
      <c r="S17" s="190"/>
      <c r="T17" s="96">
        <v>11</v>
      </c>
      <c r="U17" s="96">
        <f t="shared" si="18"/>
        <v>0</v>
      </c>
      <c r="V17" s="58"/>
      <c r="W17" s="58"/>
      <c r="X17" s="58"/>
      <c r="Y17" s="58">
        <v>1.25</v>
      </c>
      <c r="Z17" s="58">
        <v>1.25</v>
      </c>
      <c r="AA17" s="58"/>
      <c r="AB17" s="58"/>
      <c r="AC17" s="58"/>
      <c r="AD17" s="58"/>
      <c r="AE17" s="58"/>
      <c r="AF17" s="58"/>
      <c r="AG17" s="58">
        <v>7500</v>
      </c>
      <c r="AH17" s="96"/>
      <c r="AI17" s="96"/>
      <c r="AJ17" s="96"/>
      <c r="AK17" s="96"/>
      <c r="AL17" s="96">
        <f>SUM((Y17/9))</f>
        <v>0.1388888888888889</v>
      </c>
      <c r="AM17" s="96">
        <f>SUM((Z17/9))</f>
        <v>0.1388888888888889</v>
      </c>
      <c r="AN17" s="96"/>
      <c r="AO17" s="96"/>
      <c r="AP17" s="96"/>
      <c r="AQ17" s="96"/>
      <c r="AR17" s="96"/>
      <c r="AS17" s="96"/>
      <c r="AT17" s="96">
        <f t="shared" si="1"/>
        <v>833.33333333333337</v>
      </c>
      <c r="AU17" s="96"/>
      <c r="AV17" s="96">
        <f t="shared" si="35"/>
        <v>0</v>
      </c>
      <c r="AW17" s="96">
        <f t="shared" si="40"/>
        <v>0</v>
      </c>
      <c r="AX17" s="96">
        <f t="shared" si="41"/>
        <v>0</v>
      </c>
      <c r="AY17" s="96">
        <f t="shared" si="42"/>
        <v>0.125</v>
      </c>
      <c r="AZ17" s="96">
        <f t="shared" si="43"/>
        <v>0.125</v>
      </c>
      <c r="BA17" s="96">
        <f t="shared" si="44"/>
        <v>0</v>
      </c>
      <c r="BB17" s="96">
        <f t="shared" si="45"/>
        <v>0</v>
      </c>
      <c r="BC17" s="96">
        <f t="shared" si="46"/>
        <v>0</v>
      </c>
      <c r="BD17" s="96">
        <f t="shared" si="47"/>
        <v>0</v>
      </c>
      <c r="BE17" s="96">
        <f t="shared" si="48"/>
        <v>0</v>
      </c>
      <c r="BF17" s="96">
        <f t="shared" ref="BF17:BF24" si="85">SUM(((AS17*0.9)*1))</f>
        <v>0</v>
      </c>
      <c r="BG17" s="96">
        <f t="shared" si="20"/>
        <v>750</v>
      </c>
      <c r="BH17" s="96"/>
      <c r="BI17" s="96">
        <f t="shared" si="36"/>
        <v>0</v>
      </c>
      <c r="BJ17" s="96">
        <f t="shared" si="49"/>
        <v>0</v>
      </c>
      <c r="BK17" s="96">
        <f t="shared" si="50"/>
        <v>0</v>
      </c>
      <c r="BL17" s="96">
        <f t="shared" si="51"/>
        <v>0.1125</v>
      </c>
      <c r="BM17" s="96">
        <f t="shared" si="52"/>
        <v>0.1125</v>
      </c>
      <c r="BN17" s="96">
        <f t="shared" si="53"/>
        <v>0</v>
      </c>
      <c r="BO17" s="96">
        <f t="shared" si="54"/>
        <v>0</v>
      </c>
      <c r="BP17" s="96">
        <f t="shared" si="55"/>
        <v>0</v>
      </c>
      <c r="BQ17" s="96">
        <f t="shared" si="56"/>
        <v>0</v>
      </c>
      <c r="BR17" s="96">
        <f t="shared" si="57"/>
        <v>0</v>
      </c>
      <c r="BS17" s="96">
        <f t="shared" ref="BS17:BS24" si="86">SUM(((AS17*0.9)*0.9))</f>
        <v>0</v>
      </c>
      <c r="BT17" s="96">
        <f t="shared" si="22"/>
        <v>675</v>
      </c>
      <c r="BU17" s="96"/>
      <c r="BV17" s="96">
        <f t="shared" si="37"/>
        <v>0</v>
      </c>
      <c r="BW17" s="96">
        <f t="shared" si="58"/>
        <v>0</v>
      </c>
      <c r="BX17" s="96">
        <f t="shared" si="59"/>
        <v>0</v>
      </c>
      <c r="BY17" s="96">
        <f t="shared" si="60"/>
        <v>0.1</v>
      </c>
      <c r="BZ17" s="96">
        <f t="shared" si="61"/>
        <v>0.1</v>
      </c>
      <c r="CA17" s="96">
        <f t="shared" si="62"/>
        <v>0</v>
      </c>
      <c r="CB17" s="96">
        <f t="shared" si="63"/>
        <v>0</v>
      </c>
      <c r="CC17" s="96">
        <f t="shared" si="64"/>
        <v>0</v>
      </c>
      <c r="CD17" s="96">
        <f t="shared" si="65"/>
        <v>0</v>
      </c>
      <c r="CE17" s="96">
        <f t="shared" si="66"/>
        <v>0</v>
      </c>
      <c r="CF17" s="96">
        <f t="shared" ref="CF17:CF24" si="87">SUM(((AS17*0.9)*0.8))</f>
        <v>0</v>
      </c>
      <c r="CG17" s="96">
        <f t="shared" si="24"/>
        <v>600</v>
      </c>
      <c r="CH17" s="96"/>
      <c r="CI17" s="96">
        <f t="shared" si="38"/>
        <v>0</v>
      </c>
      <c r="CJ17" s="96">
        <f t="shared" si="67"/>
        <v>0</v>
      </c>
      <c r="CK17" s="96">
        <f t="shared" si="68"/>
        <v>0</v>
      </c>
      <c r="CL17" s="96">
        <f t="shared" si="69"/>
        <v>8.7499999999999994E-2</v>
      </c>
      <c r="CM17" s="96">
        <f t="shared" si="70"/>
        <v>8.7499999999999994E-2</v>
      </c>
      <c r="CN17" s="96">
        <f t="shared" si="71"/>
        <v>0</v>
      </c>
      <c r="CO17" s="96">
        <f t="shared" si="72"/>
        <v>0</v>
      </c>
      <c r="CP17" s="96">
        <f t="shared" si="73"/>
        <v>0</v>
      </c>
      <c r="CQ17" s="96">
        <f t="shared" si="74"/>
        <v>0</v>
      </c>
      <c r="CR17" s="96">
        <f t="shared" si="75"/>
        <v>0</v>
      </c>
      <c r="CS17" s="96">
        <f t="shared" ref="CS17:CS24" si="88">SUM(((AS17*0.9)*0.7))</f>
        <v>0</v>
      </c>
      <c r="CT17" s="96">
        <f t="shared" si="26"/>
        <v>525</v>
      </c>
      <c r="CU17" s="96"/>
      <c r="CV17" s="96">
        <f t="shared" si="39"/>
        <v>0</v>
      </c>
      <c r="CW17" s="96">
        <f t="shared" si="76"/>
        <v>0</v>
      </c>
      <c r="CX17" s="96">
        <f t="shared" si="77"/>
        <v>0</v>
      </c>
      <c r="CY17" s="96">
        <f t="shared" si="78"/>
        <v>7.4999999999999997E-2</v>
      </c>
      <c r="CZ17" s="96">
        <f t="shared" si="79"/>
        <v>7.4999999999999997E-2</v>
      </c>
      <c r="DA17" s="96">
        <f t="shared" si="80"/>
        <v>0</v>
      </c>
      <c r="DB17" s="96">
        <f t="shared" si="81"/>
        <v>0</v>
      </c>
      <c r="DC17" s="96">
        <f t="shared" si="82"/>
        <v>0</v>
      </c>
      <c r="DD17" s="96">
        <f t="shared" si="83"/>
        <v>0</v>
      </c>
      <c r="DE17" s="96">
        <f t="shared" si="84"/>
        <v>0</v>
      </c>
      <c r="DF17" s="96">
        <f t="shared" ref="DF17:DF24" si="89">SUM(((AS17*0.9)*0.6))</f>
        <v>0</v>
      </c>
      <c r="DG17" s="96">
        <f t="shared" si="28"/>
        <v>450</v>
      </c>
      <c r="DH17" s="96"/>
      <c r="DI17" s="96" t="e">
        <f t="shared" si="29"/>
        <v>#VALUE!</v>
      </c>
      <c r="DJ17" s="96" t="e">
        <f t="shared" si="7"/>
        <v>#VALUE!</v>
      </c>
      <c r="DK17" s="96" t="e">
        <f t="shared" si="8"/>
        <v>#VALUE!</v>
      </c>
      <c r="DL17" s="96" t="e">
        <f t="shared" si="9"/>
        <v>#VALUE!</v>
      </c>
      <c r="DM17" s="96" t="e">
        <f t="shared" si="10"/>
        <v>#VALUE!</v>
      </c>
      <c r="DN17" s="96" t="e">
        <f t="shared" si="11"/>
        <v>#VALUE!</v>
      </c>
      <c r="DO17" s="96" t="e">
        <f t="shared" si="12"/>
        <v>#VALUE!</v>
      </c>
      <c r="DP17" s="96" t="e">
        <f t="shared" si="13"/>
        <v>#VALUE!</v>
      </c>
      <c r="DQ17" s="96" t="e">
        <f t="shared" si="14"/>
        <v>#VALUE!</v>
      </c>
      <c r="DR17" s="96" t="e">
        <f t="shared" si="15"/>
        <v>#VALUE!</v>
      </c>
      <c r="DS17" s="96" t="e">
        <f t="shared" si="16"/>
        <v>#VALUE!</v>
      </c>
      <c r="DT17" s="96" t="e">
        <f t="shared" si="17"/>
        <v>#VALUE!</v>
      </c>
      <c r="DW17" s="178"/>
      <c r="DX17" s="178"/>
    </row>
    <row r="18" spans="1:128" ht="16.5" customHeight="1">
      <c r="A18" s="1751">
        <v>205</v>
      </c>
      <c r="B18" s="2042"/>
      <c r="C18" s="180" t="s">
        <v>131</v>
      </c>
      <c r="D18" s="187"/>
      <c r="E18" s="187"/>
      <c r="F18" s="187"/>
      <c r="G18" s="104"/>
      <c r="H18" s="187"/>
      <c r="I18" s="187">
        <f>IF((U18&lt;10),SUM((AA18+(ROUNDUP((U18*AN18),2)))),SUM((AA18+(ROUNDUP(((9*AN18)+DN18),2)))))</f>
        <v>17.5</v>
      </c>
      <c r="J18" s="187"/>
      <c r="K18" s="187"/>
      <c r="L18" s="187"/>
      <c r="M18" s="187"/>
      <c r="N18" s="386"/>
      <c r="O18" s="398">
        <f t="shared" si="0"/>
        <v>7500</v>
      </c>
      <c r="P18" s="398"/>
      <c r="Q18" s="398"/>
      <c r="R18" s="374"/>
      <c r="S18" s="190"/>
      <c r="T18" s="96">
        <v>12</v>
      </c>
      <c r="U18" s="96">
        <f t="shared" si="18"/>
        <v>0</v>
      </c>
      <c r="V18" s="58"/>
      <c r="W18" s="58"/>
      <c r="X18" s="58"/>
      <c r="Y18" s="58"/>
      <c r="Z18" s="58"/>
      <c r="AA18" s="58">
        <v>17.5</v>
      </c>
      <c r="AB18" s="58"/>
      <c r="AC18" s="58"/>
      <c r="AD18" s="58"/>
      <c r="AE18" s="58"/>
      <c r="AF18" s="58"/>
      <c r="AG18" s="58">
        <v>7500</v>
      </c>
      <c r="AH18" s="96"/>
      <c r="AI18" s="96"/>
      <c r="AJ18" s="96"/>
      <c r="AK18" s="96"/>
      <c r="AL18" s="96"/>
      <c r="AM18" s="96"/>
      <c r="AN18" s="96">
        <f>SUM((AA18/9))</f>
        <v>1.9444444444444444</v>
      </c>
      <c r="AO18" s="96"/>
      <c r="AP18" s="96"/>
      <c r="AQ18" s="96"/>
      <c r="AR18" s="96"/>
      <c r="AS18" s="96"/>
      <c r="AT18" s="96">
        <f t="shared" si="1"/>
        <v>833.33333333333337</v>
      </c>
      <c r="AU18" s="96"/>
      <c r="AV18" s="96">
        <f t="shared" si="35"/>
        <v>0</v>
      </c>
      <c r="AW18" s="96">
        <f t="shared" si="40"/>
        <v>0</v>
      </c>
      <c r="AX18" s="96">
        <f t="shared" si="41"/>
        <v>0</v>
      </c>
      <c r="AY18" s="96">
        <f t="shared" si="42"/>
        <v>0</v>
      </c>
      <c r="AZ18" s="96">
        <f t="shared" si="43"/>
        <v>0</v>
      </c>
      <c r="BA18" s="96">
        <f t="shared" si="44"/>
        <v>1.75</v>
      </c>
      <c r="BB18" s="96">
        <f t="shared" si="45"/>
        <v>0</v>
      </c>
      <c r="BC18" s="96">
        <f t="shared" si="46"/>
        <v>0</v>
      </c>
      <c r="BD18" s="96">
        <f t="shared" si="47"/>
        <v>0</v>
      </c>
      <c r="BE18" s="96">
        <f t="shared" si="48"/>
        <v>0</v>
      </c>
      <c r="BF18" s="96">
        <f t="shared" si="85"/>
        <v>0</v>
      </c>
      <c r="BG18" s="96">
        <f t="shared" si="20"/>
        <v>750</v>
      </c>
      <c r="BH18" s="96"/>
      <c r="BI18" s="96">
        <f t="shared" si="36"/>
        <v>0</v>
      </c>
      <c r="BJ18" s="96">
        <f t="shared" si="49"/>
        <v>0</v>
      </c>
      <c r="BK18" s="96">
        <f t="shared" si="50"/>
        <v>0</v>
      </c>
      <c r="BL18" s="96">
        <f t="shared" si="51"/>
        <v>0</v>
      </c>
      <c r="BM18" s="96">
        <f t="shared" si="52"/>
        <v>0</v>
      </c>
      <c r="BN18" s="96">
        <f t="shared" si="53"/>
        <v>1.575</v>
      </c>
      <c r="BO18" s="96">
        <f t="shared" si="54"/>
        <v>0</v>
      </c>
      <c r="BP18" s="96">
        <f t="shared" si="55"/>
        <v>0</v>
      </c>
      <c r="BQ18" s="96">
        <f t="shared" si="56"/>
        <v>0</v>
      </c>
      <c r="BR18" s="96">
        <f t="shared" si="57"/>
        <v>0</v>
      </c>
      <c r="BS18" s="96">
        <f t="shared" si="86"/>
        <v>0</v>
      </c>
      <c r="BT18" s="96">
        <f t="shared" si="22"/>
        <v>675</v>
      </c>
      <c r="BU18" s="96"/>
      <c r="BV18" s="96">
        <f t="shared" si="37"/>
        <v>0</v>
      </c>
      <c r="BW18" s="96">
        <f t="shared" si="58"/>
        <v>0</v>
      </c>
      <c r="BX18" s="96">
        <f t="shared" si="59"/>
        <v>0</v>
      </c>
      <c r="BY18" s="96">
        <f t="shared" si="60"/>
        <v>0</v>
      </c>
      <c r="BZ18" s="96">
        <f t="shared" si="61"/>
        <v>0</v>
      </c>
      <c r="CA18" s="96">
        <f t="shared" si="62"/>
        <v>1.4000000000000001</v>
      </c>
      <c r="CB18" s="96">
        <f t="shared" si="63"/>
        <v>0</v>
      </c>
      <c r="CC18" s="96">
        <f t="shared" si="64"/>
        <v>0</v>
      </c>
      <c r="CD18" s="96">
        <f t="shared" si="65"/>
        <v>0</v>
      </c>
      <c r="CE18" s="96">
        <f t="shared" si="66"/>
        <v>0</v>
      </c>
      <c r="CF18" s="96">
        <f t="shared" si="87"/>
        <v>0</v>
      </c>
      <c r="CG18" s="96">
        <f t="shared" si="24"/>
        <v>600</v>
      </c>
      <c r="CH18" s="96"/>
      <c r="CI18" s="96">
        <f t="shared" si="38"/>
        <v>0</v>
      </c>
      <c r="CJ18" s="96">
        <f t="shared" si="67"/>
        <v>0</v>
      </c>
      <c r="CK18" s="96">
        <f t="shared" si="68"/>
        <v>0</v>
      </c>
      <c r="CL18" s="96">
        <f t="shared" si="69"/>
        <v>0</v>
      </c>
      <c r="CM18" s="96">
        <f t="shared" si="70"/>
        <v>0</v>
      </c>
      <c r="CN18" s="96">
        <f t="shared" si="71"/>
        <v>1.2249999999999999</v>
      </c>
      <c r="CO18" s="96">
        <f t="shared" si="72"/>
        <v>0</v>
      </c>
      <c r="CP18" s="96">
        <f t="shared" si="73"/>
        <v>0</v>
      </c>
      <c r="CQ18" s="96">
        <f t="shared" si="74"/>
        <v>0</v>
      </c>
      <c r="CR18" s="96">
        <f t="shared" si="75"/>
        <v>0</v>
      </c>
      <c r="CS18" s="96">
        <f t="shared" si="88"/>
        <v>0</v>
      </c>
      <c r="CT18" s="96">
        <f t="shared" si="26"/>
        <v>525</v>
      </c>
      <c r="CU18" s="96"/>
      <c r="CV18" s="96">
        <f t="shared" si="39"/>
        <v>0</v>
      </c>
      <c r="CW18" s="96">
        <f t="shared" si="76"/>
        <v>0</v>
      </c>
      <c r="CX18" s="96">
        <f t="shared" si="77"/>
        <v>0</v>
      </c>
      <c r="CY18" s="96">
        <f t="shared" si="78"/>
        <v>0</v>
      </c>
      <c r="CZ18" s="96">
        <f t="shared" si="79"/>
        <v>0</v>
      </c>
      <c r="DA18" s="96">
        <f t="shared" si="80"/>
        <v>1.05</v>
      </c>
      <c r="DB18" s="96">
        <f t="shared" si="81"/>
        <v>0</v>
      </c>
      <c r="DC18" s="96">
        <f t="shared" si="82"/>
        <v>0</v>
      </c>
      <c r="DD18" s="96">
        <f t="shared" si="83"/>
        <v>0</v>
      </c>
      <c r="DE18" s="96">
        <f t="shared" si="84"/>
        <v>0</v>
      </c>
      <c r="DF18" s="96">
        <f t="shared" si="89"/>
        <v>0</v>
      </c>
      <c r="DG18" s="96">
        <f t="shared" si="28"/>
        <v>450</v>
      </c>
      <c r="DH18" s="96"/>
      <c r="DI18" s="96" t="e">
        <f t="shared" si="29"/>
        <v>#VALUE!</v>
      </c>
      <c r="DJ18" s="96" t="e">
        <f t="shared" si="7"/>
        <v>#VALUE!</v>
      </c>
      <c r="DK18" s="96" t="e">
        <f t="shared" si="8"/>
        <v>#VALUE!</v>
      </c>
      <c r="DL18" s="96" t="e">
        <f t="shared" si="9"/>
        <v>#VALUE!</v>
      </c>
      <c r="DM18" s="96" t="e">
        <f t="shared" si="10"/>
        <v>#VALUE!</v>
      </c>
      <c r="DN18" s="96" t="e">
        <f t="shared" si="11"/>
        <v>#VALUE!</v>
      </c>
      <c r="DO18" s="96" t="e">
        <f t="shared" si="12"/>
        <v>#VALUE!</v>
      </c>
      <c r="DP18" s="96" t="e">
        <f t="shared" si="13"/>
        <v>#VALUE!</v>
      </c>
      <c r="DQ18" s="96" t="e">
        <f t="shared" si="14"/>
        <v>#VALUE!</v>
      </c>
      <c r="DR18" s="96" t="e">
        <f t="shared" si="15"/>
        <v>#VALUE!</v>
      </c>
      <c r="DS18" s="96" t="e">
        <f t="shared" si="16"/>
        <v>#VALUE!</v>
      </c>
      <c r="DT18" s="96" t="e">
        <f t="shared" si="17"/>
        <v>#VALUE!</v>
      </c>
      <c r="DW18" s="178"/>
      <c r="DX18" s="178"/>
    </row>
    <row r="19" spans="1:128" ht="16.5" customHeight="1">
      <c r="A19" s="1750">
        <v>206</v>
      </c>
      <c r="B19" s="2042"/>
      <c r="C19" s="181" t="s">
        <v>132</v>
      </c>
      <c r="D19" s="186"/>
      <c r="E19" s="186"/>
      <c r="F19" s="186"/>
      <c r="G19" s="200"/>
      <c r="H19" s="186"/>
      <c r="I19" s="186"/>
      <c r="J19" s="186">
        <f>IF((U19&lt;10),SUM((AB19+(ROUNDUP((U19*AO19),2)))),SUM((AB19+(ROUNDUP(((9*AO19)+DO19),2)))))</f>
        <v>0.75</v>
      </c>
      <c r="K19" s="186"/>
      <c r="L19" s="186"/>
      <c r="M19" s="186"/>
      <c r="N19" s="387"/>
      <c r="O19" s="397">
        <f t="shared" si="0"/>
        <v>7500</v>
      </c>
      <c r="P19" s="397"/>
      <c r="Q19" s="397"/>
      <c r="R19" s="374"/>
      <c r="S19" s="190"/>
      <c r="T19" s="96">
        <v>13</v>
      </c>
      <c r="U19" s="96">
        <f t="shared" si="18"/>
        <v>0</v>
      </c>
      <c r="V19" s="58"/>
      <c r="W19" s="58"/>
      <c r="X19" s="58"/>
      <c r="Y19" s="58"/>
      <c r="Z19" s="58"/>
      <c r="AA19" s="58"/>
      <c r="AB19" s="58">
        <v>0.75</v>
      </c>
      <c r="AC19" s="58"/>
      <c r="AD19" s="58"/>
      <c r="AE19" s="58"/>
      <c r="AF19" s="58"/>
      <c r="AG19" s="58">
        <v>7500</v>
      </c>
      <c r="AH19" s="96"/>
      <c r="AI19" s="96"/>
      <c r="AJ19" s="96"/>
      <c r="AK19" s="96"/>
      <c r="AL19" s="96"/>
      <c r="AM19" s="96"/>
      <c r="AN19" s="96"/>
      <c r="AO19" s="96">
        <f>SUM((AB19/9))</f>
        <v>8.3333333333333329E-2</v>
      </c>
      <c r="AP19" s="96"/>
      <c r="AQ19" s="96"/>
      <c r="AR19" s="96"/>
      <c r="AS19" s="96"/>
      <c r="AT19" s="96">
        <f t="shared" si="1"/>
        <v>833.33333333333337</v>
      </c>
      <c r="AU19" s="96"/>
      <c r="AV19" s="96">
        <f t="shared" si="35"/>
        <v>0</v>
      </c>
      <c r="AW19" s="96">
        <f t="shared" si="40"/>
        <v>0</v>
      </c>
      <c r="AX19" s="96">
        <f t="shared" si="41"/>
        <v>0</v>
      </c>
      <c r="AY19" s="96">
        <f t="shared" si="42"/>
        <v>0</v>
      </c>
      <c r="AZ19" s="96">
        <f t="shared" si="43"/>
        <v>0</v>
      </c>
      <c r="BA19" s="96">
        <f t="shared" si="44"/>
        <v>0</v>
      </c>
      <c r="BB19" s="96">
        <f t="shared" si="45"/>
        <v>7.4999999999999997E-2</v>
      </c>
      <c r="BC19" s="96">
        <f t="shared" si="46"/>
        <v>0</v>
      </c>
      <c r="BD19" s="96">
        <f t="shared" si="47"/>
        <v>0</v>
      </c>
      <c r="BE19" s="96">
        <f t="shared" si="48"/>
        <v>0</v>
      </c>
      <c r="BF19" s="96">
        <f t="shared" si="85"/>
        <v>0</v>
      </c>
      <c r="BG19" s="96">
        <f t="shared" si="20"/>
        <v>750</v>
      </c>
      <c r="BH19" s="96"/>
      <c r="BI19" s="96">
        <f t="shared" si="36"/>
        <v>0</v>
      </c>
      <c r="BJ19" s="96">
        <f t="shared" si="49"/>
        <v>0</v>
      </c>
      <c r="BK19" s="96">
        <f t="shared" si="50"/>
        <v>0</v>
      </c>
      <c r="BL19" s="96">
        <f t="shared" si="51"/>
        <v>0</v>
      </c>
      <c r="BM19" s="96">
        <f t="shared" si="52"/>
        <v>0</v>
      </c>
      <c r="BN19" s="96">
        <f t="shared" si="53"/>
        <v>0</v>
      </c>
      <c r="BO19" s="96">
        <f t="shared" si="54"/>
        <v>6.7500000000000004E-2</v>
      </c>
      <c r="BP19" s="96">
        <f t="shared" si="55"/>
        <v>0</v>
      </c>
      <c r="BQ19" s="96">
        <f t="shared" si="56"/>
        <v>0</v>
      </c>
      <c r="BR19" s="96">
        <f t="shared" si="57"/>
        <v>0</v>
      </c>
      <c r="BS19" s="96">
        <f t="shared" si="86"/>
        <v>0</v>
      </c>
      <c r="BT19" s="96">
        <f t="shared" si="22"/>
        <v>675</v>
      </c>
      <c r="BU19" s="96"/>
      <c r="BV19" s="96">
        <f t="shared" si="37"/>
        <v>0</v>
      </c>
      <c r="BW19" s="96">
        <f t="shared" si="58"/>
        <v>0</v>
      </c>
      <c r="BX19" s="96">
        <f t="shared" si="59"/>
        <v>0</v>
      </c>
      <c r="BY19" s="96">
        <f t="shared" si="60"/>
        <v>0</v>
      </c>
      <c r="BZ19" s="96">
        <f t="shared" si="61"/>
        <v>0</v>
      </c>
      <c r="CA19" s="96">
        <f t="shared" si="62"/>
        <v>0</v>
      </c>
      <c r="CB19" s="96">
        <f t="shared" si="63"/>
        <v>0.06</v>
      </c>
      <c r="CC19" s="96">
        <f t="shared" si="64"/>
        <v>0</v>
      </c>
      <c r="CD19" s="96">
        <f t="shared" si="65"/>
        <v>0</v>
      </c>
      <c r="CE19" s="96">
        <f t="shared" si="66"/>
        <v>0</v>
      </c>
      <c r="CF19" s="96">
        <f t="shared" si="87"/>
        <v>0</v>
      </c>
      <c r="CG19" s="96">
        <f t="shared" si="24"/>
        <v>600</v>
      </c>
      <c r="CH19" s="96"/>
      <c r="CI19" s="96">
        <f t="shared" si="38"/>
        <v>0</v>
      </c>
      <c r="CJ19" s="96">
        <f t="shared" si="67"/>
        <v>0</v>
      </c>
      <c r="CK19" s="96">
        <f t="shared" si="68"/>
        <v>0</v>
      </c>
      <c r="CL19" s="96">
        <f t="shared" si="69"/>
        <v>0</v>
      </c>
      <c r="CM19" s="96">
        <f t="shared" si="70"/>
        <v>0</v>
      </c>
      <c r="CN19" s="96">
        <f t="shared" si="71"/>
        <v>0</v>
      </c>
      <c r="CO19" s="96">
        <f t="shared" si="72"/>
        <v>5.2499999999999998E-2</v>
      </c>
      <c r="CP19" s="96">
        <f t="shared" si="73"/>
        <v>0</v>
      </c>
      <c r="CQ19" s="96">
        <f t="shared" si="74"/>
        <v>0</v>
      </c>
      <c r="CR19" s="96">
        <f t="shared" si="75"/>
        <v>0</v>
      </c>
      <c r="CS19" s="96">
        <f t="shared" si="88"/>
        <v>0</v>
      </c>
      <c r="CT19" s="96">
        <f t="shared" si="26"/>
        <v>525</v>
      </c>
      <c r="CU19" s="96"/>
      <c r="CV19" s="96">
        <f t="shared" si="39"/>
        <v>0</v>
      </c>
      <c r="CW19" s="96">
        <f t="shared" si="76"/>
        <v>0</v>
      </c>
      <c r="CX19" s="96">
        <f t="shared" si="77"/>
        <v>0</v>
      </c>
      <c r="CY19" s="96">
        <f t="shared" si="78"/>
        <v>0</v>
      </c>
      <c r="CZ19" s="96">
        <f t="shared" si="79"/>
        <v>0</v>
      </c>
      <c r="DA19" s="96">
        <f t="shared" si="80"/>
        <v>0</v>
      </c>
      <c r="DB19" s="96">
        <f t="shared" si="81"/>
        <v>4.4999999999999998E-2</v>
      </c>
      <c r="DC19" s="96">
        <f t="shared" si="82"/>
        <v>0</v>
      </c>
      <c r="DD19" s="96">
        <f t="shared" si="83"/>
        <v>0</v>
      </c>
      <c r="DE19" s="96">
        <f t="shared" si="84"/>
        <v>0</v>
      </c>
      <c r="DF19" s="96">
        <f t="shared" si="89"/>
        <v>0</v>
      </c>
      <c r="DG19" s="96">
        <f t="shared" si="28"/>
        <v>450</v>
      </c>
      <c r="DH19" s="96"/>
      <c r="DI19" s="96" t="e">
        <f t="shared" si="29"/>
        <v>#VALUE!</v>
      </c>
      <c r="DJ19" s="96" t="e">
        <f t="shared" si="7"/>
        <v>#VALUE!</v>
      </c>
      <c r="DK19" s="96" t="e">
        <f t="shared" si="8"/>
        <v>#VALUE!</v>
      </c>
      <c r="DL19" s="96" t="e">
        <f t="shared" si="9"/>
        <v>#VALUE!</v>
      </c>
      <c r="DM19" s="96" t="e">
        <f t="shared" si="10"/>
        <v>#VALUE!</v>
      </c>
      <c r="DN19" s="96" t="e">
        <f t="shared" si="11"/>
        <v>#VALUE!</v>
      </c>
      <c r="DO19" s="96" t="e">
        <f t="shared" si="12"/>
        <v>#VALUE!</v>
      </c>
      <c r="DP19" s="96" t="e">
        <f t="shared" si="13"/>
        <v>#VALUE!</v>
      </c>
      <c r="DQ19" s="96" t="e">
        <f t="shared" si="14"/>
        <v>#VALUE!</v>
      </c>
      <c r="DR19" s="96" t="e">
        <f t="shared" si="15"/>
        <v>#VALUE!</v>
      </c>
      <c r="DS19" s="96" t="e">
        <f t="shared" si="16"/>
        <v>#VALUE!</v>
      </c>
      <c r="DT19" s="96" t="e">
        <f t="shared" si="17"/>
        <v>#VALUE!</v>
      </c>
      <c r="DW19" s="178"/>
      <c r="DX19" s="178"/>
    </row>
    <row r="20" spans="1:128" ht="16.5" customHeight="1">
      <c r="A20" s="1751">
        <v>207</v>
      </c>
      <c r="B20" s="2042"/>
      <c r="C20" s="180" t="s">
        <v>133</v>
      </c>
      <c r="D20" s="187"/>
      <c r="E20" s="187"/>
      <c r="F20" s="187"/>
      <c r="G20" s="104"/>
      <c r="H20" s="187"/>
      <c r="I20" s="187"/>
      <c r="J20" s="187">
        <f>IF((U20&lt;10),SUM((AB20+(ROUNDUP((U20*AO20),2)))),SUM((AB20+(ROUNDUP(((9*AO20)+DO20),2)))))</f>
        <v>0.75</v>
      </c>
      <c r="K20" s="187">
        <f>IF((U20&lt;10),SUM((AC20+(ROUNDUP((U20*AP20),2)))),SUM((AC20+(ROUNDUP(((9*AP20)+DP20),2)))))</f>
        <v>-3</v>
      </c>
      <c r="L20" s="187"/>
      <c r="M20" s="187"/>
      <c r="N20" s="386"/>
      <c r="O20" s="398">
        <f t="shared" si="0"/>
        <v>7500</v>
      </c>
      <c r="P20" s="398"/>
      <c r="Q20" s="398"/>
      <c r="R20" s="374"/>
      <c r="S20" s="190"/>
      <c r="T20" s="96">
        <v>14</v>
      </c>
      <c r="U20" s="96">
        <f t="shared" si="18"/>
        <v>0</v>
      </c>
      <c r="V20" s="58"/>
      <c r="W20" s="58"/>
      <c r="X20" s="58"/>
      <c r="Y20" s="58"/>
      <c r="Z20" s="58"/>
      <c r="AA20" s="58"/>
      <c r="AB20" s="58">
        <v>0.75</v>
      </c>
      <c r="AC20" s="58">
        <v>-3</v>
      </c>
      <c r="AD20" s="58"/>
      <c r="AE20" s="58"/>
      <c r="AF20" s="58"/>
      <c r="AG20" s="58">
        <v>7500</v>
      </c>
      <c r="AH20" s="96"/>
      <c r="AI20" s="96"/>
      <c r="AJ20" s="96"/>
      <c r="AK20" s="96"/>
      <c r="AL20" s="96"/>
      <c r="AM20" s="96"/>
      <c r="AN20" s="96"/>
      <c r="AO20" s="96">
        <f>SUM((AB20/9))</f>
        <v>8.3333333333333329E-2</v>
      </c>
      <c r="AP20" s="96">
        <f>SUM((AC20/9))</f>
        <v>-0.33333333333333331</v>
      </c>
      <c r="AQ20" s="96"/>
      <c r="AR20" s="96"/>
      <c r="AS20" s="96"/>
      <c r="AT20" s="96">
        <f t="shared" si="1"/>
        <v>833.33333333333337</v>
      </c>
      <c r="AU20" s="96"/>
      <c r="AV20" s="96">
        <f t="shared" si="35"/>
        <v>0</v>
      </c>
      <c r="AW20" s="96">
        <f t="shared" si="40"/>
        <v>0</v>
      </c>
      <c r="AX20" s="96">
        <f t="shared" si="41"/>
        <v>0</v>
      </c>
      <c r="AY20" s="96">
        <f t="shared" si="42"/>
        <v>0</v>
      </c>
      <c r="AZ20" s="96">
        <f t="shared" si="43"/>
        <v>0</v>
      </c>
      <c r="BA20" s="96">
        <f t="shared" si="44"/>
        <v>0</v>
      </c>
      <c r="BB20" s="96">
        <f t="shared" si="45"/>
        <v>7.4999999999999997E-2</v>
      </c>
      <c r="BC20" s="96">
        <f t="shared" si="46"/>
        <v>-0.3</v>
      </c>
      <c r="BD20" s="96">
        <f t="shared" si="47"/>
        <v>0</v>
      </c>
      <c r="BE20" s="96">
        <f t="shared" si="48"/>
        <v>0</v>
      </c>
      <c r="BF20" s="96">
        <f t="shared" si="85"/>
        <v>0</v>
      </c>
      <c r="BG20" s="96">
        <f t="shared" si="20"/>
        <v>750</v>
      </c>
      <c r="BH20" s="96"/>
      <c r="BI20" s="96">
        <f t="shared" si="36"/>
        <v>0</v>
      </c>
      <c r="BJ20" s="96">
        <f t="shared" si="49"/>
        <v>0</v>
      </c>
      <c r="BK20" s="96">
        <f t="shared" si="50"/>
        <v>0</v>
      </c>
      <c r="BL20" s="96">
        <f t="shared" si="51"/>
        <v>0</v>
      </c>
      <c r="BM20" s="96">
        <f t="shared" si="52"/>
        <v>0</v>
      </c>
      <c r="BN20" s="96">
        <f t="shared" si="53"/>
        <v>0</v>
      </c>
      <c r="BO20" s="96">
        <f t="shared" si="54"/>
        <v>6.7500000000000004E-2</v>
      </c>
      <c r="BP20" s="96">
        <f t="shared" si="55"/>
        <v>-0.27</v>
      </c>
      <c r="BQ20" s="96">
        <f t="shared" si="56"/>
        <v>0</v>
      </c>
      <c r="BR20" s="96">
        <f t="shared" si="57"/>
        <v>0</v>
      </c>
      <c r="BS20" s="96">
        <f t="shared" si="86"/>
        <v>0</v>
      </c>
      <c r="BT20" s="96">
        <f t="shared" si="22"/>
        <v>675</v>
      </c>
      <c r="BU20" s="96"/>
      <c r="BV20" s="96">
        <f t="shared" si="37"/>
        <v>0</v>
      </c>
      <c r="BW20" s="96">
        <f t="shared" si="58"/>
        <v>0</v>
      </c>
      <c r="BX20" s="96">
        <f t="shared" si="59"/>
        <v>0</v>
      </c>
      <c r="BY20" s="96">
        <f t="shared" si="60"/>
        <v>0</v>
      </c>
      <c r="BZ20" s="96">
        <f t="shared" si="61"/>
        <v>0</v>
      </c>
      <c r="CA20" s="96">
        <f t="shared" si="62"/>
        <v>0</v>
      </c>
      <c r="CB20" s="96">
        <f t="shared" si="63"/>
        <v>0.06</v>
      </c>
      <c r="CC20" s="96">
        <f t="shared" si="64"/>
        <v>-0.24</v>
      </c>
      <c r="CD20" s="96">
        <f t="shared" si="65"/>
        <v>0</v>
      </c>
      <c r="CE20" s="96">
        <f t="shared" si="66"/>
        <v>0</v>
      </c>
      <c r="CF20" s="96">
        <f t="shared" si="87"/>
        <v>0</v>
      </c>
      <c r="CG20" s="96">
        <f t="shared" si="24"/>
        <v>600</v>
      </c>
      <c r="CH20" s="96"/>
      <c r="CI20" s="96">
        <f t="shared" si="38"/>
        <v>0</v>
      </c>
      <c r="CJ20" s="96">
        <f t="shared" si="67"/>
        <v>0</v>
      </c>
      <c r="CK20" s="96">
        <f t="shared" si="68"/>
        <v>0</v>
      </c>
      <c r="CL20" s="96">
        <f t="shared" si="69"/>
        <v>0</v>
      </c>
      <c r="CM20" s="96">
        <f t="shared" si="70"/>
        <v>0</v>
      </c>
      <c r="CN20" s="96">
        <f t="shared" si="71"/>
        <v>0</v>
      </c>
      <c r="CO20" s="96">
        <f t="shared" si="72"/>
        <v>5.2499999999999998E-2</v>
      </c>
      <c r="CP20" s="96">
        <f t="shared" si="73"/>
        <v>-0.21</v>
      </c>
      <c r="CQ20" s="96">
        <f t="shared" si="74"/>
        <v>0</v>
      </c>
      <c r="CR20" s="96">
        <f t="shared" si="75"/>
        <v>0</v>
      </c>
      <c r="CS20" s="96">
        <f t="shared" si="88"/>
        <v>0</v>
      </c>
      <c r="CT20" s="96">
        <f t="shared" si="26"/>
        <v>525</v>
      </c>
      <c r="CU20" s="96"/>
      <c r="CV20" s="96">
        <f t="shared" si="39"/>
        <v>0</v>
      </c>
      <c r="CW20" s="96">
        <f t="shared" si="76"/>
        <v>0</v>
      </c>
      <c r="CX20" s="96">
        <f t="shared" si="77"/>
        <v>0</v>
      </c>
      <c r="CY20" s="96">
        <f t="shared" si="78"/>
        <v>0</v>
      </c>
      <c r="CZ20" s="96">
        <f t="shared" si="79"/>
        <v>0</v>
      </c>
      <c r="DA20" s="96">
        <f t="shared" si="80"/>
        <v>0</v>
      </c>
      <c r="DB20" s="96">
        <f t="shared" si="81"/>
        <v>4.4999999999999998E-2</v>
      </c>
      <c r="DC20" s="96">
        <f t="shared" si="82"/>
        <v>-0.18</v>
      </c>
      <c r="DD20" s="96">
        <f t="shared" si="83"/>
        <v>0</v>
      </c>
      <c r="DE20" s="96">
        <f t="shared" si="84"/>
        <v>0</v>
      </c>
      <c r="DF20" s="96">
        <f t="shared" si="89"/>
        <v>0</v>
      </c>
      <c r="DG20" s="96">
        <f t="shared" si="28"/>
        <v>450</v>
      </c>
      <c r="DH20" s="96"/>
      <c r="DI20" s="96" t="e">
        <f t="shared" si="29"/>
        <v>#VALUE!</v>
      </c>
      <c r="DJ20" s="96" t="e">
        <f t="shared" si="7"/>
        <v>#VALUE!</v>
      </c>
      <c r="DK20" s="96" t="e">
        <f t="shared" si="8"/>
        <v>#VALUE!</v>
      </c>
      <c r="DL20" s="96" t="e">
        <f t="shared" si="9"/>
        <v>#VALUE!</v>
      </c>
      <c r="DM20" s="96" t="e">
        <f t="shared" si="10"/>
        <v>#VALUE!</v>
      </c>
      <c r="DN20" s="96" t="e">
        <f t="shared" si="11"/>
        <v>#VALUE!</v>
      </c>
      <c r="DO20" s="96" t="e">
        <f t="shared" si="12"/>
        <v>#VALUE!</v>
      </c>
      <c r="DP20" s="96" t="e">
        <f t="shared" si="13"/>
        <v>#VALUE!</v>
      </c>
      <c r="DQ20" s="96" t="e">
        <f t="shared" si="14"/>
        <v>#VALUE!</v>
      </c>
      <c r="DR20" s="96" t="e">
        <f t="shared" si="15"/>
        <v>#VALUE!</v>
      </c>
      <c r="DS20" s="96" t="e">
        <f t="shared" si="16"/>
        <v>#VALUE!</v>
      </c>
      <c r="DT20" s="96" t="e">
        <f t="shared" si="17"/>
        <v>#VALUE!</v>
      </c>
      <c r="DW20" s="178"/>
      <c r="DX20" s="178"/>
    </row>
    <row r="21" spans="1:128" ht="16.5" customHeight="1">
      <c r="A21" s="1750">
        <v>208</v>
      </c>
      <c r="B21" s="2042"/>
      <c r="C21" s="181" t="s">
        <v>134</v>
      </c>
      <c r="D21" s="186"/>
      <c r="E21" s="186"/>
      <c r="F21" s="186"/>
      <c r="G21" s="200"/>
      <c r="H21" s="186"/>
      <c r="I21" s="186"/>
      <c r="J21" s="186"/>
      <c r="K21" s="186">
        <f>IF((U21&lt;10),SUM((AC21+(ROUNDUP((U21*AP21),2)))),SUM((AC21+(ROUNDUP(((9*AP21)+DP21),2)))))</f>
        <v>-3</v>
      </c>
      <c r="L21" s="186"/>
      <c r="M21" s="186"/>
      <c r="N21" s="387"/>
      <c r="O21" s="397">
        <f t="shared" si="0"/>
        <v>7500</v>
      </c>
      <c r="P21" s="397"/>
      <c r="Q21" s="397"/>
      <c r="R21" s="374"/>
      <c r="S21" s="190"/>
      <c r="T21" s="96">
        <v>15</v>
      </c>
      <c r="U21" s="96">
        <f t="shared" si="18"/>
        <v>0</v>
      </c>
      <c r="V21" s="58"/>
      <c r="W21" s="58"/>
      <c r="X21" s="58"/>
      <c r="Y21" s="58"/>
      <c r="Z21" s="58"/>
      <c r="AA21" s="58"/>
      <c r="AB21" s="58"/>
      <c r="AC21" s="58">
        <v>-3</v>
      </c>
      <c r="AD21" s="58"/>
      <c r="AE21" s="58"/>
      <c r="AF21" s="58"/>
      <c r="AG21" s="58">
        <v>7500</v>
      </c>
      <c r="AH21" s="96"/>
      <c r="AI21" s="96"/>
      <c r="AJ21" s="96"/>
      <c r="AK21" s="96"/>
      <c r="AL21" s="96"/>
      <c r="AM21" s="96"/>
      <c r="AN21" s="96"/>
      <c r="AO21" s="96"/>
      <c r="AP21" s="96">
        <f>SUM((AC21/9))</f>
        <v>-0.33333333333333331</v>
      </c>
      <c r="AQ21" s="96"/>
      <c r="AR21" s="96"/>
      <c r="AS21" s="96"/>
      <c r="AT21" s="96">
        <f t="shared" si="1"/>
        <v>833.33333333333337</v>
      </c>
      <c r="AU21" s="96"/>
      <c r="AV21" s="96">
        <f t="shared" si="35"/>
        <v>0</v>
      </c>
      <c r="AW21" s="96">
        <f t="shared" si="40"/>
        <v>0</v>
      </c>
      <c r="AX21" s="96">
        <f t="shared" si="41"/>
        <v>0</v>
      </c>
      <c r="AY21" s="96">
        <f t="shared" si="42"/>
        <v>0</v>
      </c>
      <c r="AZ21" s="96">
        <f t="shared" si="43"/>
        <v>0</v>
      </c>
      <c r="BA21" s="96">
        <f t="shared" si="44"/>
        <v>0</v>
      </c>
      <c r="BB21" s="96">
        <f t="shared" si="45"/>
        <v>0</v>
      </c>
      <c r="BC21" s="96">
        <f t="shared" si="46"/>
        <v>-0.3</v>
      </c>
      <c r="BD21" s="96">
        <f t="shared" si="47"/>
        <v>0</v>
      </c>
      <c r="BE21" s="96">
        <f t="shared" si="48"/>
        <v>0</v>
      </c>
      <c r="BF21" s="96">
        <f t="shared" si="85"/>
        <v>0</v>
      </c>
      <c r="BG21" s="96">
        <f t="shared" si="20"/>
        <v>750</v>
      </c>
      <c r="BH21" s="96"/>
      <c r="BI21" s="96">
        <f t="shared" si="36"/>
        <v>0</v>
      </c>
      <c r="BJ21" s="96">
        <f t="shared" si="49"/>
        <v>0</v>
      </c>
      <c r="BK21" s="96">
        <f t="shared" si="50"/>
        <v>0</v>
      </c>
      <c r="BL21" s="96">
        <f t="shared" si="51"/>
        <v>0</v>
      </c>
      <c r="BM21" s="96">
        <f t="shared" si="52"/>
        <v>0</v>
      </c>
      <c r="BN21" s="96">
        <f t="shared" si="53"/>
        <v>0</v>
      </c>
      <c r="BO21" s="96">
        <f t="shared" si="54"/>
        <v>0</v>
      </c>
      <c r="BP21" s="96">
        <f t="shared" si="55"/>
        <v>-0.27</v>
      </c>
      <c r="BQ21" s="96">
        <f t="shared" si="56"/>
        <v>0</v>
      </c>
      <c r="BR21" s="96">
        <f t="shared" si="57"/>
        <v>0</v>
      </c>
      <c r="BS21" s="96">
        <f t="shared" si="86"/>
        <v>0</v>
      </c>
      <c r="BT21" s="96">
        <f t="shared" si="22"/>
        <v>675</v>
      </c>
      <c r="BU21" s="96"/>
      <c r="BV21" s="96">
        <f t="shared" si="37"/>
        <v>0</v>
      </c>
      <c r="BW21" s="96">
        <f t="shared" si="58"/>
        <v>0</v>
      </c>
      <c r="BX21" s="96">
        <f t="shared" si="59"/>
        <v>0</v>
      </c>
      <c r="BY21" s="96">
        <f t="shared" si="60"/>
        <v>0</v>
      </c>
      <c r="BZ21" s="96">
        <f t="shared" si="61"/>
        <v>0</v>
      </c>
      <c r="CA21" s="96">
        <f t="shared" si="62"/>
        <v>0</v>
      </c>
      <c r="CB21" s="96">
        <f t="shared" si="63"/>
        <v>0</v>
      </c>
      <c r="CC21" s="96">
        <f t="shared" si="64"/>
        <v>-0.24</v>
      </c>
      <c r="CD21" s="96">
        <f t="shared" si="65"/>
        <v>0</v>
      </c>
      <c r="CE21" s="96">
        <f t="shared" si="66"/>
        <v>0</v>
      </c>
      <c r="CF21" s="96">
        <f t="shared" si="87"/>
        <v>0</v>
      </c>
      <c r="CG21" s="96">
        <f t="shared" si="24"/>
        <v>600</v>
      </c>
      <c r="CH21" s="96"/>
      <c r="CI21" s="96">
        <f t="shared" si="38"/>
        <v>0</v>
      </c>
      <c r="CJ21" s="96">
        <f t="shared" si="67"/>
        <v>0</v>
      </c>
      <c r="CK21" s="96">
        <f t="shared" si="68"/>
        <v>0</v>
      </c>
      <c r="CL21" s="96">
        <f t="shared" si="69"/>
        <v>0</v>
      </c>
      <c r="CM21" s="96">
        <f t="shared" si="70"/>
        <v>0</v>
      </c>
      <c r="CN21" s="96">
        <f t="shared" si="71"/>
        <v>0</v>
      </c>
      <c r="CO21" s="96">
        <f t="shared" si="72"/>
        <v>0</v>
      </c>
      <c r="CP21" s="96">
        <f t="shared" si="73"/>
        <v>-0.21</v>
      </c>
      <c r="CQ21" s="96">
        <f t="shared" si="74"/>
        <v>0</v>
      </c>
      <c r="CR21" s="96">
        <f t="shared" si="75"/>
        <v>0</v>
      </c>
      <c r="CS21" s="96">
        <f t="shared" si="88"/>
        <v>0</v>
      </c>
      <c r="CT21" s="96">
        <f t="shared" si="26"/>
        <v>525</v>
      </c>
      <c r="CU21" s="96"/>
      <c r="CV21" s="96">
        <f t="shared" si="39"/>
        <v>0</v>
      </c>
      <c r="CW21" s="96">
        <f t="shared" si="76"/>
        <v>0</v>
      </c>
      <c r="CX21" s="96">
        <f t="shared" si="77"/>
        <v>0</v>
      </c>
      <c r="CY21" s="96">
        <f t="shared" si="78"/>
        <v>0</v>
      </c>
      <c r="CZ21" s="96">
        <f t="shared" si="79"/>
        <v>0</v>
      </c>
      <c r="DA21" s="96">
        <f t="shared" si="80"/>
        <v>0</v>
      </c>
      <c r="DB21" s="96">
        <f t="shared" si="81"/>
        <v>0</v>
      </c>
      <c r="DC21" s="96">
        <f t="shared" si="82"/>
        <v>-0.18</v>
      </c>
      <c r="DD21" s="96">
        <f t="shared" si="83"/>
        <v>0</v>
      </c>
      <c r="DE21" s="96">
        <f t="shared" si="84"/>
        <v>0</v>
      </c>
      <c r="DF21" s="96">
        <f t="shared" si="89"/>
        <v>0</v>
      </c>
      <c r="DG21" s="96">
        <f t="shared" si="28"/>
        <v>450</v>
      </c>
      <c r="DH21" s="96"/>
      <c r="DI21" s="96" t="e">
        <f t="shared" si="29"/>
        <v>#VALUE!</v>
      </c>
      <c r="DJ21" s="96" t="e">
        <f t="shared" si="7"/>
        <v>#VALUE!</v>
      </c>
      <c r="DK21" s="96" t="e">
        <f t="shared" si="8"/>
        <v>#VALUE!</v>
      </c>
      <c r="DL21" s="96" t="e">
        <f t="shared" si="9"/>
        <v>#VALUE!</v>
      </c>
      <c r="DM21" s="96" t="e">
        <f t="shared" si="10"/>
        <v>#VALUE!</v>
      </c>
      <c r="DN21" s="96" t="e">
        <f t="shared" si="11"/>
        <v>#VALUE!</v>
      </c>
      <c r="DO21" s="96" t="e">
        <f t="shared" si="12"/>
        <v>#VALUE!</v>
      </c>
      <c r="DP21" s="96" t="e">
        <f t="shared" si="13"/>
        <v>#VALUE!</v>
      </c>
      <c r="DQ21" s="96" t="e">
        <f t="shared" si="14"/>
        <v>#VALUE!</v>
      </c>
      <c r="DR21" s="96" t="e">
        <f t="shared" si="15"/>
        <v>#VALUE!</v>
      </c>
      <c r="DS21" s="96" t="e">
        <f t="shared" si="16"/>
        <v>#VALUE!</v>
      </c>
      <c r="DT21" s="96" t="e">
        <f t="shared" si="17"/>
        <v>#VALUE!</v>
      </c>
      <c r="DW21" s="178"/>
      <c r="DX21" s="178"/>
    </row>
    <row r="22" spans="1:128" ht="16.5" customHeight="1" thickBot="1">
      <c r="A22" s="1751">
        <v>209</v>
      </c>
      <c r="B22" s="2043"/>
      <c r="C22" s="207" t="s">
        <v>135</v>
      </c>
      <c r="D22" s="218"/>
      <c r="E22" s="218"/>
      <c r="F22" s="218"/>
      <c r="G22" s="219"/>
      <c r="H22" s="218"/>
      <c r="I22" s="218"/>
      <c r="J22" s="218"/>
      <c r="K22" s="218"/>
      <c r="L22" s="218">
        <f>IF((U22&lt;10),SUM((AD22+(ROUNDUP((U22*AQ22),2)))),SUM((AD22+(ROUNDUP(((9*AQ22)+DQ22),2)))))</f>
        <v>15</v>
      </c>
      <c r="M22" s="218">
        <f>IF((U22&lt;10),SUM((AE22+(ROUNDUP((U22*AR22),2)))),SUM((AE22+(ROUNDUP(((9*AR22)+DR22),2)))))</f>
        <v>60</v>
      </c>
      <c r="N22" s="388">
        <f>IF((U22&lt;10),SUM((AF22+(ROUNDUP((U22*AS22),2)))),SUM((AF22+(ROUNDUP(((9*AS22)+DS22),2)))))</f>
        <v>50</v>
      </c>
      <c r="O22" s="398">
        <f t="shared" si="0"/>
        <v>7500</v>
      </c>
      <c r="P22" s="398"/>
      <c r="Q22" s="398"/>
      <c r="R22" s="374"/>
      <c r="S22" s="190"/>
      <c r="U22" s="96">
        <f t="shared" si="18"/>
        <v>0</v>
      </c>
      <c r="V22" s="58"/>
      <c r="W22" s="58"/>
      <c r="X22" s="58"/>
      <c r="Y22" s="58"/>
      <c r="Z22" s="58"/>
      <c r="AA22" s="58"/>
      <c r="AB22" s="58"/>
      <c r="AC22" s="58"/>
      <c r="AD22" s="58">
        <v>15</v>
      </c>
      <c r="AE22" s="58">
        <v>60</v>
      </c>
      <c r="AF22" s="58">
        <v>50</v>
      </c>
      <c r="AG22" s="58">
        <v>7500</v>
      </c>
      <c r="AH22" s="96"/>
      <c r="AI22" s="96"/>
      <c r="AJ22" s="96"/>
      <c r="AK22" s="96"/>
      <c r="AL22" s="96"/>
      <c r="AM22" s="96"/>
      <c r="AN22" s="96"/>
      <c r="AO22" s="96"/>
      <c r="AP22" s="96"/>
      <c r="AQ22" s="96">
        <f>SUM((AD22/9))</f>
        <v>1.6666666666666667</v>
      </c>
      <c r="AR22" s="96"/>
      <c r="AS22" s="96"/>
      <c r="AT22" s="96">
        <f t="shared" si="1"/>
        <v>833.33333333333337</v>
      </c>
      <c r="AU22" s="96"/>
      <c r="AV22" s="96">
        <f t="shared" si="35"/>
        <v>0</v>
      </c>
      <c r="AW22" s="96">
        <f t="shared" si="40"/>
        <v>0</v>
      </c>
      <c r="AX22" s="96">
        <f t="shared" si="41"/>
        <v>0</v>
      </c>
      <c r="AY22" s="96">
        <f t="shared" si="42"/>
        <v>0</v>
      </c>
      <c r="AZ22" s="96">
        <f t="shared" si="43"/>
        <v>0</v>
      </c>
      <c r="BA22" s="96">
        <f t="shared" si="44"/>
        <v>0</v>
      </c>
      <c r="BB22" s="96">
        <f t="shared" si="45"/>
        <v>0</v>
      </c>
      <c r="BC22" s="96">
        <f t="shared" si="46"/>
        <v>0</v>
      </c>
      <c r="BD22" s="96">
        <f t="shared" si="47"/>
        <v>1.5</v>
      </c>
      <c r="BE22" s="96">
        <f t="shared" si="48"/>
        <v>0</v>
      </c>
      <c r="BF22" s="96">
        <f t="shared" si="85"/>
        <v>0</v>
      </c>
      <c r="BG22" s="96">
        <f t="shared" si="20"/>
        <v>750</v>
      </c>
      <c r="BH22" s="96"/>
      <c r="BI22" s="96">
        <f t="shared" si="36"/>
        <v>0</v>
      </c>
      <c r="BJ22" s="96">
        <f t="shared" si="49"/>
        <v>0</v>
      </c>
      <c r="BK22" s="96">
        <f t="shared" si="50"/>
        <v>0</v>
      </c>
      <c r="BL22" s="96">
        <f t="shared" si="51"/>
        <v>0</v>
      </c>
      <c r="BM22" s="96">
        <f t="shared" si="52"/>
        <v>0</v>
      </c>
      <c r="BN22" s="96">
        <f t="shared" si="53"/>
        <v>0</v>
      </c>
      <c r="BO22" s="96">
        <f t="shared" si="54"/>
        <v>0</v>
      </c>
      <c r="BP22" s="96">
        <f t="shared" si="55"/>
        <v>0</v>
      </c>
      <c r="BQ22" s="96">
        <f t="shared" si="56"/>
        <v>1.35</v>
      </c>
      <c r="BR22" s="96">
        <f t="shared" si="57"/>
        <v>0</v>
      </c>
      <c r="BS22" s="96">
        <f t="shared" si="86"/>
        <v>0</v>
      </c>
      <c r="BT22" s="96">
        <f t="shared" si="22"/>
        <v>675</v>
      </c>
      <c r="BU22" s="96"/>
      <c r="BV22" s="96">
        <f t="shared" si="37"/>
        <v>0</v>
      </c>
      <c r="BW22" s="96">
        <f t="shared" si="58"/>
        <v>0</v>
      </c>
      <c r="BX22" s="96">
        <f t="shared" si="59"/>
        <v>0</v>
      </c>
      <c r="BY22" s="96">
        <f t="shared" si="60"/>
        <v>0</v>
      </c>
      <c r="BZ22" s="96">
        <f t="shared" si="61"/>
        <v>0</v>
      </c>
      <c r="CA22" s="96">
        <f t="shared" si="62"/>
        <v>0</v>
      </c>
      <c r="CB22" s="96">
        <f t="shared" si="63"/>
        <v>0</v>
      </c>
      <c r="CC22" s="96">
        <f t="shared" si="64"/>
        <v>0</v>
      </c>
      <c r="CD22" s="96">
        <f t="shared" si="65"/>
        <v>1.2000000000000002</v>
      </c>
      <c r="CE22" s="96">
        <f t="shared" si="66"/>
        <v>0</v>
      </c>
      <c r="CF22" s="96">
        <f t="shared" si="87"/>
        <v>0</v>
      </c>
      <c r="CG22" s="96">
        <f t="shared" si="24"/>
        <v>600</v>
      </c>
      <c r="CH22" s="96"/>
      <c r="CI22" s="96">
        <f t="shared" si="38"/>
        <v>0</v>
      </c>
      <c r="CJ22" s="96">
        <f t="shared" si="67"/>
        <v>0</v>
      </c>
      <c r="CK22" s="96">
        <f t="shared" si="68"/>
        <v>0</v>
      </c>
      <c r="CL22" s="96">
        <f t="shared" si="69"/>
        <v>0</v>
      </c>
      <c r="CM22" s="96">
        <f t="shared" si="70"/>
        <v>0</v>
      </c>
      <c r="CN22" s="96">
        <f t="shared" si="71"/>
        <v>0</v>
      </c>
      <c r="CO22" s="96">
        <f t="shared" si="72"/>
        <v>0</v>
      </c>
      <c r="CP22" s="96">
        <f t="shared" si="73"/>
        <v>0</v>
      </c>
      <c r="CQ22" s="96">
        <f t="shared" si="74"/>
        <v>1.0499999999999998</v>
      </c>
      <c r="CR22" s="96">
        <f t="shared" si="75"/>
        <v>0</v>
      </c>
      <c r="CS22" s="96">
        <f t="shared" si="88"/>
        <v>0</v>
      </c>
      <c r="CT22" s="96">
        <f t="shared" si="26"/>
        <v>525</v>
      </c>
      <c r="CU22" s="96"/>
      <c r="CV22" s="96">
        <f t="shared" si="39"/>
        <v>0</v>
      </c>
      <c r="CW22" s="96">
        <f t="shared" si="76"/>
        <v>0</v>
      </c>
      <c r="CX22" s="96">
        <f t="shared" si="77"/>
        <v>0</v>
      </c>
      <c r="CY22" s="96">
        <f t="shared" si="78"/>
        <v>0</v>
      </c>
      <c r="CZ22" s="96">
        <f t="shared" si="79"/>
        <v>0</v>
      </c>
      <c r="DA22" s="96">
        <f t="shared" si="80"/>
        <v>0</v>
      </c>
      <c r="DB22" s="96">
        <f t="shared" si="81"/>
        <v>0</v>
      </c>
      <c r="DC22" s="96">
        <f t="shared" si="82"/>
        <v>0</v>
      </c>
      <c r="DD22" s="96">
        <f t="shared" si="83"/>
        <v>0.89999999999999991</v>
      </c>
      <c r="DE22" s="96">
        <f t="shared" si="84"/>
        <v>0</v>
      </c>
      <c r="DF22" s="96">
        <f t="shared" si="89"/>
        <v>0</v>
      </c>
      <c r="DG22" s="96">
        <f t="shared" si="28"/>
        <v>450</v>
      </c>
      <c r="DH22" s="96"/>
      <c r="DI22" s="96" t="e">
        <f t="shared" si="29"/>
        <v>#VALUE!</v>
      </c>
      <c r="DJ22" s="96" t="e">
        <f t="shared" si="7"/>
        <v>#VALUE!</v>
      </c>
      <c r="DK22" s="96" t="e">
        <f t="shared" si="8"/>
        <v>#VALUE!</v>
      </c>
      <c r="DL22" s="96" t="e">
        <f t="shared" si="9"/>
        <v>#VALUE!</v>
      </c>
      <c r="DM22" s="96" t="e">
        <f t="shared" si="10"/>
        <v>#VALUE!</v>
      </c>
      <c r="DN22" s="96" t="e">
        <f t="shared" si="11"/>
        <v>#VALUE!</v>
      </c>
      <c r="DO22" s="96" t="e">
        <f t="shared" si="12"/>
        <v>#VALUE!</v>
      </c>
      <c r="DP22" s="96" t="e">
        <f t="shared" si="13"/>
        <v>#VALUE!</v>
      </c>
      <c r="DQ22" s="96" t="e">
        <f t="shared" si="14"/>
        <v>#VALUE!</v>
      </c>
      <c r="DR22" s="96" t="e">
        <f t="shared" si="15"/>
        <v>#VALUE!</v>
      </c>
      <c r="DS22" s="96" t="e">
        <f t="shared" si="16"/>
        <v>#VALUE!</v>
      </c>
      <c r="DT22" s="96" t="e">
        <f t="shared" si="17"/>
        <v>#VALUE!</v>
      </c>
      <c r="DW22" s="178"/>
      <c r="DX22" s="178"/>
    </row>
    <row r="23" spans="1:128" s="338" customFormat="1" ht="16.5" customHeight="1" thickBot="1">
      <c r="A23" s="1751">
        <v>301</v>
      </c>
      <c r="B23" s="357"/>
      <c r="C23" s="358"/>
      <c r="D23" s="359"/>
      <c r="E23" s="359"/>
      <c r="F23" s="359"/>
      <c r="G23" s="360"/>
      <c r="H23" s="359"/>
      <c r="I23" s="359"/>
      <c r="J23" s="359"/>
      <c r="K23" s="359"/>
      <c r="L23" s="359"/>
      <c r="M23" s="359"/>
      <c r="N23" s="371"/>
      <c r="O23" s="399"/>
      <c r="P23" s="399"/>
      <c r="Q23" s="399"/>
      <c r="R23" s="374"/>
      <c r="S23" s="377"/>
      <c r="T23" s="361"/>
      <c r="U23" s="362"/>
      <c r="V23" s="363"/>
      <c r="W23" s="363"/>
      <c r="X23" s="363"/>
      <c r="Y23" s="363"/>
      <c r="Z23" s="363"/>
      <c r="AA23" s="363"/>
      <c r="AB23" s="363"/>
      <c r="AC23" s="363"/>
      <c r="AD23" s="363"/>
      <c r="AE23" s="363"/>
      <c r="AF23" s="363"/>
      <c r="AG23" s="363"/>
      <c r="AH23" s="362"/>
      <c r="AI23" s="362"/>
      <c r="AJ23" s="362"/>
      <c r="AK23" s="362"/>
      <c r="AL23" s="362"/>
      <c r="AM23" s="362"/>
      <c r="AN23" s="362"/>
      <c r="AO23" s="362"/>
      <c r="AP23" s="362"/>
      <c r="AQ23" s="362"/>
      <c r="AR23" s="362"/>
      <c r="AS23" s="362"/>
      <c r="AT23" s="362"/>
      <c r="AU23" s="362"/>
      <c r="AV23" s="362"/>
      <c r="AW23" s="362"/>
      <c r="AX23" s="362"/>
      <c r="AY23" s="362"/>
      <c r="AZ23" s="362"/>
      <c r="BA23" s="362"/>
      <c r="BB23" s="362"/>
      <c r="BC23" s="362"/>
      <c r="BD23" s="362"/>
      <c r="BE23" s="362"/>
      <c r="BF23" s="362"/>
      <c r="BG23" s="362"/>
      <c r="BH23" s="362"/>
      <c r="BI23" s="362"/>
      <c r="BJ23" s="362"/>
      <c r="BK23" s="362"/>
      <c r="BL23" s="362"/>
      <c r="BM23" s="362"/>
      <c r="BN23" s="362"/>
      <c r="BO23" s="362"/>
      <c r="BP23" s="362"/>
      <c r="BQ23" s="362"/>
      <c r="BR23" s="362"/>
      <c r="BS23" s="362"/>
      <c r="BT23" s="362"/>
      <c r="BU23" s="362"/>
      <c r="BV23" s="362"/>
      <c r="BW23" s="362"/>
      <c r="BX23" s="362"/>
      <c r="BY23" s="362"/>
      <c r="BZ23" s="362"/>
      <c r="CA23" s="362"/>
      <c r="CB23" s="362"/>
      <c r="CC23" s="362"/>
      <c r="CD23" s="362"/>
      <c r="CE23" s="362"/>
      <c r="CF23" s="362"/>
      <c r="CG23" s="362"/>
      <c r="CH23" s="362"/>
      <c r="CI23" s="362"/>
      <c r="CJ23" s="362"/>
      <c r="CK23" s="362"/>
      <c r="CL23" s="362"/>
      <c r="CM23" s="362"/>
      <c r="CN23" s="362"/>
      <c r="CO23" s="362"/>
      <c r="CP23" s="362"/>
      <c r="CQ23" s="362"/>
      <c r="CR23" s="362"/>
      <c r="CS23" s="362"/>
      <c r="CT23" s="362"/>
      <c r="CU23" s="362"/>
      <c r="CV23" s="362"/>
      <c r="CW23" s="362"/>
      <c r="CX23" s="362"/>
      <c r="CY23" s="362"/>
      <c r="CZ23" s="362"/>
      <c r="DA23" s="362"/>
      <c r="DB23" s="362"/>
      <c r="DC23" s="362"/>
      <c r="DD23" s="362"/>
      <c r="DE23" s="362"/>
      <c r="DF23" s="362"/>
      <c r="DG23" s="362"/>
      <c r="DH23" s="362"/>
      <c r="DI23" s="362"/>
      <c r="DJ23" s="362"/>
      <c r="DK23" s="362"/>
      <c r="DL23" s="362"/>
      <c r="DM23" s="362"/>
      <c r="DN23" s="362"/>
      <c r="DO23" s="362"/>
      <c r="DP23" s="362"/>
      <c r="DQ23" s="362"/>
      <c r="DR23" s="362"/>
      <c r="DS23" s="362"/>
      <c r="DT23" s="362"/>
      <c r="DU23" s="364"/>
      <c r="DV23" s="364"/>
      <c r="DW23" s="426"/>
      <c r="DX23" s="426"/>
    </row>
    <row r="24" spans="1:128" ht="16.5" customHeight="1">
      <c r="A24" s="1750">
        <v>302</v>
      </c>
      <c r="B24" s="2044" t="s">
        <v>109</v>
      </c>
      <c r="C24" s="208" t="s">
        <v>136</v>
      </c>
      <c r="D24" s="220">
        <f>IF((U24&lt;10),SUM((V24+(ROUNDUP((U24*AI24),2)))),SUM((V24+(ROUNDUP(((9*AI24)+DI24),2)))))</f>
        <v>0.75</v>
      </c>
      <c r="E24" s="220">
        <f>IF((U24&lt;10),SUM((W24+(ROUNDUP((U24*AJ24),2)))),SUM((W24+(ROUNDUP(((9*AJ24)+DJ24),2)))))</f>
        <v>0.75</v>
      </c>
      <c r="F24" s="220"/>
      <c r="G24" s="221"/>
      <c r="H24" s="220"/>
      <c r="I24" s="220"/>
      <c r="J24" s="220"/>
      <c r="K24" s="220"/>
      <c r="L24" s="220"/>
      <c r="M24" s="220"/>
      <c r="N24" s="389"/>
      <c r="O24" s="400">
        <f t="shared" si="0"/>
        <v>17500</v>
      </c>
      <c r="P24" s="400"/>
      <c r="Q24" s="400"/>
      <c r="R24" s="374"/>
      <c r="S24" s="190"/>
      <c r="U24" s="96">
        <f>U22</f>
        <v>0</v>
      </c>
      <c r="V24" s="58">
        <v>0.75</v>
      </c>
      <c r="W24" s="58">
        <v>0.75</v>
      </c>
      <c r="X24" s="58"/>
      <c r="Y24" s="58"/>
      <c r="Z24" s="58"/>
      <c r="AA24" s="58"/>
      <c r="AB24" s="58"/>
      <c r="AC24" s="58"/>
      <c r="AD24" s="58"/>
      <c r="AE24" s="58"/>
      <c r="AF24" s="58"/>
      <c r="AG24" s="58">
        <v>17500</v>
      </c>
      <c r="AH24" s="96"/>
      <c r="AI24" s="96">
        <f>SUM((V24/9))</f>
        <v>8.3333333333333329E-2</v>
      </c>
      <c r="AJ24" s="96">
        <f>SUM((W24/9))</f>
        <v>8.3333333333333329E-2</v>
      </c>
      <c r="AK24" s="96"/>
      <c r="AL24" s="96"/>
      <c r="AM24" s="96"/>
      <c r="AN24" s="96"/>
      <c r="AO24" s="96"/>
      <c r="AP24" s="96"/>
      <c r="AQ24" s="96"/>
      <c r="AR24" s="96"/>
      <c r="AS24" s="96"/>
      <c r="AT24" s="96">
        <f t="shared" si="1"/>
        <v>1944.4444444444443</v>
      </c>
      <c r="AU24" s="96"/>
      <c r="AV24" s="96">
        <f t="shared" si="35"/>
        <v>7.4999999999999997E-2</v>
      </c>
      <c r="AW24" s="96">
        <f t="shared" si="40"/>
        <v>7.4999999999999997E-2</v>
      </c>
      <c r="AX24" s="96">
        <f t="shared" si="41"/>
        <v>0</v>
      </c>
      <c r="AY24" s="96">
        <f t="shared" si="42"/>
        <v>0</v>
      </c>
      <c r="AZ24" s="96">
        <f t="shared" si="43"/>
        <v>0</v>
      </c>
      <c r="BA24" s="96">
        <f t="shared" si="44"/>
        <v>0</v>
      </c>
      <c r="BB24" s="96">
        <f t="shared" si="45"/>
        <v>0</v>
      </c>
      <c r="BC24" s="96">
        <f t="shared" si="46"/>
        <v>0</v>
      </c>
      <c r="BD24" s="96">
        <f t="shared" si="47"/>
        <v>0</v>
      </c>
      <c r="BE24" s="96">
        <f t="shared" si="48"/>
        <v>0</v>
      </c>
      <c r="BF24" s="96">
        <f t="shared" si="85"/>
        <v>0</v>
      </c>
      <c r="BG24" s="96">
        <f t="shared" si="20"/>
        <v>1750</v>
      </c>
      <c r="BH24" s="96"/>
      <c r="BI24" s="96">
        <f t="shared" si="36"/>
        <v>6.7500000000000004E-2</v>
      </c>
      <c r="BJ24" s="96">
        <f t="shared" si="49"/>
        <v>6.7500000000000004E-2</v>
      </c>
      <c r="BK24" s="96">
        <f t="shared" si="50"/>
        <v>0</v>
      </c>
      <c r="BL24" s="96">
        <f t="shared" si="51"/>
        <v>0</v>
      </c>
      <c r="BM24" s="96">
        <f t="shared" si="52"/>
        <v>0</v>
      </c>
      <c r="BN24" s="96">
        <f t="shared" si="53"/>
        <v>0</v>
      </c>
      <c r="BO24" s="96">
        <f t="shared" si="54"/>
        <v>0</v>
      </c>
      <c r="BP24" s="96">
        <f t="shared" si="55"/>
        <v>0</v>
      </c>
      <c r="BQ24" s="96">
        <f t="shared" si="56"/>
        <v>0</v>
      </c>
      <c r="BR24" s="96">
        <f t="shared" si="57"/>
        <v>0</v>
      </c>
      <c r="BS24" s="96">
        <f t="shared" si="86"/>
        <v>0</v>
      </c>
      <c r="BT24" s="96">
        <f t="shared" si="22"/>
        <v>1575</v>
      </c>
      <c r="BU24" s="96"/>
      <c r="BV24" s="96">
        <f t="shared" si="37"/>
        <v>0.06</v>
      </c>
      <c r="BW24" s="96">
        <f t="shared" si="58"/>
        <v>0.06</v>
      </c>
      <c r="BX24" s="96">
        <f t="shared" si="59"/>
        <v>0</v>
      </c>
      <c r="BY24" s="96">
        <f t="shared" si="60"/>
        <v>0</v>
      </c>
      <c r="BZ24" s="96">
        <f t="shared" si="61"/>
        <v>0</v>
      </c>
      <c r="CA24" s="96">
        <f t="shared" si="62"/>
        <v>0</v>
      </c>
      <c r="CB24" s="96">
        <f t="shared" si="63"/>
        <v>0</v>
      </c>
      <c r="CC24" s="96">
        <f t="shared" si="64"/>
        <v>0</v>
      </c>
      <c r="CD24" s="96">
        <f t="shared" si="65"/>
        <v>0</v>
      </c>
      <c r="CE24" s="96">
        <f t="shared" si="66"/>
        <v>0</v>
      </c>
      <c r="CF24" s="96">
        <f t="shared" si="87"/>
        <v>0</v>
      </c>
      <c r="CG24" s="96">
        <f t="shared" si="24"/>
        <v>1400</v>
      </c>
      <c r="CH24" s="96"/>
      <c r="CI24" s="96">
        <f t="shared" si="38"/>
        <v>5.2499999999999998E-2</v>
      </c>
      <c r="CJ24" s="96">
        <f t="shared" si="67"/>
        <v>5.2499999999999998E-2</v>
      </c>
      <c r="CK24" s="96">
        <f t="shared" si="68"/>
        <v>0</v>
      </c>
      <c r="CL24" s="96">
        <f t="shared" si="69"/>
        <v>0</v>
      </c>
      <c r="CM24" s="96">
        <f t="shared" si="70"/>
        <v>0</v>
      </c>
      <c r="CN24" s="96">
        <f t="shared" si="71"/>
        <v>0</v>
      </c>
      <c r="CO24" s="96">
        <f t="shared" si="72"/>
        <v>0</v>
      </c>
      <c r="CP24" s="96">
        <f t="shared" si="73"/>
        <v>0</v>
      </c>
      <c r="CQ24" s="96">
        <f t="shared" si="74"/>
        <v>0</v>
      </c>
      <c r="CR24" s="96">
        <f t="shared" si="75"/>
        <v>0</v>
      </c>
      <c r="CS24" s="96">
        <f t="shared" si="88"/>
        <v>0</v>
      </c>
      <c r="CT24" s="96">
        <f t="shared" si="26"/>
        <v>1225</v>
      </c>
      <c r="CU24" s="96"/>
      <c r="CV24" s="96">
        <f t="shared" si="39"/>
        <v>4.4999999999999998E-2</v>
      </c>
      <c r="CW24" s="96">
        <f t="shared" si="76"/>
        <v>4.4999999999999998E-2</v>
      </c>
      <c r="CX24" s="96">
        <f t="shared" si="77"/>
        <v>0</v>
      </c>
      <c r="CY24" s="96">
        <f t="shared" si="78"/>
        <v>0</v>
      </c>
      <c r="CZ24" s="96">
        <f t="shared" si="79"/>
        <v>0</v>
      </c>
      <c r="DA24" s="96">
        <f t="shared" si="80"/>
        <v>0</v>
      </c>
      <c r="DB24" s="96">
        <f t="shared" si="81"/>
        <v>0</v>
      </c>
      <c r="DC24" s="96">
        <f t="shared" si="82"/>
        <v>0</v>
      </c>
      <c r="DD24" s="96">
        <f t="shared" si="83"/>
        <v>0</v>
      </c>
      <c r="DE24" s="96">
        <f t="shared" si="84"/>
        <v>0</v>
      </c>
      <c r="DF24" s="96">
        <f t="shared" si="89"/>
        <v>0</v>
      </c>
      <c r="DG24" s="96">
        <f t="shared" si="28"/>
        <v>1050</v>
      </c>
      <c r="DH24" s="96"/>
      <c r="DI24" s="96" t="e">
        <f t="shared" si="29"/>
        <v>#VALUE!</v>
      </c>
      <c r="DJ24" s="96" t="e">
        <f t="shared" si="7"/>
        <v>#VALUE!</v>
      </c>
      <c r="DK24" s="96" t="e">
        <f t="shared" si="8"/>
        <v>#VALUE!</v>
      </c>
      <c r="DL24" s="96" t="e">
        <f t="shared" si="9"/>
        <v>#VALUE!</v>
      </c>
      <c r="DM24" s="96" t="e">
        <f t="shared" si="10"/>
        <v>#VALUE!</v>
      </c>
      <c r="DN24" s="96" t="e">
        <f t="shared" si="11"/>
        <v>#VALUE!</v>
      </c>
      <c r="DO24" s="96" t="e">
        <f t="shared" si="12"/>
        <v>#VALUE!</v>
      </c>
      <c r="DP24" s="96" t="e">
        <f t="shared" si="13"/>
        <v>#VALUE!</v>
      </c>
      <c r="DQ24" s="96" t="e">
        <f t="shared" si="14"/>
        <v>#VALUE!</v>
      </c>
      <c r="DR24" s="96" t="e">
        <f t="shared" si="15"/>
        <v>#VALUE!</v>
      </c>
      <c r="DS24" s="96" t="e">
        <f t="shared" si="16"/>
        <v>#VALUE!</v>
      </c>
      <c r="DT24" s="96" t="e">
        <f t="shared" si="17"/>
        <v>#VALUE!</v>
      </c>
      <c r="DW24" s="178"/>
      <c r="DX24" s="178"/>
    </row>
    <row r="25" spans="1:128" ht="16.5" customHeight="1">
      <c r="A25" s="1751">
        <v>303</v>
      </c>
      <c r="B25" s="2045"/>
      <c r="C25" s="182" t="s">
        <v>137</v>
      </c>
      <c r="D25" s="189">
        <f>IF((U25&lt;10),SUM((V25+(ROUNDUP((U25*AI25),2)))),SUM((V25+(ROUNDUP(((9*AI25)+DI25),2)))))</f>
        <v>1.5</v>
      </c>
      <c r="E25" s="189"/>
      <c r="F25" s="189">
        <f>IF((U25&lt;10),SUM((X25+(ROUNDUP((U25*AK25),2)))),SUM((X25+(ROUNDUP(((9*AK25)+DK25),2)))))</f>
        <v>0.2</v>
      </c>
      <c r="G25" s="202"/>
      <c r="H25" s="189"/>
      <c r="I25" s="189"/>
      <c r="J25" s="189"/>
      <c r="K25" s="189"/>
      <c r="L25" s="189"/>
      <c r="M25" s="189"/>
      <c r="N25" s="390"/>
      <c r="O25" s="401">
        <f t="shared" si="0"/>
        <v>17500</v>
      </c>
      <c r="P25" s="401"/>
      <c r="Q25" s="401"/>
      <c r="R25" s="374"/>
      <c r="S25" s="190"/>
      <c r="U25" s="96">
        <f t="shared" si="18"/>
        <v>0</v>
      </c>
      <c r="V25" s="58">
        <v>1.5</v>
      </c>
      <c r="W25" s="58"/>
      <c r="X25" s="58">
        <v>0.2</v>
      </c>
      <c r="Y25" s="58"/>
      <c r="Z25" s="58"/>
      <c r="AA25" s="58"/>
      <c r="AB25" s="58"/>
      <c r="AC25" s="58"/>
      <c r="AD25" s="58"/>
      <c r="AE25" s="58"/>
      <c r="AF25" s="58"/>
      <c r="AG25" s="58">
        <v>17500</v>
      </c>
      <c r="AH25" s="96"/>
      <c r="AI25" s="96">
        <f>SUM((V25/9))</f>
        <v>0.16666666666666666</v>
      </c>
      <c r="AJ25" s="96"/>
      <c r="AK25" s="96">
        <f>SUM((X25/9))</f>
        <v>2.2222222222222223E-2</v>
      </c>
      <c r="AL25" s="96"/>
      <c r="AM25" s="96"/>
      <c r="AN25" s="96"/>
      <c r="AO25" s="96"/>
      <c r="AP25" s="96"/>
      <c r="AQ25" s="96"/>
      <c r="AR25" s="96"/>
      <c r="AS25" s="96"/>
      <c r="AT25" s="96">
        <f t="shared" si="1"/>
        <v>1944.4444444444443</v>
      </c>
      <c r="AU25" s="96"/>
      <c r="AV25" s="96">
        <f t="shared" si="35"/>
        <v>0.15</v>
      </c>
      <c r="AW25" s="96">
        <f t="shared" si="40"/>
        <v>0</v>
      </c>
      <c r="AX25" s="96">
        <f t="shared" si="41"/>
        <v>0.02</v>
      </c>
      <c r="AY25" s="96">
        <f t="shared" si="42"/>
        <v>0</v>
      </c>
      <c r="AZ25" s="96">
        <f t="shared" si="43"/>
        <v>0</v>
      </c>
      <c r="BA25" s="96">
        <f t="shared" si="44"/>
        <v>0</v>
      </c>
      <c r="BB25" s="96">
        <f t="shared" si="45"/>
        <v>0</v>
      </c>
      <c r="BC25" s="96">
        <f t="shared" si="46"/>
        <v>0</v>
      </c>
      <c r="BD25" s="96">
        <f t="shared" si="47"/>
        <v>0</v>
      </c>
      <c r="BE25" s="96">
        <f t="shared" si="48"/>
        <v>0</v>
      </c>
      <c r="BF25" s="96">
        <f>SUM(((-AF25/50)*CEILING((60/100),0.01)))</f>
        <v>0</v>
      </c>
      <c r="BG25" s="96">
        <f t="shared" si="20"/>
        <v>1750</v>
      </c>
      <c r="BH25" s="96"/>
      <c r="BI25" s="96">
        <f t="shared" si="36"/>
        <v>0.13500000000000001</v>
      </c>
      <c r="BJ25" s="96">
        <f t="shared" si="49"/>
        <v>0</v>
      </c>
      <c r="BK25" s="96">
        <f t="shared" si="50"/>
        <v>1.8000000000000002E-2</v>
      </c>
      <c r="BL25" s="96">
        <f t="shared" si="51"/>
        <v>0</v>
      </c>
      <c r="BM25" s="96">
        <f t="shared" si="52"/>
        <v>0</v>
      </c>
      <c r="BN25" s="96">
        <f t="shared" si="53"/>
        <v>0</v>
      </c>
      <c r="BO25" s="96">
        <f t="shared" si="54"/>
        <v>0</v>
      </c>
      <c r="BP25" s="96">
        <f t="shared" si="55"/>
        <v>0</v>
      </c>
      <c r="BQ25" s="96">
        <f t="shared" si="56"/>
        <v>0</v>
      </c>
      <c r="BR25" s="96">
        <f t="shared" si="57"/>
        <v>0</v>
      </c>
      <c r="BS25" s="96">
        <f>SUM(((-AF25/50)*CEILING((48/100),0.01)))</f>
        <v>0</v>
      </c>
      <c r="BT25" s="96">
        <f t="shared" si="22"/>
        <v>1575</v>
      </c>
      <c r="BU25" s="96"/>
      <c r="BV25" s="96">
        <f t="shared" si="37"/>
        <v>0.12</v>
      </c>
      <c r="BW25" s="96">
        <f t="shared" si="58"/>
        <v>0</v>
      </c>
      <c r="BX25" s="96">
        <f t="shared" si="59"/>
        <v>1.6E-2</v>
      </c>
      <c r="BY25" s="96">
        <f t="shared" si="60"/>
        <v>0</v>
      </c>
      <c r="BZ25" s="96">
        <f t="shared" si="61"/>
        <v>0</v>
      </c>
      <c r="CA25" s="96">
        <f t="shared" si="62"/>
        <v>0</v>
      </c>
      <c r="CB25" s="96">
        <f t="shared" si="63"/>
        <v>0</v>
      </c>
      <c r="CC25" s="96">
        <f t="shared" si="64"/>
        <v>0</v>
      </c>
      <c r="CD25" s="96">
        <f t="shared" si="65"/>
        <v>0</v>
      </c>
      <c r="CE25" s="96">
        <f t="shared" si="66"/>
        <v>0</v>
      </c>
      <c r="CF25" s="96">
        <f>SUM(((-AF25/50)*CEILING((40.5/100),0.01)))</f>
        <v>0</v>
      </c>
      <c r="CG25" s="96">
        <f t="shared" si="24"/>
        <v>1400</v>
      </c>
      <c r="CH25" s="96"/>
      <c r="CI25" s="96">
        <f t="shared" si="38"/>
        <v>0.105</v>
      </c>
      <c r="CJ25" s="96">
        <f t="shared" si="67"/>
        <v>0</v>
      </c>
      <c r="CK25" s="96">
        <f t="shared" si="68"/>
        <v>1.3999999999999999E-2</v>
      </c>
      <c r="CL25" s="96">
        <f t="shared" si="69"/>
        <v>0</v>
      </c>
      <c r="CM25" s="96">
        <f t="shared" si="70"/>
        <v>0</v>
      </c>
      <c r="CN25" s="96">
        <f t="shared" si="71"/>
        <v>0</v>
      </c>
      <c r="CO25" s="96">
        <f t="shared" si="72"/>
        <v>0</v>
      </c>
      <c r="CP25" s="96">
        <f t="shared" si="73"/>
        <v>0</v>
      </c>
      <c r="CQ25" s="96">
        <f t="shared" si="74"/>
        <v>0</v>
      </c>
      <c r="CR25" s="96">
        <f t="shared" si="75"/>
        <v>0</v>
      </c>
      <c r="CS25" s="96">
        <f>SUM(((-AF25/50)*CEILING((33/100),0.01)))</f>
        <v>0</v>
      </c>
      <c r="CT25" s="96">
        <f t="shared" si="26"/>
        <v>1225</v>
      </c>
      <c r="CU25" s="96"/>
      <c r="CV25" s="96">
        <f t="shared" si="39"/>
        <v>0.09</v>
      </c>
      <c r="CW25" s="96">
        <f t="shared" si="76"/>
        <v>0</v>
      </c>
      <c r="CX25" s="96">
        <f t="shared" si="77"/>
        <v>1.2E-2</v>
      </c>
      <c r="CY25" s="96">
        <f t="shared" si="78"/>
        <v>0</v>
      </c>
      <c r="CZ25" s="96">
        <f t="shared" si="79"/>
        <v>0</v>
      </c>
      <c r="DA25" s="96">
        <f t="shared" si="80"/>
        <v>0</v>
      </c>
      <c r="DB25" s="96">
        <f t="shared" si="81"/>
        <v>0</v>
      </c>
      <c r="DC25" s="96">
        <f t="shared" si="82"/>
        <v>0</v>
      </c>
      <c r="DD25" s="96">
        <f t="shared" si="83"/>
        <v>0</v>
      </c>
      <c r="DE25" s="96">
        <f t="shared" si="84"/>
        <v>0</v>
      </c>
      <c r="DF25" s="96">
        <f>SUM(((-AF25/50)*CEILING((25.5/100),0.01)))</f>
        <v>0</v>
      </c>
      <c r="DG25" s="96">
        <f t="shared" si="28"/>
        <v>1050</v>
      </c>
      <c r="DH25" s="96"/>
      <c r="DI25" s="96" t="e">
        <f t="shared" si="29"/>
        <v>#VALUE!</v>
      </c>
      <c r="DJ25" s="96" t="e">
        <f t="shared" si="7"/>
        <v>#VALUE!</v>
      </c>
      <c r="DK25" s="96" t="e">
        <f t="shared" si="8"/>
        <v>#VALUE!</v>
      </c>
      <c r="DL25" s="96" t="e">
        <f t="shared" si="9"/>
        <v>#VALUE!</v>
      </c>
      <c r="DM25" s="96" t="e">
        <f t="shared" si="10"/>
        <v>#VALUE!</v>
      </c>
      <c r="DN25" s="96" t="e">
        <f t="shared" si="11"/>
        <v>#VALUE!</v>
      </c>
      <c r="DO25" s="96" t="e">
        <f t="shared" si="12"/>
        <v>#VALUE!</v>
      </c>
      <c r="DP25" s="96" t="e">
        <f t="shared" si="13"/>
        <v>#VALUE!</v>
      </c>
      <c r="DQ25" s="96" t="e">
        <f t="shared" si="14"/>
        <v>#VALUE!</v>
      </c>
      <c r="DR25" s="96" t="e">
        <f t="shared" si="15"/>
        <v>#VALUE!</v>
      </c>
      <c r="DS25" s="96" t="e">
        <f t="shared" si="16"/>
        <v>#VALUE!</v>
      </c>
      <c r="DT25" s="96" t="e">
        <f t="shared" si="17"/>
        <v>#VALUE!</v>
      </c>
      <c r="DW25" s="178"/>
      <c r="DX25" s="178"/>
    </row>
    <row r="26" spans="1:128" ht="16.5" customHeight="1">
      <c r="A26" s="1750">
        <v>304</v>
      </c>
      <c r="B26" s="2045"/>
      <c r="C26" s="183" t="s">
        <v>138</v>
      </c>
      <c r="D26" s="188"/>
      <c r="E26" s="188"/>
      <c r="F26" s="188"/>
      <c r="G26" s="201">
        <f>IF((U26&lt;10),SUM(((Y26+(ROUNDUP((U26*AL26),2)))/100)),SUM(((Y26+(ROUNDUP(((9*AL26)+DL26),2)))/100)))</f>
        <v>5.0000000000000001E-3</v>
      </c>
      <c r="H26" s="188">
        <f>IF((U26&lt;10),SUM((Z26+(ROUNDUP((U26*AM26),2)))),SUM((Z26+(ROUNDUP(((9*AM26)+DM26),2)))))</f>
        <v>0.5</v>
      </c>
      <c r="I26" s="188"/>
      <c r="J26" s="188"/>
      <c r="K26" s="188"/>
      <c r="L26" s="188"/>
      <c r="M26" s="188"/>
      <c r="N26" s="391"/>
      <c r="O26" s="400">
        <f t="shared" si="0"/>
        <v>17500</v>
      </c>
      <c r="P26" s="400"/>
      <c r="Q26" s="400"/>
      <c r="R26" s="374"/>
      <c r="S26" s="190"/>
      <c r="U26" s="96">
        <f t="shared" si="18"/>
        <v>0</v>
      </c>
      <c r="V26" s="58"/>
      <c r="W26" s="58"/>
      <c r="X26" s="58"/>
      <c r="Y26" s="58">
        <v>0.5</v>
      </c>
      <c r="Z26" s="58">
        <v>0.5</v>
      </c>
      <c r="AA26" s="58"/>
      <c r="AB26" s="58"/>
      <c r="AC26" s="58"/>
      <c r="AD26" s="58"/>
      <c r="AE26" s="58"/>
      <c r="AF26" s="58"/>
      <c r="AG26" s="58">
        <v>17500</v>
      </c>
      <c r="AH26" s="96"/>
      <c r="AI26" s="96"/>
      <c r="AJ26" s="96"/>
      <c r="AK26" s="96"/>
      <c r="AL26" s="96">
        <f>SUM((Y26/9))</f>
        <v>5.5555555555555552E-2</v>
      </c>
      <c r="AM26" s="96">
        <f>SUM((Z26/9))</f>
        <v>5.5555555555555552E-2</v>
      </c>
      <c r="AN26" s="96"/>
      <c r="AO26" s="96"/>
      <c r="AP26" s="96"/>
      <c r="AQ26" s="96"/>
      <c r="AR26" s="96"/>
      <c r="AS26" s="96"/>
      <c r="AT26" s="96">
        <f t="shared" si="1"/>
        <v>1944.4444444444443</v>
      </c>
      <c r="AU26" s="96"/>
      <c r="AV26" s="96">
        <f t="shared" si="35"/>
        <v>0</v>
      </c>
      <c r="AW26" s="96">
        <f t="shared" si="40"/>
        <v>0</v>
      </c>
      <c r="AX26" s="96">
        <f t="shared" si="41"/>
        <v>0</v>
      </c>
      <c r="AY26" s="96">
        <f t="shared" si="42"/>
        <v>4.9999999999999996E-2</v>
      </c>
      <c r="AZ26" s="96">
        <f t="shared" si="43"/>
        <v>4.9999999999999996E-2</v>
      </c>
      <c r="BA26" s="96">
        <f t="shared" si="44"/>
        <v>0</v>
      </c>
      <c r="BB26" s="96">
        <f t="shared" si="45"/>
        <v>0</v>
      </c>
      <c r="BC26" s="96">
        <f t="shared" si="46"/>
        <v>0</v>
      </c>
      <c r="BD26" s="96">
        <f t="shared" si="47"/>
        <v>0</v>
      </c>
      <c r="BE26" s="96">
        <f t="shared" si="48"/>
        <v>0</v>
      </c>
      <c r="BF26" s="96">
        <f t="shared" ref="BF26:BF33" si="90">SUM(((AS26*0.9)*1))</f>
        <v>0</v>
      </c>
      <c r="BG26" s="96">
        <f t="shared" si="20"/>
        <v>1750</v>
      </c>
      <c r="BH26" s="96"/>
      <c r="BI26" s="96">
        <f t="shared" si="36"/>
        <v>0</v>
      </c>
      <c r="BJ26" s="96">
        <f t="shared" si="49"/>
        <v>0</v>
      </c>
      <c r="BK26" s="96">
        <f t="shared" si="50"/>
        <v>0</v>
      </c>
      <c r="BL26" s="96">
        <f t="shared" si="51"/>
        <v>4.4999999999999998E-2</v>
      </c>
      <c r="BM26" s="96">
        <f t="shared" si="52"/>
        <v>4.4999999999999998E-2</v>
      </c>
      <c r="BN26" s="96">
        <f t="shared" si="53"/>
        <v>0</v>
      </c>
      <c r="BO26" s="96">
        <f t="shared" si="54"/>
        <v>0</v>
      </c>
      <c r="BP26" s="96">
        <f t="shared" si="55"/>
        <v>0</v>
      </c>
      <c r="BQ26" s="96">
        <f t="shared" si="56"/>
        <v>0</v>
      </c>
      <c r="BR26" s="96">
        <f t="shared" si="57"/>
        <v>0</v>
      </c>
      <c r="BS26" s="96">
        <f t="shared" ref="BS26:BS33" si="91">SUM(((AS26*0.9)*0.9))</f>
        <v>0</v>
      </c>
      <c r="BT26" s="96">
        <f t="shared" si="22"/>
        <v>1575</v>
      </c>
      <c r="BU26" s="96"/>
      <c r="BV26" s="96">
        <f t="shared" si="37"/>
        <v>0</v>
      </c>
      <c r="BW26" s="96">
        <f t="shared" si="58"/>
        <v>0</v>
      </c>
      <c r="BX26" s="96">
        <f t="shared" si="59"/>
        <v>0</v>
      </c>
      <c r="BY26" s="96">
        <f t="shared" si="60"/>
        <v>0.04</v>
      </c>
      <c r="BZ26" s="96">
        <f t="shared" si="61"/>
        <v>0.04</v>
      </c>
      <c r="CA26" s="96">
        <f t="shared" si="62"/>
        <v>0</v>
      </c>
      <c r="CB26" s="96">
        <f t="shared" si="63"/>
        <v>0</v>
      </c>
      <c r="CC26" s="96">
        <f t="shared" si="64"/>
        <v>0</v>
      </c>
      <c r="CD26" s="96">
        <f t="shared" si="65"/>
        <v>0</v>
      </c>
      <c r="CE26" s="96">
        <f t="shared" si="66"/>
        <v>0</v>
      </c>
      <c r="CF26" s="96">
        <f t="shared" ref="CF26:CF33" si="92">SUM(((AS26*0.9)*0.8))</f>
        <v>0</v>
      </c>
      <c r="CG26" s="96">
        <f t="shared" si="24"/>
        <v>1400</v>
      </c>
      <c r="CH26" s="96"/>
      <c r="CI26" s="96">
        <f t="shared" si="38"/>
        <v>0</v>
      </c>
      <c r="CJ26" s="96">
        <f t="shared" si="67"/>
        <v>0</v>
      </c>
      <c r="CK26" s="96">
        <f t="shared" si="68"/>
        <v>0</v>
      </c>
      <c r="CL26" s="96">
        <f t="shared" si="69"/>
        <v>3.4999999999999996E-2</v>
      </c>
      <c r="CM26" s="96">
        <f t="shared" si="70"/>
        <v>3.4999999999999996E-2</v>
      </c>
      <c r="CN26" s="96">
        <f t="shared" si="71"/>
        <v>0</v>
      </c>
      <c r="CO26" s="96">
        <f t="shared" si="72"/>
        <v>0</v>
      </c>
      <c r="CP26" s="96">
        <f t="shared" si="73"/>
        <v>0</v>
      </c>
      <c r="CQ26" s="96">
        <f t="shared" si="74"/>
        <v>0</v>
      </c>
      <c r="CR26" s="96">
        <f t="shared" si="75"/>
        <v>0</v>
      </c>
      <c r="CS26" s="96">
        <f t="shared" ref="CS26:CS33" si="93">SUM(((AS26*0.9)*0.7))</f>
        <v>0</v>
      </c>
      <c r="CT26" s="96">
        <f t="shared" si="26"/>
        <v>1225</v>
      </c>
      <c r="CU26" s="96"/>
      <c r="CV26" s="96">
        <f t="shared" si="39"/>
        <v>0</v>
      </c>
      <c r="CW26" s="96">
        <f t="shared" si="76"/>
        <v>0</v>
      </c>
      <c r="CX26" s="96">
        <f t="shared" si="77"/>
        <v>0</v>
      </c>
      <c r="CY26" s="96">
        <f t="shared" si="78"/>
        <v>2.9999999999999995E-2</v>
      </c>
      <c r="CZ26" s="96">
        <f t="shared" si="79"/>
        <v>2.9999999999999995E-2</v>
      </c>
      <c r="DA26" s="96">
        <f t="shared" si="80"/>
        <v>0</v>
      </c>
      <c r="DB26" s="96">
        <f t="shared" si="81"/>
        <v>0</v>
      </c>
      <c r="DC26" s="96">
        <f t="shared" si="82"/>
        <v>0</v>
      </c>
      <c r="DD26" s="96">
        <f t="shared" si="83"/>
        <v>0</v>
      </c>
      <c r="DE26" s="96">
        <f t="shared" si="84"/>
        <v>0</v>
      </c>
      <c r="DF26" s="96">
        <f t="shared" ref="DF26:DF33" si="94">SUM(((AS26*0.9)*0.6))</f>
        <v>0</v>
      </c>
      <c r="DG26" s="96">
        <f t="shared" si="28"/>
        <v>1050</v>
      </c>
      <c r="DH26" s="96"/>
      <c r="DI26" s="96" t="e">
        <f t="shared" si="29"/>
        <v>#VALUE!</v>
      </c>
      <c r="DJ26" s="96" t="e">
        <f t="shared" si="7"/>
        <v>#VALUE!</v>
      </c>
      <c r="DK26" s="96" t="e">
        <f t="shared" si="8"/>
        <v>#VALUE!</v>
      </c>
      <c r="DL26" s="96" t="e">
        <f t="shared" si="9"/>
        <v>#VALUE!</v>
      </c>
      <c r="DM26" s="96" t="e">
        <f t="shared" si="10"/>
        <v>#VALUE!</v>
      </c>
      <c r="DN26" s="96" t="e">
        <f t="shared" si="11"/>
        <v>#VALUE!</v>
      </c>
      <c r="DO26" s="96" t="e">
        <f t="shared" si="12"/>
        <v>#VALUE!</v>
      </c>
      <c r="DP26" s="96" t="e">
        <f t="shared" si="13"/>
        <v>#VALUE!</v>
      </c>
      <c r="DQ26" s="96" t="e">
        <f t="shared" si="14"/>
        <v>#VALUE!</v>
      </c>
      <c r="DR26" s="96" t="e">
        <f t="shared" si="15"/>
        <v>#VALUE!</v>
      </c>
      <c r="DS26" s="96" t="e">
        <f t="shared" si="16"/>
        <v>#VALUE!</v>
      </c>
      <c r="DT26" s="96" t="e">
        <f t="shared" si="17"/>
        <v>#VALUE!</v>
      </c>
      <c r="DW26" s="178"/>
      <c r="DX26" s="178"/>
    </row>
    <row r="27" spans="1:128" ht="16.5" customHeight="1">
      <c r="A27" s="1751">
        <v>305</v>
      </c>
      <c r="B27" s="2045"/>
      <c r="C27" s="182" t="s">
        <v>139</v>
      </c>
      <c r="D27" s="189"/>
      <c r="E27" s="189"/>
      <c r="F27" s="189"/>
      <c r="G27" s="202"/>
      <c r="H27" s="189"/>
      <c r="I27" s="189">
        <f>IF((U27&lt;10),SUM((AA27+(ROUNDUP((U27*AN27),2)))),SUM((AA27+(ROUNDUP(((9*AN27)+DN27),2)))))</f>
        <v>30</v>
      </c>
      <c r="J27" s="189"/>
      <c r="K27" s="189"/>
      <c r="L27" s="189"/>
      <c r="M27" s="189"/>
      <c r="N27" s="390"/>
      <c r="O27" s="401">
        <f t="shared" si="0"/>
        <v>17500</v>
      </c>
      <c r="P27" s="401"/>
      <c r="Q27" s="401"/>
      <c r="R27" s="374"/>
      <c r="S27" s="190"/>
      <c r="U27" s="96">
        <f t="shared" si="18"/>
        <v>0</v>
      </c>
      <c r="V27" s="58"/>
      <c r="W27" s="58"/>
      <c r="X27" s="58"/>
      <c r="Y27" s="58"/>
      <c r="Z27" s="58"/>
      <c r="AA27" s="58">
        <v>30</v>
      </c>
      <c r="AB27" s="58"/>
      <c r="AC27" s="58"/>
      <c r="AD27" s="58"/>
      <c r="AE27" s="58"/>
      <c r="AF27" s="58"/>
      <c r="AG27" s="58">
        <v>17500</v>
      </c>
      <c r="AH27" s="96"/>
      <c r="AI27" s="96"/>
      <c r="AJ27" s="96"/>
      <c r="AK27" s="96"/>
      <c r="AL27" s="96"/>
      <c r="AM27" s="96"/>
      <c r="AN27" s="96">
        <f>SUM((AA27/9))</f>
        <v>3.3333333333333335</v>
      </c>
      <c r="AO27" s="96"/>
      <c r="AP27" s="96"/>
      <c r="AQ27" s="96"/>
      <c r="AR27" s="96"/>
      <c r="AS27" s="96"/>
      <c r="AT27" s="96">
        <f t="shared" si="1"/>
        <v>1944.4444444444443</v>
      </c>
      <c r="AU27" s="96"/>
      <c r="AV27" s="96">
        <f t="shared" si="35"/>
        <v>0</v>
      </c>
      <c r="AW27" s="96">
        <f t="shared" si="40"/>
        <v>0</v>
      </c>
      <c r="AX27" s="96">
        <f t="shared" si="41"/>
        <v>0</v>
      </c>
      <c r="AY27" s="96">
        <f t="shared" si="42"/>
        <v>0</v>
      </c>
      <c r="AZ27" s="96">
        <f t="shared" si="43"/>
        <v>0</v>
      </c>
      <c r="BA27" s="96">
        <f t="shared" si="44"/>
        <v>3</v>
      </c>
      <c r="BB27" s="96">
        <f t="shared" si="45"/>
        <v>0</v>
      </c>
      <c r="BC27" s="96">
        <f t="shared" si="46"/>
        <v>0</v>
      </c>
      <c r="BD27" s="96">
        <f t="shared" si="47"/>
        <v>0</v>
      </c>
      <c r="BE27" s="96">
        <f t="shared" si="48"/>
        <v>0</v>
      </c>
      <c r="BF27" s="96">
        <f t="shared" si="90"/>
        <v>0</v>
      </c>
      <c r="BG27" s="96">
        <f t="shared" si="20"/>
        <v>1750</v>
      </c>
      <c r="BH27" s="96"/>
      <c r="BI27" s="96">
        <f t="shared" si="36"/>
        <v>0</v>
      </c>
      <c r="BJ27" s="96">
        <f t="shared" si="49"/>
        <v>0</v>
      </c>
      <c r="BK27" s="96">
        <f t="shared" si="50"/>
        <v>0</v>
      </c>
      <c r="BL27" s="96">
        <f t="shared" si="51"/>
        <v>0</v>
      </c>
      <c r="BM27" s="96">
        <f t="shared" si="52"/>
        <v>0</v>
      </c>
      <c r="BN27" s="96">
        <f t="shared" si="53"/>
        <v>2.7</v>
      </c>
      <c r="BO27" s="96">
        <f t="shared" si="54"/>
        <v>0</v>
      </c>
      <c r="BP27" s="96">
        <f t="shared" si="55"/>
        <v>0</v>
      </c>
      <c r="BQ27" s="96">
        <f t="shared" si="56"/>
        <v>0</v>
      </c>
      <c r="BR27" s="96">
        <f t="shared" si="57"/>
        <v>0</v>
      </c>
      <c r="BS27" s="96">
        <f t="shared" si="91"/>
        <v>0</v>
      </c>
      <c r="BT27" s="96">
        <f t="shared" si="22"/>
        <v>1575</v>
      </c>
      <c r="BU27" s="96"/>
      <c r="BV27" s="96">
        <f t="shared" si="37"/>
        <v>0</v>
      </c>
      <c r="BW27" s="96">
        <f t="shared" si="58"/>
        <v>0</v>
      </c>
      <c r="BX27" s="96">
        <f t="shared" si="59"/>
        <v>0</v>
      </c>
      <c r="BY27" s="96">
        <f t="shared" si="60"/>
        <v>0</v>
      </c>
      <c r="BZ27" s="96">
        <f t="shared" si="61"/>
        <v>0</v>
      </c>
      <c r="CA27" s="96">
        <f t="shared" si="62"/>
        <v>2.4000000000000004</v>
      </c>
      <c r="CB27" s="96">
        <f t="shared" si="63"/>
        <v>0</v>
      </c>
      <c r="CC27" s="96">
        <f t="shared" si="64"/>
        <v>0</v>
      </c>
      <c r="CD27" s="96">
        <f t="shared" si="65"/>
        <v>0</v>
      </c>
      <c r="CE27" s="96">
        <f t="shared" si="66"/>
        <v>0</v>
      </c>
      <c r="CF27" s="96">
        <f t="shared" si="92"/>
        <v>0</v>
      </c>
      <c r="CG27" s="96">
        <f t="shared" si="24"/>
        <v>1400</v>
      </c>
      <c r="CH27" s="96"/>
      <c r="CI27" s="96">
        <f t="shared" si="38"/>
        <v>0</v>
      </c>
      <c r="CJ27" s="96">
        <f t="shared" si="67"/>
        <v>0</v>
      </c>
      <c r="CK27" s="96">
        <f t="shared" si="68"/>
        <v>0</v>
      </c>
      <c r="CL27" s="96">
        <f t="shared" si="69"/>
        <v>0</v>
      </c>
      <c r="CM27" s="96">
        <f t="shared" si="70"/>
        <v>0</v>
      </c>
      <c r="CN27" s="96">
        <f t="shared" si="71"/>
        <v>2.0999999999999996</v>
      </c>
      <c r="CO27" s="96">
        <f t="shared" si="72"/>
        <v>0</v>
      </c>
      <c r="CP27" s="96">
        <f t="shared" si="73"/>
        <v>0</v>
      </c>
      <c r="CQ27" s="96">
        <f t="shared" si="74"/>
        <v>0</v>
      </c>
      <c r="CR27" s="96">
        <f t="shared" si="75"/>
        <v>0</v>
      </c>
      <c r="CS27" s="96">
        <f t="shared" si="93"/>
        <v>0</v>
      </c>
      <c r="CT27" s="96">
        <f t="shared" si="26"/>
        <v>1225</v>
      </c>
      <c r="CU27" s="96"/>
      <c r="CV27" s="96">
        <f t="shared" si="39"/>
        <v>0</v>
      </c>
      <c r="CW27" s="96">
        <f t="shared" si="76"/>
        <v>0</v>
      </c>
      <c r="CX27" s="96">
        <f t="shared" si="77"/>
        <v>0</v>
      </c>
      <c r="CY27" s="96">
        <f t="shared" si="78"/>
        <v>0</v>
      </c>
      <c r="CZ27" s="96">
        <f t="shared" si="79"/>
        <v>0</v>
      </c>
      <c r="DA27" s="96">
        <f t="shared" si="80"/>
        <v>1.7999999999999998</v>
      </c>
      <c r="DB27" s="96">
        <f t="shared" si="81"/>
        <v>0</v>
      </c>
      <c r="DC27" s="96">
        <f t="shared" si="82"/>
        <v>0</v>
      </c>
      <c r="DD27" s="96">
        <f t="shared" si="83"/>
        <v>0</v>
      </c>
      <c r="DE27" s="96">
        <f t="shared" si="84"/>
        <v>0</v>
      </c>
      <c r="DF27" s="96">
        <f t="shared" si="94"/>
        <v>0</v>
      </c>
      <c r="DG27" s="96">
        <f t="shared" si="28"/>
        <v>1050</v>
      </c>
      <c r="DH27" s="96"/>
      <c r="DI27" s="96" t="e">
        <f t="shared" si="29"/>
        <v>#VALUE!</v>
      </c>
      <c r="DJ27" s="96" t="e">
        <f t="shared" si="7"/>
        <v>#VALUE!</v>
      </c>
      <c r="DK27" s="96" t="e">
        <f t="shared" si="8"/>
        <v>#VALUE!</v>
      </c>
      <c r="DL27" s="96" t="e">
        <f t="shared" si="9"/>
        <v>#VALUE!</v>
      </c>
      <c r="DM27" s="96" t="e">
        <f t="shared" si="10"/>
        <v>#VALUE!</v>
      </c>
      <c r="DN27" s="96" t="e">
        <f t="shared" si="11"/>
        <v>#VALUE!</v>
      </c>
      <c r="DO27" s="96" t="e">
        <f t="shared" si="12"/>
        <v>#VALUE!</v>
      </c>
      <c r="DP27" s="96" t="e">
        <f t="shared" si="13"/>
        <v>#VALUE!</v>
      </c>
      <c r="DQ27" s="96" t="e">
        <f t="shared" si="14"/>
        <v>#VALUE!</v>
      </c>
      <c r="DR27" s="96" t="e">
        <f t="shared" si="15"/>
        <v>#VALUE!</v>
      </c>
      <c r="DS27" s="96" t="e">
        <f t="shared" si="16"/>
        <v>#VALUE!</v>
      </c>
      <c r="DT27" s="96" t="e">
        <f t="shared" si="17"/>
        <v>#VALUE!</v>
      </c>
      <c r="DW27" s="178"/>
      <c r="DX27" s="178"/>
    </row>
    <row r="28" spans="1:128" ht="16.5" customHeight="1">
      <c r="A28" s="1750">
        <v>306</v>
      </c>
      <c r="B28" s="2045"/>
      <c r="C28" s="183" t="s">
        <v>140</v>
      </c>
      <c r="D28" s="188"/>
      <c r="E28" s="188"/>
      <c r="F28" s="188"/>
      <c r="G28" s="201"/>
      <c r="H28" s="188"/>
      <c r="I28" s="188"/>
      <c r="J28" s="188">
        <f>IF((U28&lt;10),SUM((AB28+(ROUNDUP((U28*AO28),2)))),SUM((AB28+(ROUNDUP(((9*AO28)+DO28),2)))))</f>
        <v>1</v>
      </c>
      <c r="K28" s="188"/>
      <c r="L28" s="188"/>
      <c r="M28" s="188"/>
      <c r="N28" s="391"/>
      <c r="O28" s="400">
        <f t="shared" si="0"/>
        <v>17500</v>
      </c>
      <c r="P28" s="400"/>
      <c r="Q28" s="400"/>
      <c r="R28" s="374"/>
      <c r="S28" s="190"/>
      <c r="T28" s="96"/>
      <c r="U28" s="96">
        <f t="shared" si="18"/>
        <v>0</v>
      </c>
      <c r="V28" s="58"/>
      <c r="W28" s="58"/>
      <c r="X28" s="58"/>
      <c r="Y28" s="58"/>
      <c r="Z28" s="58"/>
      <c r="AA28" s="58"/>
      <c r="AB28" s="58">
        <v>1</v>
      </c>
      <c r="AC28" s="58"/>
      <c r="AD28" s="58"/>
      <c r="AE28" s="58"/>
      <c r="AF28" s="58"/>
      <c r="AG28" s="58">
        <v>17500</v>
      </c>
      <c r="AH28" s="96"/>
      <c r="AI28" s="96"/>
      <c r="AJ28" s="96"/>
      <c r="AK28" s="96"/>
      <c r="AL28" s="96"/>
      <c r="AM28" s="96"/>
      <c r="AN28" s="96"/>
      <c r="AO28" s="96">
        <f>SUM((AB28/9))</f>
        <v>0.1111111111111111</v>
      </c>
      <c r="AP28" s="96"/>
      <c r="AQ28" s="96"/>
      <c r="AR28" s="96"/>
      <c r="AS28" s="96"/>
      <c r="AT28" s="96">
        <f t="shared" si="1"/>
        <v>1944.4444444444443</v>
      </c>
      <c r="AU28" s="96"/>
      <c r="AV28" s="96">
        <f t="shared" si="35"/>
        <v>0</v>
      </c>
      <c r="AW28" s="96">
        <f t="shared" si="40"/>
        <v>0</v>
      </c>
      <c r="AX28" s="96">
        <f t="shared" si="41"/>
        <v>0</v>
      </c>
      <c r="AY28" s="96">
        <f t="shared" si="42"/>
        <v>0</v>
      </c>
      <c r="AZ28" s="96">
        <f t="shared" si="43"/>
        <v>0</v>
      </c>
      <c r="BA28" s="96">
        <f t="shared" si="44"/>
        <v>0</v>
      </c>
      <c r="BB28" s="96">
        <f t="shared" si="45"/>
        <v>9.9999999999999992E-2</v>
      </c>
      <c r="BC28" s="96">
        <f t="shared" si="46"/>
        <v>0</v>
      </c>
      <c r="BD28" s="96">
        <f t="shared" si="47"/>
        <v>0</v>
      </c>
      <c r="BE28" s="96">
        <f t="shared" si="48"/>
        <v>0</v>
      </c>
      <c r="BF28" s="96">
        <f t="shared" si="90"/>
        <v>0</v>
      </c>
      <c r="BG28" s="96">
        <f t="shared" si="20"/>
        <v>1750</v>
      </c>
      <c r="BH28" s="96"/>
      <c r="BI28" s="96">
        <f t="shared" si="36"/>
        <v>0</v>
      </c>
      <c r="BJ28" s="96">
        <f t="shared" si="49"/>
        <v>0</v>
      </c>
      <c r="BK28" s="96">
        <f t="shared" si="50"/>
        <v>0</v>
      </c>
      <c r="BL28" s="96">
        <f t="shared" si="51"/>
        <v>0</v>
      </c>
      <c r="BM28" s="96">
        <f t="shared" si="52"/>
        <v>0</v>
      </c>
      <c r="BN28" s="96">
        <f t="shared" si="53"/>
        <v>0</v>
      </c>
      <c r="BO28" s="96">
        <f t="shared" si="54"/>
        <v>0.09</v>
      </c>
      <c r="BP28" s="96">
        <f t="shared" si="55"/>
        <v>0</v>
      </c>
      <c r="BQ28" s="96">
        <f t="shared" si="56"/>
        <v>0</v>
      </c>
      <c r="BR28" s="96">
        <f t="shared" si="57"/>
        <v>0</v>
      </c>
      <c r="BS28" s="96">
        <f t="shared" si="91"/>
        <v>0</v>
      </c>
      <c r="BT28" s="96">
        <f t="shared" si="22"/>
        <v>1575</v>
      </c>
      <c r="BU28" s="96"/>
      <c r="BV28" s="96">
        <f t="shared" si="37"/>
        <v>0</v>
      </c>
      <c r="BW28" s="96">
        <f t="shared" si="58"/>
        <v>0</v>
      </c>
      <c r="BX28" s="96">
        <f t="shared" si="59"/>
        <v>0</v>
      </c>
      <c r="BY28" s="96">
        <f t="shared" si="60"/>
        <v>0</v>
      </c>
      <c r="BZ28" s="96">
        <f t="shared" si="61"/>
        <v>0</v>
      </c>
      <c r="CA28" s="96">
        <f t="shared" si="62"/>
        <v>0</v>
      </c>
      <c r="CB28" s="96">
        <f t="shared" si="63"/>
        <v>0.08</v>
      </c>
      <c r="CC28" s="96">
        <f t="shared" si="64"/>
        <v>0</v>
      </c>
      <c r="CD28" s="96">
        <f t="shared" si="65"/>
        <v>0</v>
      </c>
      <c r="CE28" s="96">
        <f t="shared" si="66"/>
        <v>0</v>
      </c>
      <c r="CF28" s="96">
        <f t="shared" si="92"/>
        <v>0</v>
      </c>
      <c r="CG28" s="96">
        <f t="shared" si="24"/>
        <v>1400</v>
      </c>
      <c r="CH28" s="96"/>
      <c r="CI28" s="96">
        <f t="shared" si="38"/>
        <v>0</v>
      </c>
      <c r="CJ28" s="96">
        <f t="shared" si="67"/>
        <v>0</v>
      </c>
      <c r="CK28" s="96">
        <f t="shared" si="68"/>
        <v>0</v>
      </c>
      <c r="CL28" s="96">
        <f t="shared" si="69"/>
        <v>0</v>
      </c>
      <c r="CM28" s="96">
        <f t="shared" si="70"/>
        <v>0</v>
      </c>
      <c r="CN28" s="96">
        <f t="shared" si="71"/>
        <v>0</v>
      </c>
      <c r="CO28" s="96">
        <f t="shared" si="72"/>
        <v>6.9999999999999993E-2</v>
      </c>
      <c r="CP28" s="96">
        <f t="shared" si="73"/>
        <v>0</v>
      </c>
      <c r="CQ28" s="96">
        <f t="shared" si="74"/>
        <v>0</v>
      </c>
      <c r="CR28" s="96">
        <f t="shared" si="75"/>
        <v>0</v>
      </c>
      <c r="CS28" s="96">
        <f t="shared" si="93"/>
        <v>0</v>
      </c>
      <c r="CT28" s="96">
        <f t="shared" si="26"/>
        <v>1225</v>
      </c>
      <c r="CU28" s="96"/>
      <c r="CV28" s="96">
        <f t="shared" si="39"/>
        <v>0</v>
      </c>
      <c r="CW28" s="96">
        <f t="shared" si="76"/>
        <v>0</v>
      </c>
      <c r="CX28" s="96">
        <f t="shared" si="77"/>
        <v>0</v>
      </c>
      <c r="CY28" s="96">
        <f t="shared" si="78"/>
        <v>0</v>
      </c>
      <c r="CZ28" s="96">
        <f t="shared" si="79"/>
        <v>0</v>
      </c>
      <c r="DA28" s="96">
        <f t="shared" si="80"/>
        <v>0</v>
      </c>
      <c r="DB28" s="96">
        <f t="shared" si="81"/>
        <v>5.9999999999999991E-2</v>
      </c>
      <c r="DC28" s="96">
        <f t="shared" si="82"/>
        <v>0</v>
      </c>
      <c r="DD28" s="96">
        <f t="shared" si="83"/>
        <v>0</v>
      </c>
      <c r="DE28" s="96">
        <f t="shared" si="84"/>
        <v>0</v>
      </c>
      <c r="DF28" s="96">
        <f t="shared" si="94"/>
        <v>0</v>
      </c>
      <c r="DG28" s="96">
        <f t="shared" si="28"/>
        <v>1050</v>
      </c>
      <c r="DH28" s="96"/>
      <c r="DI28" s="96" t="e">
        <f t="shared" si="29"/>
        <v>#VALUE!</v>
      </c>
      <c r="DJ28" s="96" t="e">
        <f t="shared" si="7"/>
        <v>#VALUE!</v>
      </c>
      <c r="DK28" s="96" t="e">
        <f t="shared" si="8"/>
        <v>#VALUE!</v>
      </c>
      <c r="DL28" s="96" t="e">
        <f t="shared" si="9"/>
        <v>#VALUE!</v>
      </c>
      <c r="DM28" s="96" t="e">
        <f t="shared" si="10"/>
        <v>#VALUE!</v>
      </c>
      <c r="DN28" s="96" t="e">
        <f t="shared" si="11"/>
        <v>#VALUE!</v>
      </c>
      <c r="DO28" s="96" t="e">
        <f t="shared" si="12"/>
        <v>#VALUE!</v>
      </c>
      <c r="DP28" s="96" t="e">
        <f t="shared" si="13"/>
        <v>#VALUE!</v>
      </c>
      <c r="DQ28" s="96" t="e">
        <f t="shared" si="14"/>
        <v>#VALUE!</v>
      </c>
      <c r="DR28" s="96" t="e">
        <f t="shared" si="15"/>
        <v>#VALUE!</v>
      </c>
      <c r="DS28" s="96" t="e">
        <f t="shared" si="16"/>
        <v>#VALUE!</v>
      </c>
      <c r="DT28" s="96" t="e">
        <f t="shared" si="17"/>
        <v>#VALUE!</v>
      </c>
      <c r="DW28" s="178"/>
      <c r="DX28" s="178"/>
    </row>
    <row r="29" spans="1:128" ht="16.5" customHeight="1">
      <c r="A29" s="1751">
        <v>307</v>
      </c>
      <c r="B29" s="2045"/>
      <c r="C29" s="182" t="s">
        <v>141</v>
      </c>
      <c r="D29" s="189"/>
      <c r="E29" s="189"/>
      <c r="F29" s="189"/>
      <c r="G29" s="202"/>
      <c r="H29" s="189"/>
      <c r="I29" s="189"/>
      <c r="J29" s="189">
        <f>IF((U29&lt;10),SUM((AB29+(ROUNDUP((U29*AO29),2)))),SUM((AB29+(ROUNDUP(((9*AO29)+DO29),2)))))</f>
        <v>1</v>
      </c>
      <c r="K29" s="189">
        <f>IF((U29&lt;10),SUM((AC29+(ROUNDUP((U29*AP29),2)))),SUM((AC29+(ROUNDUP(((9*AP29)+DP29),2)))))</f>
        <v>-10</v>
      </c>
      <c r="L29" s="189"/>
      <c r="M29" s="189"/>
      <c r="N29" s="390"/>
      <c r="O29" s="401">
        <f t="shared" si="0"/>
        <v>17500</v>
      </c>
      <c r="P29" s="401"/>
      <c r="Q29" s="401"/>
      <c r="R29" s="374"/>
      <c r="S29" s="190"/>
      <c r="T29" s="96"/>
      <c r="U29" s="96">
        <f t="shared" si="18"/>
        <v>0</v>
      </c>
      <c r="V29" s="58"/>
      <c r="W29" s="58"/>
      <c r="X29" s="58"/>
      <c r="Y29" s="58"/>
      <c r="Z29" s="58"/>
      <c r="AA29" s="58"/>
      <c r="AB29" s="58">
        <v>1</v>
      </c>
      <c r="AC29" s="58">
        <v>-10</v>
      </c>
      <c r="AD29" s="58"/>
      <c r="AE29" s="58"/>
      <c r="AF29" s="58"/>
      <c r="AG29" s="58">
        <v>17500</v>
      </c>
      <c r="AH29" s="96"/>
      <c r="AI29" s="96"/>
      <c r="AJ29" s="96"/>
      <c r="AK29" s="96"/>
      <c r="AL29" s="96"/>
      <c r="AM29" s="96"/>
      <c r="AN29" s="96"/>
      <c r="AO29" s="96">
        <f>SUM((AB29/9))</f>
        <v>0.1111111111111111</v>
      </c>
      <c r="AP29" s="96">
        <f>SUM((AC29/9))</f>
        <v>-1.1111111111111112</v>
      </c>
      <c r="AQ29" s="96"/>
      <c r="AR29" s="96"/>
      <c r="AS29" s="96"/>
      <c r="AT29" s="96">
        <f t="shared" si="1"/>
        <v>1944.4444444444443</v>
      </c>
      <c r="AU29" s="96"/>
      <c r="AV29" s="96">
        <f t="shared" si="35"/>
        <v>0</v>
      </c>
      <c r="AW29" s="96">
        <f t="shared" si="40"/>
        <v>0</v>
      </c>
      <c r="AX29" s="96">
        <f t="shared" si="41"/>
        <v>0</v>
      </c>
      <c r="AY29" s="96">
        <f t="shared" si="42"/>
        <v>0</v>
      </c>
      <c r="AZ29" s="96">
        <f t="shared" si="43"/>
        <v>0</v>
      </c>
      <c r="BA29" s="96">
        <f t="shared" si="44"/>
        <v>0</v>
      </c>
      <c r="BB29" s="96">
        <f t="shared" si="45"/>
        <v>9.9999999999999992E-2</v>
      </c>
      <c r="BC29" s="96">
        <f t="shared" si="46"/>
        <v>-1</v>
      </c>
      <c r="BD29" s="96">
        <f t="shared" si="47"/>
        <v>0</v>
      </c>
      <c r="BE29" s="96">
        <f t="shared" si="48"/>
        <v>0</v>
      </c>
      <c r="BF29" s="96">
        <f t="shared" si="90"/>
        <v>0</v>
      </c>
      <c r="BG29" s="96">
        <f t="shared" si="20"/>
        <v>1750</v>
      </c>
      <c r="BH29" s="96"/>
      <c r="BI29" s="96">
        <f t="shared" si="36"/>
        <v>0</v>
      </c>
      <c r="BJ29" s="96">
        <f t="shared" si="49"/>
        <v>0</v>
      </c>
      <c r="BK29" s="96">
        <f t="shared" si="50"/>
        <v>0</v>
      </c>
      <c r="BL29" s="96">
        <f t="shared" si="51"/>
        <v>0</v>
      </c>
      <c r="BM29" s="96">
        <f t="shared" si="52"/>
        <v>0</v>
      </c>
      <c r="BN29" s="96">
        <f t="shared" si="53"/>
        <v>0</v>
      </c>
      <c r="BO29" s="96">
        <f t="shared" si="54"/>
        <v>0.09</v>
      </c>
      <c r="BP29" s="96">
        <f t="shared" si="55"/>
        <v>-0.9</v>
      </c>
      <c r="BQ29" s="96">
        <f t="shared" si="56"/>
        <v>0</v>
      </c>
      <c r="BR29" s="96">
        <f t="shared" si="57"/>
        <v>0</v>
      </c>
      <c r="BS29" s="96">
        <f t="shared" si="91"/>
        <v>0</v>
      </c>
      <c r="BT29" s="96">
        <f t="shared" si="22"/>
        <v>1575</v>
      </c>
      <c r="BU29" s="96"/>
      <c r="BV29" s="96">
        <f t="shared" si="37"/>
        <v>0</v>
      </c>
      <c r="BW29" s="96">
        <f t="shared" si="58"/>
        <v>0</v>
      </c>
      <c r="BX29" s="96">
        <f t="shared" si="59"/>
        <v>0</v>
      </c>
      <c r="BY29" s="96">
        <f t="shared" si="60"/>
        <v>0</v>
      </c>
      <c r="BZ29" s="96">
        <f t="shared" si="61"/>
        <v>0</v>
      </c>
      <c r="CA29" s="96">
        <f t="shared" si="62"/>
        <v>0</v>
      </c>
      <c r="CB29" s="96">
        <f t="shared" si="63"/>
        <v>0.08</v>
      </c>
      <c r="CC29" s="96">
        <f t="shared" si="64"/>
        <v>-0.8</v>
      </c>
      <c r="CD29" s="96">
        <f t="shared" si="65"/>
        <v>0</v>
      </c>
      <c r="CE29" s="96">
        <f t="shared" si="66"/>
        <v>0</v>
      </c>
      <c r="CF29" s="96">
        <f t="shared" si="92"/>
        <v>0</v>
      </c>
      <c r="CG29" s="96">
        <f t="shared" si="24"/>
        <v>1400</v>
      </c>
      <c r="CH29" s="96"/>
      <c r="CI29" s="96">
        <f t="shared" si="38"/>
        <v>0</v>
      </c>
      <c r="CJ29" s="96">
        <f t="shared" si="67"/>
        <v>0</v>
      </c>
      <c r="CK29" s="96">
        <f t="shared" si="68"/>
        <v>0</v>
      </c>
      <c r="CL29" s="96">
        <f t="shared" si="69"/>
        <v>0</v>
      </c>
      <c r="CM29" s="96">
        <f t="shared" si="70"/>
        <v>0</v>
      </c>
      <c r="CN29" s="96">
        <f t="shared" si="71"/>
        <v>0</v>
      </c>
      <c r="CO29" s="96">
        <f t="shared" si="72"/>
        <v>6.9999999999999993E-2</v>
      </c>
      <c r="CP29" s="96">
        <f t="shared" si="73"/>
        <v>-0.7</v>
      </c>
      <c r="CQ29" s="96">
        <f t="shared" si="74"/>
        <v>0</v>
      </c>
      <c r="CR29" s="96">
        <f t="shared" si="75"/>
        <v>0</v>
      </c>
      <c r="CS29" s="96">
        <f t="shared" si="93"/>
        <v>0</v>
      </c>
      <c r="CT29" s="96">
        <f t="shared" si="26"/>
        <v>1225</v>
      </c>
      <c r="CU29" s="96"/>
      <c r="CV29" s="96">
        <f t="shared" si="39"/>
        <v>0</v>
      </c>
      <c r="CW29" s="96">
        <f t="shared" si="76"/>
        <v>0</v>
      </c>
      <c r="CX29" s="96">
        <f t="shared" si="77"/>
        <v>0</v>
      </c>
      <c r="CY29" s="96">
        <f t="shared" si="78"/>
        <v>0</v>
      </c>
      <c r="CZ29" s="96">
        <f t="shared" si="79"/>
        <v>0</v>
      </c>
      <c r="DA29" s="96">
        <f t="shared" si="80"/>
        <v>0</v>
      </c>
      <c r="DB29" s="96">
        <f t="shared" si="81"/>
        <v>5.9999999999999991E-2</v>
      </c>
      <c r="DC29" s="96">
        <f t="shared" si="82"/>
        <v>-0.6</v>
      </c>
      <c r="DD29" s="96">
        <f t="shared" si="83"/>
        <v>0</v>
      </c>
      <c r="DE29" s="96">
        <f t="shared" si="84"/>
        <v>0</v>
      </c>
      <c r="DF29" s="96">
        <f t="shared" si="94"/>
        <v>0</v>
      </c>
      <c r="DG29" s="96">
        <f t="shared" si="28"/>
        <v>1050</v>
      </c>
      <c r="DH29" s="96"/>
      <c r="DI29" s="96" t="e">
        <f t="shared" si="29"/>
        <v>#VALUE!</v>
      </c>
      <c r="DJ29" s="96" t="e">
        <f t="shared" si="7"/>
        <v>#VALUE!</v>
      </c>
      <c r="DK29" s="96" t="e">
        <f t="shared" si="8"/>
        <v>#VALUE!</v>
      </c>
      <c r="DL29" s="96" t="e">
        <f t="shared" si="9"/>
        <v>#VALUE!</v>
      </c>
      <c r="DM29" s="96" t="e">
        <f t="shared" si="10"/>
        <v>#VALUE!</v>
      </c>
      <c r="DN29" s="96" t="e">
        <f t="shared" si="11"/>
        <v>#VALUE!</v>
      </c>
      <c r="DO29" s="96" t="e">
        <f t="shared" si="12"/>
        <v>#VALUE!</v>
      </c>
      <c r="DP29" s="96" t="e">
        <f t="shared" si="13"/>
        <v>#VALUE!</v>
      </c>
      <c r="DQ29" s="96" t="e">
        <f t="shared" si="14"/>
        <v>#VALUE!</v>
      </c>
      <c r="DR29" s="96" t="e">
        <f t="shared" si="15"/>
        <v>#VALUE!</v>
      </c>
      <c r="DS29" s="96" t="e">
        <f t="shared" si="16"/>
        <v>#VALUE!</v>
      </c>
      <c r="DT29" s="96" t="e">
        <f t="shared" si="17"/>
        <v>#VALUE!</v>
      </c>
      <c r="DW29" s="178"/>
      <c r="DX29" s="178"/>
    </row>
    <row r="30" spans="1:128" ht="16.5" customHeight="1">
      <c r="A30" s="1750">
        <v>308</v>
      </c>
      <c r="B30" s="2045"/>
      <c r="C30" s="183" t="s">
        <v>142</v>
      </c>
      <c r="D30" s="188"/>
      <c r="E30" s="188"/>
      <c r="F30" s="188"/>
      <c r="G30" s="201"/>
      <c r="H30" s="188"/>
      <c r="I30" s="188"/>
      <c r="J30" s="188"/>
      <c r="K30" s="188">
        <f>IF((U30&lt;10),SUM((AC30+(ROUNDUP((U30*AP30),2)))),SUM((AC30+(ROUNDUP(((9*AP30)+DP30),2)))))</f>
        <v>-10</v>
      </c>
      <c r="L30" s="188"/>
      <c r="M30" s="188"/>
      <c r="N30" s="391"/>
      <c r="O30" s="400">
        <f t="shared" si="0"/>
        <v>17500</v>
      </c>
      <c r="P30" s="400"/>
      <c r="Q30" s="400"/>
      <c r="R30" s="374"/>
      <c r="S30" s="190"/>
      <c r="T30" s="96"/>
      <c r="U30" s="96">
        <f t="shared" si="18"/>
        <v>0</v>
      </c>
      <c r="V30" s="58"/>
      <c r="W30" s="58"/>
      <c r="X30" s="58"/>
      <c r="Y30" s="58"/>
      <c r="Z30" s="58"/>
      <c r="AA30" s="58"/>
      <c r="AB30" s="58"/>
      <c r="AC30" s="58">
        <v>-10</v>
      </c>
      <c r="AD30" s="58"/>
      <c r="AE30" s="58"/>
      <c r="AF30" s="58"/>
      <c r="AG30" s="58">
        <v>17500</v>
      </c>
      <c r="AH30" s="96"/>
      <c r="AI30" s="96"/>
      <c r="AJ30" s="96"/>
      <c r="AK30" s="96"/>
      <c r="AL30" s="96"/>
      <c r="AM30" s="96"/>
      <c r="AN30" s="96"/>
      <c r="AO30" s="96"/>
      <c r="AP30" s="96">
        <f>SUM((AC30/9))</f>
        <v>-1.1111111111111112</v>
      </c>
      <c r="AQ30" s="96"/>
      <c r="AR30" s="96"/>
      <c r="AS30" s="96"/>
      <c r="AT30" s="96">
        <f t="shared" si="1"/>
        <v>1944.4444444444443</v>
      </c>
      <c r="AU30" s="96"/>
      <c r="AV30" s="96">
        <f t="shared" si="35"/>
        <v>0</v>
      </c>
      <c r="AW30" s="96">
        <f t="shared" si="40"/>
        <v>0</v>
      </c>
      <c r="AX30" s="96">
        <f t="shared" si="41"/>
        <v>0</v>
      </c>
      <c r="AY30" s="96">
        <f t="shared" si="42"/>
        <v>0</v>
      </c>
      <c r="AZ30" s="96">
        <f t="shared" si="43"/>
        <v>0</v>
      </c>
      <c r="BA30" s="96">
        <f t="shared" si="44"/>
        <v>0</v>
      </c>
      <c r="BB30" s="96">
        <f t="shared" si="45"/>
        <v>0</v>
      </c>
      <c r="BC30" s="96">
        <f t="shared" si="46"/>
        <v>-1</v>
      </c>
      <c r="BD30" s="96">
        <f t="shared" si="47"/>
        <v>0</v>
      </c>
      <c r="BE30" s="96">
        <f t="shared" si="48"/>
        <v>0</v>
      </c>
      <c r="BF30" s="96">
        <f t="shared" si="90"/>
        <v>0</v>
      </c>
      <c r="BG30" s="96">
        <f t="shared" si="20"/>
        <v>1750</v>
      </c>
      <c r="BH30" s="96"/>
      <c r="BI30" s="96">
        <f t="shared" si="36"/>
        <v>0</v>
      </c>
      <c r="BJ30" s="96">
        <f t="shared" si="49"/>
        <v>0</v>
      </c>
      <c r="BK30" s="96">
        <f t="shared" si="50"/>
        <v>0</v>
      </c>
      <c r="BL30" s="96">
        <f t="shared" si="51"/>
        <v>0</v>
      </c>
      <c r="BM30" s="96">
        <f t="shared" si="52"/>
        <v>0</v>
      </c>
      <c r="BN30" s="96">
        <f t="shared" si="53"/>
        <v>0</v>
      </c>
      <c r="BO30" s="96">
        <f t="shared" si="54"/>
        <v>0</v>
      </c>
      <c r="BP30" s="96">
        <f t="shared" si="55"/>
        <v>-0.9</v>
      </c>
      <c r="BQ30" s="96">
        <f t="shared" si="56"/>
        <v>0</v>
      </c>
      <c r="BR30" s="96">
        <f t="shared" si="57"/>
        <v>0</v>
      </c>
      <c r="BS30" s="96">
        <f t="shared" si="91"/>
        <v>0</v>
      </c>
      <c r="BT30" s="96">
        <f t="shared" si="22"/>
        <v>1575</v>
      </c>
      <c r="BU30" s="96"/>
      <c r="BV30" s="96">
        <f t="shared" si="37"/>
        <v>0</v>
      </c>
      <c r="BW30" s="96">
        <f t="shared" si="58"/>
        <v>0</v>
      </c>
      <c r="BX30" s="96">
        <f t="shared" si="59"/>
        <v>0</v>
      </c>
      <c r="BY30" s="96">
        <f t="shared" si="60"/>
        <v>0</v>
      </c>
      <c r="BZ30" s="96">
        <f t="shared" si="61"/>
        <v>0</v>
      </c>
      <c r="CA30" s="96">
        <f t="shared" si="62"/>
        <v>0</v>
      </c>
      <c r="CB30" s="96">
        <f t="shared" si="63"/>
        <v>0</v>
      </c>
      <c r="CC30" s="96">
        <f t="shared" si="64"/>
        <v>-0.8</v>
      </c>
      <c r="CD30" s="96">
        <f t="shared" si="65"/>
        <v>0</v>
      </c>
      <c r="CE30" s="96">
        <f t="shared" si="66"/>
        <v>0</v>
      </c>
      <c r="CF30" s="96">
        <f t="shared" si="92"/>
        <v>0</v>
      </c>
      <c r="CG30" s="96">
        <f t="shared" si="24"/>
        <v>1400</v>
      </c>
      <c r="CH30" s="96"/>
      <c r="CI30" s="96">
        <f t="shared" si="38"/>
        <v>0</v>
      </c>
      <c r="CJ30" s="96">
        <f t="shared" si="67"/>
        <v>0</v>
      </c>
      <c r="CK30" s="96">
        <f t="shared" si="68"/>
        <v>0</v>
      </c>
      <c r="CL30" s="96">
        <f t="shared" si="69"/>
        <v>0</v>
      </c>
      <c r="CM30" s="96">
        <f t="shared" si="70"/>
        <v>0</v>
      </c>
      <c r="CN30" s="96">
        <f t="shared" si="71"/>
        <v>0</v>
      </c>
      <c r="CO30" s="96">
        <f t="shared" si="72"/>
        <v>0</v>
      </c>
      <c r="CP30" s="96">
        <f t="shared" si="73"/>
        <v>-0.7</v>
      </c>
      <c r="CQ30" s="96">
        <f t="shared" si="74"/>
        <v>0</v>
      </c>
      <c r="CR30" s="96">
        <f t="shared" si="75"/>
        <v>0</v>
      </c>
      <c r="CS30" s="96">
        <f t="shared" si="93"/>
        <v>0</v>
      </c>
      <c r="CT30" s="96">
        <f t="shared" si="26"/>
        <v>1225</v>
      </c>
      <c r="CU30" s="96"/>
      <c r="CV30" s="96">
        <f t="shared" si="39"/>
        <v>0</v>
      </c>
      <c r="CW30" s="96">
        <f t="shared" si="76"/>
        <v>0</v>
      </c>
      <c r="CX30" s="96">
        <f t="shared" si="77"/>
        <v>0</v>
      </c>
      <c r="CY30" s="96">
        <f t="shared" si="78"/>
        <v>0</v>
      </c>
      <c r="CZ30" s="96">
        <f t="shared" si="79"/>
        <v>0</v>
      </c>
      <c r="DA30" s="96">
        <f t="shared" si="80"/>
        <v>0</v>
      </c>
      <c r="DB30" s="96">
        <f t="shared" si="81"/>
        <v>0</v>
      </c>
      <c r="DC30" s="96">
        <f t="shared" si="82"/>
        <v>-0.6</v>
      </c>
      <c r="DD30" s="96">
        <f t="shared" si="83"/>
        <v>0</v>
      </c>
      <c r="DE30" s="96">
        <f t="shared" si="84"/>
        <v>0</v>
      </c>
      <c r="DF30" s="96">
        <f t="shared" si="94"/>
        <v>0</v>
      </c>
      <c r="DG30" s="96">
        <f t="shared" si="28"/>
        <v>1050</v>
      </c>
      <c r="DH30" s="96"/>
      <c r="DI30" s="96" t="e">
        <f t="shared" si="29"/>
        <v>#VALUE!</v>
      </c>
      <c r="DJ30" s="96" t="e">
        <f t="shared" si="7"/>
        <v>#VALUE!</v>
      </c>
      <c r="DK30" s="96" t="e">
        <f t="shared" si="8"/>
        <v>#VALUE!</v>
      </c>
      <c r="DL30" s="96" t="e">
        <f t="shared" si="9"/>
        <v>#VALUE!</v>
      </c>
      <c r="DM30" s="96" t="e">
        <f t="shared" si="10"/>
        <v>#VALUE!</v>
      </c>
      <c r="DN30" s="96" t="e">
        <f t="shared" si="11"/>
        <v>#VALUE!</v>
      </c>
      <c r="DO30" s="96" t="e">
        <f t="shared" si="12"/>
        <v>#VALUE!</v>
      </c>
      <c r="DP30" s="96" t="e">
        <f t="shared" si="13"/>
        <v>#VALUE!</v>
      </c>
      <c r="DQ30" s="96" t="e">
        <f t="shared" si="14"/>
        <v>#VALUE!</v>
      </c>
      <c r="DR30" s="96" t="e">
        <f t="shared" si="15"/>
        <v>#VALUE!</v>
      </c>
      <c r="DS30" s="96" t="e">
        <f t="shared" si="16"/>
        <v>#VALUE!</v>
      </c>
      <c r="DT30" s="96" t="e">
        <f t="shared" si="17"/>
        <v>#VALUE!</v>
      </c>
      <c r="DW30" s="178"/>
      <c r="DX30" s="178"/>
    </row>
    <row r="31" spans="1:128" ht="16.5" customHeight="1" thickBot="1">
      <c r="A31" s="1751">
        <v>309</v>
      </c>
      <c r="B31" s="2046"/>
      <c r="C31" s="408" t="s">
        <v>143</v>
      </c>
      <c r="D31" s="409"/>
      <c r="E31" s="409"/>
      <c r="F31" s="409"/>
      <c r="G31" s="410"/>
      <c r="H31" s="409"/>
      <c r="I31" s="409"/>
      <c r="J31" s="409"/>
      <c r="K31" s="409"/>
      <c r="L31" s="409">
        <f>IF((U31&lt;10),SUM((AD31+(ROUNDUP((U31*AQ31),2)))),SUM((AD31+(ROUNDUP(((9*AQ31)+DQ31),2)))))</f>
        <v>30</v>
      </c>
      <c r="M31" s="409">
        <f>IF((U31&lt;10),SUM((AE31+(ROUNDUP((U31*AR31),2)))),SUM((AE31+(ROUNDUP(((9*AR31)+DR31),2)))))</f>
        <v>120</v>
      </c>
      <c r="N31" s="411">
        <f>IF((U31&lt;10),SUM((AF31+(ROUNDUP((U31*AS31),2)))),SUM((AF31+(ROUNDUP(((9*AS31)+DS31),2)))))</f>
        <v>125</v>
      </c>
      <c r="O31" s="412">
        <f t="shared" si="0"/>
        <v>17500</v>
      </c>
      <c r="P31" s="412"/>
      <c r="Q31" s="412"/>
      <c r="R31" s="374"/>
      <c r="S31" s="190"/>
      <c r="T31" s="96"/>
      <c r="U31" s="96">
        <f t="shared" si="18"/>
        <v>0</v>
      </c>
      <c r="V31" s="58"/>
      <c r="W31" s="58"/>
      <c r="X31" s="58"/>
      <c r="Y31" s="58"/>
      <c r="Z31" s="58"/>
      <c r="AA31" s="58"/>
      <c r="AB31" s="58"/>
      <c r="AC31" s="58"/>
      <c r="AD31" s="58">
        <v>30</v>
      </c>
      <c r="AE31" s="58">
        <v>120</v>
      </c>
      <c r="AF31" s="58">
        <v>125</v>
      </c>
      <c r="AG31" s="58">
        <v>17500</v>
      </c>
      <c r="AH31" s="96"/>
      <c r="AI31" s="96"/>
      <c r="AJ31" s="96"/>
      <c r="AK31" s="96"/>
      <c r="AL31" s="96"/>
      <c r="AM31" s="96"/>
      <c r="AN31" s="96"/>
      <c r="AO31" s="96"/>
      <c r="AP31" s="96"/>
      <c r="AQ31" s="96">
        <f>SUM((AD31/9))</f>
        <v>3.3333333333333335</v>
      </c>
      <c r="AR31" s="96"/>
      <c r="AS31" s="96"/>
      <c r="AT31" s="96">
        <f t="shared" si="1"/>
        <v>1944.4444444444443</v>
      </c>
      <c r="AU31" s="96"/>
      <c r="AV31" s="96">
        <f t="shared" si="35"/>
        <v>0</v>
      </c>
      <c r="AW31" s="96">
        <f t="shared" si="40"/>
        <v>0</v>
      </c>
      <c r="AX31" s="96">
        <f t="shared" si="41"/>
        <v>0</v>
      </c>
      <c r="AY31" s="96">
        <f t="shared" si="42"/>
        <v>0</v>
      </c>
      <c r="AZ31" s="96">
        <f t="shared" si="43"/>
        <v>0</v>
      </c>
      <c r="BA31" s="96">
        <f t="shared" si="44"/>
        <v>0</v>
      </c>
      <c r="BB31" s="96">
        <f t="shared" si="45"/>
        <v>0</v>
      </c>
      <c r="BC31" s="96">
        <f t="shared" si="46"/>
        <v>0</v>
      </c>
      <c r="BD31" s="96">
        <f t="shared" si="47"/>
        <v>3</v>
      </c>
      <c r="BE31" s="96">
        <f t="shared" si="48"/>
        <v>0</v>
      </c>
      <c r="BF31" s="96">
        <f t="shared" si="90"/>
        <v>0</v>
      </c>
      <c r="BG31" s="96">
        <f t="shared" si="20"/>
        <v>1750</v>
      </c>
      <c r="BH31" s="96"/>
      <c r="BI31" s="96">
        <f t="shared" si="36"/>
        <v>0</v>
      </c>
      <c r="BJ31" s="96">
        <f t="shared" si="49"/>
        <v>0</v>
      </c>
      <c r="BK31" s="96">
        <f t="shared" si="50"/>
        <v>0</v>
      </c>
      <c r="BL31" s="96">
        <f t="shared" si="51"/>
        <v>0</v>
      </c>
      <c r="BM31" s="96">
        <f t="shared" si="52"/>
        <v>0</v>
      </c>
      <c r="BN31" s="96">
        <f t="shared" si="53"/>
        <v>0</v>
      </c>
      <c r="BO31" s="96">
        <f t="shared" si="54"/>
        <v>0</v>
      </c>
      <c r="BP31" s="96">
        <f t="shared" si="55"/>
        <v>0</v>
      </c>
      <c r="BQ31" s="96">
        <f t="shared" si="56"/>
        <v>2.7</v>
      </c>
      <c r="BR31" s="96">
        <f t="shared" si="57"/>
        <v>0</v>
      </c>
      <c r="BS31" s="96">
        <f t="shared" si="91"/>
        <v>0</v>
      </c>
      <c r="BT31" s="96">
        <f t="shared" si="22"/>
        <v>1575</v>
      </c>
      <c r="BU31" s="96"/>
      <c r="BV31" s="96">
        <f t="shared" si="37"/>
        <v>0</v>
      </c>
      <c r="BW31" s="96">
        <f t="shared" si="58"/>
        <v>0</v>
      </c>
      <c r="BX31" s="96">
        <f t="shared" si="59"/>
        <v>0</v>
      </c>
      <c r="BY31" s="96">
        <f t="shared" si="60"/>
        <v>0</v>
      </c>
      <c r="BZ31" s="96">
        <f t="shared" si="61"/>
        <v>0</v>
      </c>
      <c r="CA31" s="96">
        <f t="shared" si="62"/>
        <v>0</v>
      </c>
      <c r="CB31" s="96">
        <f t="shared" si="63"/>
        <v>0</v>
      </c>
      <c r="CC31" s="96">
        <f t="shared" si="64"/>
        <v>0</v>
      </c>
      <c r="CD31" s="96">
        <f t="shared" si="65"/>
        <v>2.4000000000000004</v>
      </c>
      <c r="CE31" s="96">
        <f t="shared" si="66"/>
        <v>0</v>
      </c>
      <c r="CF31" s="96">
        <f t="shared" si="92"/>
        <v>0</v>
      </c>
      <c r="CG31" s="96">
        <f t="shared" si="24"/>
        <v>1400</v>
      </c>
      <c r="CH31" s="96"/>
      <c r="CI31" s="96">
        <f t="shared" si="38"/>
        <v>0</v>
      </c>
      <c r="CJ31" s="96">
        <f t="shared" si="67"/>
        <v>0</v>
      </c>
      <c r="CK31" s="96">
        <f t="shared" si="68"/>
        <v>0</v>
      </c>
      <c r="CL31" s="96">
        <f t="shared" si="69"/>
        <v>0</v>
      </c>
      <c r="CM31" s="96">
        <f t="shared" si="70"/>
        <v>0</v>
      </c>
      <c r="CN31" s="96">
        <f t="shared" si="71"/>
        <v>0</v>
      </c>
      <c r="CO31" s="96">
        <f t="shared" si="72"/>
        <v>0</v>
      </c>
      <c r="CP31" s="96">
        <f t="shared" si="73"/>
        <v>0</v>
      </c>
      <c r="CQ31" s="96">
        <f t="shared" si="74"/>
        <v>2.0999999999999996</v>
      </c>
      <c r="CR31" s="96">
        <f t="shared" si="75"/>
        <v>0</v>
      </c>
      <c r="CS31" s="96">
        <f t="shared" si="93"/>
        <v>0</v>
      </c>
      <c r="CT31" s="96">
        <f t="shared" si="26"/>
        <v>1225</v>
      </c>
      <c r="CU31" s="96"/>
      <c r="CV31" s="96">
        <f t="shared" si="39"/>
        <v>0</v>
      </c>
      <c r="CW31" s="96">
        <f t="shared" si="76"/>
        <v>0</v>
      </c>
      <c r="CX31" s="96">
        <f t="shared" si="77"/>
        <v>0</v>
      </c>
      <c r="CY31" s="96">
        <f t="shared" si="78"/>
        <v>0</v>
      </c>
      <c r="CZ31" s="96">
        <f t="shared" si="79"/>
        <v>0</v>
      </c>
      <c r="DA31" s="96">
        <f t="shared" si="80"/>
        <v>0</v>
      </c>
      <c r="DB31" s="96">
        <f t="shared" si="81"/>
        <v>0</v>
      </c>
      <c r="DC31" s="96">
        <f t="shared" si="82"/>
        <v>0</v>
      </c>
      <c r="DD31" s="96">
        <f t="shared" si="83"/>
        <v>1.7999999999999998</v>
      </c>
      <c r="DE31" s="96">
        <f t="shared" si="84"/>
        <v>0</v>
      </c>
      <c r="DF31" s="96">
        <f t="shared" si="94"/>
        <v>0</v>
      </c>
      <c r="DG31" s="96">
        <f t="shared" si="28"/>
        <v>1050</v>
      </c>
      <c r="DH31" s="96"/>
      <c r="DI31" s="96" t="e">
        <f t="shared" si="29"/>
        <v>#VALUE!</v>
      </c>
      <c r="DJ31" s="96" t="e">
        <f t="shared" si="7"/>
        <v>#VALUE!</v>
      </c>
      <c r="DK31" s="96" t="e">
        <f t="shared" si="8"/>
        <v>#VALUE!</v>
      </c>
      <c r="DL31" s="96" t="e">
        <f t="shared" si="9"/>
        <v>#VALUE!</v>
      </c>
      <c r="DM31" s="96" t="e">
        <f t="shared" si="10"/>
        <v>#VALUE!</v>
      </c>
      <c r="DN31" s="96" t="e">
        <f t="shared" si="11"/>
        <v>#VALUE!</v>
      </c>
      <c r="DO31" s="96" t="e">
        <f t="shared" si="12"/>
        <v>#VALUE!</v>
      </c>
      <c r="DP31" s="96" t="e">
        <f t="shared" si="13"/>
        <v>#VALUE!</v>
      </c>
      <c r="DQ31" s="96" t="e">
        <f t="shared" si="14"/>
        <v>#VALUE!</v>
      </c>
      <c r="DR31" s="96" t="e">
        <f t="shared" si="15"/>
        <v>#VALUE!</v>
      </c>
      <c r="DS31" s="96" t="e">
        <f t="shared" si="16"/>
        <v>#VALUE!</v>
      </c>
      <c r="DT31" s="96" t="e">
        <f t="shared" si="17"/>
        <v>#VALUE!</v>
      </c>
      <c r="DW31" s="178"/>
      <c r="DX31" s="178"/>
    </row>
    <row r="32" spans="1:128" s="338" customFormat="1" ht="16.5" customHeight="1" thickBot="1">
      <c r="A32" s="1751">
        <v>401</v>
      </c>
      <c r="B32" s="407"/>
      <c r="C32" s="413"/>
      <c r="D32" s="402"/>
      <c r="E32" s="402"/>
      <c r="F32" s="402"/>
      <c r="G32" s="414"/>
      <c r="H32" s="402"/>
      <c r="I32" s="402"/>
      <c r="J32" s="402"/>
      <c r="K32" s="402"/>
      <c r="L32" s="402"/>
      <c r="M32" s="402"/>
      <c r="N32" s="402"/>
      <c r="O32" s="402"/>
      <c r="P32" s="402"/>
      <c r="Q32" s="402"/>
      <c r="R32" s="374"/>
      <c r="S32" s="378"/>
      <c r="T32" s="365"/>
      <c r="U32" s="365"/>
      <c r="V32" s="366"/>
      <c r="W32" s="366"/>
      <c r="X32" s="366"/>
      <c r="Y32" s="366"/>
      <c r="Z32" s="366"/>
      <c r="AA32" s="366"/>
      <c r="AB32" s="366"/>
      <c r="AC32" s="366"/>
      <c r="AD32" s="366"/>
      <c r="AE32" s="366"/>
      <c r="AF32" s="366"/>
      <c r="AG32" s="366"/>
      <c r="AH32" s="365"/>
      <c r="AI32" s="365"/>
      <c r="AJ32" s="365"/>
      <c r="AK32" s="365"/>
      <c r="AL32" s="365"/>
      <c r="AM32" s="365"/>
      <c r="AN32" s="365"/>
      <c r="AO32" s="365"/>
      <c r="AP32" s="365"/>
      <c r="AQ32" s="365"/>
      <c r="AR32" s="365"/>
      <c r="AS32" s="365"/>
      <c r="AT32" s="365"/>
      <c r="AU32" s="365"/>
      <c r="AV32" s="365"/>
      <c r="AW32" s="365"/>
      <c r="AX32" s="365"/>
      <c r="AY32" s="365"/>
      <c r="AZ32" s="365"/>
      <c r="BA32" s="365"/>
      <c r="BB32" s="365"/>
      <c r="BC32" s="365"/>
      <c r="BD32" s="365"/>
      <c r="BE32" s="365"/>
      <c r="BF32" s="365"/>
      <c r="BG32" s="365"/>
      <c r="BH32" s="365"/>
      <c r="BI32" s="365"/>
      <c r="BJ32" s="365"/>
      <c r="BK32" s="365"/>
      <c r="BL32" s="365"/>
      <c r="BM32" s="365"/>
      <c r="BN32" s="365"/>
      <c r="BO32" s="365"/>
      <c r="BP32" s="365"/>
      <c r="BQ32" s="365"/>
      <c r="BR32" s="365"/>
      <c r="BS32" s="365"/>
      <c r="BT32" s="365"/>
      <c r="BU32" s="365"/>
      <c r="BV32" s="365"/>
      <c r="BW32" s="365"/>
      <c r="BX32" s="365"/>
      <c r="BY32" s="365"/>
      <c r="BZ32" s="365"/>
      <c r="CA32" s="365"/>
      <c r="CB32" s="365"/>
      <c r="CC32" s="365"/>
      <c r="CD32" s="365"/>
      <c r="CE32" s="365"/>
      <c r="CF32" s="365"/>
      <c r="CG32" s="365"/>
      <c r="CH32" s="365"/>
      <c r="CI32" s="365"/>
      <c r="CJ32" s="365"/>
      <c r="CK32" s="365"/>
      <c r="CL32" s="365"/>
      <c r="CM32" s="365"/>
      <c r="CN32" s="365"/>
      <c r="CO32" s="365"/>
      <c r="CP32" s="365"/>
      <c r="CQ32" s="365"/>
      <c r="CR32" s="365"/>
      <c r="CS32" s="365"/>
      <c r="CT32" s="365"/>
      <c r="CU32" s="365"/>
      <c r="CV32" s="365"/>
      <c r="CW32" s="365"/>
      <c r="CX32" s="365"/>
      <c r="CY32" s="365"/>
      <c r="CZ32" s="365"/>
      <c r="DA32" s="365"/>
      <c r="DB32" s="365"/>
      <c r="DC32" s="365"/>
      <c r="DD32" s="365"/>
      <c r="DE32" s="365"/>
      <c r="DF32" s="365"/>
      <c r="DG32" s="365"/>
      <c r="DH32" s="365"/>
      <c r="DI32" s="365"/>
      <c r="DJ32" s="365"/>
      <c r="DK32" s="365"/>
      <c r="DL32" s="365"/>
      <c r="DM32" s="365"/>
      <c r="DN32" s="365"/>
      <c r="DO32" s="365"/>
      <c r="DP32" s="365"/>
      <c r="DQ32" s="365"/>
      <c r="DR32" s="365"/>
      <c r="DS32" s="365"/>
      <c r="DT32" s="365"/>
      <c r="DU32" s="339"/>
      <c r="DV32" s="339"/>
      <c r="DW32" s="427"/>
      <c r="DX32" s="427"/>
    </row>
    <row r="33" spans="1:128" ht="16.5" customHeight="1">
      <c r="A33" s="1750">
        <v>402</v>
      </c>
      <c r="B33" s="2047" t="s">
        <v>112</v>
      </c>
      <c r="C33" s="415" t="s">
        <v>726</v>
      </c>
      <c r="D33" s="403">
        <f>IF((U33&lt;10),SUM((V33+(ROUNDUP((U33*AI33),2)))),SUM((V33+(ROUNDUP(((9*AI33)+DI33),2)))))</f>
        <v>0.65</v>
      </c>
      <c r="E33" s="403">
        <f>IF((U33&lt;10),SUM((W33+(ROUNDUP((U33*AJ33),2)))),SUM((W33+(ROUNDUP(((9*AJ33)+DJ33),2)))))</f>
        <v>0.65</v>
      </c>
      <c r="F33" s="403"/>
      <c r="G33" s="416"/>
      <c r="H33" s="403"/>
      <c r="I33" s="403"/>
      <c r="J33" s="403"/>
      <c r="K33" s="403"/>
      <c r="L33" s="403"/>
      <c r="M33" s="403"/>
      <c r="N33" s="403"/>
      <c r="O33" s="403">
        <f t="shared" si="0"/>
        <v>17500</v>
      </c>
      <c r="P33" s="403"/>
      <c r="Q33" s="403"/>
      <c r="R33" s="374"/>
      <c r="S33" s="190"/>
      <c r="U33" s="96">
        <f>U31</f>
        <v>0</v>
      </c>
      <c r="V33" s="58">
        <v>0.65</v>
      </c>
      <c r="W33" s="58">
        <v>0.65</v>
      </c>
      <c r="X33" s="58"/>
      <c r="Y33" s="58"/>
      <c r="Z33" s="58"/>
      <c r="AA33" s="58"/>
      <c r="AB33" s="58"/>
      <c r="AC33" s="58"/>
      <c r="AD33" s="58"/>
      <c r="AE33" s="58"/>
      <c r="AF33" s="58"/>
      <c r="AG33" s="58">
        <v>17500</v>
      </c>
      <c r="AH33" s="96"/>
      <c r="AI33" s="96">
        <f>SUM((0.6/9))</f>
        <v>6.6666666666666666E-2</v>
      </c>
      <c r="AJ33" s="96">
        <f>SUM((0.6/9))</f>
        <v>6.6666666666666666E-2</v>
      </c>
      <c r="AK33" s="96"/>
      <c r="AL33" s="96"/>
      <c r="AM33" s="96"/>
      <c r="AN33" s="96"/>
      <c r="AO33" s="96"/>
      <c r="AP33" s="96"/>
      <c r="AQ33" s="96"/>
      <c r="AR33" s="96"/>
      <c r="AS33" s="96"/>
      <c r="AT33" s="96">
        <f t="shared" si="1"/>
        <v>1944.4444444444443</v>
      </c>
      <c r="AU33" s="96"/>
      <c r="AV33" s="96">
        <f t="shared" si="35"/>
        <v>0.06</v>
      </c>
      <c r="AW33" s="96">
        <f t="shared" si="40"/>
        <v>0.06</v>
      </c>
      <c r="AX33" s="96">
        <f t="shared" si="41"/>
        <v>0</v>
      </c>
      <c r="AY33" s="96">
        <f t="shared" si="42"/>
        <v>0</v>
      </c>
      <c r="AZ33" s="96">
        <f t="shared" si="43"/>
        <v>0</v>
      </c>
      <c r="BA33" s="96">
        <f t="shared" si="44"/>
        <v>0</v>
      </c>
      <c r="BB33" s="96">
        <f t="shared" si="45"/>
        <v>0</v>
      </c>
      <c r="BC33" s="96">
        <f t="shared" si="46"/>
        <v>0</v>
      </c>
      <c r="BD33" s="96">
        <f t="shared" si="47"/>
        <v>0</v>
      </c>
      <c r="BE33" s="96">
        <f t="shared" si="48"/>
        <v>0</v>
      </c>
      <c r="BF33" s="96">
        <f t="shared" si="90"/>
        <v>0</v>
      </c>
      <c r="BG33" s="96">
        <f t="shared" si="20"/>
        <v>1750</v>
      </c>
      <c r="BH33" s="96"/>
      <c r="BI33" s="96">
        <f t="shared" si="36"/>
        <v>5.3999999999999999E-2</v>
      </c>
      <c r="BJ33" s="96">
        <f t="shared" si="49"/>
        <v>5.3999999999999999E-2</v>
      </c>
      <c r="BK33" s="96">
        <f t="shared" si="50"/>
        <v>0</v>
      </c>
      <c r="BL33" s="96">
        <f t="shared" si="51"/>
        <v>0</v>
      </c>
      <c r="BM33" s="96">
        <f t="shared" si="52"/>
        <v>0</v>
      </c>
      <c r="BN33" s="96">
        <f t="shared" si="53"/>
        <v>0</v>
      </c>
      <c r="BO33" s="96">
        <f t="shared" si="54"/>
        <v>0</v>
      </c>
      <c r="BP33" s="96">
        <f t="shared" si="55"/>
        <v>0</v>
      </c>
      <c r="BQ33" s="96">
        <f t="shared" si="56"/>
        <v>0</v>
      </c>
      <c r="BR33" s="96">
        <f t="shared" si="57"/>
        <v>0</v>
      </c>
      <c r="BS33" s="96">
        <f t="shared" si="91"/>
        <v>0</v>
      </c>
      <c r="BT33" s="96">
        <f t="shared" si="22"/>
        <v>1575</v>
      </c>
      <c r="BU33" s="96"/>
      <c r="BV33" s="96">
        <f t="shared" si="37"/>
        <v>4.8000000000000001E-2</v>
      </c>
      <c r="BW33" s="96">
        <f t="shared" si="58"/>
        <v>4.8000000000000001E-2</v>
      </c>
      <c r="BX33" s="96">
        <f t="shared" si="59"/>
        <v>0</v>
      </c>
      <c r="BY33" s="96">
        <f t="shared" si="60"/>
        <v>0</v>
      </c>
      <c r="BZ33" s="96">
        <f t="shared" si="61"/>
        <v>0</v>
      </c>
      <c r="CA33" s="96">
        <f t="shared" si="62"/>
        <v>0</v>
      </c>
      <c r="CB33" s="96">
        <f t="shared" si="63"/>
        <v>0</v>
      </c>
      <c r="CC33" s="96">
        <f t="shared" si="64"/>
        <v>0</v>
      </c>
      <c r="CD33" s="96">
        <f t="shared" si="65"/>
        <v>0</v>
      </c>
      <c r="CE33" s="96">
        <f t="shared" si="66"/>
        <v>0</v>
      </c>
      <c r="CF33" s="96">
        <f t="shared" si="92"/>
        <v>0</v>
      </c>
      <c r="CG33" s="96">
        <f t="shared" si="24"/>
        <v>1400</v>
      </c>
      <c r="CH33" s="96"/>
      <c r="CI33" s="96">
        <f t="shared" si="38"/>
        <v>4.1999999999999996E-2</v>
      </c>
      <c r="CJ33" s="96">
        <f t="shared" si="67"/>
        <v>4.1999999999999996E-2</v>
      </c>
      <c r="CK33" s="96">
        <f t="shared" si="68"/>
        <v>0</v>
      </c>
      <c r="CL33" s="96">
        <f t="shared" si="69"/>
        <v>0</v>
      </c>
      <c r="CM33" s="96">
        <f t="shared" si="70"/>
        <v>0</v>
      </c>
      <c r="CN33" s="96">
        <f t="shared" si="71"/>
        <v>0</v>
      </c>
      <c r="CO33" s="96">
        <f t="shared" si="72"/>
        <v>0</v>
      </c>
      <c r="CP33" s="96">
        <f t="shared" si="73"/>
        <v>0</v>
      </c>
      <c r="CQ33" s="96">
        <f t="shared" si="74"/>
        <v>0</v>
      </c>
      <c r="CR33" s="96">
        <f t="shared" si="75"/>
        <v>0</v>
      </c>
      <c r="CS33" s="96">
        <f t="shared" si="93"/>
        <v>0</v>
      </c>
      <c r="CT33" s="96">
        <f t="shared" si="26"/>
        <v>1225</v>
      </c>
      <c r="CU33" s="96"/>
      <c r="CV33" s="96">
        <f t="shared" si="39"/>
        <v>3.5999999999999997E-2</v>
      </c>
      <c r="CW33" s="96">
        <f t="shared" si="76"/>
        <v>3.5999999999999997E-2</v>
      </c>
      <c r="CX33" s="96">
        <f t="shared" si="77"/>
        <v>0</v>
      </c>
      <c r="CY33" s="96">
        <f t="shared" si="78"/>
        <v>0</v>
      </c>
      <c r="CZ33" s="96">
        <f t="shared" si="79"/>
        <v>0</v>
      </c>
      <c r="DA33" s="96">
        <f t="shared" si="80"/>
        <v>0</v>
      </c>
      <c r="DB33" s="96">
        <f t="shared" si="81"/>
        <v>0</v>
      </c>
      <c r="DC33" s="96">
        <f t="shared" si="82"/>
        <v>0</v>
      </c>
      <c r="DD33" s="96">
        <f t="shared" si="83"/>
        <v>0</v>
      </c>
      <c r="DE33" s="96">
        <f t="shared" si="84"/>
        <v>0</v>
      </c>
      <c r="DF33" s="96">
        <f t="shared" si="94"/>
        <v>0</v>
      </c>
      <c r="DG33" s="96">
        <f t="shared" si="28"/>
        <v>1050</v>
      </c>
      <c r="DH33" s="96"/>
      <c r="DI33" s="96" t="e">
        <f t="shared" si="29"/>
        <v>#VALUE!</v>
      </c>
      <c r="DJ33" s="96" t="e">
        <f t="shared" si="7"/>
        <v>#VALUE!</v>
      </c>
      <c r="DK33" s="96" t="e">
        <f t="shared" si="8"/>
        <v>#VALUE!</v>
      </c>
      <c r="DL33" s="96" t="e">
        <f t="shared" si="9"/>
        <v>#VALUE!</v>
      </c>
      <c r="DM33" s="96" t="e">
        <f t="shared" si="10"/>
        <v>#VALUE!</v>
      </c>
      <c r="DN33" s="96" t="e">
        <f t="shared" si="11"/>
        <v>#VALUE!</v>
      </c>
      <c r="DO33" s="96" t="e">
        <f t="shared" si="12"/>
        <v>#VALUE!</v>
      </c>
      <c r="DP33" s="96" t="e">
        <f t="shared" si="13"/>
        <v>#VALUE!</v>
      </c>
      <c r="DQ33" s="96" t="e">
        <f t="shared" si="14"/>
        <v>#VALUE!</v>
      </c>
      <c r="DR33" s="96" t="e">
        <f t="shared" si="15"/>
        <v>#VALUE!</v>
      </c>
      <c r="DS33" s="96" t="e">
        <f t="shared" si="16"/>
        <v>#VALUE!</v>
      </c>
      <c r="DT33" s="96" t="e">
        <f t="shared" si="17"/>
        <v>#VALUE!</v>
      </c>
      <c r="DW33" s="178"/>
      <c r="DX33" s="178"/>
    </row>
    <row r="34" spans="1:128" ht="16.5" customHeight="1">
      <c r="A34" s="1751">
        <v>403</v>
      </c>
      <c r="B34" s="2048"/>
      <c r="C34" s="417" t="s">
        <v>144</v>
      </c>
      <c r="D34" s="404">
        <f>IF((U34&lt;10),SUM((V34+(ROUNDUP((U34*AI34),2)))),SUM((V34+(ROUNDUP(((9*AI34)+DI34),2)))))</f>
        <v>1.5</v>
      </c>
      <c r="E34" s="404"/>
      <c r="F34" s="404">
        <f>IF((U34&lt;10),SUM((X34+(ROUNDUP((U34*AK34),2)))),SUM((X34+(ROUNDUP(((9*AK34)+DK34),2)))))</f>
        <v>0.2</v>
      </c>
      <c r="G34" s="418"/>
      <c r="H34" s="404"/>
      <c r="I34" s="404"/>
      <c r="J34" s="404"/>
      <c r="K34" s="404"/>
      <c r="L34" s="404"/>
      <c r="M34" s="404"/>
      <c r="N34" s="404"/>
      <c r="O34" s="404">
        <f t="shared" si="0"/>
        <v>17500</v>
      </c>
      <c r="P34" s="404"/>
      <c r="Q34" s="404"/>
      <c r="R34" s="374"/>
      <c r="S34" s="190"/>
      <c r="U34" s="96">
        <f t="shared" si="18"/>
        <v>0</v>
      </c>
      <c r="V34" s="58">
        <v>1.5</v>
      </c>
      <c r="W34" s="58"/>
      <c r="X34" s="58">
        <v>0.2</v>
      </c>
      <c r="Y34" s="58"/>
      <c r="Z34" s="58"/>
      <c r="AA34" s="58"/>
      <c r="AB34" s="58"/>
      <c r="AC34" s="58"/>
      <c r="AD34" s="58"/>
      <c r="AE34" s="58"/>
      <c r="AF34" s="58"/>
      <c r="AG34" s="58">
        <v>17500</v>
      </c>
      <c r="AH34" s="96"/>
      <c r="AI34" s="96">
        <f>SUM((V34/9))</f>
        <v>0.16666666666666666</v>
      </c>
      <c r="AJ34" s="96"/>
      <c r="AK34" s="96">
        <f>SUM((X34/9))</f>
        <v>2.2222222222222223E-2</v>
      </c>
      <c r="AL34" s="96"/>
      <c r="AM34" s="96"/>
      <c r="AN34" s="96"/>
      <c r="AO34" s="96"/>
      <c r="AP34" s="96"/>
      <c r="AQ34" s="96"/>
      <c r="AR34" s="96"/>
      <c r="AS34" s="96"/>
      <c r="AT34" s="96">
        <f t="shared" si="1"/>
        <v>1944.4444444444443</v>
      </c>
      <c r="AU34" s="96"/>
      <c r="AV34" s="96">
        <f t="shared" si="35"/>
        <v>0.15</v>
      </c>
      <c r="AW34" s="96">
        <f t="shared" si="40"/>
        <v>0</v>
      </c>
      <c r="AX34" s="96">
        <f t="shared" si="41"/>
        <v>0.02</v>
      </c>
      <c r="AY34" s="96">
        <f t="shared" si="42"/>
        <v>0</v>
      </c>
      <c r="AZ34" s="96">
        <f t="shared" si="43"/>
        <v>0</v>
      </c>
      <c r="BA34" s="96">
        <f t="shared" si="44"/>
        <v>0</v>
      </c>
      <c r="BB34" s="96">
        <f t="shared" si="45"/>
        <v>0</v>
      </c>
      <c r="BC34" s="96">
        <f t="shared" si="46"/>
        <v>0</v>
      </c>
      <c r="BD34" s="96">
        <f t="shared" si="47"/>
        <v>0</v>
      </c>
      <c r="BE34" s="96">
        <f t="shared" si="48"/>
        <v>0</v>
      </c>
      <c r="BF34" s="96">
        <f>SUM(((-AF34/50)*CEILING((60/100),0.01)))</f>
        <v>0</v>
      </c>
      <c r="BG34" s="96">
        <f t="shared" si="20"/>
        <v>1750</v>
      </c>
      <c r="BH34" s="96"/>
      <c r="BI34" s="96">
        <f t="shared" si="36"/>
        <v>0.13500000000000001</v>
      </c>
      <c r="BJ34" s="96">
        <f t="shared" si="49"/>
        <v>0</v>
      </c>
      <c r="BK34" s="96">
        <f t="shared" si="50"/>
        <v>1.8000000000000002E-2</v>
      </c>
      <c r="BL34" s="96">
        <f t="shared" si="51"/>
        <v>0</v>
      </c>
      <c r="BM34" s="96">
        <f t="shared" si="52"/>
        <v>0</v>
      </c>
      <c r="BN34" s="96">
        <f t="shared" si="53"/>
        <v>0</v>
      </c>
      <c r="BO34" s="96">
        <f t="shared" si="54"/>
        <v>0</v>
      </c>
      <c r="BP34" s="96">
        <f t="shared" si="55"/>
        <v>0</v>
      </c>
      <c r="BQ34" s="96">
        <f t="shared" si="56"/>
        <v>0</v>
      </c>
      <c r="BR34" s="96">
        <f t="shared" si="57"/>
        <v>0</v>
      </c>
      <c r="BS34" s="96">
        <f>SUM(((-AF34/50)*CEILING((48/100),0.01)))</f>
        <v>0</v>
      </c>
      <c r="BT34" s="96">
        <f t="shared" si="22"/>
        <v>1575</v>
      </c>
      <c r="BU34" s="96"/>
      <c r="BV34" s="96">
        <f t="shared" si="37"/>
        <v>0.12</v>
      </c>
      <c r="BW34" s="96">
        <f t="shared" si="58"/>
        <v>0</v>
      </c>
      <c r="BX34" s="96">
        <f t="shared" si="59"/>
        <v>1.6E-2</v>
      </c>
      <c r="BY34" s="96">
        <f t="shared" si="60"/>
        <v>0</v>
      </c>
      <c r="BZ34" s="96">
        <f t="shared" si="61"/>
        <v>0</v>
      </c>
      <c r="CA34" s="96">
        <f t="shared" si="62"/>
        <v>0</v>
      </c>
      <c r="CB34" s="96">
        <f t="shared" si="63"/>
        <v>0</v>
      </c>
      <c r="CC34" s="96">
        <f t="shared" si="64"/>
        <v>0</v>
      </c>
      <c r="CD34" s="96">
        <f t="shared" si="65"/>
        <v>0</v>
      </c>
      <c r="CE34" s="96">
        <f t="shared" si="66"/>
        <v>0</v>
      </c>
      <c r="CF34" s="96">
        <f>SUM(((-AF34/50)*CEILING((40.5/100),0.01)))</f>
        <v>0</v>
      </c>
      <c r="CG34" s="96">
        <f t="shared" si="24"/>
        <v>1400</v>
      </c>
      <c r="CH34" s="96"/>
      <c r="CI34" s="96">
        <f t="shared" si="38"/>
        <v>0.105</v>
      </c>
      <c r="CJ34" s="96">
        <f t="shared" si="67"/>
        <v>0</v>
      </c>
      <c r="CK34" s="96">
        <f t="shared" si="68"/>
        <v>1.3999999999999999E-2</v>
      </c>
      <c r="CL34" s="96">
        <f t="shared" si="69"/>
        <v>0</v>
      </c>
      <c r="CM34" s="96">
        <f t="shared" si="70"/>
        <v>0</v>
      </c>
      <c r="CN34" s="96">
        <f t="shared" si="71"/>
        <v>0</v>
      </c>
      <c r="CO34" s="96">
        <f t="shared" si="72"/>
        <v>0</v>
      </c>
      <c r="CP34" s="96">
        <f t="shared" si="73"/>
        <v>0</v>
      </c>
      <c r="CQ34" s="96">
        <f t="shared" si="74"/>
        <v>0</v>
      </c>
      <c r="CR34" s="96">
        <f t="shared" si="75"/>
        <v>0</v>
      </c>
      <c r="CS34" s="96">
        <f>SUM(((-AF34/50)*CEILING((33/100),0.01)))</f>
        <v>0</v>
      </c>
      <c r="CT34" s="96">
        <f t="shared" si="26"/>
        <v>1225</v>
      </c>
      <c r="CU34" s="96"/>
      <c r="CV34" s="96">
        <f t="shared" si="39"/>
        <v>0.09</v>
      </c>
      <c r="CW34" s="96">
        <f t="shared" si="76"/>
        <v>0</v>
      </c>
      <c r="CX34" s="96">
        <f t="shared" si="77"/>
        <v>1.2E-2</v>
      </c>
      <c r="CY34" s="96">
        <f t="shared" si="78"/>
        <v>0</v>
      </c>
      <c r="CZ34" s="96">
        <f t="shared" si="79"/>
        <v>0</v>
      </c>
      <c r="DA34" s="96">
        <f t="shared" si="80"/>
        <v>0</v>
      </c>
      <c r="DB34" s="96">
        <f t="shared" si="81"/>
        <v>0</v>
      </c>
      <c r="DC34" s="96">
        <f t="shared" si="82"/>
        <v>0</v>
      </c>
      <c r="DD34" s="96">
        <f t="shared" si="83"/>
        <v>0</v>
      </c>
      <c r="DE34" s="96">
        <f t="shared" si="84"/>
        <v>0</v>
      </c>
      <c r="DF34" s="96">
        <f>SUM(((-AF34/50)*CEILING((25.5/100),0.01)))</f>
        <v>0</v>
      </c>
      <c r="DG34" s="96">
        <f t="shared" si="28"/>
        <v>1050</v>
      </c>
      <c r="DH34" s="96"/>
      <c r="DI34" s="96" t="e">
        <f t="shared" si="29"/>
        <v>#VALUE!</v>
      </c>
      <c r="DJ34" s="96" t="e">
        <f t="shared" si="7"/>
        <v>#VALUE!</v>
      </c>
      <c r="DK34" s="96" t="e">
        <f t="shared" si="8"/>
        <v>#VALUE!</v>
      </c>
      <c r="DL34" s="96" t="e">
        <f t="shared" si="9"/>
        <v>#VALUE!</v>
      </c>
      <c r="DM34" s="96" t="e">
        <f t="shared" si="10"/>
        <v>#VALUE!</v>
      </c>
      <c r="DN34" s="96" t="e">
        <f t="shared" si="11"/>
        <v>#VALUE!</v>
      </c>
      <c r="DO34" s="96" t="e">
        <f t="shared" si="12"/>
        <v>#VALUE!</v>
      </c>
      <c r="DP34" s="96" t="e">
        <f t="shared" si="13"/>
        <v>#VALUE!</v>
      </c>
      <c r="DQ34" s="96" t="e">
        <f t="shared" si="14"/>
        <v>#VALUE!</v>
      </c>
      <c r="DR34" s="96" t="e">
        <f t="shared" si="15"/>
        <v>#VALUE!</v>
      </c>
      <c r="DS34" s="96" t="e">
        <f t="shared" si="16"/>
        <v>#VALUE!</v>
      </c>
      <c r="DT34" s="96" t="e">
        <f t="shared" si="17"/>
        <v>#VALUE!</v>
      </c>
      <c r="DW34" s="178"/>
      <c r="DX34" s="178"/>
    </row>
    <row r="35" spans="1:128" ht="16.5" customHeight="1">
      <c r="A35" s="1750">
        <v>404</v>
      </c>
      <c r="B35" s="2048"/>
      <c r="C35" s="419" t="s">
        <v>145</v>
      </c>
      <c r="D35" s="405"/>
      <c r="E35" s="405"/>
      <c r="F35" s="405"/>
      <c r="G35" s="420">
        <f>IF((U35&lt;10),SUM(((Y35+(ROUNDUP((U35*AL35),2)))/100)),SUM(((Y35+(ROUNDUP(((9*AL35)+DL35),2)))/100)))</f>
        <v>5.0000000000000001E-3</v>
      </c>
      <c r="H35" s="405">
        <f>IF((U35&lt;10),SUM((Z35+(ROUNDUP((U35*AM35),2)))),SUM((Z35+(ROUNDUP(((9*AM35)+DM35),2)))))</f>
        <v>0.5</v>
      </c>
      <c r="I35" s="405"/>
      <c r="J35" s="405"/>
      <c r="K35" s="405"/>
      <c r="L35" s="405"/>
      <c r="M35" s="405"/>
      <c r="N35" s="405"/>
      <c r="O35" s="405">
        <f t="shared" si="0"/>
        <v>17500</v>
      </c>
      <c r="P35" s="405"/>
      <c r="Q35" s="405"/>
      <c r="R35" s="374"/>
      <c r="S35" s="190"/>
      <c r="U35" s="96">
        <f t="shared" si="18"/>
        <v>0</v>
      </c>
      <c r="V35" s="58"/>
      <c r="W35" s="58"/>
      <c r="X35" s="58"/>
      <c r="Y35" s="58">
        <v>0.5</v>
      </c>
      <c r="Z35" s="58">
        <v>0.5</v>
      </c>
      <c r="AA35" s="58"/>
      <c r="AB35" s="58"/>
      <c r="AC35" s="58"/>
      <c r="AD35" s="58"/>
      <c r="AE35" s="58"/>
      <c r="AF35" s="58"/>
      <c r="AG35" s="58">
        <v>17500</v>
      </c>
      <c r="AH35" s="96"/>
      <c r="AI35" s="96"/>
      <c r="AJ35" s="96"/>
      <c r="AK35" s="96"/>
      <c r="AL35" s="96">
        <f>SUM((Y35/9))</f>
        <v>5.5555555555555552E-2</v>
      </c>
      <c r="AM35" s="96">
        <f>SUM((Z35/9))</f>
        <v>5.5555555555555552E-2</v>
      </c>
      <c r="AN35" s="96"/>
      <c r="AO35" s="96"/>
      <c r="AP35" s="96"/>
      <c r="AQ35" s="96"/>
      <c r="AR35" s="96"/>
      <c r="AS35" s="96"/>
      <c r="AT35" s="96">
        <f t="shared" si="1"/>
        <v>1944.4444444444443</v>
      </c>
      <c r="AU35" s="96"/>
      <c r="AV35" s="96">
        <f t="shared" si="35"/>
        <v>0</v>
      </c>
      <c r="AW35" s="96">
        <f t="shared" si="40"/>
        <v>0</v>
      </c>
      <c r="AX35" s="96">
        <f t="shared" si="41"/>
        <v>0</v>
      </c>
      <c r="AY35" s="96">
        <f t="shared" si="42"/>
        <v>4.9999999999999996E-2</v>
      </c>
      <c r="AZ35" s="96">
        <f t="shared" si="43"/>
        <v>4.9999999999999996E-2</v>
      </c>
      <c r="BA35" s="96">
        <f t="shared" si="44"/>
        <v>0</v>
      </c>
      <c r="BB35" s="96">
        <f t="shared" si="45"/>
        <v>0</v>
      </c>
      <c r="BC35" s="96">
        <f t="shared" si="46"/>
        <v>0</v>
      </c>
      <c r="BD35" s="96">
        <f t="shared" si="47"/>
        <v>0</v>
      </c>
      <c r="BE35" s="96">
        <f t="shared" si="48"/>
        <v>0</v>
      </c>
      <c r="BF35" s="96">
        <f>SUM(((AS35*0.9)*1))</f>
        <v>0</v>
      </c>
      <c r="BG35" s="96">
        <f t="shared" si="20"/>
        <v>1750</v>
      </c>
      <c r="BH35" s="96"/>
      <c r="BI35" s="96">
        <f t="shared" si="36"/>
        <v>0</v>
      </c>
      <c r="BJ35" s="96">
        <f t="shared" si="49"/>
        <v>0</v>
      </c>
      <c r="BK35" s="96">
        <f t="shared" si="50"/>
        <v>0</v>
      </c>
      <c r="BL35" s="96">
        <f t="shared" si="51"/>
        <v>4.4999999999999998E-2</v>
      </c>
      <c r="BM35" s="96">
        <f t="shared" si="52"/>
        <v>4.4999999999999998E-2</v>
      </c>
      <c r="BN35" s="96">
        <f t="shared" si="53"/>
        <v>0</v>
      </c>
      <c r="BO35" s="96">
        <f t="shared" si="54"/>
        <v>0</v>
      </c>
      <c r="BP35" s="96">
        <f t="shared" si="55"/>
        <v>0</v>
      </c>
      <c r="BQ35" s="96">
        <f t="shared" si="56"/>
        <v>0</v>
      </c>
      <c r="BR35" s="96">
        <f t="shared" si="57"/>
        <v>0</v>
      </c>
      <c r="BS35" s="96">
        <f>SUM(((AS35*0.9)*0.9))</f>
        <v>0</v>
      </c>
      <c r="BT35" s="96">
        <f t="shared" si="22"/>
        <v>1575</v>
      </c>
      <c r="BU35" s="96"/>
      <c r="BV35" s="96">
        <f t="shared" si="37"/>
        <v>0</v>
      </c>
      <c r="BW35" s="96">
        <f t="shared" si="58"/>
        <v>0</v>
      </c>
      <c r="BX35" s="96">
        <f t="shared" si="59"/>
        <v>0</v>
      </c>
      <c r="BY35" s="96">
        <f t="shared" si="60"/>
        <v>0.04</v>
      </c>
      <c r="BZ35" s="96">
        <f t="shared" si="61"/>
        <v>0.04</v>
      </c>
      <c r="CA35" s="96">
        <f t="shared" si="62"/>
        <v>0</v>
      </c>
      <c r="CB35" s="96">
        <f t="shared" si="63"/>
        <v>0</v>
      </c>
      <c r="CC35" s="96">
        <f t="shared" si="64"/>
        <v>0</v>
      </c>
      <c r="CD35" s="96">
        <f t="shared" si="65"/>
        <v>0</v>
      </c>
      <c r="CE35" s="96">
        <f t="shared" si="66"/>
        <v>0</v>
      </c>
      <c r="CF35" s="96">
        <f>SUM(((AS35*0.9)*0.8))</f>
        <v>0</v>
      </c>
      <c r="CG35" s="96">
        <f t="shared" si="24"/>
        <v>1400</v>
      </c>
      <c r="CH35" s="96"/>
      <c r="CI35" s="96">
        <f t="shared" si="38"/>
        <v>0</v>
      </c>
      <c r="CJ35" s="96">
        <f t="shared" si="67"/>
        <v>0</v>
      </c>
      <c r="CK35" s="96">
        <f t="shared" si="68"/>
        <v>0</v>
      </c>
      <c r="CL35" s="96">
        <f t="shared" si="69"/>
        <v>3.4999999999999996E-2</v>
      </c>
      <c r="CM35" s="96">
        <f t="shared" si="70"/>
        <v>3.4999999999999996E-2</v>
      </c>
      <c r="CN35" s="96">
        <f t="shared" si="71"/>
        <v>0</v>
      </c>
      <c r="CO35" s="96">
        <f t="shared" si="72"/>
        <v>0</v>
      </c>
      <c r="CP35" s="96">
        <f t="shared" si="73"/>
        <v>0</v>
      </c>
      <c r="CQ35" s="96">
        <f t="shared" si="74"/>
        <v>0</v>
      </c>
      <c r="CR35" s="96">
        <f t="shared" si="75"/>
        <v>0</v>
      </c>
      <c r="CS35" s="96">
        <f>SUM(((AS35*0.9)*0.7))</f>
        <v>0</v>
      </c>
      <c r="CT35" s="96">
        <f t="shared" si="26"/>
        <v>1225</v>
      </c>
      <c r="CU35" s="96"/>
      <c r="CV35" s="96">
        <f t="shared" si="39"/>
        <v>0</v>
      </c>
      <c r="CW35" s="96">
        <f t="shared" si="76"/>
        <v>0</v>
      </c>
      <c r="CX35" s="96">
        <f t="shared" si="77"/>
        <v>0</v>
      </c>
      <c r="CY35" s="96">
        <f t="shared" si="78"/>
        <v>2.9999999999999995E-2</v>
      </c>
      <c r="CZ35" s="96">
        <f t="shared" si="79"/>
        <v>2.9999999999999995E-2</v>
      </c>
      <c r="DA35" s="96">
        <f t="shared" si="80"/>
        <v>0</v>
      </c>
      <c r="DB35" s="96">
        <f t="shared" si="81"/>
        <v>0</v>
      </c>
      <c r="DC35" s="96">
        <f t="shared" si="82"/>
        <v>0</v>
      </c>
      <c r="DD35" s="96">
        <f t="shared" si="83"/>
        <v>0</v>
      </c>
      <c r="DE35" s="96">
        <f t="shared" si="84"/>
        <v>0</v>
      </c>
      <c r="DF35" s="96">
        <f>SUM(((AS35*0.9)*0.6))</f>
        <v>0</v>
      </c>
      <c r="DG35" s="96">
        <f t="shared" si="28"/>
        <v>1050</v>
      </c>
      <c r="DH35" s="96"/>
      <c r="DI35" s="96" t="e">
        <f t="shared" si="29"/>
        <v>#VALUE!</v>
      </c>
      <c r="DJ35" s="96" t="e">
        <f t="shared" si="7"/>
        <v>#VALUE!</v>
      </c>
      <c r="DK35" s="96" t="e">
        <f t="shared" si="8"/>
        <v>#VALUE!</v>
      </c>
      <c r="DL35" s="96" t="e">
        <f t="shared" si="9"/>
        <v>#VALUE!</v>
      </c>
      <c r="DM35" s="96" t="e">
        <f t="shared" si="10"/>
        <v>#VALUE!</v>
      </c>
      <c r="DN35" s="96" t="e">
        <f t="shared" si="11"/>
        <v>#VALUE!</v>
      </c>
      <c r="DO35" s="96" t="e">
        <f t="shared" si="12"/>
        <v>#VALUE!</v>
      </c>
      <c r="DP35" s="96" t="e">
        <f t="shared" si="13"/>
        <v>#VALUE!</v>
      </c>
      <c r="DQ35" s="96" t="e">
        <f t="shared" si="14"/>
        <v>#VALUE!</v>
      </c>
      <c r="DR35" s="96" t="e">
        <f t="shared" si="15"/>
        <v>#VALUE!</v>
      </c>
      <c r="DS35" s="96" t="e">
        <f t="shared" si="16"/>
        <v>#VALUE!</v>
      </c>
      <c r="DT35" s="96" t="e">
        <f t="shared" si="17"/>
        <v>#VALUE!</v>
      </c>
      <c r="DW35" s="178"/>
      <c r="DX35" s="178"/>
    </row>
    <row r="36" spans="1:128" ht="16.5" customHeight="1" thickBot="1">
      <c r="A36" s="1751">
        <v>405</v>
      </c>
      <c r="B36" s="2049"/>
      <c r="C36" s="421" t="s">
        <v>727</v>
      </c>
      <c r="D36" s="406"/>
      <c r="E36" s="406"/>
      <c r="F36" s="406"/>
      <c r="G36" s="422"/>
      <c r="H36" s="406"/>
      <c r="I36" s="406"/>
      <c r="J36" s="406"/>
      <c r="K36" s="406"/>
      <c r="L36" s="406"/>
      <c r="M36" s="406"/>
      <c r="N36" s="406"/>
      <c r="O36" s="406"/>
      <c r="P36" s="406"/>
      <c r="Q36" s="406"/>
      <c r="R36" s="374"/>
      <c r="S36" s="190"/>
      <c r="U36" s="96"/>
      <c r="V36" s="58"/>
      <c r="W36" s="58"/>
      <c r="X36" s="58"/>
      <c r="Y36" s="58"/>
      <c r="Z36" s="58"/>
      <c r="AA36" s="58"/>
      <c r="AB36" s="58"/>
      <c r="AC36" s="58"/>
      <c r="AD36" s="58"/>
      <c r="AE36" s="58"/>
      <c r="AF36" s="58"/>
      <c r="AG36" s="58"/>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c r="DC36" s="96"/>
      <c r="DD36" s="96"/>
      <c r="DE36" s="96"/>
      <c r="DF36" s="96"/>
      <c r="DG36" s="96"/>
      <c r="DH36" s="96"/>
      <c r="DI36" s="96"/>
      <c r="DJ36" s="96"/>
      <c r="DK36" s="96"/>
      <c r="DL36" s="96"/>
      <c r="DM36" s="96"/>
      <c r="DN36" s="96"/>
      <c r="DO36" s="96"/>
      <c r="DP36" s="96"/>
      <c r="DQ36" s="96"/>
      <c r="DR36" s="96"/>
      <c r="DS36" s="96"/>
      <c r="DT36" s="96"/>
      <c r="DW36" s="178"/>
      <c r="DX36" s="178"/>
    </row>
    <row r="37" spans="1:128" ht="16.5" customHeight="1">
      <c r="A37" s="1751"/>
      <c r="B37" s="179"/>
      <c r="C37" s="191"/>
      <c r="D37" s="192"/>
      <c r="E37" s="192"/>
      <c r="F37" s="192"/>
      <c r="G37" s="193"/>
      <c r="H37" s="192"/>
      <c r="I37" s="192"/>
      <c r="J37" s="192"/>
      <c r="K37" s="192"/>
      <c r="L37" s="192"/>
      <c r="M37" s="192"/>
      <c r="N37" s="192"/>
      <c r="O37" s="192"/>
      <c r="P37" s="192"/>
      <c r="Q37" s="192"/>
      <c r="R37" s="374"/>
      <c r="S37" s="190"/>
      <c r="U37" s="96"/>
      <c r="V37" s="58"/>
      <c r="W37" s="58"/>
      <c r="X37" s="58"/>
      <c r="Y37" s="58"/>
      <c r="Z37" s="58"/>
      <c r="AA37" s="58"/>
      <c r="AB37" s="58"/>
      <c r="AC37" s="58"/>
      <c r="AD37" s="58"/>
      <c r="AE37" s="58"/>
      <c r="AF37" s="58"/>
      <c r="AG37" s="58"/>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96"/>
      <c r="CC37" s="96"/>
      <c r="CD37" s="96"/>
      <c r="CE37" s="96"/>
      <c r="CF37" s="96"/>
      <c r="CG37" s="96"/>
      <c r="CH37" s="96"/>
      <c r="CI37" s="96"/>
      <c r="CJ37" s="96"/>
      <c r="CK37" s="96"/>
      <c r="CL37" s="96"/>
      <c r="CM37" s="96"/>
      <c r="CN37" s="96"/>
      <c r="CO37" s="96"/>
      <c r="CP37" s="96"/>
      <c r="CQ37" s="96"/>
      <c r="CR37" s="96"/>
      <c r="CS37" s="96"/>
      <c r="CT37" s="96"/>
      <c r="CU37" s="96"/>
      <c r="CV37" s="96"/>
      <c r="CW37" s="96"/>
      <c r="CX37" s="96"/>
      <c r="CY37" s="96"/>
      <c r="CZ37" s="96"/>
      <c r="DA37" s="96"/>
      <c r="DB37" s="96"/>
      <c r="DC37" s="96"/>
      <c r="DD37" s="96"/>
      <c r="DE37" s="96"/>
      <c r="DF37" s="96"/>
      <c r="DG37" s="96"/>
      <c r="DH37" s="96"/>
      <c r="DI37" s="96"/>
      <c r="DJ37" s="96"/>
      <c r="DK37" s="96"/>
      <c r="DL37" s="96"/>
      <c r="DM37" s="96"/>
      <c r="DN37" s="96"/>
      <c r="DO37" s="96"/>
      <c r="DP37" s="96"/>
      <c r="DQ37" s="96"/>
      <c r="DR37" s="96"/>
      <c r="DS37" s="96"/>
      <c r="DT37" s="96"/>
      <c r="DW37" s="178"/>
      <c r="DX37" s="178"/>
    </row>
    <row r="38" spans="1:128" ht="16.5" customHeight="1">
      <c r="A38" s="1751"/>
      <c r="B38" s="179"/>
      <c r="C38" s="191"/>
      <c r="D38" s="192"/>
      <c r="E38" s="192"/>
      <c r="F38" s="192"/>
      <c r="G38" s="193"/>
      <c r="H38" s="192"/>
      <c r="I38" s="192"/>
      <c r="J38" s="192"/>
      <c r="K38" s="192"/>
      <c r="L38" s="192"/>
      <c r="M38" s="192"/>
      <c r="N38" s="192"/>
      <c r="O38" s="192"/>
      <c r="P38" s="192"/>
      <c r="Q38" s="192"/>
      <c r="R38" s="374"/>
      <c r="S38" s="190"/>
      <c r="U38" s="96"/>
      <c r="V38" s="58"/>
      <c r="W38" s="58"/>
      <c r="X38" s="58"/>
      <c r="Y38" s="58"/>
      <c r="Z38" s="58"/>
      <c r="AA38" s="58"/>
      <c r="AB38" s="58"/>
      <c r="AC38" s="58"/>
      <c r="AD38" s="58"/>
      <c r="AE38" s="58"/>
      <c r="AF38" s="58"/>
      <c r="AG38" s="58"/>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c r="CB38" s="96"/>
      <c r="CC38" s="96"/>
      <c r="CD38" s="96"/>
      <c r="CE38" s="96"/>
      <c r="CF38" s="96"/>
      <c r="CG38" s="96"/>
      <c r="CH38" s="96"/>
      <c r="CI38" s="96"/>
      <c r="CJ38" s="96"/>
      <c r="CK38" s="96"/>
      <c r="CL38" s="96"/>
      <c r="CM38" s="96"/>
      <c r="CN38" s="96"/>
      <c r="CO38" s="96"/>
      <c r="CP38" s="96"/>
      <c r="CQ38" s="96"/>
      <c r="CR38" s="96"/>
      <c r="CS38" s="96"/>
      <c r="CT38" s="96"/>
      <c r="CU38" s="96"/>
      <c r="CV38" s="96"/>
      <c r="CW38" s="96"/>
      <c r="CX38" s="96"/>
      <c r="CY38" s="96"/>
      <c r="CZ38" s="96"/>
      <c r="DA38" s="96"/>
      <c r="DB38" s="96"/>
      <c r="DC38" s="96"/>
      <c r="DD38" s="96"/>
      <c r="DE38" s="96"/>
      <c r="DF38" s="96"/>
      <c r="DG38" s="96"/>
      <c r="DH38" s="96"/>
      <c r="DI38" s="96"/>
      <c r="DJ38" s="96"/>
      <c r="DK38" s="96"/>
      <c r="DL38" s="96"/>
      <c r="DM38" s="96"/>
      <c r="DN38" s="96"/>
      <c r="DO38" s="96"/>
      <c r="DP38" s="96"/>
      <c r="DQ38" s="96"/>
      <c r="DR38" s="96"/>
      <c r="DS38" s="96"/>
      <c r="DT38" s="96"/>
      <c r="DW38" s="178"/>
      <c r="DX38" s="178"/>
    </row>
    <row r="39" spans="1:128" ht="16.5" customHeight="1">
      <c r="A39" s="1751"/>
      <c r="B39" s="179"/>
      <c r="C39" s="191"/>
      <c r="D39" s="192"/>
      <c r="E39" s="192"/>
      <c r="F39" s="192"/>
      <c r="G39" s="193"/>
      <c r="H39" s="192"/>
      <c r="I39" s="192"/>
      <c r="J39" s="192"/>
      <c r="K39" s="192"/>
      <c r="L39" s="192"/>
      <c r="M39" s="192"/>
      <c r="N39" s="192"/>
      <c r="O39" s="192"/>
      <c r="P39" s="192"/>
      <c r="Q39" s="192"/>
      <c r="R39" s="374"/>
      <c r="S39" s="190"/>
      <c r="U39" s="96"/>
      <c r="V39" s="58"/>
      <c r="W39" s="58"/>
      <c r="X39" s="58"/>
      <c r="Y39" s="58"/>
      <c r="Z39" s="58"/>
      <c r="AA39" s="58"/>
      <c r="AB39" s="58"/>
      <c r="AC39" s="58"/>
      <c r="AD39" s="58"/>
      <c r="AE39" s="58"/>
      <c r="AF39" s="58"/>
      <c r="AG39" s="58"/>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c r="DT39" s="96"/>
      <c r="DW39" s="178"/>
      <c r="DX39" s="178"/>
    </row>
    <row r="40" spans="1:128" ht="16.5" customHeight="1">
      <c r="A40" s="1751"/>
      <c r="B40" s="179"/>
      <c r="C40" s="191"/>
      <c r="D40" s="192"/>
      <c r="E40" s="192"/>
      <c r="F40" s="192"/>
      <c r="G40" s="193"/>
      <c r="H40" s="192"/>
      <c r="I40" s="192"/>
      <c r="J40" s="192"/>
      <c r="K40" s="192"/>
      <c r="L40" s="192"/>
      <c r="M40" s="192"/>
      <c r="N40" s="192"/>
      <c r="O40" s="192"/>
      <c r="P40" s="192"/>
      <c r="Q40" s="192"/>
      <c r="R40" s="374"/>
      <c r="S40" s="190"/>
      <c r="U40" s="96"/>
      <c r="V40" s="58"/>
      <c r="W40" s="58"/>
      <c r="X40" s="58"/>
      <c r="Y40" s="58"/>
      <c r="Z40" s="58"/>
      <c r="AA40" s="58"/>
      <c r="AB40" s="58"/>
      <c r="AC40" s="58"/>
      <c r="AD40" s="58"/>
      <c r="AE40" s="58"/>
      <c r="AF40" s="58"/>
      <c r="AG40" s="58"/>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c r="DT40" s="96"/>
    </row>
    <row r="41" spans="1:128" ht="16.5" customHeight="1">
      <c r="A41" s="1751"/>
      <c r="B41" s="179"/>
      <c r="C41" s="191"/>
      <c r="D41" s="192"/>
      <c r="E41" s="192"/>
      <c r="F41" s="192"/>
      <c r="G41" s="193"/>
      <c r="H41" s="192"/>
      <c r="I41" s="192"/>
      <c r="J41" s="192"/>
      <c r="K41" s="192"/>
      <c r="L41" s="192"/>
      <c r="M41" s="192"/>
      <c r="N41" s="192"/>
      <c r="O41" s="192"/>
      <c r="P41" s="192"/>
      <c r="Q41" s="192"/>
      <c r="R41" s="374"/>
      <c r="S41" s="190"/>
      <c r="U41" s="96"/>
      <c r="V41" s="58"/>
      <c r="W41" s="58"/>
      <c r="X41" s="58"/>
      <c r="Y41" s="58"/>
      <c r="Z41" s="58"/>
      <c r="AA41" s="58"/>
      <c r="AB41" s="58"/>
      <c r="AC41" s="58"/>
      <c r="AD41" s="58"/>
      <c r="AE41" s="58"/>
      <c r="AF41" s="58"/>
      <c r="AG41" s="58"/>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c r="DT41" s="96"/>
    </row>
    <row r="42" spans="1:128" ht="16.5" customHeight="1">
      <c r="A42" s="1751"/>
      <c r="B42" s="179"/>
      <c r="C42" s="191"/>
      <c r="D42" s="192"/>
      <c r="E42" s="192"/>
      <c r="F42" s="192"/>
      <c r="G42" s="193"/>
      <c r="H42" s="192"/>
      <c r="I42" s="192"/>
      <c r="J42" s="192"/>
      <c r="K42" s="192"/>
      <c r="L42" s="192"/>
      <c r="M42" s="192"/>
      <c r="N42" s="192"/>
      <c r="O42" s="192"/>
      <c r="P42" s="192"/>
      <c r="Q42" s="192"/>
      <c r="R42" s="374"/>
      <c r="S42" s="190"/>
      <c r="U42" s="96"/>
      <c r="V42" s="58"/>
      <c r="W42" s="58"/>
      <c r="X42" s="58"/>
      <c r="Y42" s="58"/>
      <c r="Z42" s="58"/>
      <c r="AA42" s="58"/>
      <c r="AB42" s="58"/>
      <c r="AC42" s="58"/>
      <c r="AD42" s="58"/>
      <c r="AE42" s="58"/>
      <c r="AF42" s="58"/>
      <c r="AG42" s="58"/>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c r="CJ42" s="96"/>
      <c r="CK42" s="96"/>
      <c r="CL42" s="96"/>
      <c r="CM42" s="96"/>
      <c r="CN42" s="96"/>
      <c r="CO42" s="96"/>
      <c r="CP42" s="96"/>
      <c r="CQ42" s="96"/>
      <c r="CR42" s="96"/>
      <c r="CS42" s="96"/>
      <c r="CT42" s="96"/>
      <c r="CU42" s="96"/>
      <c r="CV42" s="96"/>
      <c r="CW42" s="96"/>
      <c r="CX42" s="96"/>
      <c r="CY42" s="96"/>
      <c r="CZ42" s="96"/>
      <c r="DA42" s="96"/>
      <c r="DB42" s="96"/>
      <c r="DC42" s="96"/>
      <c r="DD42" s="96"/>
      <c r="DE42" s="96"/>
      <c r="DF42" s="96"/>
      <c r="DG42" s="96"/>
      <c r="DH42" s="96"/>
      <c r="DI42" s="96"/>
      <c r="DJ42" s="96"/>
      <c r="DK42" s="96"/>
      <c r="DL42" s="96"/>
      <c r="DM42" s="96"/>
      <c r="DN42" s="96"/>
      <c r="DO42" s="96"/>
      <c r="DP42" s="96"/>
      <c r="DQ42" s="96"/>
      <c r="DR42" s="96"/>
      <c r="DS42" s="96"/>
      <c r="DT42" s="96"/>
    </row>
    <row r="43" spans="1:128" ht="16.5" customHeight="1">
      <c r="A43" s="1751"/>
      <c r="B43" s="179"/>
      <c r="C43" s="191"/>
      <c r="D43" s="192"/>
      <c r="E43" s="192"/>
      <c r="F43" s="192"/>
      <c r="G43" s="193"/>
      <c r="H43" s="192"/>
      <c r="I43" s="192"/>
      <c r="J43" s="192"/>
      <c r="K43" s="192"/>
      <c r="L43" s="192"/>
      <c r="M43" s="192"/>
      <c r="N43" s="192"/>
      <c r="O43" s="192"/>
      <c r="P43" s="192"/>
      <c r="Q43" s="192"/>
      <c r="R43" s="374"/>
      <c r="S43" s="190"/>
      <c r="U43" s="96"/>
      <c r="V43" s="58"/>
      <c r="W43" s="58"/>
      <c r="X43" s="58"/>
      <c r="Y43" s="58"/>
      <c r="Z43" s="58"/>
      <c r="AA43" s="58"/>
      <c r="AB43" s="58"/>
      <c r="AC43" s="58"/>
      <c r="AD43" s="58"/>
      <c r="AE43" s="58"/>
      <c r="AF43" s="58"/>
      <c r="AG43" s="58"/>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c r="CK43" s="96"/>
      <c r="CL43" s="96"/>
      <c r="CM43" s="96"/>
      <c r="CN43" s="96"/>
      <c r="CO43" s="96"/>
      <c r="CP43" s="96"/>
      <c r="CQ43" s="96"/>
      <c r="CR43" s="96"/>
      <c r="CS43" s="96"/>
      <c r="CT43" s="96"/>
      <c r="CU43" s="96"/>
      <c r="CV43" s="96"/>
      <c r="CW43" s="96"/>
      <c r="CX43" s="96"/>
      <c r="CY43" s="96"/>
      <c r="CZ43" s="96"/>
      <c r="DA43" s="96"/>
      <c r="DB43" s="96"/>
      <c r="DC43" s="96"/>
      <c r="DD43" s="96"/>
      <c r="DE43" s="96"/>
      <c r="DF43" s="96"/>
      <c r="DG43" s="96"/>
      <c r="DH43" s="96"/>
      <c r="DI43" s="96"/>
      <c r="DJ43" s="96"/>
      <c r="DK43" s="96"/>
      <c r="DL43" s="96"/>
      <c r="DM43" s="96"/>
      <c r="DN43" s="96"/>
      <c r="DO43" s="96"/>
      <c r="DP43" s="96"/>
      <c r="DQ43" s="96"/>
      <c r="DR43" s="96"/>
      <c r="DS43" s="96"/>
      <c r="DT43" s="96"/>
    </row>
    <row r="44" spans="1:128" ht="16.5" customHeight="1">
      <c r="A44" s="1751"/>
      <c r="B44" s="179"/>
      <c r="C44" s="191"/>
      <c r="D44" s="192"/>
      <c r="E44" s="192"/>
      <c r="F44" s="192"/>
      <c r="G44" s="193"/>
      <c r="H44" s="192"/>
      <c r="I44" s="192"/>
      <c r="J44" s="192"/>
      <c r="K44" s="192"/>
      <c r="L44" s="192"/>
      <c r="M44" s="192"/>
      <c r="N44" s="192"/>
      <c r="O44" s="192"/>
      <c r="P44" s="192"/>
      <c r="Q44" s="192"/>
      <c r="R44" s="374"/>
      <c r="S44" s="190"/>
      <c r="U44" s="96"/>
      <c r="V44" s="58"/>
      <c r="W44" s="58"/>
      <c r="X44" s="58"/>
      <c r="Y44" s="58"/>
      <c r="Z44" s="58"/>
      <c r="AA44" s="58"/>
      <c r="AB44" s="58"/>
      <c r="AC44" s="58"/>
      <c r="AD44" s="58"/>
      <c r="AE44" s="58"/>
      <c r="AF44" s="58"/>
      <c r="AG44" s="58"/>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c r="CE44" s="96"/>
      <c r="CF44" s="96"/>
      <c r="CG44" s="96"/>
      <c r="CH44" s="96"/>
      <c r="CI44" s="96"/>
      <c r="CJ44" s="96"/>
      <c r="CK44" s="96"/>
      <c r="CL44" s="96"/>
      <c r="CM44" s="96"/>
      <c r="CN44" s="96"/>
      <c r="CO44" s="96"/>
      <c r="CP44" s="96"/>
      <c r="CQ44" s="96"/>
      <c r="CR44" s="96"/>
      <c r="CS44" s="96"/>
      <c r="CT44" s="96"/>
      <c r="CU44" s="96"/>
      <c r="CV44" s="96"/>
      <c r="CW44" s="96"/>
      <c r="CX44" s="96"/>
      <c r="CY44" s="96"/>
      <c r="CZ44" s="96"/>
      <c r="DA44" s="96"/>
      <c r="DB44" s="96"/>
      <c r="DC44" s="96"/>
      <c r="DD44" s="96"/>
      <c r="DE44" s="96"/>
      <c r="DF44" s="96"/>
      <c r="DG44" s="96"/>
      <c r="DH44" s="96"/>
      <c r="DI44" s="96"/>
      <c r="DJ44" s="96"/>
      <c r="DK44" s="96"/>
      <c r="DL44" s="96"/>
      <c r="DM44" s="96"/>
      <c r="DN44" s="96"/>
      <c r="DO44" s="96"/>
      <c r="DP44" s="96"/>
      <c r="DQ44" s="96"/>
      <c r="DR44" s="96"/>
      <c r="DS44" s="96"/>
      <c r="DT44" s="96"/>
    </row>
    <row r="45" spans="1:128" ht="16.5" customHeight="1">
      <c r="A45" s="1751"/>
      <c r="B45" s="179"/>
      <c r="C45" s="191"/>
      <c r="D45" s="192"/>
      <c r="E45" s="192"/>
      <c r="F45" s="192"/>
      <c r="G45" s="193"/>
      <c r="H45" s="192"/>
      <c r="I45" s="192"/>
      <c r="J45" s="192"/>
      <c r="K45" s="192"/>
      <c r="L45" s="192"/>
      <c r="M45" s="192"/>
      <c r="N45" s="192"/>
      <c r="O45" s="192"/>
      <c r="P45" s="192"/>
      <c r="Q45" s="192"/>
      <c r="R45" s="374"/>
      <c r="S45" s="190"/>
      <c r="U45" s="96"/>
      <c r="V45" s="58"/>
      <c r="W45" s="58"/>
      <c r="X45" s="58"/>
      <c r="Y45" s="58"/>
      <c r="Z45" s="58"/>
      <c r="AA45" s="58"/>
      <c r="AB45" s="58"/>
      <c r="AC45" s="58"/>
      <c r="AD45" s="58"/>
      <c r="AE45" s="58"/>
      <c r="AF45" s="58"/>
      <c r="AG45" s="58"/>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c r="DT45" s="96"/>
    </row>
    <row r="46" spans="1:128" ht="16.5" customHeight="1">
      <c r="A46" s="1751"/>
      <c r="B46" s="179"/>
      <c r="C46" s="191"/>
      <c r="D46" s="192"/>
      <c r="E46" s="192"/>
      <c r="F46" s="192"/>
      <c r="G46" s="193"/>
      <c r="H46" s="192"/>
      <c r="I46" s="192"/>
      <c r="J46" s="192"/>
      <c r="K46" s="192"/>
      <c r="L46" s="192"/>
      <c r="M46" s="192"/>
      <c r="N46" s="192"/>
      <c r="O46" s="192"/>
      <c r="P46" s="192"/>
      <c r="Q46" s="192"/>
      <c r="R46" s="374"/>
      <c r="S46" s="190"/>
      <c r="U46" s="96"/>
      <c r="V46" s="58"/>
      <c r="W46" s="58"/>
      <c r="X46" s="58"/>
      <c r="Y46" s="58"/>
      <c r="Z46" s="58"/>
      <c r="AA46" s="58"/>
      <c r="AB46" s="58"/>
      <c r="AC46" s="58"/>
      <c r="AD46" s="58"/>
      <c r="AE46" s="58"/>
      <c r="AF46" s="58"/>
      <c r="AG46" s="58"/>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c r="DT46" s="96"/>
    </row>
    <row r="47" spans="1:128" ht="16.5" customHeight="1">
      <c r="A47" s="1751"/>
      <c r="B47" s="179"/>
      <c r="C47" s="191"/>
      <c r="D47" s="192"/>
      <c r="E47" s="192"/>
      <c r="F47" s="192"/>
      <c r="G47" s="193"/>
      <c r="H47" s="192"/>
      <c r="I47" s="192"/>
      <c r="J47" s="192"/>
      <c r="K47" s="192"/>
      <c r="L47" s="192"/>
      <c r="M47" s="192"/>
      <c r="N47" s="192"/>
      <c r="O47" s="192"/>
      <c r="P47" s="192"/>
      <c r="Q47" s="192"/>
      <c r="R47" s="374"/>
      <c r="S47" s="190"/>
      <c r="U47" s="96"/>
      <c r="V47" s="58"/>
      <c r="W47" s="58"/>
      <c r="X47" s="58"/>
      <c r="Y47" s="58"/>
      <c r="Z47" s="58"/>
      <c r="AA47" s="58"/>
      <c r="AB47" s="58"/>
      <c r="AC47" s="58"/>
      <c r="AD47" s="58"/>
      <c r="AE47" s="58"/>
      <c r="AF47" s="58"/>
      <c r="AG47" s="58"/>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c r="DT47" s="96"/>
    </row>
    <row r="48" spans="1:128" ht="16.5" customHeight="1">
      <c r="A48" s="1751"/>
      <c r="B48" s="179"/>
      <c r="C48" s="191"/>
      <c r="D48" s="192"/>
      <c r="E48" s="192"/>
      <c r="F48" s="192"/>
      <c r="G48" s="193"/>
      <c r="H48" s="192"/>
      <c r="I48" s="192"/>
      <c r="J48" s="192"/>
      <c r="K48" s="192"/>
      <c r="L48" s="192"/>
      <c r="M48" s="192"/>
      <c r="N48" s="192"/>
      <c r="O48" s="192"/>
      <c r="P48" s="192"/>
      <c r="Q48" s="192"/>
      <c r="R48" s="374"/>
      <c r="S48" s="190"/>
      <c r="U48" s="96"/>
      <c r="V48" s="58"/>
      <c r="W48" s="58"/>
      <c r="X48" s="58"/>
      <c r="Y48" s="58"/>
      <c r="Z48" s="58"/>
      <c r="AA48" s="58"/>
      <c r="AB48" s="58"/>
      <c r="AC48" s="58"/>
      <c r="AD48" s="58"/>
      <c r="AE48" s="58"/>
      <c r="AF48" s="58"/>
      <c r="AG48" s="58"/>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c r="DT48" s="96"/>
    </row>
    <row r="49" spans="1:124" ht="16.5" customHeight="1">
      <c r="A49" s="1751"/>
      <c r="B49" s="179"/>
      <c r="C49" s="191"/>
      <c r="D49" s="192"/>
      <c r="E49" s="192"/>
      <c r="F49" s="192"/>
      <c r="G49" s="193"/>
      <c r="H49" s="192"/>
      <c r="I49" s="192"/>
      <c r="J49" s="192"/>
      <c r="K49" s="192"/>
      <c r="L49" s="192"/>
      <c r="M49" s="192"/>
      <c r="N49" s="192"/>
      <c r="O49" s="192"/>
      <c r="P49" s="192"/>
      <c r="Q49" s="192"/>
      <c r="R49" s="374"/>
      <c r="S49" s="190"/>
      <c r="U49" s="96"/>
      <c r="V49" s="58"/>
      <c r="W49" s="58"/>
      <c r="X49" s="58"/>
      <c r="Y49" s="58"/>
      <c r="Z49" s="58"/>
      <c r="AA49" s="58"/>
      <c r="AB49" s="58"/>
      <c r="AC49" s="58"/>
      <c r="AD49" s="58"/>
      <c r="AE49" s="58"/>
      <c r="AF49" s="58"/>
      <c r="AG49" s="58"/>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96"/>
      <c r="CA49" s="96"/>
      <c r="CB49" s="96"/>
      <c r="CC49" s="96"/>
      <c r="CD49" s="96"/>
      <c r="CE49" s="96"/>
      <c r="CF49" s="96"/>
      <c r="CG49" s="96"/>
      <c r="CH49" s="96"/>
      <c r="CI49" s="96"/>
      <c r="CJ49" s="96"/>
      <c r="CK49" s="96"/>
      <c r="CL49" s="96"/>
      <c r="CM49" s="96"/>
      <c r="CN49" s="96"/>
      <c r="CO49" s="96"/>
      <c r="CP49" s="96"/>
      <c r="CQ49" s="96"/>
      <c r="CR49" s="96"/>
      <c r="CS49" s="96"/>
      <c r="CT49" s="96"/>
      <c r="CU49" s="96"/>
      <c r="CV49" s="96"/>
      <c r="CW49" s="96"/>
      <c r="CX49" s="96"/>
      <c r="CY49" s="96"/>
      <c r="CZ49" s="96"/>
      <c r="DA49" s="96"/>
      <c r="DB49" s="96"/>
      <c r="DC49" s="96"/>
      <c r="DD49" s="96"/>
      <c r="DE49" s="96"/>
      <c r="DF49" s="96"/>
      <c r="DG49" s="96"/>
      <c r="DH49" s="96"/>
      <c r="DI49" s="96"/>
      <c r="DJ49" s="96"/>
      <c r="DK49" s="96"/>
      <c r="DL49" s="96"/>
      <c r="DM49" s="96"/>
      <c r="DN49" s="96"/>
      <c r="DO49" s="96"/>
      <c r="DP49" s="96"/>
      <c r="DQ49" s="96"/>
      <c r="DR49" s="96"/>
      <c r="DS49" s="96"/>
      <c r="DT49" s="96"/>
    </row>
    <row r="50" spans="1:124" ht="16.5" customHeight="1">
      <c r="A50" s="1751"/>
      <c r="B50" s="179"/>
      <c r="C50" s="191"/>
      <c r="D50" s="192"/>
      <c r="E50" s="192"/>
      <c r="F50" s="192"/>
      <c r="G50" s="193"/>
      <c r="H50" s="192"/>
      <c r="I50" s="192"/>
      <c r="J50" s="192"/>
      <c r="K50" s="192"/>
      <c r="L50" s="192"/>
      <c r="M50" s="192"/>
      <c r="N50" s="192"/>
      <c r="O50" s="192"/>
      <c r="P50" s="192"/>
      <c r="Q50" s="192"/>
      <c r="R50" s="374"/>
      <c r="S50" s="190"/>
      <c r="U50" s="96"/>
      <c r="V50" s="58"/>
      <c r="W50" s="58"/>
      <c r="X50" s="58"/>
      <c r="Y50" s="58"/>
      <c r="Z50" s="58"/>
      <c r="AA50" s="58"/>
      <c r="AB50" s="58"/>
      <c r="AC50" s="58"/>
      <c r="AD50" s="58"/>
      <c r="AE50" s="58"/>
      <c r="AF50" s="58"/>
      <c r="AG50" s="58"/>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6"/>
      <c r="CG50" s="96"/>
      <c r="CH50" s="96"/>
      <c r="CI50" s="96"/>
      <c r="CJ50" s="96"/>
      <c r="CK50" s="96"/>
      <c r="CL50" s="96"/>
      <c r="CM50" s="96"/>
      <c r="CN50" s="96"/>
      <c r="CO50" s="96"/>
      <c r="CP50" s="96"/>
      <c r="CQ50" s="96"/>
      <c r="CR50" s="96"/>
      <c r="CS50" s="96"/>
      <c r="CT50" s="96"/>
      <c r="CU50" s="96"/>
      <c r="CV50" s="96"/>
      <c r="CW50" s="96"/>
      <c r="CX50" s="96"/>
      <c r="CY50" s="96"/>
      <c r="CZ50" s="96"/>
      <c r="DA50" s="96"/>
      <c r="DB50" s="96"/>
      <c r="DC50" s="96"/>
      <c r="DD50" s="96"/>
      <c r="DE50" s="96"/>
      <c r="DF50" s="96"/>
      <c r="DG50" s="96"/>
      <c r="DH50" s="96"/>
      <c r="DI50" s="96"/>
      <c r="DJ50" s="96"/>
      <c r="DK50" s="96"/>
      <c r="DL50" s="96"/>
      <c r="DM50" s="96"/>
      <c r="DN50" s="96"/>
      <c r="DO50" s="96"/>
      <c r="DP50" s="96"/>
      <c r="DQ50" s="96"/>
      <c r="DR50" s="96"/>
      <c r="DS50" s="96"/>
      <c r="DT50" s="96"/>
    </row>
    <row r="51" spans="1:124" ht="16.5" customHeight="1">
      <c r="A51" s="1751"/>
      <c r="B51" s="179"/>
      <c r="C51" s="191"/>
      <c r="D51" s="192"/>
      <c r="E51" s="192"/>
      <c r="F51" s="192"/>
      <c r="G51" s="193"/>
      <c r="H51" s="192"/>
      <c r="I51" s="192"/>
      <c r="J51" s="192"/>
      <c r="K51" s="192"/>
      <c r="L51" s="192"/>
      <c r="M51" s="192"/>
      <c r="N51" s="192"/>
      <c r="O51" s="192"/>
      <c r="P51" s="192"/>
      <c r="Q51" s="192"/>
      <c r="R51" s="374"/>
      <c r="S51" s="190"/>
      <c r="U51" s="96"/>
      <c r="V51" s="58"/>
      <c r="W51" s="58"/>
      <c r="X51" s="58"/>
      <c r="Y51" s="58"/>
      <c r="Z51" s="58"/>
      <c r="AA51" s="58"/>
      <c r="AB51" s="58"/>
      <c r="AC51" s="58"/>
      <c r="AD51" s="58"/>
      <c r="AE51" s="58"/>
      <c r="AF51" s="58"/>
      <c r="AG51" s="58"/>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6"/>
      <c r="DH51" s="96"/>
      <c r="DI51" s="96"/>
      <c r="DJ51" s="96"/>
      <c r="DK51" s="96"/>
      <c r="DL51" s="96"/>
      <c r="DM51" s="96"/>
      <c r="DN51" s="96"/>
      <c r="DO51" s="96"/>
      <c r="DP51" s="96"/>
      <c r="DQ51" s="96"/>
      <c r="DR51" s="96"/>
      <c r="DS51" s="96"/>
      <c r="DT51" s="96"/>
    </row>
    <row r="52" spans="1:124" ht="16.5" customHeight="1">
      <c r="A52" s="1751"/>
      <c r="B52" s="179"/>
      <c r="C52" s="191"/>
      <c r="D52" s="192"/>
      <c r="E52" s="192"/>
      <c r="F52" s="192"/>
      <c r="G52" s="193"/>
      <c r="H52" s="192"/>
      <c r="I52" s="192"/>
      <c r="J52" s="192"/>
      <c r="K52" s="192"/>
      <c r="L52" s="192"/>
      <c r="M52" s="192"/>
      <c r="N52" s="192"/>
      <c r="O52" s="192"/>
      <c r="P52" s="192"/>
      <c r="Q52" s="192"/>
      <c r="R52" s="374"/>
      <c r="S52" s="190"/>
      <c r="U52" s="96"/>
      <c r="V52" s="58"/>
      <c r="W52" s="58"/>
      <c r="X52" s="58"/>
      <c r="Y52" s="58"/>
      <c r="Z52" s="58"/>
      <c r="AA52" s="58"/>
      <c r="AB52" s="58"/>
      <c r="AC52" s="58"/>
      <c r="AD52" s="58"/>
      <c r="AE52" s="58"/>
      <c r="AF52" s="58"/>
      <c r="AG52" s="58"/>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c r="BZ52" s="96"/>
      <c r="CA52" s="96"/>
      <c r="CB52" s="96"/>
      <c r="CC52" s="96"/>
      <c r="CD52" s="96"/>
      <c r="CE52" s="96"/>
      <c r="CF52" s="96"/>
      <c r="CG52" s="96"/>
      <c r="CH52" s="96"/>
      <c r="CI52" s="96"/>
      <c r="CJ52" s="96"/>
      <c r="CK52" s="96"/>
      <c r="CL52" s="96"/>
      <c r="CM52" s="96"/>
      <c r="CN52" s="96"/>
      <c r="CO52" s="96"/>
      <c r="CP52" s="96"/>
      <c r="CQ52" s="96"/>
      <c r="CR52" s="96"/>
      <c r="CS52" s="96"/>
      <c r="CT52" s="96"/>
      <c r="CU52" s="96"/>
      <c r="CV52" s="96"/>
      <c r="CW52" s="96"/>
      <c r="CX52" s="96"/>
      <c r="CY52" s="96"/>
      <c r="CZ52" s="96"/>
      <c r="DA52" s="96"/>
      <c r="DB52" s="96"/>
      <c r="DC52" s="96"/>
      <c r="DD52" s="96"/>
      <c r="DE52" s="96"/>
      <c r="DF52" s="96"/>
      <c r="DG52" s="96"/>
      <c r="DH52" s="96"/>
      <c r="DI52" s="96"/>
      <c r="DJ52" s="96"/>
      <c r="DK52" s="96"/>
      <c r="DL52" s="96"/>
      <c r="DM52" s="96"/>
      <c r="DN52" s="96"/>
      <c r="DO52" s="96"/>
      <c r="DP52" s="96"/>
      <c r="DQ52" s="96"/>
      <c r="DR52" s="96"/>
      <c r="DS52" s="96"/>
      <c r="DT52" s="96"/>
    </row>
    <row r="53" spans="1:124" ht="16.5" customHeight="1">
      <c r="A53" s="1751"/>
      <c r="B53" s="179"/>
      <c r="C53" s="191"/>
      <c r="D53" s="192"/>
      <c r="E53" s="192"/>
      <c r="F53" s="192"/>
      <c r="G53" s="193"/>
      <c r="H53" s="192"/>
      <c r="I53" s="192"/>
      <c r="J53" s="192"/>
      <c r="K53" s="192"/>
      <c r="L53" s="192"/>
      <c r="M53" s="192"/>
      <c r="N53" s="192"/>
      <c r="O53" s="192"/>
      <c r="P53" s="192"/>
      <c r="Q53" s="192"/>
      <c r="R53" s="374"/>
      <c r="S53" s="190"/>
      <c r="U53" s="96"/>
      <c r="V53" s="58"/>
      <c r="W53" s="58"/>
      <c r="X53" s="58"/>
      <c r="Y53" s="58"/>
      <c r="Z53" s="58"/>
      <c r="AA53" s="58"/>
      <c r="AB53" s="58"/>
      <c r="AC53" s="58"/>
      <c r="AD53" s="58"/>
      <c r="AE53" s="58"/>
      <c r="AF53" s="58"/>
      <c r="AG53" s="58"/>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6"/>
      <c r="CG53" s="96"/>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6"/>
      <c r="DH53" s="96"/>
      <c r="DI53" s="96"/>
      <c r="DJ53" s="96"/>
      <c r="DK53" s="96"/>
      <c r="DL53" s="96"/>
      <c r="DM53" s="96"/>
      <c r="DN53" s="96"/>
      <c r="DO53" s="96"/>
      <c r="DP53" s="96"/>
      <c r="DQ53" s="96"/>
      <c r="DR53" s="96"/>
      <c r="DS53" s="96"/>
      <c r="DT53" s="96"/>
    </row>
    <row r="54" spans="1:124" ht="16.5" customHeight="1">
      <c r="A54" s="1751"/>
      <c r="B54" s="179"/>
      <c r="C54" s="191"/>
      <c r="D54" s="192"/>
      <c r="E54" s="192"/>
      <c r="F54" s="192"/>
      <c r="G54" s="193"/>
      <c r="H54" s="192"/>
      <c r="I54" s="192"/>
      <c r="J54" s="192"/>
      <c r="K54" s="192"/>
      <c r="L54" s="192"/>
      <c r="M54" s="192"/>
      <c r="N54" s="192"/>
      <c r="O54" s="192"/>
      <c r="P54" s="192"/>
      <c r="Q54" s="192"/>
      <c r="R54" s="374"/>
      <c r="S54" s="190"/>
      <c r="U54" s="96"/>
      <c r="V54" s="58"/>
      <c r="W54" s="58"/>
      <c r="X54" s="58"/>
      <c r="Y54" s="58"/>
      <c r="Z54" s="58"/>
      <c r="AA54" s="58"/>
      <c r="AB54" s="58"/>
      <c r="AC54" s="58"/>
      <c r="AD54" s="58"/>
      <c r="AE54" s="58"/>
      <c r="AF54" s="58"/>
      <c r="AG54" s="58"/>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c r="BZ54" s="96"/>
      <c r="CA54" s="96"/>
      <c r="CB54" s="96"/>
      <c r="CC54" s="96"/>
      <c r="CD54" s="96"/>
      <c r="CE54" s="96"/>
      <c r="CF54" s="96"/>
      <c r="CG54" s="96"/>
      <c r="CH54" s="96"/>
      <c r="CI54" s="96"/>
      <c r="CJ54" s="96"/>
      <c r="CK54" s="96"/>
      <c r="CL54" s="96"/>
      <c r="CM54" s="96"/>
      <c r="CN54" s="96"/>
      <c r="CO54" s="96"/>
      <c r="CP54" s="96"/>
      <c r="CQ54" s="96"/>
      <c r="CR54" s="96"/>
      <c r="CS54" s="96"/>
      <c r="CT54" s="96"/>
      <c r="CU54" s="96"/>
      <c r="CV54" s="96"/>
      <c r="CW54" s="96"/>
      <c r="CX54" s="96"/>
      <c r="CY54" s="96"/>
      <c r="CZ54" s="96"/>
      <c r="DA54" s="96"/>
      <c r="DB54" s="96"/>
      <c r="DC54" s="96"/>
      <c r="DD54" s="96"/>
      <c r="DE54" s="96"/>
      <c r="DF54" s="96"/>
      <c r="DG54" s="96"/>
      <c r="DH54" s="96"/>
      <c r="DI54" s="96"/>
      <c r="DJ54" s="96"/>
      <c r="DK54" s="96"/>
      <c r="DL54" s="96"/>
      <c r="DM54" s="96"/>
      <c r="DN54" s="96"/>
      <c r="DO54" s="96"/>
      <c r="DP54" s="96"/>
      <c r="DQ54" s="96"/>
      <c r="DR54" s="96"/>
      <c r="DS54" s="96"/>
      <c r="DT54" s="96"/>
    </row>
    <row r="55" spans="1:124" ht="16.5" customHeight="1">
      <c r="A55" s="1751"/>
      <c r="B55" s="179"/>
      <c r="C55" s="191"/>
      <c r="D55" s="192"/>
      <c r="E55" s="192"/>
      <c r="F55" s="192"/>
      <c r="G55" s="193"/>
      <c r="H55" s="192"/>
      <c r="I55" s="192"/>
      <c r="J55" s="192"/>
      <c r="K55" s="192"/>
      <c r="L55" s="192"/>
      <c r="M55" s="192"/>
      <c r="N55" s="192"/>
      <c r="O55" s="192"/>
      <c r="P55" s="192"/>
      <c r="Q55" s="192"/>
      <c r="R55" s="374"/>
      <c r="S55" s="190"/>
      <c r="U55" s="96"/>
      <c r="V55" s="58"/>
      <c r="W55" s="58"/>
      <c r="X55" s="58"/>
      <c r="Y55" s="58"/>
      <c r="Z55" s="58"/>
      <c r="AA55" s="58"/>
      <c r="AB55" s="58"/>
      <c r="AC55" s="58"/>
      <c r="AD55" s="58"/>
      <c r="AE55" s="58"/>
      <c r="AF55" s="58"/>
      <c r="AG55" s="58"/>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96"/>
      <c r="CA55" s="96"/>
      <c r="CB55" s="96"/>
      <c r="CC55" s="96"/>
      <c r="CD55" s="96"/>
      <c r="CE55" s="96"/>
      <c r="CF55" s="96"/>
      <c r="CG55" s="96"/>
      <c r="CH55" s="96"/>
      <c r="CI55" s="96"/>
      <c r="CJ55" s="96"/>
      <c r="CK55" s="96"/>
      <c r="CL55" s="96"/>
      <c r="CM55" s="96"/>
      <c r="CN55" s="96"/>
      <c r="CO55" s="96"/>
      <c r="CP55" s="96"/>
      <c r="CQ55" s="96"/>
      <c r="CR55" s="96"/>
      <c r="CS55" s="96"/>
      <c r="CT55" s="96"/>
      <c r="CU55" s="96"/>
      <c r="CV55" s="96"/>
      <c r="CW55" s="96"/>
      <c r="CX55" s="96"/>
      <c r="CY55" s="96"/>
      <c r="CZ55" s="96"/>
      <c r="DA55" s="96"/>
      <c r="DB55" s="96"/>
      <c r="DC55" s="96"/>
      <c r="DD55" s="96"/>
      <c r="DE55" s="96"/>
      <c r="DF55" s="96"/>
      <c r="DG55" s="96"/>
      <c r="DH55" s="96"/>
      <c r="DI55" s="96"/>
      <c r="DJ55" s="96"/>
      <c r="DK55" s="96"/>
      <c r="DL55" s="96"/>
      <c r="DM55" s="96"/>
      <c r="DN55" s="96"/>
      <c r="DO55" s="96"/>
      <c r="DP55" s="96"/>
      <c r="DQ55" s="96"/>
      <c r="DR55" s="96"/>
      <c r="DS55" s="96"/>
      <c r="DT55" s="96"/>
    </row>
  </sheetData>
  <sheetProtection password="C015" sheet="1" objects="1" scenarios="1" selectLockedCells="1"/>
  <mergeCells count="18">
    <mergeCell ref="CH2:CS2"/>
    <mergeCell ref="CU2:DF2"/>
    <mergeCell ref="DH2:DN2"/>
    <mergeCell ref="DO2:DS2"/>
    <mergeCell ref="M1:N2"/>
    <mergeCell ref="AH2:AS2"/>
    <mergeCell ref="AU2:BF2"/>
    <mergeCell ref="BH2:BS2"/>
    <mergeCell ref="BU2:CF2"/>
    <mergeCell ref="B6:B13"/>
    <mergeCell ref="B15:B22"/>
    <mergeCell ref="B24:B31"/>
    <mergeCell ref="B33:B36"/>
    <mergeCell ref="L1:L2"/>
    <mergeCell ref="B1:C3"/>
    <mergeCell ref="D1:D2"/>
    <mergeCell ref="E1:J2"/>
    <mergeCell ref="K1:K2"/>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sheetPr codeName="Feuil5"/>
  <dimension ref="A1:CK97"/>
  <sheetViews>
    <sheetView showGridLines="0" zoomScale="70" zoomScaleNormal="70" workbookViewId="0">
      <pane ySplit="5" topLeftCell="A6" activePane="bottomLeft" state="frozen"/>
      <selection pane="bottomLeft" activeCell="B2" sqref="B2"/>
    </sheetView>
  </sheetViews>
  <sheetFormatPr baseColWidth="10" defaultColWidth="8.7109375" defaultRowHeight="15.75" customHeight="1"/>
  <cols>
    <col min="1" max="1" width="8.7109375" style="368"/>
    <col min="2" max="2" width="10.5703125" style="69" customWidth="1"/>
    <col min="3" max="3" width="25.7109375" style="8" customWidth="1"/>
    <col min="4" max="4" width="8" style="1"/>
    <col min="5" max="5" width="8.7109375" style="516"/>
    <col min="6" max="6" width="8" style="1"/>
    <col min="7" max="7" width="8.7109375" style="172" customWidth="1"/>
    <col min="8" max="11" width="10.7109375" style="1" customWidth="1"/>
    <col min="12" max="12" width="39.28515625" style="8" customWidth="1"/>
    <col min="13" max="14" width="10.7109375" style="1" customWidth="1"/>
    <col min="15" max="15" width="44.42578125" style="8" customWidth="1"/>
    <col min="16" max="17" width="10.7109375" style="8" customWidth="1"/>
    <col min="18" max="19" width="9.140625" style="8" hidden="1" customWidth="1"/>
    <col min="20" max="20" width="25.7109375" style="8" hidden="1" customWidth="1"/>
    <col min="21" max="21" width="9.140625" style="8" hidden="1" customWidth="1"/>
    <col min="22" max="22" width="9.85546875" style="1" hidden="1" customWidth="1"/>
    <col min="23" max="26" width="9.140625" style="1" hidden="1" customWidth="1"/>
    <col min="27" max="61" width="9.140625" style="8" hidden="1" customWidth="1"/>
    <col min="62" max="62" width="12.140625" style="8" hidden="1" customWidth="1"/>
    <col min="63" max="85" width="9.140625" style="8" hidden="1" customWidth="1"/>
    <col min="86" max="86" width="10.85546875" style="1" hidden="1" customWidth="1"/>
    <col min="87" max="87" width="9.140625" style="8" hidden="1" customWidth="1"/>
    <col min="88" max="89" width="8.7109375" hidden="1" customWidth="1"/>
    <col min="90" max="94" width="8.7109375" customWidth="1"/>
  </cols>
  <sheetData>
    <row r="1" spans="2:87" ht="15.75" customHeight="1">
      <c r="D1" s="172"/>
      <c r="F1" s="172"/>
      <c r="H1" s="172"/>
      <c r="I1" s="172"/>
      <c r="J1" s="172"/>
      <c r="K1" s="172"/>
      <c r="M1" s="172"/>
      <c r="N1" s="172"/>
      <c r="V1" s="172"/>
      <c r="W1" s="172"/>
      <c r="X1" s="172"/>
      <c r="Y1" s="172"/>
      <c r="Z1" s="172"/>
      <c r="CH1" s="172"/>
    </row>
    <row r="2" spans="2:87" ht="15.75" customHeight="1">
      <c r="D2" s="172"/>
      <c r="F2" s="172"/>
      <c r="H2" s="172"/>
      <c r="I2" s="172"/>
      <c r="J2" s="172"/>
      <c r="K2" s="172"/>
      <c r="M2" s="172"/>
      <c r="N2" s="172"/>
      <c r="V2" s="172"/>
      <c r="W2" s="172"/>
      <c r="X2" s="172"/>
      <c r="Y2" s="172"/>
      <c r="Z2" s="172"/>
      <c r="CH2" s="172"/>
    </row>
    <row r="3" spans="2:87" ht="15.75" customHeight="1">
      <c r="D3" s="171"/>
      <c r="F3" s="171"/>
      <c r="H3" s="171"/>
      <c r="I3" s="171"/>
      <c r="J3" s="171"/>
      <c r="K3" s="171"/>
      <c r="M3" s="171"/>
      <c r="N3" s="171"/>
      <c r="V3" s="171"/>
      <c r="W3" s="171"/>
      <c r="X3" s="171"/>
      <c r="Y3" s="171"/>
      <c r="Z3" s="171"/>
      <c r="CH3" s="171"/>
    </row>
    <row r="4" spans="2:87" ht="15">
      <c r="B4" s="2271" t="s">
        <v>146</v>
      </c>
      <c r="C4" s="2271"/>
      <c r="D4" s="2272" t="s">
        <v>147</v>
      </c>
      <c r="E4" s="2308"/>
      <c r="F4" s="2273" t="s">
        <v>673</v>
      </c>
      <c r="G4" s="2275">
        <v>10</v>
      </c>
      <c r="H4" s="2426" t="s">
        <v>148</v>
      </c>
      <c r="I4" s="2426"/>
      <c r="J4" s="2427" t="s">
        <v>674</v>
      </c>
      <c r="K4" s="2272"/>
      <c r="L4" s="2428" t="s">
        <v>149</v>
      </c>
      <c r="M4" s="2272" t="s">
        <v>150</v>
      </c>
      <c r="N4" s="2427" t="s">
        <v>151</v>
      </c>
      <c r="O4" s="2430" t="s">
        <v>152</v>
      </c>
      <c r="P4" s="2426" t="s">
        <v>153</v>
      </c>
      <c r="Q4" s="2426"/>
      <c r="R4" s="223"/>
      <c r="V4" s="228"/>
      <c r="Y4" s="8"/>
      <c r="Z4" s="8"/>
      <c r="BW4" s="2262" t="s">
        <v>154</v>
      </c>
      <c r="BX4" s="2262"/>
      <c r="BY4" s="2262"/>
      <c r="BZ4" s="2262"/>
      <c r="CA4" s="2262"/>
      <c r="CH4" s="2263" t="s">
        <v>155</v>
      </c>
      <c r="CI4" s="2263"/>
    </row>
    <row r="5" spans="2:87" ht="15">
      <c r="B5" s="2271"/>
      <c r="C5" s="2271"/>
      <c r="D5" s="2272"/>
      <c r="E5" s="2309"/>
      <c r="F5" s="2274"/>
      <c r="G5" s="2276"/>
      <c r="H5" s="227" t="s">
        <v>156</v>
      </c>
      <c r="I5" s="227" t="s">
        <v>157</v>
      </c>
      <c r="J5" s="227" t="s">
        <v>156</v>
      </c>
      <c r="K5" s="227" t="s">
        <v>157</v>
      </c>
      <c r="L5" s="2428"/>
      <c r="M5" s="2429"/>
      <c r="N5" s="2272"/>
      <c r="O5" s="2430"/>
      <c r="P5" s="227" t="s">
        <v>158</v>
      </c>
      <c r="Q5" s="234" t="s">
        <v>159</v>
      </c>
      <c r="R5" s="223"/>
      <c r="S5" s="86" t="s">
        <v>90</v>
      </c>
      <c r="T5" s="60" t="s">
        <v>160</v>
      </c>
      <c r="U5" s="94">
        <f>SUM(U6:U76)</f>
        <v>36</v>
      </c>
      <c r="V5" s="80">
        <f>SUM(BJ6:BJ76)</f>
        <v>144.37500000000009</v>
      </c>
      <c r="Y5" s="2262" t="s">
        <v>161</v>
      </c>
      <c r="Z5" s="2262"/>
      <c r="AA5" s="2262"/>
      <c r="AB5" s="2262"/>
      <c r="AC5" s="2262"/>
      <c r="AD5" s="2262"/>
      <c r="AE5" s="2262"/>
      <c r="AF5" s="2262"/>
      <c r="AG5" s="2262"/>
      <c r="AH5" s="2262"/>
      <c r="AI5" s="2262"/>
      <c r="AK5" s="2262" t="s">
        <v>162</v>
      </c>
      <c r="AL5" s="2262"/>
      <c r="AM5" s="2262"/>
      <c r="AN5" s="2262"/>
      <c r="AO5" s="2262"/>
      <c r="AP5" s="2262"/>
      <c r="AQ5" s="2262"/>
      <c r="AR5" s="2262"/>
      <c r="AS5" s="2262"/>
      <c r="AT5" s="2262"/>
      <c r="AU5" s="2262"/>
      <c r="AX5" s="2262" t="s">
        <v>163</v>
      </c>
      <c r="AY5" s="2262"/>
      <c r="AZ5" s="2262"/>
      <c r="BA5" s="2262"/>
      <c r="BB5" s="2262"/>
      <c r="BC5" s="2262"/>
      <c r="BD5" s="2262"/>
      <c r="BE5" s="2262"/>
      <c r="BF5" s="2262"/>
      <c r="BG5" s="2262"/>
      <c r="BH5" s="2262"/>
      <c r="BK5" s="2262" t="s">
        <v>164</v>
      </c>
      <c r="BL5" s="2262"/>
      <c r="BM5" s="2262"/>
      <c r="BN5" s="2262"/>
      <c r="BO5" s="2262"/>
      <c r="BP5" s="2262"/>
      <c r="BQ5" s="2262"/>
      <c r="BR5" s="2262"/>
      <c r="BS5" s="2262"/>
      <c r="BT5" s="2262"/>
      <c r="BU5" s="2262"/>
      <c r="BW5" s="86">
        <v>0</v>
      </c>
      <c r="BX5" s="86">
        <v>1</v>
      </c>
      <c r="BY5" s="86">
        <v>2</v>
      </c>
      <c r="BZ5" s="86">
        <v>3</v>
      </c>
      <c r="CA5" s="86">
        <v>4</v>
      </c>
      <c r="CB5" s="86">
        <v>5</v>
      </c>
      <c r="CC5" s="86">
        <v>6</v>
      </c>
      <c r="CD5" s="86">
        <v>7</v>
      </c>
      <c r="CE5" s="86">
        <v>8</v>
      </c>
      <c r="CF5" s="86">
        <v>9</v>
      </c>
      <c r="CG5" s="86">
        <v>10</v>
      </c>
      <c r="CH5" s="86" t="s">
        <v>158</v>
      </c>
      <c r="CI5" s="86" t="s">
        <v>159</v>
      </c>
    </row>
    <row r="6" spans="2:87" ht="16.5" customHeight="1">
      <c r="B6" s="2260" t="s">
        <v>42</v>
      </c>
      <c r="C6" s="2264" t="s">
        <v>165</v>
      </c>
      <c r="D6" s="2257">
        <v>0</v>
      </c>
      <c r="E6" s="458"/>
      <c r="F6" s="2277">
        <f>$G$4</f>
        <v>10</v>
      </c>
      <c r="G6" s="2278"/>
      <c r="H6" s="2228">
        <f t="shared" ref="H6:H76" si="0">IF((V6&lt;=U6),0,CHOOSE(U6,Y6,Z6,AA6,AB6,AC6,AD6,AE6,AF6,AG6,AH6,AI6))</f>
        <v>500</v>
      </c>
      <c r="I6" s="2304">
        <f t="shared" ref="I6:I76" si="1">IF((V6&lt;=U6),0,CHOOSE(U6,AK6,AL6,AM6,AN6,AO6,AP6,AQ6,AR6,AS6,AT6,AU6))</f>
        <v>1.0416666666666999E-2</v>
      </c>
      <c r="J6" s="2336">
        <f t="shared" ref="J6:J76" si="2">IF((U6&gt;V6),0,SUM((CHOOSE(V6,AX6,AY6,AZ6,BA6,BB6,BC6,BD6,BE6,BF6,BG6,BH6)-(CHOOSE(U6,AX6,AY6,AZ6,BA6,BB6,BC6,BD6,BE6,BF6,BG6,BH6)))))</f>
        <v>192500</v>
      </c>
      <c r="K6" s="2366">
        <f t="shared" ref="K6:K76" si="3">IF((U6&gt;V6),0,SUM((CHOOSE(V6,BK6,BL6,BM6,BN6,BO6,BP6,BQ6,BR6,BS6,BT6,BU6)-(CHOOSE(U6,BK6,BL6,BM6,BN6,BO6,BP6,BQ6,BR6,BS6,BT6,BU6)))))</f>
        <v>4.0104166666666696</v>
      </c>
      <c r="L6" s="2412" t="s">
        <v>166</v>
      </c>
      <c r="M6" s="2197">
        <f t="shared" ref="M6:M76" si="4">SUM(((U6-1)/100))</f>
        <v>0</v>
      </c>
      <c r="N6" s="2124">
        <f t="shared" ref="N6:N76" si="5">IF((V6&lt;=U6),SUM(((U6-1)/100)),SUM(((V6-1)/100)))</f>
        <v>0.1</v>
      </c>
      <c r="O6" s="2166" t="s">
        <v>167</v>
      </c>
      <c r="P6" s="2268">
        <f>CHOOSE(U6,BW6,BX6,BY6,BZ6,CA6,CB6,CC6,CD6,CE6,CF6,CG6)</f>
        <v>2</v>
      </c>
      <c r="Q6" s="2265">
        <f>IF((V6&lt;=U6),CHOOSE(U6,BW6,BX6,BY6,BZ6,CA6,CB6,CC6,CD6,CE6,CF6,CG6),CHOOSE(V6,BW6,BX6,BY6,BZ6,CA6,CB6,CC6,CD6,CE6,CF6,CG6))</f>
        <v>15</v>
      </c>
      <c r="R6" s="222"/>
      <c r="S6" s="1">
        <v>0</v>
      </c>
      <c r="T6" s="62" t="s">
        <v>165</v>
      </c>
      <c r="U6" s="1">
        <f t="shared" ref="U6:U76" si="6">D6+1</f>
        <v>1</v>
      </c>
      <c r="V6" s="1">
        <f>F6+1</f>
        <v>11</v>
      </c>
      <c r="W6" s="1">
        <f t="shared" ref="W6:W76" si="7">IF((V6&gt;U6),(V6-U6),0)</f>
        <v>10</v>
      </c>
      <c r="Y6" s="69">
        <v>500</v>
      </c>
      <c r="Z6" s="34">
        <v>2000</v>
      </c>
      <c r="AA6" s="34">
        <v>4500</v>
      </c>
      <c r="AB6" s="34">
        <v>8000</v>
      </c>
      <c r="AC6" s="34">
        <v>12500</v>
      </c>
      <c r="AD6" s="34">
        <v>18000</v>
      </c>
      <c r="AE6" s="34">
        <v>24500</v>
      </c>
      <c r="AF6" s="34">
        <v>32000</v>
      </c>
      <c r="AG6" s="34">
        <v>40500</v>
      </c>
      <c r="AH6" s="34">
        <v>50000</v>
      </c>
      <c r="AI6" s="8">
        <v>0</v>
      </c>
      <c r="AK6" s="20">
        <v>1.0416666666666999E-2</v>
      </c>
      <c r="AL6" s="20">
        <v>4.1666666666666997E-2</v>
      </c>
      <c r="AM6" s="20">
        <v>9.375E-2</v>
      </c>
      <c r="AN6" s="20">
        <v>0.16666666666666699</v>
      </c>
      <c r="AO6" s="20">
        <v>0.26041666666666702</v>
      </c>
      <c r="AP6" s="20">
        <v>0.375</v>
      </c>
      <c r="AQ6" s="20">
        <v>0.51041666666666696</v>
      </c>
      <c r="AR6" s="20">
        <v>0.66666666666666696</v>
      </c>
      <c r="AS6" s="20">
        <v>0.84375</v>
      </c>
      <c r="AT6" s="20">
        <v>1.0416666666666701</v>
      </c>
      <c r="AU6" s="20">
        <v>0</v>
      </c>
      <c r="AX6" s="34">
        <v>0</v>
      </c>
      <c r="AY6" s="34">
        <v>500</v>
      </c>
      <c r="AZ6" s="34">
        <v>2500</v>
      </c>
      <c r="BA6" s="34">
        <v>7000</v>
      </c>
      <c r="BB6" s="34">
        <v>15000</v>
      </c>
      <c r="BC6" s="34">
        <v>27500</v>
      </c>
      <c r="BD6" s="34">
        <v>45500</v>
      </c>
      <c r="BE6" s="34">
        <v>70000</v>
      </c>
      <c r="BF6" s="34">
        <v>102000</v>
      </c>
      <c r="BG6" s="34">
        <v>142500</v>
      </c>
      <c r="BH6" s="34">
        <v>192500</v>
      </c>
      <c r="BJ6" s="49">
        <f t="shared" ref="BJ6:BJ76" si="8">SUM(CHOOSE((12-U6),BK6,BL6,BM6,BN6,BO6,BP6,BQ6,BR6,BS6,BT6,BU6))</f>
        <v>4.0104166666666696</v>
      </c>
      <c r="BK6" s="72">
        <v>0</v>
      </c>
      <c r="BL6" s="72">
        <v>1.0416666666666999E-2</v>
      </c>
      <c r="BM6" s="72">
        <v>5.2083333333333003E-2</v>
      </c>
      <c r="BN6" s="72">
        <v>0.14583333333333301</v>
      </c>
      <c r="BO6" s="72">
        <v>0.3125</v>
      </c>
      <c r="BP6" s="72">
        <v>0.57291666666666696</v>
      </c>
      <c r="BQ6" s="72">
        <v>0.94791666666666696</v>
      </c>
      <c r="BR6" s="72">
        <v>1.4583333333333299</v>
      </c>
      <c r="BS6" s="72">
        <v>2.125</v>
      </c>
      <c r="BT6" s="72">
        <v>2.96875</v>
      </c>
      <c r="BU6" s="72">
        <v>4.0104166666666696</v>
      </c>
      <c r="BW6" s="1">
        <v>2</v>
      </c>
      <c r="BX6" s="1">
        <v>4</v>
      </c>
      <c r="BY6" s="1">
        <v>6</v>
      </c>
      <c r="BZ6" s="1">
        <v>8</v>
      </c>
      <c r="CA6" s="1">
        <v>9</v>
      </c>
      <c r="CB6" s="1">
        <v>15</v>
      </c>
      <c r="CC6" s="1">
        <v>15</v>
      </c>
      <c r="CD6" s="1">
        <v>15</v>
      </c>
      <c r="CE6" s="1">
        <v>15</v>
      </c>
      <c r="CF6" s="1">
        <v>15</v>
      </c>
      <c r="CG6" s="1">
        <v>15</v>
      </c>
      <c r="CI6" s="1">
        <f t="shared" ref="CI6:CI76" si="9">IF((U6&gt;=V6),U6,SUM((U6+(V6-U6))))</f>
        <v>11</v>
      </c>
    </row>
    <row r="7" spans="2:87" ht="16.5" customHeight="1">
      <c r="B7" s="2260"/>
      <c r="C7" s="2264"/>
      <c r="D7" s="2257"/>
      <c r="E7" s="458"/>
      <c r="F7" s="2279"/>
      <c r="G7" s="2280"/>
      <c r="H7" s="2228"/>
      <c r="I7" s="2305"/>
      <c r="J7" s="2337"/>
      <c r="K7" s="2367"/>
      <c r="L7" s="2413"/>
      <c r="M7" s="2198"/>
      <c r="N7" s="2125"/>
      <c r="O7" s="2167"/>
      <c r="P7" s="2269"/>
      <c r="Q7" s="2266"/>
      <c r="R7" s="222"/>
      <c r="S7" s="171"/>
      <c r="T7" s="62"/>
      <c r="U7" s="171"/>
      <c r="V7" s="171"/>
      <c r="W7" s="171"/>
      <c r="X7" s="171"/>
      <c r="Y7" s="69"/>
      <c r="Z7" s="34"/>
      <c r="AA7" s="34"/>
      <c r="AB7" s="34"/>
      <c r="AC7" s="34"/>
      <c r="AD7" s="34"/>
      <c r="AE7" s="34"/>
      <c r="AF7" s="34"/>
      <c r="AG7" s="34"/>
      <c r="AH7" s="34"/>
      <c r="AK7" s="20"/>
      <c r="AL7" s="20"/>
      <c r="AM7" s="20"/>
      <c r="AN7" s="20"/>
      <c r="AO7" s="20"/>
      <c r="AP7" s="20"/>
      <c r="AQ7" s="20"/>
      <c r="AR7" s="20"/>
      <c r="AS7" s="20"/>
      <c r="AT7" s="20"/>
      <c r="AU7" s="20"/>
      <c r="AX7" s="34"/>
      <c r="AY7" s="34"/>
      <c r="AZ7" s="34"/>
      <c r="BA7" s="34"/>
      <c r="BB7" s="34"/>
      <c r="BC7" s="34"/>
      <c r="BD7" s="34"/>
      <c r="BE7" s="34"/>
      <c r="BF7" s="34"/>
      <c r="BG7" s="34"/>
      <c r="BH7" s="34"/>
      <c r="BJ7" s="49"/>
      <c r="BK7" s="72"/>
      <c r="BL7" s="72"/>
      <c r="BM7" s="72"/>
      <c r="BN7" s="72"/>
      <c r="BO7" s="72"/>
      <c r="BP7" s="72"/>
      <c r="BQ7" s="72"/>
      <c r="BR7" s="72"/>
      <c r="BS7" s="72"/>
      <c r="BT7" s="72"/>
      <c r="BU7" s="72"/>
      <c r="BW7" s="171"/>
      <c r="BX7" s="171"/>
      <c r="BY7" s="171"/>
      <c r="BZ7" s="171"/>
      <c r="CA7" s="171"/>
      <c r="CB7" s="171"/>
      <c r="CC7" s="171"/>
      <c r="CD7" s="171"/>
      <c r="CE7" s="171"/>
      <c r="CF7" s="171"/>
      <c r="CG7" s="171"/>
      <c r="CH7" s="171"/>
      <c r="CI7" s="171"/>
    </row>
    <row r="8" spans="2:87" ht="16.5" customHeight="1">
      <c r="B8" s="2260"/>
      <c r="C8" s="2258" t="s">
        <v>168</v>
      </c>
      <c r="D8" s="2259">
        <v>0</v>
      </c>
      <c r="E8" s="459"/>
      <c r="F8" s="2203">
        <f>$F$6</f>
        <v>10</v>
      </c>
      <c r="G8" s="2203"/>
      <c r="H8" s="2229">
        <f t="shared" si="0"/>
        <v>500</v>
      </c>
      <c r="I8" s="2306">
        <f t="shared" si="1"/>
        <v>1.0416666666666999E-2</v>
      </c>
      <c r="J8" s="2338">
        <f t="shared" si="2"/>
        <v>192500</v>
      </c>
      <c r="K8" s="2368">
        <f t="shared" si="3"/>
        <v>4.0104166666666696</v>
      </c>
      <c r="L8" s="2414" t="s">
        <v>169</v>
      </c>
      <c r="M8" s="2199">
        <f t="shared" si="4"/>
        <v>0</v>
      </c>
      <c r="N8" s="2128">
        <f t="shared" si="5"/>
        <v>0.1</v>
      </c>
      <c r="O8" s="2167"/>
      <c r="P8" s="2269"/>
      <c r="Q8" s="2266"/>
      <c r="R8" s="222"/>
      <c r="S8" s="1">
        <v>1</v>
      </c>
      <c r="T8" s="62" t="s">
        <v>168</v>
      </c>
      <c r="U8" s="1">
        <f t="shared" si="6"/>
        <v>1</v>
      </c>
      <c r="V8" s="1">
        <f>F8+1</f>
        <v>11</v>
      </c>
      <c r="W8" s="1">
        <f t="shared" si="7"/>
        <v>10</v>
      </c>
      <c r="Y8" s="69">
        <v>500</v>
      </c>
      <c r="Z8" s="34">
        <v>2000</v>
      </c>
      <c r="AA8" s="34">
        <v>4500</v>
      </c>
      <c r="AB8" s="34">
        <v>8000</v>
      </c>
      <c r="AC8" s="34">
        <v>12500</v>
      </c>
      <c r="AD8" s="34">
        <v>18000</v>
      </c>
      <c r="AE8" s="34">
        <v>24500</v>
      </c>
      <c r="AF8" s="34">
        <v>32000</v>
      </c>
      <c r="AG8" s="34">
        <v>40500</v>
      </c>
      <c r="AH8" s="34">
        <v>50000</v>
      </c>
      <c r="AI8" s="8">
        <v>0</v>
      </c>
      <c r="AK8" s="20">
        <v>1.0416666666666999E-2</v>
      </c>
      <c r="AL8" s="20">
        <v>4.1666666666666997E-2</v>
      </c>
      <c r="AM8" s="20">
        <v>9.375E-2</v>
      </c>
      <c r="AN8" s="20">
        <v>0.16666666666666699</v>
      </c>
      <c r="AO8" s="20">
        <v>0.26041666666666702</v>
      </c>
      <c r="AP8" s="20">
        <v>0.375</v>
      </c>
      <c r="AQ8" s="20">
        <v>0.51041666666666696</v>
      </c>
      <c r="AR8" s="20">
        <v>0.66666666666666696</v>
      </c>
      <c r="AS8" s="20">
        <v>0.84375</v>
      </c>
      <c r="AT8" s="20">
        <v>1.0416666666666701</v>
      </c>
      <c r="AU8" s="20">
        <v>0</v>
      </c>
      <c r="AX8" s="34">
        <v>0</v>
      </c>
      <c r="AY8" s="34">
        <v>500</v>
      </c>
      <c r="AZ8" s="34">
        <v>2500</v>
      </c>
      <c r="BA8" s="34">
        <v>7000</v>
      </c>
      <c r="BB8" s="34">
        <v>15000</v>
      </c>
      <c r="BC8" s="34">
        <v>27500</v>
      </c>
      <c r="BD8" s="34">
        <v>45500</v>
      </c>
      <c r="BE8" s="34">
        <v>70000</v>
      </c>
      <c r="BF8" s="34">
        <v>102000</v>
      </c>
      <c r="BG8" s="34">
        <v>142500</v>
      </c>
      <c r="BH8" s="34">
        <v>192500</v>
      </c>
      <c r="BJ8" s="49">
        <f t="shared" si="8"/>
        <v>4.0104166666666696</v>
      </c>
      <c r="BK8" s="72">
        <v>0</v>
      </c>
      <c r="BL8" s="72">
        <v>1.0416666666666999E-2</v>
      </c>
      <c r="BM8" s="72">
        <v>5.2083333333333003E-2</v>
      </c>
      <c r="BN8" s="72">
        <v>0.14583333333333301</v>
      </c>
      <c r="BO8" s="72">
        <v>0.3125</v>
      </c>
      <c r="BP8" s="72">
        <v>0.57291666666666696</v>
      </c>
      <c r="BQ8" s="72">
        <v>0.94791666666666696</v>
      </c>
      <c r="BR8" s="72">
        <v>1.4583333333333299</v>
      </c>
      <c r="BS8" s="72">
        <v>2.125</v>
      </c>
      <c r="BT8" s="72">
        <v>2.96875</v>
      </c>
      <c r="BU8" s="72">
        <v>4.0104166666666696</v>
      </c>
      <c r="BW8" s="1">
        <v>2</v>
      </c>
      <c r="BX8" s="1">
        <v>4</v>
      </c>
      <c r="BY8" s="1">
        <v>6</v>
      </c>
      <c r="BZ8" s="1">
        <v>8</v>
      </c>
      <c r="CA8" s="1">
        <v>9</v>
      </c>
      <c r="CB8" s="1">
        <v>15</v>
      </c>
      <c r="CC8" s="1">
        <v>15</v>
      </c>
      <c r="CD8" s="1">
        <v>15</v>
      </c>
      <c r="CE8" s="1">
        <v>15</v>
      </c>
      <c r="CF8" s="1">
        <v>15</v>
      </c>
      <c r="CG8" s="1">
        <v>15</v>
      </c>
      <c r="CI8" s="1">
        <f t="shared" si="9"/>
        <v>11</v>
      </c>
    </row>
    <row r="9" spans="2:87" ht="16.5" customHeight="1">
      <c r="B9" s="2260"/>
      <c r="C9" s="2258"/>
      <c r="D9" s="2259"/>
      <c r="E9" s="459"/>
      <c r="F9" s="2203"/>
      <c r="G9" s="2203"/>
      <c r="H9" s="2229"/>
      <c r="I9" s="2307"/>
      <c r="J9" s="2339"/>
      <c r="K9" s="2369"/>
      <c r="L9" s="2415"/>
      <c r="M9" s="2200"/>
      <c r="N9" s="2129"/>
      <c r="O9" s="2167"/>
      <c r="P9" s="2269"/>
      <c r="Q9" s="2266"/>
      <c r="R9" s="222"/>
      <c r="S9" s="171"/>
      <c r="T9" s="62"/>
      <c r="U9" s="171"/>
      <c r="V9" s="171"/>
      <c r="W9" s="171"/>
      <c r="X9" s="171"/>
      <c r="Y9" s="69"/>
      <c r="Z9" s="34"/>
      <c r="AA9" s="34"/>
      <c r="AB9" s="34"/>
      <c r="AC9" s="34"/>
      <c r="AD9" s="34"/>
      <c r="AE9" s="34"/>
      <c r="AF9" s="34"/>
      <c r="AG9" s="34"/>
      <c r="AH9" s="34"/>
      <c r="AK9" s="20"/>
      <c r="AL9" s="20"/>
      <c r="AM9" s="20"/>
      <c r="AN9" s="20"/>
      <c r="AO9" s="20"/>
      <c r="AP9" s="20"/>
      <c r="AQ9" s="20"/>
      <c r="AR9" s="20"/>
      <c r="AS9" s="20"/>
      <c r="AT9" s="20"/>
      <c r="AU9" s="20"/>
      <c r="AX9" s="34"/>
      <c r="AY9" s="34"/>
      <c r="AZ9" s="34"/>
      <c r="BA9" s="34"/>
      <c r="BB9" s="34"/>
      <c r="BC9" s="34"/>
      <c r="BD9" s="34"/>
      <c r="BE9" s="34"/>
      <c r="BF9" s="34"/>
      <c r="BG9" s="34"/>
      <c r="BH9" s="34"/>
      <c r="BJ9" s="49"/>
      <c r="BK9" s="72"/>
      <c r="BL9" s="72"/>
      <c r="BM9" s="72"/>
      <c r="BN9" s="72"/>
      <c r="BO9" s="72"/>
      <c r="BP9" s="72"/>
      <c r="BQ9" s="72"/>
      <c r="BR9" s="72"/>
      <c r="BS9" s="72"/>
      <c r="BT9" s="72"/>
      <c r="BU9" s="72"/>
      <c r="BW9" s="171"/>
      <c r="BX9" s="171"/>
      <c r="BY9" s="171"/>
      <c r="BZ9" s="171"/>
      <c r="CA9" s="171"/>
      <c r="CB9" s="171"/>
      <c r="CC9" s="171"/>
      <c r="CD9" s="171"/>
      <c r="CE9" s="171"/>
      <c r="CF9" s="171"/>
      <c r="CG9" s="171"/>
      <c r="CH9" s="171"/>
      <c r="CI9" s="171"/>
    </row>
    <row r="10" spans="2:87" ht="16.5" customHeight="1">
      <c r="B10" s="2260"/>
      <c r="C10" s="2258" t="s">
        <v>170</v>
      </c>
      <c r="D10" s="2259">
        <v>0</v>
      </c>
      <c r="E10" s="459"/>
      <c r="F10" s="2203">
        <f t="shared" ref="F10" si="10">F8</f>
        <v>10</v>
      </c>
      <c r="G10" s="2203"/>
      <c r="H10" s="2229">
        <f t="shared" si="0"/>
        <v>500</v>
      </c>
      <c r="I10" s="2306">
        <f t="shared" si="1"/>
        <v>1.0416666666666999E-2</v>
      </c>
      <c r="J10" s="2338">
        <f t="shared" si="2"/>
        <v>192500</v>
      </c>
      <c r="K10" s="2368">
        <f t="shared" si="3"/>
        <v>4.0104166666666696</v>
      </c>
      <c r="L10" s="2414" t="s">
        <v>171</v>
      </c>
      <c r="M10" s="2199">
        <f t="shared" si="4"/>
        <v>0</v>
      </c>
      <c r="N10" s="2128">
        <f t="shared" si="5"/>
        <v>0.1</v>
      </c>
      <c r="O10" s="2167"/>
      <c r="P10" s="2269"/>
      <c r="Q10" s="2266"/>
      <c r="R10" s="222"/>
      <c r="S10" s="1">
        <v>2</v>
      </c>
      <c r="T10" s="62" t="s">
        <v>170</v>
      </c>
      <c r="U10" s="1">
        <f t="shared" si="6"/>
        <v>1</v>
      </c>
      <c r="V10" s="1">
        <f>F10+1</f>
        <v>11</v>
      </c>
      <c r="W10" s="1">
        <f t="shared" si="7"/>
        <v>10</v>
      </c>
      <c r="Y10" s="69">
        <v>500</v>
      </c>
      <c r="Z10" s="34">
        <v>2000</v>
      </c>
      <c r="AA10" s="34">
        <v>4500</v>
      </c>
      <c r="AB10" s="34">
        <v>8000</v>
      </c>
      <c r="AC10" s="34">
        <v>12500</v>
      </c>
      <c r="AD10" s="34">
        <v>18000</v>
      </c>
      <c r="AE10" s="34">
        <v>24500</v>
      </c>
      <c r="AF10" s="34">
        <v>32000</v>
      </c>
      <c r="AG10" s="34">
        <v>40500</v>
      </c>
      <c r="AH10" s="34">
        <v>50000</v>
      </c>
      <c r="AI10" s="8">
        <v>0</v>
      </c>
      <c r="AK10" s="20">
        <v>1.0416666666666999E-2</v>
      </c>
      <c r="AL10" s="20">
        <v>4.1666666666666997E-2</v>
      </c>
      <c r="AM10" s="20">
        <v>9.375E-2</v>
      </c>
      <c r="AN10" s="20">
        <v>0.16666666666666699</v>
      </c>
      <c r="AO10" s="20">
        <v>0.26041666666666702</v>
      </c>
      <c r="AP10" s="20">
        <v>0.375</v>
      </c>
      <c r="AQ10" s="20">
        <v>0.51041666666666696</v>
      </c>
      <c r="AR10" s="20">
        <v>0.66666666666666696</v>
      </c>
      <c r="AS10" s="20">
        <v>0.84375</v>
      </c>
      <c r="AT10" s="20">
        <v>1.0416666666666701</v>
      </c>
      <c r="AU10" s="20">
        <v>0</v>
      </c>
      <c r="AX10" s="34">
        <v>0</v>
      </c>
      <c r="AY10" s="34">
        <v>500</v>
      </c>
      <c r="AZ10" s="34">
        <v>2500</v>
      </c>
      <c r="BA10" s="34">
        <v>7000</v>
      </c>
      <c r="BB10" s="34">
        <v>15000</v>
      </c>
      <c r="BC10" s="34">
        <v>27500</v>
      </c>
      <c r="BD10" s="34">
        <v>45500</v>
      </c>
      <c r="BE10" s="34">
        <v>70000</v>
      </c>
      <c r="BF10" s="34">
        <v>102000</v>
      </c>
      <c r="BG10" s="34">
        <v>142500</v>
      </c>
      <c r="BH10" s="34">
        <v>192500</v>
      </c>
      <c r="BJ10" s="49">
        <f t="shared" si="8"/>
        <v>4.0104166666666696</v>
      </c>
      <c r="BK10" s="72">
        <v>0</v>
      </c>
      <c r="BL10" s="72">
        <v>1.0416666666666999E-2</v>
      </c>
      <c r="BM10" s="72">
        <v>5.2083333333333003E-2</v>
      </c>
      <c r="BN10" s="72">
        <v>0.14583333333333301</v>
      </c>
      <c r="BO10" s="72">
        <v>0.3125</v>
      </c>
      <c r="BP10" s="72">
        <v>0.57291666666666696</v>
      </c>
      <c r="BQ10" s="72">
        <v>0.94791666666666696</v>
      </c>
      <c r="BR10" s="72">
        <v>1.4583333333333299</v>
      </c>
      <c r="BS10" s="72">
        <v>2.125</v>
      </c>
      <c r="BT10" s="72">
        <v>2.96875</v>
      </c>
      <c r="BU10" s="72">
        <v>4.0104166666666696</v>
      </c>
      <c r="BW10" s="1">
        <v>2</v>
      </c>
      <c r="BX10" s="1">
        <v>4</v>
      </c>
      <c r="BY10" s="1">
        <v>6</v>
      </c>
      <c r="BZ10" s="1">
        <v>8</v>
      </c>
      <c r="CA10" s="1">
        <v>9</v>
      </c>
      <c r="CB10" s="1">
        <v>15</v>
      </c>
      <c r="CC10" s="1">
        <v>15</v>
      </c>
      <c r="CD10" s="1">
        <v>15</v>
      </c>
      <c r="CE10" s="1">
        <v>15</v>
      </c>
      <c r="CF10" s="1">
        <v>15</v>
      </c>
      <c r="CG10" s="1">
        <v>15</v>
      </c>
      <c r="CI10" s="1">
        <f t="shared" si="9"/>
        <v>11</v>
      </c>
    </row>
    <row r="11" spans="2:87" ht="16.5" customHeight="1">
      <c r="B11" s="2260"/>
      <c r="C11" s="2258"/>
      <c r="D11" s="2259"/>
      <c r="E11" s="459"/>
      <c r="F11" s="2203"/>
      <c r="G11" s="2203"/>
      <c r="H11" s="2229"/>
      <c r="I11" s="2307"/>
      <c r="J11" s="2339"/>
      <c r="K11" s="2369"/>
      <c r="L11" s="2415"/>
      <c r="M11" s="2200"/>
      <c r="N11" s="2129"/>
      <c r="O11" s="2168"/>
      <c r="P11" s="2270"/>
      <c r="Q11" s="2267"/>
      <c r="R11" s="222"/>
      <c r="S11" s="171"/>
      <c r="T11" s="62"/>
      <c r="U11" s="171"/>
      <c r="V11" s="171"/>
      <c r="W11" s="171"/>
      <c r="X11" s="171"/>
      <c r="Y11" s="69"/>
      <c r="Z11" s="34"/>
      <c r="AA11" s="34"/>
      <c r="AB11" s="34"/>
      <c r="AC11" s="34"/>
      <c r="AD11" s="34"/>
      <c r="AE11" s="34"/>
      <c r="AF11" s="34"/>
      <c r="AG11" s="34"/>
      <c r="AH11" s="34"/>
      <c r="AK11" s="20"/>
      <c r="AL11" s="20"/>
      <c r="AM11" s="20"/>
      <c r="AN11" s="20"/>
      <c r="AO11" s="20"/>
      <c r="AP11" s="20"/>
      <c r="AQ11" s="20"/>
      <c r="AR11" s="20"/>
      <c r="AS11" s="20"/>
      <c r="AT11" s="20"/>
      <c r="AU11" s="20"/>
      <c r="AX11" s="34"/>
      <c r="AY11" s="34"/>
      <c r="AZ11" s="34"/>
      <c r="BA11" s="34"/>
      <c r="BB11" s="34"/>
      <c r="BC11" s="34"/>
      <c r="BD11" s="34"/>
      <c r="BE11" s="34"/>
      <c r="BF11" s="34"/>
      <c r="BG11" s="34"/>
      <c r="BH11" s="34"/>
      <c r="BJ11" s="49"/>
      <c r="BK11" s="72"/>
      <c r="BL11" s="72"/>
      <c r="BM11" s="72"/>
      <c r="BN11" s="72"/>
      <c r="BO11" s="72"/>
      <c r="BP11" s="72"/>
      <c r="BQ11" s="72"/>
      <c r="BR11" s="72"/>
      <c r="BS11" s="72"/>
      <c r="BT11" s="72"/>
      <c r="BU11" s="72"/>
      <c r="BW11" s="171"/>
      <c r="BX11" s="171"/>
      <c r="BY11" s="171"/>
      <c r="BZ11" s="171"/>
      <c r="CA11" s="171"/>
      <c r="CB11" s="171"/>
      <c r="CC11" s="171"/>
      <c r="CD11" s="171"/>
      <c r="CE11" s="171"/>
      <c r="CF11" s="171"/>
      <c r="CG11" s="171"/>
      <c r="CH11" s="171"/>
      <c r="CI11" s="171"/>
    </row>
    <row r="12" spans="2:87" ht="16.5" customHeight="1">
      <c r="B12" s="2260"/>
      <c r="C12" s="2256" t="s">
        <v>172</v>
      </c>
      <c r="D12" s="2257">
        <v>0</v>
      </c>
      <c r="E12" s="458"/>
      <c r="F12" s="2203">
        <f t="shared" ref="F12" si="11">F10</f>
        <v>10</v>
      </c>
      <c r="G12" s="2203"/>
      <c r="H12" s="2230">
        <f t="shared" si="0"/>
        <v>500</v>
      </c>
      <c r="I12" s="2304">
        <f t="shared" si="1"/>
        <v>1.0416666666666999E-2</v>
      </c>
      <c r="J12" s="2336">
        <f t="shared" si="2"/>
        <v>192500</v>
      </c>
      <c r="K12" s="2366">
        <f t="shared" si="3"/>
        <v>4.0104166666666696</v>
      </c>
      <c r="L12" s="2412" t="s">
        <v>173</v>
      </c>
      <c r="M12" s="2197">
        <f t="shared" si="4"/>
        <v>0</v>
      </c>
      <c r="N12" s="2124">
        <f t="shared" si="5"/>
        <v>0.1</v>
      </c>
      <c r="O12" s="2166" t="s">
        <v>174</v>
      </c>
      <c r="P12" s="2130">
        <f>CHOOSE(U12,BW12,BX12,BY12,BZ12,CA12,CB12,CC12,CD12,CE12,CF12,CG12)</f>
        <v>2</v>
      </c>
      <c r="Q12" s="2133">
        <f>IF((V12&lt;=U12),CHOOSE(U12,BW12,BX12,BY12,BZ12,CA12,CB12,CC12,CD12,CE12,CF12,CG12),CHOOSE(V12,BW12,BX12,BY12,BZ12,CA12,CB12,CC12,CD12,CE12,CF12,CG12))</f>
        <v>15</v>
      </c>
      <c r="R12" s="222"/>
      <c r="S12" s="1">
        <v>3</v>
      </c>
      <c r="T12" s="62" t="s">
        <v>172</v>
      </c>
      <c r="U12" s="1">
        <f t="shared" si="6"/>
        <v>1</v>
      </c>
      <c r="V12" s="171">
        <f>F12+1</f>
        <v>11</v>
      </c>
      <c r="W12" s="1">
        <f t="shared" si="7"/>
        <v>10</v>
      </c>
      <c r="Y12" s="69">
        <v>500</v>
      </c>
      <c r="Z12" s="34">
        <v>2000</v>
      </c>
      <c r="AA12" s="34">
        <v>4500</v>
      </c>
      <c r="AB12" s="34">
        <v>8000</v>
      </c>
      <c r="AC12" s="34">
        <v>12500</v>
      </c>
      <c r="AD12" s="34">
        <v>18000</v>
      </c>
      <c r="AE12" s="34">
        <v>24500</v>
      </c>
      <c r="AF12" s="34">
        <v>32000</v>
      </c>
      <c r="AG12" s="34">
        <v>40500</v>
      </c>
      <c r="AH12" s="34">
        <v>50000</v>
      </c>
      <c r="AI12" s="8">
        <v>0</v>
      </c>
      <c r="AK12" s="20">
        <v>1.0416666666666999E-2</v>
      </c>
      <c r="AL12" s="20">
        <v>4.1666666666666997E-2</v>
      </c>
      <c r="AM12" s="20">
        <v>9.375E-2</v>
      </c>
      <c r="AN12" s="20">
        <v>0.16666666666666699</v>
      </c>
      <c r="AO12" s="20">
        <v>0.26041666666666702</v>
      </c>
      <c r="AP12" s="20">
        <v>0.375</v>
      </c>
      <c r="AQ12" s="20">
        <v>0.51041666666666696</v>
      </c>
      <c r="AR12" s="20">
        <v>0.66666666666666696</v>
      </c>
      <c r="AS12" s="20">
        <v>0.84375</v>
      </c>
      <c r="AT12" s="20">
        <v>1.0416666666666701</v>
      </c>
      <c r="AU12" s="20">
        <v>0</v>
      </c>
      <c r="AX12" s="34">
        <v>0</v>
      </c>
      <c r="AY12" s="34">
        <v>500</v>
      </c>
      <c r="AZ12" s="34">
        <v>2500</v>
      </c>
      <c r="BA12" s="34">
        <v>7000</v>
      </c>
      <c r="BB12" s="34">
        <v>15000</v>
      </c>
      <c r="BC12" s="34">
        <v>27500</v>
      </c>
      <c r="BD12" s="34">
        <v>45500</v>
      </c>
      <c r="BE12" s="34">
        <v>70000</v>
      </c>
      <c r="BF12" s="34">
        <v>102000</v>
      </c>
      <c r="BG12" s="34">
        <v>142500</v>
      </c>
      <c r="BH12" s="34">
        <v>192500</v>
      </c>
      <c r="BJ12" s="49">
        <f t="shared" si="8"/>
        <v>4.0104166666666696</v>
      </c>
      <c r="BK12" s="72">
        <v>0</v>
      </c>
      <c r="BL12" s="72">
        <v>1.0416666666666999E-2</v>
      </c>
      <c r="BM12" s="72">
        <v>5.2083333333333003E-2</v>
      </c>
      <c r="BN12" s="72">
        <v>0.14583333333333301</v>
      </c>
      <c r="BO12" s="72">
        <v>0.3125</v>
      </c>
      <c r="BP12" s="72">
        <v>0.57291666666666696</v>
      </c>
      <c r="BQ12" s="72">
        <v>0.94791666666666696</v>
      </c>
      <c r="BR12" s="72">
        <v>1.4583333333333299</v>
      </c>
      <c r="BS12" s="72">
        <v>2.125</v>
      </c>
      <c r="BT12" s="72">
        <v>2.96875</v>
      </c>
      <c r="BU12" s="72">
        <v>4.0104166666666696</v>
      </c>
      <c r="BW12" s="1">
        <v>2</v>
      </c>
      <c r="BX12" s="1">
        <v>4</v>
      </c>
      <c r="BY12" s="1">
        <v>6</v>
      </c>
      <c r="BZ12" s="1">
        <v>8</v>
      </c>
      <c r="CA12" s="1">
        <v>9</v>
      </c>
      <c r="CB12" s="1">
        <v>15</v>
      </c>
      <c r="CC12" s="1">
        <v>15</v>
      </c>
      <c r="CD12" s="1">
        <v>15</v>
      </c>
      <c r="CE12" s="1">
        <v>15</v>
      </c>
      <c r="CF12" s="1">
        <v>15</v>
      </c>
      <c r="CG12" s="1">
        <v>15</v>
      </c>
      <c r="CI12" s="1">
        <f t="shared" si="9"/>
        <v>11</v>
      </c>
    </row>
    <row r="13" spans="2:87" ht="16.5" customHeight="1">
      <c r="B13" s="2260"/>
      <c r="C13" s="2256"/>
      <c r="D13" s="2257"/>
      <c r="E13" s="458"/>
      <c r="F13" s="2203"/>
      <c r="G13" s="2203"/>
      <c r="H13" s="2230"/>
      <c r="I13" s="2305"/>
      <c r="J13" s="2337"/>
      <c r="K13" s="2367"/>
      <c r="L13" s="2413"/>
      <c r="M13" s="2198"/>
      <c r="N13" s="2125"/>
      <c r="O13" s="2167"/>
      <c r="P13" s="2131"/>
      <c r="Q13" s="2134"/>
      <c r="R13" s="222"/>
      <c r="S13" s="171"/>
      <c r="T13" s="62"/>
      <c r="U13" s="171"/>
      <c r="V13" s="171"/>
      <c r="W13" s="171"/>
      <c r="X13" s="171"/>
      <c r="Y13" s="69"/>
      <c r="Z13" s="34"/>
      <c r="AA13" s="34"/>
      <c r="AB13" s="34"/>
      <c r="AC13" s="34"/>
      <c r="AD13" s="34"/>
      <c r="AE13" s="34"/>
      <c r="AF13" s="34"/>
      <c r="AG13" s="34"/>
      <c r="AH13" s="34"/>
      <c r="AK13" s="20"/>
      <c r="AL13" s="20"/>
      <c r="AM13" s="20"/>
      <c r="AN13" s="20"/>
      <c r="AO13" s="20"/>
      <c r="AP13" s="20"/>
      <c r="AQ13" s="20"/>
      <c r="AR13" s="20"/>
      <c r="AS13" s="20"/>
      <c r="AT13" s="20"/>
      <c r="AU13" s="20"/>
      <c r="AX13" s="34"/>
      <c r="AY13" s="34"/>
      <c r="AZ13" s="34"/>
      <c r="BA13" s="34"/>
      <c r="BB13" s="34"/>
      <c r="BC13" s="34"/>
      <c r="BD13" s="34"/>
      <c r="BE13" s="34"/>
      <c r="BF13" s="34"/>
      <c r="BG13" s="34"/>
      <c r="BH13" s="34"/>
      <c r="BJ13" s="49"/>
      <c r="BK13" s="72"/>
      <c r="BL13" s="72"/>
      <c r="BM13" s="72"/>
      <c r="BN13" s="72"/>
      <c r="BO13" s="72"/>
      <c r="BP13" s="72"/>
      <c r="BQ13" s="72"/>
      <c r="BR13" s="72"/>
      <c r="BS13" s="72"/>
      <c r="BT13" s="72"/>
      <c r="BU13" s="72"/>
      <c r="BW13" s="171"/>
      <c r="BX13" s="171"/>
      <c r="BY13" s="171"/>
      <c r="BZ13" s="171"/>
      <c r="CA13" s="171"/>
      <c r="CB13" s="171"/>
      <c r="CC13" s="171"/>
      <c r="CD13" s="171"/>
      <c r="CE13" s="171"/>
      <c r="CF13" s="171"/>
      <c r="CG13" s="171"/>
      <c r="CH13" s="171"/>
      <c r="CI13" s="171"/>
    </row>
    <row r="14" spans="2:87" ht="16.5" customHeight="1">
      <c r="B14" s="2260"/>
      <c r="C14" s="2258" t="s">
        <v>175</v>
      </c>
      <c r="D14" s="2259">
        <v>0</v>
      </c>
      <c r="E14" s="459"/>
      <c r="F14" s="2203">
        <f t="shared" ref="F14" si="12">F12</f>
        <v>10</v>
      </c>
      <c r="G14" s="2203"/>
      <c r="H14" s="2229">
        <f t="shared" si="0"/>
        <v>500</v>
      </c>
      <c r="I14" s="2306">
        <f t="shared" si="1"/>
        <v>1.0416666666666999E-2</v>
      </c>
      <c r="J14" s="2338">
        <f t="shared" si="2"/>
        <v>192500</v>
      </c>
      <c r="K14" s="2368">
        <f t="shared" si="3"/>
        <v>4.0104166666666696</v>
      </c>
      <c r="L14" s="2414" t="s">
        <v>176</v>
      </c>
      <c r="M14" s="2431">
        <f t="shared" si="4"/>
        <v>0</v>
      </c>
      <c r="N14" s="2126">
        <f t="shared" si="5"/>
        <v>0.1</v>
      </c>
      <c r="O14" s="2167"/>
      <c r="P14" s="2131"/>
      <c r="Q14" s="2134"/>
      <c r="R14" s="222"/>
      <c r="S14" s="1">
        <v>4</v>
      </c>
      <c r="T14" s="62" t="s">
        <v>175</v>
      </c>
      <c r="U14" s="1">
        <f t="shared" si="6"/>
        <v>1</v>
      </c>
      <c r="V14" s="171">
        <f>F14+1</f>
        <v>11</v>
      </c>
      <c r="W14" s="1">
        <f t="shared" si="7"/>
        <v>10</v>
      </c>
      <c r="Y14" s="69">
        <v>500</v>
      </c>
      <c r="Z14" s="34">
        <v>2000</v>
      </c>
      <c r="AA14" s="34">
        <v>4500</v>
      </c>
      <c r="AB14" s="34">
        <v>8000</v>
      </c>
      <c r="AC14" s="34">
        <v>12500</v>
      </c>
      <c r="AD14" s="34">
        <v>18000</v>
      </c>
      <c r="AE14" s="34">
        <v>24500</v>
      </c>
      <c r="AF14" s="34">
        <v>32000</v>
      </c>
      <c r="AG14" s="34">
        <v>40500</v>
      </c>
      <c r="AH14" s="34">
        <v>50000</v>
      </c>
      <c r="AI14" s="8">
        <v>0</v>
      </c>
      <c r="AK14" s="20">
        <v>1.0416666666666999E-2</v>
      </c>
      <c r="AL14" s="20">
        <v>4.1666666666666997E-2</v>
      </c>
      <c r="AM14" s="20">
        <v>9.375E-2</v>
      </c>
      <c r="AN14" s="20">
        <v>0.16666666666666699</v>
      </c>
      <c r="AO14" s="20">
        <v>0.26041666666666702</v>
      </c>
      <c r="AP14" s="20">
        <v>0.375</v>
      </c>
      <c r="AQ14" s="20">
        <v>0.51041666666666696</v>
      </c>
      <c r="AR14" s="20">
        <v>0.66666666666666696</v>
      </c>
      <c r="AS14" s="20">
        <v>0.84375</v>
      </c>
      <c r="AT14" s="20">
        <v>1.0416666666666701</v>
      </c>
      <c r="AU14" s="20">
        <v>0</v>
      </c>
      <c r="AX14" s="34">
        <v>0</v>
      </c>
      <c r="AY14" s="34">
        <v>500</v>
      </c>
      <c r="AZ14" s="34">
        <v>2500</v>
      </c>
      <c r="BA14" s="34">
        <v>7000</v>
      </c>
      <c r="BB14" s="34">
        <v>15000</v>
      </c>
      <c r="BC14" s="34">
        <v>27500</v>
      </c>
      <c r="BD14" s="34">
        <v>45500</v>
      </c>
      <c r="BE14" s="34">
        <v>70000</v>
      </c>
      <c r="BF14" s="34">
        <v>102000</v>
      </c>
      <c r="BG14" s="34">
        <v>142500</v>
      </c>
      <c r="BH14" s="34">
        <v>192500</v>
      </c>
      <c r="BJ14" s="49">
        <f t="shared" si="8"/>
        <v>4.0104166666666696</v>
      </c>
      <c r="BK14" s="72">
        <v>0</v>
      </c>
      <c r="BL14" s="72">
        <v>1.0416666666666999E-2</v>
      </c>
      <c r="BM14" s="72">
        <v>5.2083333333333003E-2</v>
      </c>
      <c r="BN14" s="72">
        <v>0.14583333333333301</v>
      </c>
      <c r="BO14" s="72">
        <v>0.3125</v>
      </c>
      <c r="BP14" s="72">
        <v>0.57291666666666696</v>
      </c>
      <c r="BQ14" s="72">
        <v>0.94791666666666696</v>
      </c>
      <c r="BR14" s="72">
        <v>1.4583333333333299</v>
      </c>
      <c r="BS14" s="72">
        <v>2.125</v>
      </c>
      <c r="BT14" s="72">
        <v>2.96875</v>
      </c>
      <c r="BU14" s="72">
        <v>4.0104166666666696</v>
      </c>
      <c r="BW14" s="1">
        <v>2</v>
      </c>
      <c r="BX14" s="1">
        <v>4</v>
      </c>
      <c r="BY14" s="1">
        <v>6</v>
      </c>
      <c r="BZ14" s="1">
        <v>8</v>
      </c>
      <c r="CA14" s="1">
        <v>9</v>
      </c>
      <c r="CB14" s="1">
        <v>15</v>
      </c>
      <c r="CC14" s="1">
        <v>15</v>
      </c>
      <c r="CD14" s="1">
        <v>15</v>
      </c>
      <c r="CE14" s="1">
        <v>15</v>
      </c>
      <c r="CF14" s="1">
        <v>15</v>
      </c>
      <c r="CG14" s="1">
        <v>15</v>
      </c>
      <c r="CI14" s="1">
        <f t="shared" si="9"/>
        <v>11</v>
      </c>
    </row>
    <row r="15" spans="2:87" ht="16.5" customHeight="1">
      <c r="B15" s="2260"/>
      <c r="C15" s="2258"/>
      <c r="D15" s="2259"/>
      <c r="E15" s="459"/>
      <c r="F15" s="2203"/>
      <c r="G15" s="2203"/>
      <c r="H15" s="2229"/>
      <c r="I15" s="2307"/>
      <c r="J15" s="2339"/>
      <c r="K15" s="2369"/>
      <c r="L15" s="2415"/>
      <c r="M15" s="2432"/>
      <c r="N15" s="2127"/>
      <c r="O15" s="2167"/>
      <c r="P15" s="2131"/>
      <c r="Q15" s="2134"/>
      <c r="R15" s="222"/>
      <c r="S15" s="171"/>
      <c r="T15" s="62"/>
      <c r="U15" s="171"/>
      <c r="V15" s="171"/>
      <c r="W15" s="171"/>
      <c r="X15" s="171"/>
      <c r="Y15" s="69"/>
      <c r="Z15" s="34"/>
      <c r="AA15" s="34"/>
      <c r="AB15" s="34"/>
      <c r="AC15" s="34"/>
      <c r="AD15" s="34"/>
      <c r="AE15" s="34"/>
      <c r="AF15" s="34"/>
      <c r="AG15" s="34"/>
      <c r="AH15" s="34"/>
      <c r="AK15" s="20"/>
      <c r="AL15" s="20"/>
      <c r="AM15" s="20"/>
      <c r="AN15" s="20"/>
      <c r="AO15" s="20"/>
      <c r="AP15" s="20"/>
      <c r="AQ15" s="20"/>
      <c r="AR15" s="20"/>
      <c r="AS15" s="20"/>
      <c r="AT15" s="20"/>
      <c r="AU15" s="20"/>
      <c r="AX15" s="34"/>
      <c r="AY15" s="34"/>
      <c r="AZ15" s="34"/>
      <c r="BA15" s="34"/>
      <c r="BB15" s="34"/>
      <c r="BC15" s="34"/>
      <c r="BD15" s="34"/>
      <c r="BE15" s="34"/>
      <c r="BF15" s="34"/>
      <c r="BG15" s="34"/>
      <c r="BH15" s="34"/>
      <c r="BJ15" s="49"/>
      <c r="BK15" s="72"/>
      <c r="BL15" s="72"/>
      <c r="BM15" s="72"/>
      <c r="BN15" s="72"/>
      <c r="BO15" s="72"/>
      <c r="BP15" s="72"/>
      <c r="BQ15" s="72"/>
      <c r="BR15" s="72"/>
      <c r="BS15" s="72"/>
      <c r="BT15" s="72"/>
      <c r="BU15" s="72"/>
      <c r="BW15" s="171"/>
      <c r="BX15" s="171"/>
      <c r="BY15" s="171"/>
      <c r="BZ15" s="171"/>
      <c r="CA15" s="171"/>
      <c r="CB15" s="171"/>
      <c r="CC15" s="171"/>
      <c r="CD15" s="171"/>
      <c r="CE15" s="171"/>
      <c r="CF15" s="171"/>
      <c r="CG15" s="171"/>
      <c r="CH15" s="171"/>
      <c r="CI15" s="171"/>
    </row>
    <row r="16" spans="2:87" ht="16.5" customHeight="1">
      <c r="B16" s="2260"/>
      <c r="C16" s="2258" t="s">
        <v>177</v>
      </c>
      <c r="D16" s="2259">
        <v>0</v>
      </c>
      <c r="E16" s="459"/>
      <c r="F16" s="2203">
        <f t="shared" ref="F16" si="13">F14</f>
        <v>10</v>
      </c>
      <c r="G16" s="2203"/>
      <c r="H16" s="2229">
        <f t="shared" si="0"/>
        <v>500</v>
      </c>
      <c r="I16" s="2306">
        <f t="shared" si="1"/>
        <v>1.0416666666666999E-2</v>
      </c>
      <c r="J16" s="2338">
        <f t="shared" si="2"/>
        <v>192500</v>
      </c>
      <c r="K16" s="2368">
        <f t="shared" si="3"/>
        <v>4.0104166666666696</v>
      </c>
      <c r="L16" s="2414" t="s">
        <v>178</v>
      </c>
      <c r="M16" s="2199">
        <f t="shared" si="4"/>
        <v>0</v>
      </c>
      <c r="N16" s="2128">
        <f t="shared" si="5"/>
        <v>0.1</v>
      </c>
      <c r="O16" s="2167"/>
      <c r="P16" s="2131"/>
      <c r="Q16" s="2134"/>
      <c r="R16" s="222"/>
      <c r="S16" s="1">
        <v>5</v>
      </c>
      <c r="T16" s="62" t="s">
        <v>177</v>
      </c>
      <c r="U16" s="1">
        <f t="shared" si="6"/>
        <v>1</v>
      </c>
      <c r="V16" s="171">
        <f>F16+1</f>
        <v>11</v>
      </c>
      <c r="W16" s="1">
        <f t="shared" si="7"/>
        <v>10</v>
      </c>
      <c r="Y16" s="69">
        <v>500</v>
      </c>
      <c r="Z16" s="34">
        <v>2000</v>
      </c>
      <c r="AA16" s="34">
        <v>4500</v>
      </c>
      <c r="AB16" s="34">
        <v>8000</v>
      </c>
      <c r="AC16" s="34">
        <v>12500</v>
      </c>
      <c r="AD16" s="34">
        <v>18000</v>
      </c>
      <c r="AE16" s="34">
        <v>24500</v>
      </c>
      <c r="AF16" s="34">
        <v>32000</v>
      </c>
      <c r="AG16" s="34">
        <v>40500</v>
      </c>
      <c r="AH16" s="34">
        <v>50000</v>
      </c>
      <c r="AI16" s="8">
        <v>0</v>
      </c>
      <c r="AK16" s="20">
        <v>1.0416666666666999E-2</v>
      </c>
      <c r="AL16" s="20">
        <v>4.1666666666666997E-2</v>
      </c>
      <c r="AM16" s="20">
        <v>9.375E-2</v>
      </c>
      <c r="AN16" s="20">
        <v>0.16666666666666699</v>
      </c>
      <c r="AO16" s="20">
        <v>0.26041666666666702</v>
      </c>
      <c r="AP16" s="20">
        <v>0.375</v>
      </c>
      <c r="AQ16" s="20">
        <v>0.51041666666666696</v>
      </c>
      <c r="AR16" s="20">
        <v>0.66666666666666696</v>
      </c>
      <c r="AS16" s="20">
        <v>0.84375</v>
      </c>
      <c r="AT16" s="20">
        <v>1.0416666666666701</v>
      </c>
      <c r="AU16" s="20">
        <v>0</v>
      </c>
      <c r="AX16" s="34">
        <v>0</v>
      </c>
      <c r="AY16" s="34">
        <v>500</v>
      </c>
      <c r="AZ16" s="34">
        <v>2500</v>
      </c>
      <c r="BA16" s="34">
        <v>7000</v>
      </c>
      <c r="BB16" s="34">
        <v>15000</v>
      </c>
      <c r="BC16" s="34">
        <v>27500</v>
      </c>
      <c r="BD16" s="34">
        <v>45500</v>
      </c>
      <c r="BE16" s="34">
        <v>70000</v>
      </c>
      <c r="BF16" s="34">
        <v>102000</v>
      </c>
      <c r="BG16" s="34">
        <v>142500</v>
      </c>
      <c r="BH16" s="34">
        <v>192500</v>
      </c>
      <c r="BJ16" s="49">
        <f t="shared" si="8"/>
        <v>4.0104166666666696</v>
      </c>
      <c r="BK16" s="72">
        <v>0</v>
      </c>
      <c r="BL16" s="72">
        <v>1.0416666666666999E-2</v>
      </c>
      <c r="BM16" s="72">
        <v>5.2083333333333003E-2</v>
      </c>
      <c r="BN16" s="72">
        <v>0.14583333333333301</v>
      </c>
      <c r="BO16" s="72">
        <v>0.3125</v>
      </c>
      <c r="BP16" s="72">
        <v>0.57291666666666696</v>
      </c>
      <c r="BQ16" s="72">
        <v>0.94791666666666696</v>
      </c>
      <c r="BR16" s="72">
        <v>1.4583333333333299</v>
      </c>
      <c r="BS16" s="72">
        <v>2.125</v>
      </c>
      <c r="BT16" s="72">
        <v>2.96875</v>
      </c>
      <c r="BU16" s="72">
        <v>4.0104166666666696</v>
      </c>
      <c r="BW16" s="1">
        <v>2</v>
      </c>
      <c r="BX16" s="1">
        <v>4</v>
      </c>
      <c r="BY16" s="1">
        <v>6</v>
      </c>
      <c r="BZ16" s="1">
        <v>8</v>
      </c>
      <c r="CA16" s="1">
        <v>9</v>
      </c>
      <c r="CB16" s="1">
        <v>15</v>
      </c>
      <c r="CC16" s="1">
        <v>15</v>
      </c>
      <c r="CD16" s="1">
        <v>15</v>
      </c>
      <c r="CE16" s="1">
        <v>15</v>
      </c>
      <c r="CF16" s="1">
        <v>15</v>
      </c>
      <c r="CG16" s="1">
        <v>15</v>
      </c>
      <c r="CI16" s="1">
        <f t="shared" si="9"/>
        <v>11</v>
      </c>
    </row>
    <row r="17" spans="2:87" ht="16.5" customHeight="1">
      <c r="B17" s="2260"/>
      <c r="C17" s="2258"/>
      <c r="D17" s="2259"/>
      <c r="E17" s="459"/>
      <c r="F17" s="2203"/>
      <c r="G17" s="2203"/>
      <c r="H17" s="2229"/>
      <c r="I17" s="2307"/>
      <c r="J17" s="2339"/>
      <c r="K17" s="2369"/>
      <c r="L17" s="2415"/>
      <c r="M17" s="2200"/>
      <c r="N17" s="2129"/>
      <c r="O17" s="2168"/>
      <c r="P17" s="2132"/>
      <c r="Q17" s="2135"/>
      <c r="R17" s="222"/>
      <c r="S17" s="171"/>
      <c r="T17" s="62"/>
      <c r="U17" s="171"/>
      <c r="V17" s="171"/>
      <c r="W17" s="171"/>
      <c r="X17" s="171"/>
      <c r="Y17" s="69"/>
      <c r="Z17" s="34"/>
      <c r="AA17" s="34"/>
      <c r="AB17" s="34"/>
      <c r="AC17" s="34"/>
      <c r="AD17" s="34"/>
      <c r="AE17" s="34"/>
      <c r="AF17" s="34"/>
      <c r="AG17" s="34"/>
      <c r="AH17" s="34"/>
      <c r="AK17" s="20"/>
      <c r="AL17" s="20"/>
      <c r="AM17" s="20"/>
      <c r="AN17" s="20"/>
      <c r="AO17" s="20"/>
      <c r="AP17" s="20"/>
      <c r="AQ17" s="20"/>
      <c r="AR17" s="20"/>
      <c r="AS17" s="20"/>
      <c r="AT17" s="20"/>
      <c r="AU17" s="20"/>
      <c r="AX17" s="34"/>
      <c r="AY17" s="34"/>
      <c r="AZ17" s="34"/>
      <c r="BA17" s="34"/>
      <c r="BB17" s="34"/>
      <c r="BC17" s="34"/>
      <c r="BD17" s="34"/>
      <c r="BE17" s="34"/>
      <c r="BF17" s="34"/>
      <c r="BG17" s="34"/>
      <c r="BH17" s="34"/>
      <c r="BJ17" s="49"/>
      <c r="BK17" s="72"/>
      <c r="BL17" s="72"/>
      <c r="BM17" s="72"/>
      <c r="BN17" s="72"/>
      <c r="BO17" s="72"/>
      <c r="BP17" s="72"/>
      <c r="BQ17" s="72"/>
      <c r="BR17" s="72"/>
      <c r="BS17" s="72"/>
      <c r="BT17" s="72"/>
      <c r="BU17" s="72"/>
      <c r="BW17" s="171"/>
      <c r="BX17" s="171"/>
      <c r="BY17" s="171"/>
      <c r="BZ17" s="171"/>
      <c r="CA17" s="171"/>
      <c r="CB17" s="171"/>
      <c r="CC17" s="171"/>
      <c r="CD17" s="171"/>
      <c r="CE17" s="171"/>
      <c r="CF17" s="171"/>
      <c r="CG17" s="171"/>
      <c r="CH17" s="171"/>
      <c r="CI17" s="171"/>
    </row>
    <row r="18" spans="2:87" ht="16.5" customHeight="1">
      <c r="B18" s="2260"/>
      <c r="C18" s="2256" t="s">
        <v>179</v>
      </c>
      <c r="D18" s="2257">
        <v>0</v>
      </c>
      <c r="E18" s="458"/>
      <c r="F18" s="2203">
        <f t="shared" ref="F18" si="14">F16</f>
        <v>10</v>
      </c>
      <c r="G18" s="2203"/>
      <c r="H18" s="2228">
        <f t="shared" si="0"/>
        <v>500</v>
      </c>
      <c r="I18" s="2304">
        <f t="shared" si="1"/>
        <v>1.0416666666666999E-2</v>
      </c>
      <c r="J18" s="2336">
        <f t="shared" si="2"/>
        <v>192500</v>
      </c>
      <c r="K18" s="2366">
        <f t="shared" si="3"/>
        <v>4.0104166666666696</v>
      </c>
      <c r="L18" s="2412" t="s">
        <v>180</v>
      </c>
      <c r="M18" s="2197">
        <f t="shared" si="4"/>
        <v>0</v>
      </c>
      <c r="N18" s="2124">
        <f t="shared" si="5"/>
        <v>0.1</v>
      </c>
      <c r="O18" s="2166" t="s">
        <v>181</v>
      </c>
      <c r="P18" s="2130">
        <f>CHOOSE(U18,BW18,BX18,BY18,BZ18,CA18,CB18,CC18,CD18,CE18,CF18,CG18)</f>
        <v>2</v>
      </c>
      <c r="Q18" s="2133">
        <f>IF((V18&lt;=U18),CHOOSE(U18,BW18,BX18,BY18,BZ18,CA18,CB18,CC18,CD18,CE18,CF18,CG18),CHOOSE(V18,BW18,BX18,BY18,BZ18,CA18,CB18,CC18,CD18,CE18,CF18,CG18))</f>
        <v>15</v>
      </c>
      <c r="R18" s="222"/>
      <c r="S18" s="1">
        <v>6</v>
      </c>
      <c r="T18" s="62" t="s">
        <v>179</v>
      </c>
      <c r="U18" s="1">
        <f t="shared" si="6"/>
        <v>1</v>
      </c>
      <c r="V18" s="171">
        <f>F18+1</f>
        <v>11</v>
      </c>
      <c r="W18" s="1">
        <f t="shared" si="7"/>
        <v>10</v>
      </c>
      <c r="Y18" s="69">
        <v>500</v>
      </c>
      <c r="Z18" s="34">
        <v>2000</v>
      </c>
      <c r="AA18" s="34">
        <v>4500</v>
      </c>
      <c r="AB18" s="34">
        <v>8000</v>
      </c>
      <c r="AC18" s="34">
        <v>12500</v>
      </c>
      <c r="AD18" s="34">
        <v>18000</v>
      </c>
      <c r="AE18" s="34">
        <v>24500</v>
      </c>
      <c r="AF18" s="34">
        <v>32000</v>
      </c>
      <c r="AG18" s="34">
        <v>40500</v>
      </c>
      <c r="AH18" s="34">
        <v>50000</v>
      </c>
      <c r="AI18" s="8">
        <v>0</v>
      </c>
      <c r="AK18" s="20">
        <v>1.0416666666666999E-2</v>
      </c>
      <c r="AL18" s="20">
        <v>4.1666666666666997E-2</v>
      </c>
      <c r="AM18" s="20">
        <v>9.375E-2</v>
      </c>
      <c r="AN18" s="20">
        <v>0.16666666666666699</v>
      </c>
      <c r="AO18" s="20">
        <v>0.26041666666666702</v>
      </c>
      <c r="AP18" s="20">
        <v>0.375</v>
      </c>
      <c r="AQ18" s="20">
        <v>0.51041666666666696</v>
      </c>
      <c r="AR18" s="20">
        <v>0.66666666666666696</v>
      </c>
      <c r="AS18" s="20">
        <v>0.84375</v>
      </c>
      <c r="AT18" s="20">
        <v>1.0416666666666701</v>
      </c>
      <c r="AU18" s="20">
        <v>0</v>
      </c>
      <c r="AX18" s="34">
        <v>0</v>
      </c>
      <c r="AY18" s="34">
        <v>500</v>
      </c>
      <c r="AZ18" s="34">
        <v>2500</v>
      </c>
      <c r="BA18" s="34">
        <v>7000</v>
      </c>
      <c r="BB18" s="34">
        <v>15000</v>
      </c>
      <c r="BC18" s="34">
        <v>27500</v>
      </c>
      <c r="BD18" s="34">
        <v>45500</v>
      </c>
      <c r="BE18" s="34">
        <v>70000</v>
      </c>
      <c r="BF18" s="34">
        <v>102000</v>
      </c>
      <c r="BG18" s="34">
        <v>142500</v>
      </c>
      <c r="BH18" s="34">
        <v>192500</v>
      </c>
      <c r="BJ18" s="49">
        <f t="shared" si="8"/>
        <v>4.0104166666666696</v>
      </c>
      <c r="BK18" s="72">
        <v>0</v>
      </c>
      <c r="BL18" s="72">
        <v>1.0416666666666999E-2</v>
      </c>
      <c r="BM18" s="72">
        <v>5.2083333333333003E-2</v>
      </c>
      <c r="BN18" s="72">
        <v>0.14583333333333301</v>
      </c>
      <c r="BO18" s="72">
        <v>0.3125</v>
      </c>
      <c r="BP18" s="72">
        <v>0.57291666666666696</v>
      </c>
      <c r="BQ18" s="72">
        <v>0.94791666666666696</v>
      </c>
      <c r="BR18" s="72">
        <v>1.4583333333333299</v>
      </c>
      <c r="BS18" s="72">
        <v>2.125</v>
      </c>
      <c r="BT18" s="72">
        <v>2.96875</v>
      </c>
      <c r="BU18" s="72">
        <v>4.0104166666666696</v>
      </c>
      <c r="BW18" s="1">
        <v>2</v>
      </c>
      <c r="BX18" s="1">
        <v>4</v>
      </c>
      <c r="BY18" s="1">
        <v>6</v>
      </c>
      <c r="BZ18" s="1">
        <v>8</v>
      </c>
      <c r="CA18" s="1">
        <v>9</v>
      </c>
      <c r="CB18" s="1">
        <v>15</v>
      </c>
      <c r="CC18" s="1">
        <v>15</v>
      </c>
      <c r="CD18" s="1">
        <v>15</v>
      </c>
      <c r="CE18" s="1">
        <v>15</v>
      </c>
      <c r="CF18" s="1">
        <v>15</v>
      </c>
      <c r="CG18" s="1">
        <v>15</v>
      </c>
      <c r="CI18" s="1">
        <f t="shared" si="9"/>
        <v>11</v>
      </c>
    </row>
    <row r="19" spans="2:87" ht="16.5" customHeight="1">
      <c r="B19" s="2260"/>
      <c r="C19" s="2256"/>
      <c r="D19" s="2257"/>
      <c r="E19" s="458"/>
      <c r="F19" s="2203"/>
      <c r="G19" s="2203"/>
      <c r="H19" s="2228"/>
      <c r="I19" s="2305"/>
      <c r="J19" s="2337"/>
      <c r="K19" s="2367"/>
      <c r="L19" s="2413"/>
      <c r="M19" s="2198"/>
      <c r="N19" s="2125"/>
      <c r="O19" s="2167"/>
      <c r="P19" s="2131"/>
      <c r="Q19" s="2134"/>
      <c r="R19" s="222"/>
      <c r="S19" s="171"/>
      <c r="T19" s="62"/>
      <c r="U19" s="171"/>
      <c r="V19" s="171"/>
      <c r="W19" s="171"/>
      <c r="X19" s="171"/>
      <c r="Y19" s="69"/>
      <c r="Z19" s="34"/>
      <c r="AA19" s="34"/>
      <c r="AB19" s="34"/>
      <c r="AC19" s="34"/>
      <c r="AD19" s="34"/>
      <c r="AE19" s="34"/>
      <c r="AF19" s="34"/>
      <c r="AG19" s="34"/>
      <c r="AH19" s="34"/>
      <c r="AK19" s="20"/>
      <c r="AL19" s="20"/>
      <c r="AM19" s="20"/>
      <c r="AN19" s="20"/>
      <c r="AO19" s="20"/>
      <c r="AP19" s="20"/>
      <c r="AQ19" s="20"/>
      <c r="AR19" s="20"/>
      <c r="AS19" s="20"/>
      <c r="AT19" s="20"/>
      <c r="AU19" s="20"/>
      <c r="AX19" s="34"/>
      <c r="AY19" s="34"/>
      <c r="AZ19" s="34"/>
      <c r="BA19" s="34"/>
      <c r="BB19" s="34"/>
      <c r="BC19" s="34"/>
      <c r="BD19" s="34"/>
      <c r="BE19" s="34"/>
      <c r="BF19" s="34"/>
      <c r="BG19" s="34"/>
      <c r="BH19" s="34"/>
      <c r="BJ19" s="49"/>
      <c r="BK19" s="72"/>
      <c r="BL19" s="72"/>
      <c r="BM19" s="72"/>
      <c r="BN19" s="72"/>
      <c r="BO19" s="72"/>
      <c r="BP19" s="72"/>
      <c r="BQ19" s="72"/>
      <c r="BR19" s="72"/>
      <c r="BS19" s="72"/>
      <c r="BT19" s="72"/>
      <c r="BU19" s="72"/>
      <c r="BW19" s="171"/>
      <c r="BX19" s="171"/>
      <c r="BY19" s="171"/>
      <c r="BZ19" s="171"/>
      <c r="CA19" s="171"/>
      <c r="CB19" s="171"/>
      <c r="CC19" s="171"/>
      <c r="CD19" s="171"/>
      <c r="CE19" s="171"/>
      <c r="CF19" s="171"/>
      <c r="CG19" s="171"/>
      <c r="CH19" s="171"/>
      <c r="CI19" s="171"/>
    </row>
    <row r="20" spans="2:87" ht="16.5" customHeight="1">
      <c r="B20" s="2260"/>
      <c r="C20" s="2258" t="s">
        <v>182</v>
      </c>
      <c r="D20" s="2259">
        <v>0</v>
      </c>
      <c r="E20" s="459"/>
      <c r="F20" s="2203">
        <f t="shared" ref="F20" si="15">F18</f>
        <v>10</v>
      </c>
      <c r="G20" s="2203"/>
      <c r="H20" s="2229">
        <f t="shared" si="0"/>
        <v>500</v>
      </c>
      <c r="I20" s="2306">
        <f t="shared" si="1"/>
        <v>1.0416666666666999E-2</v>
      </c>
      <c r="J20" s="2338">
        <f t="shared" si="2"/>
        <v>192500</v>
      </c>
      <c r="K20" s="2368">
        <f t="shared" si="3"/>
        <v>4.0104166666666696</v>
      </c>
      <c r="L20" s="2414" t="s">
        <v>183</v>
      </c>
      <c r="M20" s="2199">
        <f t="shared" si="4"/>
        <v>0</v>
      </c>
      <c r="N20" s="2128">
        <f t="shared" si="5"/>
        <v>0.1</v>
      </c>
      <c r="O20" s="2167"/>
      <c r="P20" s="2131"/>
      <c r="Q20" s="2134"/>
      <c r="R20" s="222"/>
      <c r="S20" s="1">
        <v>7</v>
      </c>
      <c r="T20" s="62" t="s">
        <v>182</v>
      </c>
      <c r="U20" s="1">
        <f t="shared" si="6"/>
        <v>1</v>
      </c>
      <c r="V20" s="171">
        <f>F20+1</f>
        <v>11</v>
      </c>
      <c r="W20" s="1">
        <f t="shared" si="7"/>
        <v>10</v>
      </c>
      <c r="Y20" s="69">
        <v>500</v>
      </c>
      <c r="Z20" s="34">
        <v>2000</v>
      </c>
      <c r="AA20" s="34">
        <v>4500</v>
      </c>
      <c r="AB20" s="34">
        <v>8000</v>
      </c>
      <c r="AC20" s="34">
        <v>12500</v>
      </c>
      <c r="AD20" s="34">
        <v>18000</v>
      </c>
      <c r="AE20" s="34">
        <v>24500</v>
      </c>
      <c r="AF20" s="34">
        <v>32000</v>
      </c>
      <c r="AG20" s="34">
        <v>40500</v>
      </c>
      <c r="AH20" s="34">
        <v>50000</v>
      </c>
      <c r="AI20" s="8">
        <v>0</v>
      </c>
      <c r="AK20" s="20">
        <v>1.0416666666666999E-2</v>
      </c>
      <c r="AL20" s="20">
        <v>4.1666666666666997E-2</v>
      </c>
      <c r="AM20" s="20">
        <v>9.375E-2</v>
      </c>
      <c r="AN20" s="20">
        <v>0.16666666666666699</v>
      </c>
      <c r="AO20" s="20">
        <v>0.26041666666666702</v>
      </c>
      <c r="AP20" s="20">
        <v>0.375</v>
      </c>
      <c r="AQ20" s="20">
        <v>0.51041666666666696</v>
      </c>
      <c r="AR20" s="20">
        <v>0.66666666666666696</v>
      </c>
      <c r="AS20" s="20">
        <v>0.84375</v>
      </c>
      <c r="AT20" s="20">
        <v>1.0416666666666701</v>
      </c>
      <c r="AU20" s="20">
        <v>0</v>
      </c>
      <c r="AX20" s="34">
        <v>0</v>
      </c>
      <c r="AY20" s="34">
        <v>500</v>
      </c>
      <c r="AZ20" s="34">
        <v>2500</v>
      </c>
      <c r="BA20" s="34">
        <v>7000</v>
      </c>
      <c r="BB20" s="34">
        <v>15000</v>
      </c>
      <c r="BC20" s="34">
        <v>27500</v>
      </c>
      <c r="BD20" s="34">
        <v>45500</v>
      </c>
      <c r="BE20" s="34">
        <v>70000</v>
      </c>
      <c r="BF20" s="34">
        <v>102000</v>
      </c>
      <c r="BG20" s="34">
        <v>142500</v>
      </c>
      <c r="BH20" s="34">
        <v>192500</v>
      </c>
      <c r="BJ20" s="49">
        <f t="shared" si="8"/>
        <v>4.0104166666666696</v>
      </c>
      <c r="BK20" s="72">
        <v>0</v>
      </c>
      <c r="BL20" s="72">
        <v>1.0416666666666999E-2</v>
      </c>
      <c r="BM20" s="72">
        <v>5.2083333333333003E-2</v>
      </c>
      <c r="BN20" s="72">
        <v>0.14583333333333301</v>
      </c>
      <c r="BO20" s="72">
        <v>0.3125</v>
      </c>
      <c r="BP20" s="72">
        <v>0.57291666666666696</v>
      </c>
      <c r="BQ20" s="72">
        <v>0.94791666666666696</v>
      </c>
      <c r="BR20" s="72">
        <v>1.4583333333333299</v>
      </c>
      <c r="BS20" s="72">
        <v>2.125</v>
      </c>
      <c r="BT20" s="72">
        <v>2.96875</v>
      </c>
      <c r="BU20" s="72">
        <v>4.0104166666666696</v>
      </c>
      <c r="BW20" s="1">
        <v>2</v>
      </c>
      <c r="BX20" s="1">
        <v>4</v>
      </c>
      <c r="BY20" s="1">
        <v>6</v>
      </c>
      <c r="BZ20" s="1">
        <v>8</v>
      </c>
      <c r="CA20" s="1">
        <v>9</v>
      </c>
      <c r="CB20" s="1">
        <v>15</v>
      </c>
      <c r="CC20" s="1">
        <v>15</v>
      </c>
      <c r="CD20" s="1">
        <v>15</v>
      </c>
      <c r="CE20" s="1">
        <v>15</v>
      </c>
      <c r="CF20" s="1">
        <v>15</v>
      </c>
      <c r="CG20" s="1">
        <v>15</v>
      </c>
      <c r="CI20" s="1">
        <f t="shared" si="9"/>
        <v>11</v>
      </c>
    </row>
    <row r="21" spans="2:87" ht="16.5" customHeight="1">
      <c r="B21" s="2260"/>
      <c r="C21" s="2258"/>
      <c r="D21" s="2259"/>
      <c r="E21" s="459"/>
      <c r="F21" s="2203"/>
      <c r="G21" s="2203"/>
      <c r="H21" s="2229"/>
      <c r="I21" s="2307"/>
      <c r="J21" s="2339"/>
      <c r="K21" s="2369"/>
      <c r="L21" s="2415"/>
      <c r="M21" s="2200"/>
      <c r="N21" s="2129"/>
      <c r="O21" s="2167"/>
      <c r="P21" s="2131"/>
      <c r="Q21" s="2134"/>
      <c r="R21" s="222"/>
      <c r="S21" s="171"/>
      <c r="T21" s="62"/>
      <c r="U21" s="171"/>
      <c r="V21" s="171"/>
      <c r="W21" s="171"/>
      <c r="X21" s="171"/>
      <c r="Y21" s="69"/>
      <c r="Z21" s="34"/>
      <c r="AA21" s="34"/>
      <c r="AB21" s="34"/>
      <c r="AC21" s="34"/>
      <c r="AD21" s="34"/>
      <c r="AE21" s="34"/>
      <c r="AF21" s="34"/>
      <c r="AG21" s="34"/>
      <c r="AH21" s="34"/>
      <c r="AK21" s="20"/>
      <c r="AL21" s="20"/>
      <c r="AM21" s="20"/>
      <c r="AN21" s="20"/>
      <c r="AO21" s="20"/>
      <c r="AP21" s="20"/>
      <c r="AQ21" s="20"/>
      <c r="AR21" s="20"/>
      <c r="AS21" s="20"/>
      <c r="AT21" s="20"/>
      <c r="AU21" s="20"/>
      <c r="AX21" s="34"/>
      <c r="AY21" s="34"/>
      <c r="AZ21" s="34"/>
      <c r="BA21" s="34"/>
      <c r="BB21" s="34"/>
      <c r="BC21" s="34"/>
      <c r="BD21" s="34"/>
      <c r="BE21" s="34"/>
      <c r="BF21" s="34"/>
      <c r="BG21" s="34"/>
      <c r="BH21" s="34"/>
      <c r="BJ21" s="49"/>
      <c r="BK21" s="72"/>
      <c r="BL21" s="72"/>
      <c r="BM21" s="72"/>
      <c r="BN21" s="72"/>
      <c r="BO21" s="72"/>
      <c r="BP21" s="72"/>
      <c r="BQ21" s="72"/>
      <c r="BR21" s="72"/>
      <c r="BS21" s="72"/>
      <c r="BT21" s="72"/>
      <c r="BU21" s="72"/>
      <c r="BW21" s="171"/>
      <c r="BX21" s="171"/>
      <c r="BY21" s="171"/>
      <c r="BZ21" s="171"/>
      <c r="CA21" s="171"/>
      <c r="CB21" s="171"/>
      <c r="CC21" s="171"/>
      <c r="CD21" s="171"/>
      <c r="CE21" s="171"/>
      <c r="CF21" s="171"/>
      <c r="CG21" s="171"/>
      <c r="CH21" s="171"/>
      <c r="CI21" s="171"/>
    </row>
    <row r="22" spans="2:87" ht="16.5" customHeight="1">
      <c r="B22" s="2260"/>
      <c r="C22" s="2261" t="s">
        <v>184</v>
      </c>
      <c r="D22" s="2259">
        <v>0</v>
      </c>
      <c r="E22" s="459"/>
      <c r="F22" s="2203">
        <f t="shared" ref="F22" si="16">F20</f>
        <v>10</v>
      </c>
      <c r="G22" s="2203"/>
      <c r="H22" s="2231">
        <f t="shared" si="0"/>
        <v>500</v>
      </c>
      <c r="I22" s="2310">
        <f t="shared" si="1"/>
        <v>1.0416666666666999E-2</v>
      </c>
      <c r="J22" s="2340">
        <f t="shared" si="2"/>
        <v>192500</v>
      </c>
      <c r="K22" s="2370">
        <f t="shared" si="3"/>
        <v>4.0104166666666696</v>
      </c>
      <c r="L22" s="2416" t="s">
        <v>185</v>
      </c>
      <c r="M22" s="2199">
        <f t="shared" si="4"/>
        <v>0</v>
      </c>
      <c r="N22" s="2128">
        <f t="shared" si="5"/>
        <v>0.1</v>
      </c>
      <c r="O22" s="2167"/>
      <c r="P22" s="2131"/>
      <c r="Q22" s="2134"/>
      <c r="R22" s="222"/>
      <c r="S22" s="1">
        <v>8</v>
      </c>
      <c r="T22" s="62" t="s">
        <v>184</v>
      </c>
      <c r="U22" s="1">
        <f t="shared" si="6"/>
        <v>1</v>
      </c>
      <c r="V22" s="171">
        <f>F22+1</f>
        <v>11</v>
      </c>
      <c r="W22" s="1">
        <f t="shared" si="7"/>
        <v>10</v>
      </c>
      <c r="Y22" s="69">
        <v>500</v>
      </c>
      <c r="Z22" s="34">
        <v>2000</v>
      </c>
      <c r="AA22" s="34">
        <v>4500</v>
      </c>
      <c r="AB22" s="34">
        <v>8000</v>
      </c>
      <c r="AC22" s="34">
        <v>12500</v>
      </c>
      <c r="AD22" s="34">
        <v>18000</v>
      </c>
      <c r="AE22" s="34">
        <v>24500</v>
      </c>
      <c r="AF22" s="34">
        <v>32000</v>
      </c>
      <c r="AG22" s="34">
        <v>40500</v>
      </c>
      <c r="AH22" s="34">
        <v>50000</v>
      </c>
      <c r="AI22" s="8">
        <v>0</v>
      </c>
      <c r="AK22" s="20">
        <v>1.0416666666666999E-2</v>
      </c>
      <c r="AL22" s="20">
        <v>4.1666666666666997E-2</v>
      </c>
      <c r="AM22" s="20">
        <v>9.375E-2</v>
      </c>
      <c r="AN22" s="20">
        <v>0.16666666666666699</v>
      </c>
      <c r="AO22" s="20">
        <v>0.26041666666666702</v>
      </c>
      <c r="AP22" s="20">
        <v>0.375</v>
      </c>
      <c r="AQ22" s="20">
        <v>0.51041666666666696</v>
      </c>
      <c r="AR22" s="20">
        <v>0.66666666666666696</v>
      </c>
      <c r="AS22" s="20">
        <v>0.84375</v>
      </c>
      <c r="AT22" s="20">
        <v>1.0416666666666701</v>
      </c>
      <c r="AU22" s="20">
        <v>0</v>
      </c>
      <c r="AX22" s="34">
        <v>0</v>
      </c>
      <c r="AY22" s="34">
        <v>500</v>
      </c>
      <c r="AZ22" s="34">
        <v>2500</v>
      </c>
      <c r="BA22" s="34">
        <v>7000</v>
      </c>
      <c r="BB22" s="34">
        <v>15000</v>
      </c>
      <c r="BC22" s="34">
        <v>27500</v>
      </c>
      <c r="BD22" s="34">
        <v>45500</v>
      </c>
      <c r="BE22" s="34">
        <v>70000</v>
      </c>
      <c r="BF22" s="34">
        <v>102000</v>
      </c>
      <c r="BG22" s="34">
        <v>142500</v>
      </c>
      <c r="BH22" s="34">
        <v>192500</v>
      </c>
      <c r="BJ22" s="49">
        <f t="shared" si="8"/>
        <v>4.0104166666666696</v>
      </c>
      <c r="BK22" s="72">
        <v>0</v>
      </c>
      <c r="BL22" s="72">
        <v>1.0416666666666999E-2</v>
      </c>
      <c r="BM22" s="72">
        <v>5.2083333333333003E-2</v>
      </c>
      <c r="BN22" s="72">
        <v>0.14583333333333301</v>
      </c>
      <c r="BO22" s="72">
        <v>0.3125</v>
      </c>
      <c r="BP22" s="72">
        <v>0.57291666666666696</v>
      </c>
      <c r="BQ22" s="72">
        <v>0.94791666666666696</v>
      </c>
      <c r="BR22" s="72">
        <v>1.4583333333333299</v>
      </c>
      <c r="BS22" s="72">
        <v>2.125</v>
      </c>
      <c r="BT22" s="72">
        <v>2.96875</v>
      </c>
      <c r="BU22" s="72">
        <v>4.0104166666666696</v>
      </c>
      <c r="BW22" s="1">
        <v>2</v>
      </c>
      <c r="BX22" s="1">
        <v>4</v>
      </c>
      <c r="BY22" s="1">
        <v>6</v>
      </c>
      <c r="BZ22" s="1">
        <v>8</v>
      </c>
      <c r="CA22" s="1">
        <v>9</v>
      </c>
      <c r="CB22" s="1">
        <v>15</v>
      </c>
      <c r="CC22" s="1">
        <v>15</v>
      </c>
      <c r="CD22" s="1">
        <v>15</v>
      </c>
      <c r="CE22" s="1">
        <v>15</v>
      </c>
      <c r="CF22" s="1">
        <v>15</v>
      </c>
      <c r="CG22" s="1">
        <v>15</v>
      </c>
      <c r="CI22" s="1">
        <f t="shared" si="9"/>
        <v>11</v>
      </c>
    </row>
    <row r="23" spans="2:87" ht="16.5" customHeight="1">
      <c r="B23" s="2260"/>
      <c r="C23" s="2261"/>
      <c r="D23" s="2259"/>
      <c r="E23" s="459"/>
      <c r="F23" s="2203"/>
      <c r="G23" s="2203"/>
      <c r="H23" s="2231"/>
      <c r="I23" s="2311"/>
      <c r="J23" s="2341"/>
      <c r="K23" s="2371"/>
      <c r="L23" s="2417"/>
      <c r="M23" s="2200"/>
      <c r="N23" s="2129"/>
      <c r="O23" s="2168"/>
      <c r="P23" s="2132"/>
      <c r="Q23" s="2135"/>
      <c r="R23" s="222"/>
      <c r="S23" s="171"/>
      <c r="T23" s="62"/>
      <c r="U23" s="171"/>
      <c r="V23" s="171"/>
      <c r="W23" s="171"/>
      <c r="X23" s="171"/>
      <c r="Y23" s="69"/>
      <c r="Z23" s="34"/>
      <c r="AA23" s="34"/>
      <c r="AB23" s="34"/>
      <c r="AC23" s="34"/>
      <c r="AD23" s="34"/>
      <c r="AE23" s="34"/>
      <c r="AF23" s="34"/>
      <c r="AG23" s="34"/>
      <c r="AH23" s="34"/>
      <c r="AK23" s="20"/>
      <c r="AL23" s="20"/>
      <c r="AM23" s="20"/>
      <c r="AN23" s="20"/>
      <c r="AO23" s="20"/>
      <c r="AP23" s="20"/>
      <c r="AQ23" s="20"/>
      <c r="AR23" s="20"/>
      <c r="AS23" s="20"/>
      <c r="AT23" s="20"/>
      <c r="AU23" s="20"/>
      <c r="AX23" s="34"/>
      <c r="AY23" s="34"/>
      <c r="AZ23" s="34"/>
      <c r="BA23" s="34"/>
      <c r="BB23" s="34"/>
      <c r="BC23" s="34"/>
      <c r="BD23" s="34"/>
      <c r="BE23" s="34"/>
      <c r="BF23" s="34"/>
      <c r="BG23" s="34"/>
      <c r="BH23" s="34"/>
      <c r="BJ23" s="49"/>
      <c r="BK23" s="72"/>
      <c r="BL23" s="72"/>
      <c r="BM23" s="72"/>
      <c r="BN23" s="72"/>
      <c r="BO23" s="72"/>
      <c r="BP23" s="72"/>
      <c r="BQ23" s="72"/>
      <c r="BR23" s="72"/>
      <c r="BS23" s="72"/>
      <c r="BT23" s="72"/>
      <c r="BU23" s="72"/>
      <c r="BW23" s="171"/>
      <c r="BX23" s="171"/>
      <c r="BY23" s="171"/>
      <c r="BZ23" s="171"/>
      <c r="CA23" s="171"/>
      <c r="CB23" s="171"/>
      <c r="CC23" s="171"/>
      <c r="CD23" s="171"/>
      <c r="CE23" s="171"/>
      <c r="CF23" s="171"/>
      <c r="CG23" s="171"/>
      <c r="CH23" s="171"/>
      <c r="CI23" s="171"/>
    </row>
    <row r="24" spans="2:87" ht="16.5" customHeight="1">
      <c r="B24" s="2224" t="s">
        <v>186</v>
      </c>
      <c r="C24" s="2253" t="s">
        <v>187</v>
      </c>
      <c r="D24" s="2255">
        <v>0</v>
      </c>
      <c r="E24" s="462"/>
      <c r="F24" s="2203">
        <f t="shared" ref="F24" si="17">F22</f>
        <v>10</v>
      </c>
      <c r="G24" s="2203"/>
      <c r="H24" s="2232">
        <f t="shared" si="0"/>
        <v>500</v>
      </c>
      <c r="I24" s="2312">
        <f t="shared" si="1"/>
        <v>1.0416666666666999E-2</v>
      </c>
      <c r="J24" s="2342">
        <f t="shared" si="2"/>
        <v>192500</v>
      </c>
      <c r="K24" s="2372">
        <f t="shared" si="3"/>
        <v>4.0104166666666696</v>
      </c>
      <c r="L24" s="2418" t="s">
        <v>66</v>
      </c>
      <c r="M24" s="2201">
        <f t="shared" si="4"/>
        <v>0</v>
      </c>
      <c r="N24" s="2136">
        <f t="shared" si="5"/>
        <v>0.1</v>
      </c>
      <c r="O24" s="2169" t="s">
        <v>188</v>
      </c>
      <c r="P24" s="2138">
        <f>CHOOSE(U24,BW24,BX24,BY24,BZ24,CA24,CB24,CC24,CD24,CE24,CF24,CG24)</f>
        <v>2</v>
      </c>
      <c r="Q24" s="2141">
        <f>IF((V24&lt;=U24),CHOOSE(U24,BW24,BX24,BY24,BZ24,CA24,CB24,CC24,CD24,CE24,CF24,CG24),CHOOSE(V24,BW24,BX24,BY24,BZ24,CA24,CB24,CC24,CD24,CE24,CF24,CG24))</f>
        <v>15</v>
      </c>
      <c r="R24" s="222"/>
      <c r="S24" s="1">
        <v>9</v>
      </c>
      <c r="T24" s="62" t="s">
        <v>187</v>
      </c>
      <c r="U24" s="1">
        <f t="shared" si="6"/>
        <v>1</v>
      </c>
      <c r="V24" s="171">
        <f>F24+1</f>
        <v>11</v>
      </c>
      <c r="W24" s="1">
        <f t="shared" si="7"/>
        <v>10</v>
      </c>
      <c r="Y24" s="69">
        <v>500</v>
      </c>
      <c r="Z24" s="34">
        <v>2000</v>
      </c>
      <c r="AA24" s="34">
        <v>4500</v>
      </c>
      <c r="AB24" s="34">
        <v>8000</v>
      </c>
      <c r="AC24" s="34">
        <v>12500</v>
      </c>
      <c r="AD24" s="34">
        <v>18000</v>
      </c>
      <c r="AE24" s="34">
        <v>24500</v>
      </c>
      <c r="AF24" s="34">
        <v>32000</v>
      </c>
      <c r="AG24" s="34">
        <v>40500</v>
      </c>
      <c r="AH24" s="34">
        <v>50000</v>
      </c>
      <c r="AI24" s="8">
        <v>0</v>
      </c>
      <c r="AK24" s="20">
        <v>1.0416666666666999E-2</v>
      </c>
      <c r="AL24" s="20">
        <v>4.1666666666666997E-2</v>
      </c>
      <c r="AM24" s="20">
        <v>9.375E-2</v>
      </c>
      <c r="AN24" s="20">
        <v>0.16666666666666699</v>
      </c>
      <c r="AO24" s="20">
        <v>0.26041666666666702</v>
      </c>
      <c r="AP24" s="20">
        <v>0.375</v>
      </c>
      <c r="AQ24" s="20">
        <v>0.51041666666666696</v>
      </c>
      <c r="AR24" s="20">
        <v>0.66666666666666696</v>
      </c>
      <c r="AS24" s="20">
        <v>0.84375</v>
      </c>
      <c r="AT24" s="20">
        <v>1.0416666666666701</v>
      </c>
      <c r="AU24" s="20">
        <v>0</v>
      </c>
      <c r="AX24" s="34">
        <v>0</v>
      </c>
      <c r="AY24" s="34">
        <v>500</v>
      </c>
      <c r="AZ24" s="34">
        <v>2500</v>
      </c>
      <c r="BA24" s="34">
        <v>7000</v>
      </c>
      <c r="BB24" s="34">
        <v>15000</v>
      </c>
      <c r="BC24" s="34">
        <v>27500</v>
      </c>
      <c r="BD24" s="34">
        <v>45500</v>
      </c>
      <c r="BE24" s="34">
        <v>70000</v>
      </c>
      <c r="BF24" s="34">
        <v>102000</v>
      </c>
      <c r="BG24" s="34">
        <v>142500</v>
      </c>
      <c r="BH24" s="34">
        <v>192500</v>
      </c>
      <c r="BJ24" s="49">
        <f t="shared" si="8"/>
        <v>4.0104166666666696</v>
      </c>
      <c r="BK24" s="72">
        <v>0</v>
      </c>
      <c r="BL24" s="72">
        <v>1.0416666666666999E-2</v>
      </c>
      <c r="BM24" s="72">
        <v>5.2083333333333003E-2</v>
      </c>
      <c r="BN24" s="72">
        <v>0.14583333333333301</v>
      </c>
      <c r="BO24" s="72">
        <v>0.3125</v>
      </c>
      <c r="BP24" s="72">
        <v>0.57291666666666696</v>
      </c>
      <c r="BQ24" s="72">
        <v>0.94791666666666696</v>
      </c>
      <c r="BR24" s="72">
        <v>1.4583333333333299</v>
      </c>
      <c r="BS24" s="72">
        <v>2.125</v>
      </c>
      <c r="BT24" s="72">
        <v>2.96875</v>
      </c>
      <c r="BU24" s="72">
        <v>4.0104166666666696</v>
      </c>
      <c r="BW24" s="1">
        <v>2</v>
      </c>
      <c r="BX24" s="1">
        <v>4</v>
      </c>
      <c r="BY24" s="1">
        <v>6</v>
      </c>
      <c r="BZ24" s="1">
        <v>8</v>
      </c>
      <c r="CA24" s="1">
        <v>9</v>
      </c>
      <c r="CB24" s="1">
        <v>15</v>
      </c>
      <c r="CC24" s="1">
        <v>15</v>
      </c>
      <c r="CD24" s="1">
        <v>15</v>
      </c>
      <c r="CE24" s="1">
        <v>15</v>
      </c>
      <c r="CF24" s="1">
        <v>15</v>
      </c>
      <c r="CG24" s="1">
        <v>15</v>
      </c>
      <c r="CI24" s="1">
        <f t="shared" si="9"/>
        <v>11</v>
      </c>
    </row>
    <row r="25" spans="2:87" ht="16.5" customHeight="1">
      <c r="B25" s="2225"/>
      <c r="C25" s="2254"/>
      <c r="D25" s="2249"/>
      <c r="E25" s="460"/>
      <c r="F25" s="2203"/>
      <c r="G25" s="2203"/>
      <c r="H25" s="2233"/>
      <c r="I25" s="2313"/>
      <c r="J25" s="2343"/>
      <c r="K25" s="2373"/>
      <c r="L25" s="2419"/>
      <c r="M25" s="2202"/>
      <c r="N25" s="2137"/>
      <c r="O25" s="2170"/>
      <c r="P25" s="2139"/>
      <c r="Q25" s="2142"/>
      <c r="R25" s="222"/>
      <c r="S25" s="171"/>
      <c r="T25" s="62"/>
      <c r="U25" s="171"/>
      <c r="V25" s="171"/>
      <c r="W25" s="171"/>
      <c r="X25" s="171"/>
      <c r="Y25" s="69"/>
      <c r="Z25" s="34"/>
      <c r="AA25" s="34"/>
      <c r="AB25" s="34"/>
      <c r="AC25" s="34"/>
      <c r="AD25" s="34"/>
      <c r="AE25" s="34"/>
      <c r="AF25" s="34"/>
      <c r="AG25" s="34"/>
      <c r="AH25" s="34"/>
      <c r="AK25" s="20"/>
      <c r="AL25" s="20"/>
      <c r="AM25" s="20"/>
      <c r="AN25" s="20"/>
      <c r="AO25" s="20"/>
      <c r="AP25" s="20"/>
      <c r="AQ25" s="20"/>
      <c r="AR25" s="20"/>
      <c r="AS25" s="20"/>
      <c r="AT25" s="20"/>
      <c r="AU25" s="20"/>
      <c r="AX25" s="34"/>
      <c r="AY25" s="34"/>
      <c r="AZ25" s="34"/>
      <c r="BA25" s="34"/>
      <c r="BB25" s="34"/>
      <c r="BC25" s="34"/>
      <c r="BD25" s="34"/>
      <c r="BE25" s="34"/>
      <c r="BF25" s="34"/>
      <c r="BG25" s="34"/>
      <c r="BH25" s="34"/>
      <c r="BJ25" s="49"/>
      <c r="BK25" s="72"/>
      <c r="BL25" s="72"/>
      <c r="BM25" s="72"/>
      <c r="BN25" s="72"/>
      <c r="BO25" s="72"/>
      <c r="BP25" s="72"/>
      <c r="BQ25" s="72"/>
      <c r="BR25" s="72"/>
      <c r="BS25" s="72"/>
      <c r="BT25" s="72"/>
      <c r="BU25" s="72"/>
      <c r="BW25" s="171"/>
      <c r="BX25" s="171"/>
      <c r="BY25" s="171"/>
      <c r="BZ25" s="171"/>
      <c r="CA25" s="171"/>
      <c r="CB25" s="171"/>
      <c r="CC25" s="171"/>
      <c r="CD25" s="171"/>
      <c r="CE25" s="171"/>
      <c r="CF25" s="171"/>
      <c r="CG25" s="171"/>
      <c r="CH25" s="171"/>
      <c r="CI25" s="171"/>
    </row>
    <row r="26" spans="2:87" ht="16.5" customHeight="1">
      <c r="B26" s="2225"/>
      <c r="C26" s="2250" t="s">
        <v>189</v>
      </c>
      <c r="D26" s="2251">
        <v>0</v>
      </c>
      <c r="E26" s="461"/>
      <c r="F26" s="2203">
        <f t="shared" ref="F26" si="18">F24</f>
        <v>10</v>
      </c>
      <c r="G26" s="2203"/>
      <c r="H26" s="2220">
        <f t="shared" si="0"/>
        <v>500</v>
      </c>
      <c r="I26" s="2314">
        <f t="shared" si="1"/>
        <v>1.0416666666666999E-2</v>
      </c>
      <c r="J26" s="2344">
        <f t="shared" si="2"/>
        <v>192500</v>
      </c>
      <c r="K26" s="2374">
        <f t="shared" si="3"/>
        <v>4.0104166666666696</v>
      </c>
      <c r="L26" s="2420" t="s">
        <v>64</v>
      </c>
      <c r="M26" s="2154">
        <f t="shared" si="4"/>
        <v>0</v>
      </c>
      <c r="N26" s="2187">
        <f t="shared" si="5"/>
        <v>0.1</v>
      </c>
      <c r="O26" s="2170"/>
      <c r="P26" s="2139"/>
      <c r="Q26" s="2142"/>
      <c r="R26" s="222"/>
      <c r="S26" s="1">
        <v>10</v>
      </c>
      <c r="T26" s="62" t="s">
        <v>189</v>
      </c>
      <c r="U26" s="1">
        <f t="shared" si="6"/>
        <v>1</v>
      </c>
      <c r="V26" s="171">
        <f>F26+1</f>
        <v>11</v>
      </c>
      <c r="W26" s="1">
        <f t="shared" si="7"/>
        <v>10</v>
      </c>
      <c r="Y26" s="69">
        <v>500</v>
      </c>
      <c r="Z26" s="34">
        <v>2000</v>
      </c>
      <c r="AA26" s="34">
        <v>4500</v>
      </c>
      <c r="AB26" s="34">
        <v>8000</v>
      </c>
      <c r="AC26" s="34">
        <v>12500</v>
      </c>
      <c r="AD26" s="34">
        <v>18000</v>
      </c>
      <c r="AE26" s="34">
        <v>24500</v>
      </c>
      <c r="AF26" s="34">
        <v>32000</v>
      </c>
      <c r="AG26" s="34">
        <v>40500</v>
      </c>
      <c r="AH26" s="34">
        <v>50000</v>
      </c>
      <c r="AI26" s="8">
        <v>0</v>
      </c>
      <c r="AK26" s="20">
        <v>1.0416666666666999E-2</v>
      </c>
      <c r="AL26" s="20">
        <v>4.1666666666666997E-2</v>
      </c>
      <c r="AM26" s="20">
        <v>9.375E-2</v>
      </c>
      <c r="AN26" s="20">
        <v>0.16666666666666699</v>
      </c>
      <c r="AO26" s="20">
        <v>0.26041666666666702</v>
      </c>
      <c r="AP26" s="20">
        <v>0.375</v>
      </c>
      <c r="AQ26" s="20">
        <v>0.51041666666666696</v>
      </c>
      <c r="AR26" s="20">
        <v>0.66666666666666696</v>
      </c>
      <c r="AS26" s="20">
        <v>0.84375</v>
      </c>
      <c r="AT26" s="20">
        <v>1.0416666666666701</v>
      </c>
      <c r="AU26" s="20">
        <v>0</v>
      </c>
      <c r="AX26" s="34">
        <v>0</v>
      </c>
      <c r="AY26" s="34">
        <v>500</v>
      </c>
      <c r="AZ26" s="34">
        <v>2500</v>
      </c>
      <c r="BA26" s="34">
        <v>7000</v>
      </c>
      <c r="BB26" s="34">
        <v>15000</v>
      </c>
      <c r="BC26" s="34">
        <v>27500</v>
      </c>
      <c r="BD26" s="34">
        <v>45500</v>
      </c>
      <c r="BE26" s="34">
        <v>70000</v>
      </c>
      <c r="BF26" s="34">
        <v>102000</v>
      </c>
      <c r="BG26" s="34">
        <v>142500</v>
      </c>
      <c r="BH26" s="34">
        <v>192500</v>
      </c>
      <c r="BJ26" s="49">
        <f t="shared" si="8"/>
        <v>4.0104166666666696</v>
      </c>
      <c r="BK26" s="72">
        <v>0</v>
      </c>
      <c r="BL26" s="72">
        <v>1.0416666666666999E-2</v>
      </c>
      <c r="BM26" s="72">
        <v>5.2083333333333003E-2</v>
      </c>
      <c r="BN26" s="72">
        <v>0.14583333333333301</v>
      </c>
      <c r="BO26" s="72">
        <v>0.3125</v>
      </c>
      <c r="BP26" s="72">
        <v>0.57291666666666696</v>
      </c>
      <c r="BQ26" s="72">
        <v>0.94791666666666696</v>
      </c>
      <c r="BR26" s="72">
        <v>1.4583333333333299</v>
      </c>
      <c r="BS26" s="72">
        <v>2.125</v>
      </c>
      <c r="BT26" s="72">
        <v>2.96875</v>
      </c>
      <c r="BU26" s="72">
        <v>4.0104166666666696</v>
      </c>
      <c r="BW26" s="1">
        <v>2</v>
      </c>
      <c r="BX26" s="1">
        <v>4</v>
      </c>
      <c r="BY26" s="1">
        <v>6</v>
      </c>
      <c r="BZ26" s="1">
        <v>8</v>
      </c>
      <c r="CA26" s="1">
        <v>9</v>
      </c>
      <c r="CB26" s="1">
        <v>15</v>
      </c>
      <c r="CC26" s="1">
        <v>15</v>
      </c>
      <c r="CD26" s="1">
        <v>15</v>
      </c>
      <c r="CE26" s="1">
        <v>15</v>
      </c>
      <c r="CF26" s="1">
        <v>15</v>
      </c>
      <c r="CG26" s="1">
        <v>15</v>
      </c>
      <c r="CI26" s="1">
        <f t="shared" si="9"/>
        <v>11</v>
      </c>
    </row>
    <row r="27" spans="2:87" ht="16.5" customHeight="1">
      <c r="B27" s="2225"/>
      <c r="C27" s="2250"/>
      <c r="D27" s="2251"/>
      <c r="E27" s="461"/>
      <c r="F27" s="2203"/>
      <c r="G27" s="2203"/>
      <c r="H27" s="2221"/>
      <c r="I27" s="2315"/>
      <c r="J27" s="2345"/>
      <c r="K27" s="2375"/>
      <c r="L27" s="2421"/>
      <c r="M27" s="2155"/>
      <c r="N27" s="2188"/>
      <c r="O27" s="2170"/>
      <c r="P27" s="2139"/>
      <c r="Q27" s="2142"/>
      <c r="R27" s="222"/>
      <c r="S27" s="171"/>
      <c r="T27" s="62"/>
      <c r="U27" s="171"/>
      <c r="V27" s="171"/>
      <c r="W27" s="171"/>
      <c r="X27" s="171"/>
      <c r="Y27" s="69"/>
      <c r="Z27" s="34"/>
      <c r="AA27" s="34"/>
      <c r="AB27" s="34"/>
      <c r="AC27" s="34"/>
      <c r="AD27" s="34"/>
      <c r="AE27" s="34"/>
      <c r="AF27" s="34"/>
      <c r="AG27" s="34"/>
      <c r="AH27" s="34"/>
      <c r="AK27" s="20"/>
      <c r="AL27" s="20"/>
      <c r="AM27" s="20"/>
      <c r="AN27" s="20"/>
      <c r="AO27" s="20"/>
      <c r="AP27" s="20"/>
      <c r="AQ27" s="20"/>
      <c r="AR27" s="20"/>
      <c r="AS27" s="20"/>
      <c r="AT27" s="20"/>
      <c r="AU27" s="20"/>
      <c r="AX27" s="34"/>
      <c r="AY27" s="34"/>
      <c r="AZ27" s="34"/>
      <c r="BA27" s="34"/>
      <c r="BB27" s="34"/>
      <c r="BC27" s="34"/>
      <c r="BD27" s="34"/>
      <c r="BE27" s="34"/>
      <c r="BF27" s="34"/>
      <c r="BG27" s="34"/>
      <c r="BH27" s="34"/>
      <c r="BJ27" s="49"/>
      <c r="BK27" s="72"/>
      <c r="BL27" s="72"/>
      <c r="BM27" s="72"/>
      <c r="BN27" s="72"/>
      <c r="BO27" s="72"/>
      <c r="BP27" s="72"/>
      <c r="BQ27" s="72"/>
      <c r="BR27" s="72"/>
      <c r="BS27" s="72"/>
      <c r="BT27" s="72"/>
      <c r="BU27" s="72"/>
      <c r="BW27" s="171"/>
      <c r="BX27" s="171"/>
      <c r="BY27" s="171"/>
      <c r="BZ27" s="171"/>
      <c r="CA27" s="171"/>
      <c r="CB27" s="171"/>
      <c r="CC27" s="171"/>
      <c r="CD27" s="171"/>
      <c r="CE27" s="171"/>
      <c r="CF27" s="171"/>
      <c r="CG27" s="171"/>
      <c r="CH27" s="171"/>
      <c r="CI27" s="171"/>
    </row>
    <row r="28" spans="2:87" ht="16.5" customHeight="1">
      <c r="B28" s="2225"/>
      <c r="C28" s="2250" t="s">
        <v>190</v>
      </c>
      <c r="D28" s="2251">
        <v>0</v>
      </c>
      <c r="E28" s="461"/>
      <c r="F28" s="2203">
        <f t="shared" ref="F28" si="19">F26</f>
        <v>10</v>
      </c>
      <c r="G28" s="2203"/>
      <c r="H28" s="2220">
        <f t="shared" si="0"/>
        <v>500</v>
      </c>
      <c r="I28" s="2314">
        <f t="shared" si="1"/>
        <v>1.0416666666666999E-2</v>
      </c>
      <c r="J28" s="2344">
        <f t="shared" si="2"/>
        <v>192500</v>
      </c>
      <c r="K28" s="2374">
        <f t="shared" si="3"/>
        <v>4.0104166666666696</v>
      </c>
      <c r="L28" s="2420" t="s">
        <v>191</v>
      </c>
      <c r="M28" s="2154">
        <f t="shared" si="4"/>
        <v>0</v>
      </c>
      <c r="N28" s="2187">
        <f t="shared" si="5"/>
        <v>0.1</v>
      </c>
      <c r="O28" s="2170"/>
      <c r="P28" s="2139"/>
      <c r="Q28" s="2142"/>
      <c r="R28" s="222"/>
      <c r="T28" s="62" t="s">
        <v>190</v>
      </c>
      <c r="U28" s="1">
        <f t="shared" si="6"/>
        <v>1</v>
      </c>
      <c r="V28" s="171">
        <f>F28+1</f>
        <v>11</v>
      </c>
      <c r="W28" s="1">
        <f t="shared" si="7"/>
        <v>10</v>
      </c>
      <c r="Y28" s="69">
        <v>500</v>
      </c>
      <c r="Z28" s="34">
        <v>2000</v>
      </c>
      <c r="AA28" s="34">
        <v>4500</v>
      </c>
      <c r="AB28" s="34">
        <v>8000</v>
      </c>
      <c r="AC28" s="34">
        <v>12500</v>
      </c>
      <c r="AD28" s="34">
        <v>18000</v>
      </c>
      <c r="AE28" s="34">
        <v>24500</v>
      </c>
      <c r="AF28" s="34">
        <v>32000</v>
      </c>
      <c r="AG28" s="34">
        <v>40500</v>
      </c>
      <c r="AH28" s="34">
        <v>50000</v>
      </c>
      <c r="AI28" s="8">
        <v>0</v>
      </c>
      <c r="AK28" s="20">
        <v>1.0416666666666999E-2</v>
      </c>
      <c r="AL28" s="20">
        <v>4.1666666666666997E-2</v>
      </c>
      <c r="AM28" s="20">
        <v>9.375E-2</v>
      </c>
      <c r="AN28" s="20">
        <v>0.16666666666666699</v>
      </c>
      <c r="AO28" s="20">
        <v>0.26041666666666702</v>
      </c>
      <c r="AP28" s="20">
        <v>0.375</v>
      </c>
      <c r="AQ28" s="20">
        <v>0.51041666666666696</v>
      </c>
      <c r="AR28" s="20">
        <v>0.66666666666666696</v>
      </c>
      <c r="AS28" s="20">
        <v>0.84375</v>
      </c>
      <c r="AT28" s="20">
        <v>1.0416666666666701</v>
      </c>
      <c r="AU28" s="20">
        <v>0</v>
      </c>
      <c r="AX28" s="34">
        <v>0</v>
      </c>
      <c r="AY28" s="34">
        <v>500</v>
      </c>
      <c r="AZ28" s="34">
        <v>2500</v>
      </c>
      <c r="BA28" s="34">
        <v>7000</v>
      </c>
      <c r="BB28" s="34">
        <v>15000</v>
      </c>
      <c r="BC28" s="34">
        <v>27500</v>
      </c>
      <c r="BD28" s="34">
        <v>45500</v>
      </c>
      <c r="BE28" s="34">
        <v>70000</v>
      </c>
      <c r="BF28" s="34">
        <v>102000</v>
      </c>
      <c r="BG28" s="34">
        <v>142500</v>
      </c>
      <c r="BH28" s="34">
        <v>192500</v>
      </c>
      <c r="BJ28" s="49">
        <f t="shared" si="8"/>
        <v>4.0104166666666696</v>
      </c>
      <c r="BK28" s="72">
        <v>0</v>
      </c>
      <c r="BL28" s="72">
        <v>1.0416666666666999E-2</v>
      </c>
      <c r="BM28" s="72">
        <v>5.2083333333333003E-2</v>
      </c>
      <c r="BN28" s="72">
        <v>0.14583333333333301</v>
      </c>
      <c r="BO28" s="72">
        <v>0.3125</v>
      </c>
      <c r="BP28" s="72">
        <v>0.57291666666666696</v>
      </c>
      <c r="BQ28" s="72">
        <v>0.94791666666666696</v>
      </c>
      <c r="BR28" s="72">
        <v>1.4583333333333299</v>
      </c>
      <c r="BS28" s="72">
        <v>2.125</v>
      </c>
      <c r="BT28" s="72">
        <v>2.96875</v>
      </c>
      <c r="BU28" s="72">
        <v>4.0104166666666696</v>
      </c>
      <c r="BW28" s="1">
        <v>2</v>
      </c>
      <c r="BX28" s="1">
        <v>4</v>
      </c>
      <c r="BY28" s="1">
        <v>6</v>
      </c>
      <c r="BZ28" s="1">
        <v>8</v>
      </c>
      <c r="CA28" s="1">
        <v>9</v>
      </c>
      <c r="CB28" s="1">
        <v>15</v>
      </c>
      <c r="CC28" s="1">
        <v>15</v>
      </c>
      <c r="CD28" s="1">
        <v>15</v>
      </c>
      <c r="CE28" s="1">
        <v>15</v>
      </c>
      <c r="CF28" s="1">
        <v>15</v>
      </c>
      <c r="CG28" s="1">
        <v>15</v>
      </c>
      <c r="CI28" s="1">
        <f t="shared" si="9"/>
        <v>11</v>
      </c>
    </row>
    <row r="29" spans="2:87" ht="16.5" customHeight="1">
      <c r="B29" s="2225"/>
      <c r="C29" s="2250"/>
      <c r="D29" s="2251"/>
      <c r="E29" s="461"/>
      <c r="F29" s="2203"/>
      <c r="G29" s="2203"/>
      <c r="H29" s="2221"/>
      <c r="I29" s="2315"/>
      <c r="J29" s="2345"/>
      <c r="K29" s="2375"/>
      <c r="L29" s="2421"/>
      <c r="M29" s="2155"/>
      <c r="N29" s="2188"/>
      <c r="O29" s="2171"/>
      <c r="P29" s="2140"/>
      <c r="Q29" s="2143"/>
      <c r="R29" s="222"/>
      <c r="T29" s="62"/>
      <c r="U29" s="171"/>
      <c r="V29" s="171"/>
      <c r="W29" s="171"/>
      <c r="X29" s="171"/>
      <c r="Y29" s="69"/>
      <c r="Z29" s="34"/>
      <c r="AA29" s="34"/>
      <c r="AB29" s="34"/>
      <c r="AC29" s="34"/>
      <c r="AD29" s="34"/>
      <c r="AE29" s="34"/>
      <c r="AF29" s="34"/>
      <c r="AG29" s="34"/>
      <c r="AH29" s="34"/>
      <c r="AK29" s="20"/>
      <c r="AL29" s="20"/>
      <c r="AM29" s="20"/>
      <c r="AN29" s="20"/>
      <c r="AO29" s="20"/>
      <c r="AP29" s="20"/>
      <c r="AQ29" s="20"/>
      <c r="AR29" s="20"/>
      <c r="AS29" s="20"/>
      <c r="AT29" s="20"/>
      <c r="AU29" s="20"/>
      <c r="AX29" s="34"/>
      <c r="AY29" s="34"/>
      <c r="AZ29" s="34"/>
      <c r="BA29" s="34"/>
      <c r="BB29" s="34"/>
      <c r="BC29" s="34"/>
      <c r="BD29" s="34"/>
      <c r="BE29" s="34"/>
      <c r="BF29" s="34"/>
      <c r="BG29" s="34"/>
      <c r="BH29" s="34"/>
      <c r="BJ29" s="49"/>
      <c r="BK29" s="72"/>
      <c r="BL29" s="72"/>
      <c r="BM29" s="72"/>
      <c r="BN29" s="72"/>
      <c r="BO29" s="72"/>
      <c r="BP29" s="72"/>
      <c r="BQ29" s="72"/>
      <c r="BR29" s="72"/>
      <c r="BS29" s="72"/>
      <c r="BT29" s="72"/>
      <c r="BU29" s="72"/>
      <c r="BW29" s="171"/>
      <c r="BX29" s="171"/>
      <c r="BY29" s="171"/>
      <c r="BZ29" s="171"/>
      <c r="CA29" s="171"/>
      <c r="CB29" s="171"/>
      <c r="CC29" s="171"/>
      <c r="CD29" s="171"/>
      <c r="CE29" s="171"/>
      <c r="CF29" s="171"/>
      <c r="CG29" s="171"/>
      <c r="CH29" s="171"/>
      <c r="CI29" s="171"/>
    </row>
    <row r="30" spans="2:87" ht="16.5" customHeight="1">
      <c r="B30" s="2225"/>
      <c r="C30" s="2248" t="s">
        <v>192</v>
      </c>
      <c r="D30" s="2249">
        <v>0</v>
      </c>
      <c r="E30" s="460"/>
      <c r="F30" s="2203">
        <f t="shared" ref="F30" si="20">F28</f>
        <v>10</v>
      </c>
      <c r="G30" s="2203"/>
      <c r="H30" s="2218">
        <f t="shared" si="0"/>
        <v>500</v>
      </c>
      <c r="I30" s="2316">
        <f t="shared" si="1"/>
        <v>1.0416666666666999E-2</v>
      </c>
      <c r="J30" s="2346">
        <f t="shared" si="2"/>
        <v>192500</v>
      </c>
      <c r="K30" s="2376">
        <f t="shared" si="3"/>
        <v>4.0104166666666696</v>
      </c>
      <c r="L30" s="2422" t="s">
        <v>193</v>
      </c>
      <c r="M30" s="2152">
        <f t="shared" si="4"/>
        <v>0</v>
      </c>
      <c r="N30" s="2189">
        <f t="shared" si="5"/>
        <v>0.1</v>
      </c>
      <c r="O30" s="2172" t="s">
        <v>194</v>
      </c>
      <c r="P30" s="2081">
        <f>CHOOSE(U30,BW30,BX30,BY30,BZ30,CA30,CB30,CC30,CD30,CE30,CF30,CG30)</f>
        <v>2</v>
      </c>
      <c r="Q30" s="2084">
        <f>IF((V30&lt;=U30),CHOOSE(U30,BW30,BX30,BY30,BZ30,CA30,CB30,CC30,CD30,CE30,CF30,CG30),CHOOSE(V30,BW30,BX30,BY30,BZ30,CA30,CB30,CC30,CD30,CE30,CF30,CG30))</f>
        <v>15</v>
      </c>
      <c r="R30" s="222"/>
      <c r="T30" s="62" t="s">
        <v>192</v>
      </c>
      <c r="U30" s="1">
        <f t="shared" si="6"/>
        <v>1</v>
      </c>
      <c r="V30" s="171">
        <f>F30+1</f>
        <v>11</v>
      </c>
      <c r="W30" s="1">
        <f t="shared" si="7"/>
        <v>10</v>
      </c>
      <c r="Y30" s="69">
        <v>500</v>
      </c>
      <c r="Z30" s="34">
        <v>2000</v>
      </c>
      <c r="AA30" s="34">
        <v>4500</v>
      </c>
      <c r="AB30" s="34">
        <v>8000</v>
      </c>
      <c r="AC30" s="34">
        <v>12500</v>
      </c>
      <c r="AD30" s="34">
        <v>18000</v>
      </c>
      <c r="AE30" s="34">
        <v>24500</v>
      </c>
      <c r="AF30" s="34">
        <v>32000</v>
      </c>
      <c r="AG30" s="34">
        <v>40500</v>
      </c>
      <c r="AH30" s="34">
        <v>50000</v>
      </c>
      <c r="AI30" s="8">
        <v>0</v>
      </c>
      <c r="AK30" s="20">
        <v>1.0416666666666999E-2</v>
      </c>
      <c r="AL30" s="20">
        <v>4.1666666666666997E-2</v>
      </c>
      <c r="AM30" s="20">
        <v>9.375E-2</v>
      </c>
      <c r="AN30" s="20">
        <v>0.16666666666666699</v>
      </c>
      <c r="AO30" s="20">
        <v>0.26041666666666702</v>
      </c>
      <c r="AP30" s="20">
        <v>0.375</v>
      </c>
      <c r="AQ30" s="20">
        <v>0.51041666666666696</v>
      </c>
      <c r="AR30" s="20">
        <v>0.66666666666666696</v>
      </c>
      <c r="AS30" s="20">
        <v>0.84375</v>
      </c>
      <c r="AT30" s="20">
        <v>1.0416666666666701</v>
      </c>
      <c r="AU30" s="20">
        <v>0</v>
      </c>
      <c r="AX30" s="34">
        <v>0</v>
      </c>
      <c r="AY30" s="34">
        <v>500</v>
      </c>
      <c r="AZ30" s="34">
        <v>2500</v>
      </c>
      <c r="BA30" s="34">
        <v>7000</v>
      </c>
      <c r="BB30" s="34">
        <v>15000</v>
      </c>
      <c r="BC30" s="34">
        <v>27500</v>
      </c>
      <c r="BD30" s="34">
        <v>45500</v>
      </c>
      <c r="BE30" s="34">
        <v>70000</v>
      </c>
      <c r="BF30" s="34">
        <v>102000</v>
      </c>
      <c r="BG30" s="34">
        <v>142500</v>
      </c>
      <c r="BH30" s="34">
        <v>192500</v>
      </c>
      <c r="BJ30" s="49">
        <f t="shared" si="8"/>
        <v>4.0104166666666696</v>
      </c>
      <c r="BK30" s="72">
        <v>0</v>
      </c>
      <c r="BL30" s="72">
        <v>1.0416666666666999E-2</v>
      </c>
      <c r="BM30" s="72">
        <v>5.2083333333333003E-2</v>
      </c>
      <c r="BN30" s="72">
        <v>0.14583333333333301</v>
      </c>
      <c r="BO30" s="72">
        <v>0.3125</v>
      </c>
      <c r="BP30" s="72">
        <v>0.57291666666666696</v>
      </c>
      <c r="BQ30" s="72">
        <v>0.94791666666666696</v>
      </c>
      <c r="BR30" s="72">
        <v>1.4583333333333299</v>
      </c>
      <c r="BS30" s="72">
        <v>2.125</v>
      </c>
      <c r="BT30" s="72">
        <v>2.96875</v>
      </c>
      <c r="BU30" s="72">
        <v>4.0104166666666696</v>
      </c>
      <c r="BW30" s="1">
        <v>2</v>
      </c>
      <c r="BX30" s="1">
        <v>4</v>
      </c>
      <c r="BY30" s="1">
        <v>6</v>
      </c>
      <c r="BZ30" s="1">
        <v>8</v>
      </c>
      <c r="CA30" s="1">
        <v>9</v>
      </c>
      <c r="CB30" s="1">
        <v>15</v>
      </c>
      <c r="CC30" s="1">
        <v>15</v>
      </c>
      <c r="CD30" s="1">
        <v>15</v>
      </c>
      <c r="CE30" s="1">
        <v>15</v>
      </c>
      <c r="CF30" s="1">
        <v>15</v>
      </c>
      <c r="CG30" s="1">
        <v>15</v>
      </c>
      <c r="CI30" s="1">
        <f t="shared" si="9"/>
        <v>11</v>
      </c>
    </row>
    <row r="31" spans="2:87" ht="16.5" customHeight="1">
      <c r="B31" s="2225"/>
      <c r="C31" s="2248"/>
      <c r="D31" s="2249"/>
      <c r="E31" s="460"/>
      <c r="F31" s="2203"/>
      <c r="G31" s="2203"/>
      <c r="H31" s="2219"/>
      <c r="I31" s="2317"/>
      <c r="J31" s="2347"/>
      <c r="K31" s="2377"/>
      <c r="L31" s="2423"/>
      <c r="M31" s="2153"/>
      <c r="N31" s="2190"/>
      <c r="O31" s="2173"/>
      <c r="P31" s="2082"/>
      <c r="Q31" s="2085"/>
      <c r="R31" s="222"/>
      <c r="T31" s="62"/>
      <c r="U31" s="171"/>
      <c r="V31" s="171"/>
      <c r="W31" s="171"/>
      <c r="X31" s="171"/>
      <c r="Y31" s="69"/>
      <c r="Z31" s="34"/>
      <c r="AA31" s="34"/>
      <c r="AB31" s="34"/>
      <c r="AC31" s="34"/>
      <c r="AD31" s="34"/>
      <c r="AE31" s="34"/>
      <c r="AF31" s="34"/>
      <c r="AG31" s="34"/>
      <c r="AH31" s="34"/>
      <c r="AK31" s="20"/>
      <c r="AL31" s="20"/>
      <c r="AM31" s="20"/>
      <c r="AN31" s="20"/>
      <c r="AO31" s="20"/>
      <c r="AP31" s="20"/>
      <c r="AQ31" s="20"/>
      <c r="AR31" s="20"/>
      <c r="AS31" s="20"/>
      <c r="AT31" s="20"/>
      <c r="AU31" s="20"/>
      <c r="AX31" s="34"/>
      <c r="AY31" s="34"/>
      <c r="AZ31" s="34"/>
      <c r="BA31" s="34"/>
      <c r="BB31" s="34"/>
      <c r="BC31" s="34"/>
      <c r="BD31" s="34"/>
      <c r="BE31" s="34"/>
      <c r="BF31" s="34"/>
      <c r="BG31" s="34"/>
      <c r="BH31" s="34"/>
      <c r="BJ31" s="49"/>
      <c r="BK31" s="72"/>
      <c r="BL31" s="72"/>
      <c r="BM31" s="72"/>
      <c r="BN31" s="72"/>
      <c r="BO31" s="72"/>
      <c r="BP31" s="72"/>
      <c r="BQ31" s="72"/>
      <c r="BR31" s="72"/>
      <c r="BS31" s="72"/>
      <c r="BT31" s="72"/>
      <c r="BU31" s="72"/>
      <c r="BW31" s="171"/>
      <c r="BX31" s="171"/>
      <c r="BY31" s="171"/>
      <c r="BZ31" s="171"/>
      <c r="CA31" s="171"/>
      <c r="CB31" s="171"/>
      <c r="CC31" s="171"/>
      <c r="CD31" s="171"/>
      <c r="CE31" s="171"/>
      <c r="CF31" s="171"/>
      <c r="CG31" s="171"/>
      <c r="CH31" s="171"/>
      <c r="CI31" s="171"/>
    </row>
    <row r="32" spans="2:87" ht="16.5" customHeight="1">
      <c r="B32" s="2225"/>
      <c r="C32" s="2250" t="s">
        <v>195</v>
      </c>
      <c r="D32" s="2251">
        <v>0</v>
      </c>
      <c r="E32" s="461"/>
      <c r="F32" s="2203">
        <f t="shared" ref="F32" si="21">F30</f>
        <v>10</v>
      </c>
      <c r="G32" s="2203"/>
      <c r="H32" s="2220">
        <f t="shared" si="0"/>
        <v>500</v>
      </c>
      <c r="I32" s="2314">
        <f t="shared" si="1"/>
        <v>1.0416666666666999E-2</v>
      </c>
      <c r="J32" s="2344">
        <f t="shared" si="2"/>
        <v>192500</v>
      </c>
      <c r="K32" s="2374">
        <f t="shared" si="3"/>
        <v>4.0104166666666696</v>
      </c>
      <c r="L32" s="2420" t="s">
        <v>196</v>
      </c>
      <c r="M32" s="2154">
        <f t="shared" si="4"/>
        <v>0</v>
      </c>
      <c r="N32" s="2187">
        <f t="shared" si="5"/>
        <v>0.1</v>
      </c>
      <c r="O32" s="2173"/>
      <c r="P32" s="2082"/>
      <c r="Q32" s="2085"/>
      <c r="R32" s="222"/>
      <c r="T32" s="62" t="s">
        <v>195</v>
      </c>
      <c r="U32" s="1">
        <f t="shared" si="6"/>
        <v>1</v>
      </c>
      <c r="V32" s="171">
        <f>F32+1</f>
        <v>11</v>
      </c>
      <c r="W32" s="1">
        <f t="shared" si="7"/>
        <v>10</v>
      </c>
      <c r="Y32" s="69">
        <v>500</v>
      </c>
      <c r="Z32" s="34">
        <v>2000</v>
      </c>
      <c r="AA32" s="34">
        <v>4500</v>
      </c>
      <c r="AB32" s="34">
        <v>8000</v>
      </c>
      <c r="AC32" s="34">
        <v>12500</v>
      </c>
      <c r="AD32" s="34">
        <v>18000</v>
      </c>
      <c r="AE32" s="34">
        <v>24500</v>
      </c>
      <c r="AF32" s="34">
        <v>32000</v>
      </c>
      <c r="AG32" s="34">
        <v>40500</v>
      </c>
      <c r="AH32" s="34">
        <v>50000</v>
      </c>
      <c r="AI32" s="8">
        <v>0</v>
      </c>
      <c r="AK32" s="20">
        <v>1.0416666666666999E-2</v>
      </c>
      <c r="AL32" s="20">
        <v>4.1666666666666997E-2</v>
      </c>
      <c r="AM32" s="20">
        <v>9.375E-2</v>
      </c>
      <c r="AN32" s="20">
        <v>0.16666666666666699</v>
      </c>
      <c r="AO32" s="20">
        <v>0.26041666666666702</v>
      </c>
      <c r="AP32" s="20">
        <v>0.375</v>
      </c>
      <c r="AQ32" s="20">
        <v>0.51041666666666696</v>
      </c>
      <c r="AR32" s="20">
        <v>0.66666666666666696</v>
      </c>
      <c r="AS32" s="20">
        <v>0.84375</v>
      </c>
      <c r="AT32" s="20">
        <v>1.0416666666666701</v>
      </c>
      <c r="AU32" s="20">
        <v>0</v>
      </c>
      <c r="AX32" s="34">
        <v>0</v>
      </c>
      <c r="AY32" s="34">
        <v>500</v>
      </c>
      <c r="AZ32" s="34">
        <v>2500</v>
      </c>
      <c r="BA32" s="34">
        <v>7000</v>
      </c>
      <c r="BB32" s="34">
        <v>15000</v>
      </c>
      <c r="BC32" s="34">
        <v>27500</v>
      </c>
      <c r="BD32" s="34">
        <v>45500</v>
      </c>
      <c r="BE32" s="34">
        <v>70000</v>
      </c>
      <c r="BF32" s="34">
        <v>102000</v>
      </c>
      <c r="BG32" s="34">
        <v>142500</v>
      </c>
      <c r="BH32" s="34">
        <v>192500</v>
      </c>
      <c r="BJ32" s="49">
        <f t="shared" si="8"/>
        <v>4.0104166666666696</v>
      </c>
      <c r="BK32" s="72">
        <v>0</v>
      </c>
      <c r="BL32" s="72">
        <v>1.0416666666666999E-2</v>
      </c>
      <c r="BM32" s="72">
        <v>5.2083333333333003E-2</v>
      </c>
      <c r="BN32" s="72">
        <v>0.14583333333333301</v>
      </c>
      <c r="BO32" s="72">
        <v>0.3125</v>
      </c>
      <c r="BP32" s="72">
        <v>0.57291666666666696</v>
      </c>
      <c r="BQ32" s="72">
        <v>0.94791666666666696</v>
      </c>
      <c r="BR32" s="72">
        <v>1.4583333333333299</v>
      </c>
      <c r="BS32" s="72">
        <v>2.125</v>
      </c>
      <c r="BT32" s="72">
        <v>2.96875</v>
      </c>
      <c r="BU32" s="72">
        <v>4.0104166666666696</v>
      </c>
      <c r="BW32" s="1">
        <v>2</v>
      </c>
      <c r="BX32" s="1">
        <v>4</v>
      </c>
      <c r="BY32" s="1">
        <v>6</v>
      </c>
      <c r="BZ32" s="1">
        <v>8</v>
      </c>
      <c r="CA32" s="1">
        <v>9</v>
      </c>
      <c r="CB32" s="1">
        <v>15</v>
      </c>
      <c r="CC32" s="1">
        <v>15</v>
      </c>
      <c r="CD32" s="1">
        <v>15</v>
      </c>
      <c r="CE32" s="1">
        <v>15</v>
      </c>
      <c r="CF32" s="1">
        <v>15</v>
      </c>
      <c r="CG32" s="1">
        <v>15</v>
      </c>
      <c r="CI32" s="1">
        <f t="shared" si="9"/>
        <v>11</v>
      </c>
    </row>
    <row r="33" spans="2:87" ht="16.5" customHeight="1">
      <c r="B33" s="2225"/>
      <c r="C33" s="2250"/>
      <c r="D33" s="2251"/>
      <c r="E33" s="461"/>
      <c r="F33" s="2203"/>
      <c r="G33" s="2203"/>
      <c r="H33" s="2221"/>
      <c r="I33" s="2315"/>
      <c r="J33" s="2345"/>
      <c r="K33" s="2375"/>
      <c r="L33" s="2421"/>
      <c r="M33" s="2155"/>
      <c r="N33" s="2188"/>
      <c r="O33" s="2173"/>
      <c r="P33" s="2082"/>
      <c r="Q33" s="2085"/>
      <c r="R33" s="222"/>
      <c r="T33" s="62"/>
      <c r="U33" s="171"/>
      <c r="V33" s="171"/>
      <c r="W33" s="171"/>
      <c r="X33" s="171"/>
      <c r="Y33" s="69"/>
      <c r="Z33" s="34"/>
      <c r="AA33" s="34"/>
      <c r="AB33" s="34"/>
      <c r="AC33" s="34"/>
      <c r="AD33" s="34"/>
      <c r="AE33" s="34"/>
      <c r="AF33" s="34"/>
      <c r="AG33" s="34"/>
      <c r="AH33" s="34"/>
      <c r="AK33" s="20"/>
      <c r="AL33" s="20"/>
      <c r="AM33" s="20"/>
      <c r="AN33" s="20"/>
      <c r="AO33" s="20"/>
      <c r="AP33" s="20"/>
      <c r="AQ33" s="20"/>
      <c r="AR33" s="20"/>
      <c r="AS33" s="20"/>
      <c r="AT33" s="20"/>
      <c r="AU33" s="20"/>
      <c r="AX33" s="34"/>
      <c r="AY33" s="34"/>
      <c r="AZ33" s="34"/>
      <c r="BA33" s="34"/>
      <c r="BB33" s="34"/>
      <c r="BC33" s="34"/>
      <c r="BD33" s="34"/>
      <c r="BE33" s="34"/>
      <c r="BF33" s="34"/>
      <c r="BG33" s="34"/>
      <c r="BH33" s="34"/>
      <c r="BJ33" s="49"/>
      <c r="BK33" s="72"/>
      <c r="BL33" s="72"/>
      <c r="BM33" s="72"/>
      <c r="BN33" s="72"/>
      <c r="BO33" s="72"/>
      <c r="BP33" s="72"/>
      <c r="BQ33" s="72"/>
      <c r="BR33" s="72"/>
      <c r="BS33" s="72"/>
      <c r="BT33" s="72"/>
      <c r="BU33" s="72"/>
      <c r="BW33" s="171"/>
      <c r="BX33" s="171"/>
      <c r="BY33" s="171"/>
      <c r="BZ33" s="171"/>
      <c r="CA33" s="171"/>
      <c r="CB33" s="171"/>
      <c r="CC33" s="171"/>
      <c r="CD33" s="171"/>
      <c r="CE33" s="171"/>
      <c r="CF33" s="171"/>
      <c r="CG33" s="171"/>
      <c r="CH33" s="171"/>
      <c r="CI33" s="171"/>
    </row>
    <row r="34" spans="2:87" ht="16.5" customHeight="1">
      <c r="B34" s="2225"/>
      <c r="C34" s="2250" t="s">
        <v>197</v>
      </c>
      <c r="D34" s="2251">
        <v>0</v>
      </c>
      <c r="E34" s="461"/>
      <c r="F34" s="2203">
        <f t="shared" ref="F34" si="22">F32</f>
        <v>10</v>
      </c>
      <c r="G34" s="2203"/>
      <c r="H34" s="2220">
        <f t="shared" si="0"/>
        <v>500</v>
      </c>
      <c r="I34" s="2314">
        <f t="shared" si="1"/>
        <v>1.0416666666666999E-2</v>
      </c>
      <c r="J34" s="2344">
        <f t="shared" si="2"/>
        <v>192500</v>
      </c>
      <c r="K34" s="2374">
        <f t="shared" si="3"/>
        <v>4.0104166666666696</v>
      </c>
      <c r="L34" s="2420" t="s">
        <v>198</v>
      </c>
      <c r="M34" s="2154">
        <f t="shared" si="4"/>
        <v>0</v>
      </c>
      <c r="N34" s="2187">
        <f t="shared" si="5"/>
        <v>0.1</v>
      </c>
      <c r="O34" s="2173"/>
      <c r="P34" s="2082"/>
      <c r="Q34" s="2085"/>
      <c r="R34" s="222"/>
      <c r="T34" s="62" t="s">
        <v>197</v>
      </c>
      <c r="U34" s="1">
        <f t="shared" si="6"/>
        <v>1</v>
      </c>
      <c r="V34" s="171">
        <f>F34+1</f>
        <v>11</v>
      </c>
      <c r="W34" s="1">
        <f t="shared" si="7"/>
        <v>10</v>
      </c>
      <c r="Y34" s="69">
        <v>500</v>
      </c>
      <c r="Z34" s="34">
        <v>2000</v>
      </c>
      <c r="AA34" s="34">
        <v>4500</v>
      </c>
      <c r="AB34" s="34">
        <v>8000</v>
      </c>
      <c r="AC34" s="34">
        <v>12500</v>
      </c>
      <c r="AD34" s="34">
        <v>18000</v>
      </c>
      <c r="AE34" s="34">
        <v>24500</v>
      </c>
      <c r="AF34" s="34">
        <v>32000</v>
      </c>
      <c r="AG34" s="34">
        <v>40500</v>
      </c>
      <c r="AH34" s="34">
        <v>50000</v>
      </c>
      <c r="AI34" s="8">
        <v>0</v>
      </c>
      <c r="AK34" s="20">
        <v>1.0416666666666999E-2</v>
      </c>
      <c r="AL34" s="20">
        <v>4.1666666666666997E-2</v>
      </c>
      <c r="AM34" s="20">
        <v>9.375E-2</v>
      </c>
      <c r="AN34" s="20">
        <v>0.16666666666666699</v>
      </c>
      <c r="AO34" s="20">
        <v>0.26041666666666702</v>
      </c>
      <c r="AP34" s="20">
        <v>0.375</v>
      </c>
      <c r="AQ34" s="20">
        <v>0.51041666666666696</v>
      </c>
      <c r="AR34" s="20">
        <v>0.66666666666666696</v>
      </c>
      <c r="AS34" s="20">
        <v>0.84375</v>
      </c>
      <c r="AT34" s="20">
        <v>1.0416666666666701</v>
      </c>
      <c r="AU34" s="20">
        <v>0</v>
      </c>
      <c r="AX34" s="34">
        <v>0</v>
      </c>
      <c r="AY34" s="34">
        <v>500</v>
      </c>
      <c r="AZ34" s="34">
        <v>2500</v>
      </c>
      <c r="BA34" s="34">
        <v>7000</v>
      </c>
      <c r="BB34" s="34">
        <v>15000</v>
      </c>
      <c r="BC34" s="34">
        <v>27500</v>
      </c>
      <c r="BD34" s="34">
        <v>45500</v>
      </c>
      <c r="BE34" s="34">
        <v>70000</v>
      </c>
      <c r="BF34" s="34">
        <v>102000</v>
      </c>
      <c r="BG34" s="34">
        <v>142500</v>
      </c>
      <c r="BH34" s="34">
        <v>192500</v>
      </c>
      <c r="BJ34" s="49">
        <f t="shared" si="8"/>
        <v>4.0104166666666696</v>
      </c>
      <c r="BK34" s="72">
        <v>0</v>
      </c>
      <c r="BL34" s="72">
        <v>1.0416666666666999E-2</v>
      </c>
      <c r="BM34" s="72">
        <v>5.2083333333333003E-2</v>
      </c>
      <c r="BN34" s="72">
        <v>0.14583333333333301</v>
      </c>
      <c r="BO34" s="72">
        <v>0.3125</v>
      </c>
      <c r="BP34" s="72">
        <v>0.57291666666666696</v>
      </c>
      <c r="BQ34" s="72">
        <v>0.94791666666666696</v>
      </c>
      <c r="BR34" s="72">
        <v>1.4583333333333299</v>
      </c>
      <c r="BS34" s="72">
        <v>2.125</v>
      </c>
      <c r="BT34" s="72">
        <v>2.96875</v>
      </c>
      <c r="BU34" s="72">
        <v>4.0104166666666696</v>
      </c>
      <c r="BW34" s="1">
        <v>2</v>
      </c>
      <c r="BX34" s="1">
        <v>4</v>
      </c>
      <c r="BY34" s="1">
        <v>6</v>
      </c>
      <c r="BZ34" s="1">
        <v>8</v>
      </c>
      <c r="CA34" s="1">
        <v>9</v>
      </c>
      <c r="CB34" s="1">
        <v>15</v>
      </c>
      <c r="CC34" s="1">
        <v>15</v>
      </c>
      <c r="CD34" s="1">
        <v>15</v>
      </c>
      <c r="CE34" s="1">
        <v>15</v>
      </c>
      <c r="CF34" s="1">
        <v>15</v>
      </c>
      <c r="CG34" s="1">
        <v>15</v>
      </c>
      <c r="CI34" s="1">
        <f t="shared" si="9"/>
        <v>11</v>
      </c>
    </row>
    <row r="35" spans="2:87" ht="16.5" customHeight="1">
      <c r="B35" s="2225"/>
      <c r="C35" s="2250"/>
      <c r="D35" s="2251"/>
      <c r="E35" s="461"/>
      <c r="F35" s="2203"/>
      <c r="G35" s="2203"/>
      <c r="H35" s="2221"/>
      <c r="I35" s="2315"/>
      <c r="J35" s="2345"/>
      <c r="K35" s="2375"/>
      <c r="L35" s="2421"/>
      <c r="M35" s="2155"/>
      <c r="N35" s="2188"/>
      <c r="O35" s="2174"/>
      <c r="P35" s="2083"/>
      <c r="Q35" s="2086"/>
      <c r="R35" s="222"/>
      <c r="T35" s="62"/>
      <c r="U35" s="171"/>
      <c r="V35" s="171"/>
      <c r="W35" s="171"/>
      <c r="X35" s="171"/>
      <c r="Y35" s="69"/>
      <c r="Z35" s="34"/>
      <c r="AA35" s="34"/>
      <c r="AB35" s="34"/>
      <c r="AC35" s="34"/>
      <c r="AD35" s="34"/>
      <c r="AE35" s="34"/>
      <c r="AF35" s="34"/>
      <c r="AG35" s="34"/>
      <c r="AH35" s="34"/>
      <c r="AK35" s="20"/>
      <c r="AL35" s="20"/>
      <c r="AM35" s="20"/>
      <c r="AN35" s="20"/>
      <c r="AO35" s="20"/>
      <c r="AP35" s="20"/>
      <c r="AQ35" s="20"/>
      <c r="AR35" s="20"/>
      <c r="AS35" s="20"/>
      <c r="AT35" s="20"/>
      <c r="AU35" s="20"/>
      <c r="AX35" s="34"/>
      <c r="AY35" s="34"/>
      <c r="AZ35" s="34"/>
      <c r="BA35" s="34"/>
      <c r="BB35" s="34"/>
      <c r="BC35" s="34"/>
      <c r="BD35" s="34"/>
      <c r="BE35" s="34"/>
      <c r="BF35" s="34"/>
      <c r="BG35" s="34"/>
      <c r="BH35" s="34"/>
      <c r="BJ35" s="49"/>
      <c r="BK35" s="72"/>
      <c r="BL35" s="72"/>
      <c r="BM35" s="72"/>
      <c r="BN35" s="72"/>
      <c r="BO35" s="72"/>
      <c r="BP35" s="72"/>
      <c r="BQ35" s="72"/>
      <c r="BR35" s="72"/>
      <c r="BS35" s="72"/>
      <c r="BT35" s="72"/>
      <c r="BU35" s="72"/>
      <c r="BW35" s="171"/>
      <c r="BX35" s="171"/>
      <c r="BY35" s="171"/>
      <c r="BZ35" s="171"/>
      <c r="CA35" s="171"/>
      <c r="CB35" s="171"/>
      <c r="CC35" s="171"/>
      <c r="CD35" s="171"/>
      <c r="CE35" s="171"/>
      <c r="CF35" s="171"/>
      <c r="CG35" s="171"/>
      <c r="CH35" s="171"/>
      <c r="CI35" s="171"/>
    </row>
    <row r="36" spans="2:87" ht="16.5" customHeight="1">
      <c r="B36" s="2225"/>
      <c r="C36" s="2248" t="s">
        <v>199</v>
      </c>
      <c r="D36" s="2249">
        <v>0</v>
      </c>
      <c r="E36" s="460"/>
      <c r="F36" s="2203">
        <f t="shared" ref="F36" si="23">F34</f>
        <v>10</v>
      </c>
      <c r="G36" s="2203"/>
      <c r="H36" s="2218">
        <f t="shared" si="0"/>
        <v>500</v>
      </c>
      <c r="I36" s="2316">
        <f t="shared" si="1"/>
        <v>1.0416666666666999E-2</v>
      </c>
      <c r="J36" s="2346">
        <f t="shared" si="2"/>
        <v>192500</v>
      </c>
      <c r="K36" s="2376">
        <f t="shared" si="3"/>
        <v>4.0104166666666696</v>
      </c>
      <c r="L36" s="2422" t="s">
        <v>200</v>
      </c>
      <c r="M36" s="2152">
        <f t="shared" si="4"/>
        <v>0</v>
      </c>
      <c r="N36" s="2189">
        <f t="shared" si="5"/>
        <v>0.1</v>
      </c>
      <c r="O36" s="2172" t="s">
        <v>201</v>
      </c>
      <c r="P36" s="2081">
        <f>CHOOSE(U36,BW36,BX36,BY36,BZ36,CA36,CB36,CC36,CD36,CE36,CF36,CG36)</f>
        <v>2</v>
      </c>
      <c r="Q36" s="2087">
        <f>IF((V36&lt;=U36),CHOOSE(U36,BW36,BX36,BY36,BZ36,CA36,CB36,CC36,CD36,CE36,CF36,CG36),CHOOSE(V36,BW36,BX36,BY36,BZ36,CA36,CB36,CC36,CD36,CE36,CF36,CG36))</f>
        <v>15</v>
      </c>
      <c r="R36" s="222"/>
      <c r="T36" s="62" t="s">
        <v>199</v>
      </c>
      <c r="U36" s="1">
        <f t="shared" si="6"/>
        <v>1</v>
      </c>
      <c r="V36" s="171">
        <f>F36+1</f>
        <v>11</v>
      </c>
      <c r="W36" s="1">
        <f t="shared" si="7"/>
        <v>10</v>
      </c>
      <c r="Y36" s="69">
        <v>500</v>
      </c>
      <c r="Z36" s="34">
        <v>2000</v>
      </c>
      <c r="AA36" s="34">
        <v>4500</v>
      </c>
      <c r="AB36" s="34">
        <v>8000</v>
      </c>
      <c r="AC36" s="34">
        <v>12500</v>
      </c>
      <c r="AD36" s="34">
        <v>18000</v>
      </c>
      <c r="AE36" s="34">
        <v>24500</v>
      </c>
      <c r="AF36" s="34">
        <v>32000</v>
      </c>
      <c r="AG36" s="34">
        <v>40500</v>
      </c>
      <c r="AH36" s="34">
        <v>50000</v>
      </c>
      <c r="AI36" s="8">
        <v>0</v>
      </c>
      <c r="AK36" s="20">
        <v>1.0416666666666999E-2</v>
      </c>
      <c r="AL36" s="20">
        <v>4.1666666666666997E-2</v>
      </c>
      <c r="AM36" s="20">
        <v>9.375E-2</v>
      </c>
      <c r="AN36" s="20">
        <v>0.16666666666666699</v>
      </c>
      <c r="AO36" s="20">
        <v>0.26041666666666702</v>
      </c>
      <c r="AP36" s="20">
        <v>0.375</v>
      </c>
      <c r="AQ36" s="20">
        <v>0.51041666666666696</v>
      </c>
      <c r="AR36" s="20">
        <v>0.66666666666666696</v>
      </c>
      <c r="AS36" s="20">
        <v>0.84375</v>
      </c>
      <c r="AT36" s="20">
        <v>1.0416666666666701</v>
      </c>
      <c r="AU36" s="20">
        <v>0</v>
      </c>
      <c r="AX36" s="34">
        <v>0</v>
      </c>
      <c r="AY36" s="34">
        <v>500</v>
      </c>
      <c r="AZ36" s="34">
        <v>2500</v>
      </c>
      <c r="BA36" s="34">
        <v>7000</v>
      </c>
      <c r="BB36" s="34">
        <v>15000</v>
      </c>
      <c r="BC36" s="34">
        <v>27500</v>
      </c>
      <c r="BD36" s="34">
        <v>45500</v>
      </c>
      <c r="BE36" s="34">
        <v>70000</v>
      </c>
      <c r="BF36" s="34">
        <v>102000</v>
      </c>
      <c r="BG36" s="34">
        <v>142500</v>
      </c>
      <c r="BH36" s="34">
        <v>192500</v>
      </c>
      <c r="BJ36" s="49">
        <f t="shared" si="8"/>
        <v>4.0104166666666696</v>
      </c>
      <c r="BK36" s="72">
        <v>0</v>
      </c>
      <c r="BL36" s="72">
        <v>1.0416666666666999E-2</v>
      </c>
      <c r="BM36" s="72">
        <v>5.2083333333333003E-2</v>
      </c>
      <c r="BN36" s="72">
        <v>0.14583333333333301</v>
      </c>
      <c r="BO36" s="72">
        <v>0.3125</v>
      </c>
      <c r="BP36" s="72">
        <v>0.57291666666666696</v>
      </c>
      <c r="BQ36" s="72">
        <v>0.94791666666666696</v>
      </c>
      <c r="BR36" s="72">
        <v>1.4583333333333299</v>
      </c>
      <c r="BS36" s="72">
        <v>2.125</v>
      </c>
      <c r="BT36" s="72">
        <v>2.96875</v>
      </c>
      <c r="BU36" s="72">
        <v>4.0104166666666696</v>
      </c>
      <c r="BW36" s="1">
        <v>2</v>
      </c>
      <c r="BX36" s="1">
        <v>4</v>
      </c>
      <c r="BY36" s="1">
        <v>6</v>
      </c>
      <c r="BZ36" s="1">
        <v>8</v>
      </c>
      <c r="CA36" s="1">
        <v>9</v>
      </c>
      <c r="CB36" s="1">
        <v>15</v>
      </c>
      <c r="CC36" s="1">
        <v>15</v>
      </c>
      <c r="CD36" s="1">
        <v>15</v>
      </c>
      <c r="CE36" s="1">
        <v>15</v>
      </c>
      <c r="CF36" s="1">
        <v>15</v>
      </c>
      <c r="CG36" s="1">
        <v>15</v>
      </c>
      <c r="CI36" s="1">
        <f t="shared" si="9"/>
        <v>11</v>
      </c>
    </row>
    <row r="37" spans="2:87" ht="16.5" customHeight="1">
      <c r="B37" s="2225"/>
      <c r="C37" s="2248"/>
      <c r="D37" s="2249"/>
      <c r="E37" s="460"/>
      <c r="F37" s="2203"/>
      <c r="G37" s="2203"/>
      <c r="H37" s="2219"/>
      <c r="I37" s="2317"/>
      <c r="J37" s="2347"/>
      <c r="K37" s="2377"/>
      <c r="L37" s="2423"/>
      <c r="M37" s="2153"/>
      <c r="N37" s="2190"/>
      <c r="O37" s="2173"/>
      <c r="P37" s="2082"/>
      <c r="Q37" s="2088"/>
      <c r="R37" s="222"/>
      <c r="T37" s="62"/>
      <c r="U37" s="171"/>
      <c r="V37" s="171"/>
      <c r="W37" s="171"/>
      <c r="X37" s="171"/>
      <c r="Y37" s="69"/>
      <c r="Z37" s="34"/>
      <c r="AA37" s="34"/>
      <c r="AB37" s="34"/>
      <c r="AC37" s="34"/>
      <c r="AD37" s="34"/>
      <c r="AE37" s="34"/>
      <c r="AF37" s="34"/>
      <c r="AG37" s="34"/>
      <c r="AH37" s="34"/>
      <c r="AK37" s="20"/>
      <c r="AL37" s="20"/>
      <c r="AM37" s="20"/>
      <c r="AN37" s="20"/>
      <c r="AO37" s="20"/>
      <c r="AP37" s="20"/>
      <c r="AQ37" s="20"/>
      <c r="AR37" s="20"/>
      <c r="AS37" s="20"/>
      <c r="AT37" s="20"/>
      <c r="AU37" s="20"/>
      <c r="AX37" s="34"/>
      <c r="AY37" s="34"/>
      <c r="AZ37" s="34"/>
      <c r="BA37" s="34"/>
      <c r="BB37" s="34"/>
      <c r="BC37" s="34"/>
      <c r="BD37" s="34"/>
      <c r="BE37" s="34"/>
      <c r="BF37" s="34"/>
      <c r="BG37" s="34"/>
      <c r="BH37" s="34"/>
      <c r="BJ37" s="49"/>
      <c r="BK37" s="72"/>
      <c r="BL37" s="72"/>
      <c r="BM37" s="72"/>
      <c r="BN37" s="72"/>
      <c r="BO37" s="72"/>
      <c r="BP37" s="72"/>
      <c r="BQ37" s="72"/>
      <c r="BR37" s="72"/>
      <c r="BS37" s="72"/>
      <c r="BT37" s="72"/>
      <c r="BU37" s="72"/>
      <c r="BW37" s="171"/>
      <c r="BX37" s="171"/>
      <c r="BY37" s="171"/>
      <c r="BZ37" s="171"/>
      <c r="CA37" s="171"/>
      <c r="CB37" s="171"/>
      <c r="CC37" s="171"/>
      <c r="CD37" s="171"/>
      <c r="CE37" s="171"/>
      <c r="CF37" s="171"/>
      <c r="CG37" s="171"/>
      <c r="CH37" s="171"/>
      <c r="CI37" s="171"/>
    </row>
    <row r="38" spans="2:87" ht="16.5" customHeight="1">
      <c r="B38" s="2225"/>
      <c r="C38" s="2250" t="s">
        <v>202</v>
      </c>
      <c r="D38" s="2251">
        <v>0</v>
      </c>
      <c r="E38" s="461"/>
      <c r="F38" s="2203">
        <f t="shared" ref="F38" si="24">F36</f>
        <v>10</v>
      </c>
      <c r="G38" s="2203"/>
      <c r="H38" s="2220">
        <f t="shared" si="0"/>
        <v>500</v>
      </c>
      <c r="I38" s="2314">
        <f t="shared" si="1"/>
        <v>1.0416666666666999E-2</v>
      </c>
      <c r="J38" s="2344">
        <f t="shared" si="2"/>
        <v>192500</v>
      </c>
      <c r="K38" s="2374">
        <f t="shared" si="3"/>
        <v>4.0104166666666696</v>
      </c>
      <c r="L38" s="2420" t="s">
        <v>203</v>
      </c>
      <c r="M38" s="2154">
        <f t="shared" si="4"/>
        <v>0</v>
      </c>
      <c r="N38" s="2187">
        <f t="shared" si="5"/>
        <v>0.1</v>
      </c>
      <c r="O38" s="2173"/>
      <c r="P38" s="2082"/>
      <c r="Q38" s="2088"/>
      <c r="R38" s="222"/>
      <c r="T38" s="62" t="s">
        <v>202</v>
      </c>
      <c r="U38" s="1">
        <f t="shared" si="6"/>
        <v>1</v>
      </c>
      <c r="V38" s="171">
        <f>F38+1</f>
        <v>11</v>
      </c>
      <c r="W38" s="1">
        <f t="shared" si="7"/>
        <v>10</v>
      </c>
      <c r="Y38" s="69">
        <v>500</v>
      </c>
      <c r="Z38" s="34">
        <v>2000</v>
      </c>
      <c r="AA38" s="34">
        <v>4500</v>
      </c>
      <c r="AB38" s="34">
        <v>8000</v>
      </c>
      <c r="AC38" s="34">
        <v>12500</v>
      </c>
      <c r="AD38" s="34">
        <v>18000</v>
      </c>
      <c r="AE38" s="34">
        <v>24500</v>
      </c>
      <c r="AF38" s="34">
        <v>32000</v>
      </c>
      <c r="AG38" s="34">
        <v>40500</v>
      </c>
      <c r="AH38" s="34">
        <v>50000</v>
      </c>
      <c r="AI38" s="8">
        <v>0</v>
      </c>
      <c r="AK38" s="20">
        <v>1.0416666666666999E-2</v>
      </c>
      <c r="AL38" s="20">
        <v>4.1666666666666997E-2</v>
      </c>
      <c r="AM38" s="20">
        <v>9.375E-2</v>
      </c>
      <c r="AN38" s="20">
        <v>0.16666666666666699</v>
      </c>
      <c r="AO38" s="20">
        <v>0.26041666666666702</v>
      </c>
      <c r="AP38" s="20">
        <v>0.375</v>
      </c>
      <c r="AQ38" s="20">
        <v>0.51041666666666696</v>
      </c>
      <c r="AR38" s="20">
        <v>0.66666666666666696</v>
      </c>
      <c r="AS38" s="20">
        <v>0.84375</v>
      </c>
      <c r="AT38" s="20">
        <v>1.0416666666666701</v>
      </c>
      <c r="AU38" s="20">
        <v>0</v>
      </c>
      <c r="AX38" s="34">
        <v>0</v>
      </c>
      <c r="AY38" s="34">
        <v>500</v>
      </c>
      <c r="AZ38" s="34">
        <v>2500</v>
      </c>
      <c r="BA38" s="34">
        <v>7000</v>
      </c>
      <c r="BB38" s="34">
        <v>15000</v>
      </c>
      <c r="BC38" s="34">
        <v>27500</v>
      </c>
      <c r="BD38" s="34">
        <v>45500</v>
      </c>
      <c r="BE38" s="34">
        <v>70000</v>
      </c>
      <c r="BF38" s="34">
        <v>102000</v>
      </c>
      <c r="BG38" s="34">
        <v>142500</v>
      </c>
      <c r="BH38" s="34">
        <v>192500</v>
      </c>
      <c r="BJ38" s="49">
        <f t="shared" si="8"/>
        <v>4.0104166666666696</v>
      </c>
      <c r="BK38" s="72">
        <v>0</v>
      </c>
      <c r="BL38" s="72">
        <v>1.0416666666666999E-2</v>
      </c>
      <c r="BM38" s="72">
        <v>5.2083333333333003E-2</v>
      </c>
      <c r="BN38" s="72">
        <v>0.14583333333333301</v>
      </c>
      <c r="BO38" s="72">
        <v>0.3125</v>
      </c>
      <c r="BP38" s="72">
        <v>0.57291666666666696</v>
      </c>
      <c r="BQ38" s="72">
        <v>0.94791666666666696</v>
      </c>
      <c r="BR38" s="72">
        <v>1.4583333333333299</v>
      </c>
      <c r="BS38" s="72">
        <v>2.125</v>
      </c>
      <c r="BT38" s="72">
        <v>2.96875</v>
      </c>
      <c r="BU38" s="72">
        <v>4.0104166666666696</v>
      </c>
      <c r="BW38" s="1">
        <v>2</v>
      </c>
      <c r="BX38" s="1">
        <v>4</v>
      </c>
      <c r="BY38" s="1">
        <v>6</v>
      </c>
      <c r="BZ38" s="1">
        <v>8</v>
      </c>
      <c r="CA38" s="1">
        <v>9</v>
      </c>
      <c r="CB38" s="1">
        <v>15</v>
      </c>
      <c r="CC38" s="1">
        <v>15</v>
      </c>
      <c r="CD38" s="1">
        <v>15</v>
      </c>
      <c r="CE38" s="1">
        <v>15</v>
      </c>
      <c r="CF38" s="1">
        <v>15</v>
      </c>
      <c r="CG38" s="1">
        <v>15</v>
      </c>
      <c r="CI38" s="1">
        <f t="shared" si="9"/>
        <v>11</v>
      </c>
    </row>
    <row r="39" spans="2:87" ht="16.5" customHeight="1">
      <c r="B39" s="2225"/>
      <c r="C39" s="2250"/>
      <c r="D39" s="2251"/>
      <c r="E39" s="461"/>
      <c r="F39" s="2203"/>
      <c r="G39" s="2203"/>
      <c r="H39" s="2221"/>
      <c r="I39" s="2315"/>
      <c r="J39" s="2345"/>
      <c r="K39" s="2375"/>
      <c r="L39" s="2421"/>
      <c r="M39" s="2155"/>
      <c r="N39" s="2188"/>
      <c r="O39" s="2173"/>
      <c r="P39" s="2082"/>
      <c r="Q39" s="2088"/>
      <c r="R39" s="222"/>
      <c r="T39" s="62"/>
      <c r="U39" s="171"/>
      <c r="V39" s="171"/>
      <c r="W39" s="171"/>
      <c r="X39" s="171"/>
      <c r="Y39" s="69"/>
      <c r="Z39" s="34"/>
      <c r="AA39" s="34"/>
      <c r="AB39" s="34"/>
      <c r="AC39" s="34"/>
      <c r="AD39" s="34"/>
      <c r="AE39" s="34"/>
      <c r="AF39" s="34"/>
      <c r="AG39" s="34"/>
      <c r="AH39" s="34"/>
      <c r="AK39" s="20"/>
      <c r="AL39" s="20"/>
      <c r="AM39" s="20"/>
      <c r="AN39" s="20"/>
      <c r="AO39" s="20"/>
      <c r="AP39" s="20"/>
      <c r="AQ39" s="20"/>
      <c r="AR39" s="20"/>
      <c r="AS39" s="20"/>
      <c r="AT39" s="20"/>
      <c r="AU39" s="20"/>
      <c r="AX39" s="34"/>
      <c r="AY39" s="34"/>
      <c r="AZ39" s="34"/>
      <c r="BA39" s="34"/>
      <c r="BB39" s="34"/>
      <c r="BC39" s="34"/>
      <c r="BD39" s="34"/>
      <c r="BE39" s="34"/>
      <c r="BF39" s="34"/>
      <c r="BG39" s="34"/>
      <c r="BH39" s="34"/>
      <c r="BJ39" s="49"/>
      <c r="BK39" s="72"/>
      <c r="BL39" s="72"/>
      <c r="BM39" s="72"/>
      <c r="BN39" s="72"/>
      <c r="BO39" s="72"/>
      <c r="BP39" s="72"/>
      <c r="BQ39" s="72"/>
      <c r="BR39" s="72"/>
      <c r="BS39" s="72"/>
      <c r="BT39" s="72"/>
      <c r="BU39" s="72"/>
      <c r="BW39" s="171"/>
      <c r="BX39" s="171"/>
      <c r="BY39" s="171"/>
      <c r="BZ39" s="171"/>
      <c r="CA39" s="171"/>
      <c r="CB39" s="171"/>
      <c r="CC39" s="171"/>
      <c r="CD39" s="171"/>
      <c r="CE39" s="171"/>
      <c r="CF39" s="171"/>
      <c r="CG39" s="171"/>
      <c r="CH39" s="171"/>
      <c r="CI39" s="171"/>
    </row>
    <row r="40" spans="2:87" ht="16.5" customHeight="1">
      <c r="B40" s="2225"/>
      <c r="C40" s="2252" t="s">
        <v>204</v>
      </c>
      <c r="D40" s="2251">
        <v>0</v>
      </c>
      <c r="E40" s="461"/>
      <c r="F40" s="2203">
        <f t="shared" ref="F40" si="25">F38</f>
        <v>10</v>
      </c>
      <c r="G40" s="2203"/>
      <c r="H40" s="2212">
        <f t="shared" si="0"/>
        <v>500</v>
      </c>
      <c r="I40" s="2318">
        <f t="shared" si="1"/>
        <v>1.0416666666666999E-2</v>
      </c>
      <c r="J40" s="2348">
        <f t="shared" si="2"/>
        <v>192500</v>
      </c>
      <c r="K40" s="2378">
        <f t="shared" si="3"/>
        <v>4.0104166666666696</v>
      </c>
      <c r="L40" s="2424" t="s">
        <v>205</v>
      </c>
      <c r="M40" s="2156">
        <f t="shared" si="4"/>
        <v>0</v>
      </c>
      <c r="N40" s="2191">
        <f t="shared" si="5"/>
        <v>0.1</v>
      </c>
      <c r="O40" s="2173"/>
      <c r="P40" s="2082"/>
      <c r="Q40" s="2088"/>
      <c r="R40" s="222"/>
      <c r="T40" s="62" t="s">
        <v>204</v>
      </c>
      <c r="U40" s="1">
        <f t="shared" si="6"/>
        <v>1</v>
      </c>
      <c r="V40" s="171">
        <f>F40+1</f>
        <v>11</v>
      </c>
      <c r="W40" s="1">
        <f t="shared" si="7"/>
        <v>10</v>
      </c>
      <c r="Y40" s="69">
        <v>500</v>
      </c>
      <c r="Z40" s="34">
        <v>2000</v>
      </c>
      <c r="AA40" s="34">
        <v>4500</v>
      </c>
      <c r="AB40" s="34">
        <v>8000</v>
      </c>
      <c r="AC40" s="34">
        <v>12500</v>
      </c>
      <c r="AD40" s="34">
        <v>18000</v>
      </c>
      <c r="AE40" s="34">
        <v>24500</v>
      </c>
      <c r="AF40" s="34">
        <v>32000</v>
      </c>
      <c r="AG40" s="34">
        <v>40500</v>
      </c>
      <c r="AH40" s="34">
        <v>50000</v>
      </c>
      <c r="AI40" s="8">
        <v>0</v>
      </c>
      <c r="AK40" s="20">
        <v>1.0416666666666999E-2</v>
      </c>
      <c r="AL40" s="20">
        <v>4.1666666666666997E-2</v>
      </c>
      <c r="AM40" s="20">
        <v>9.375E-2</v>
      </c>
      <c r="AN40" s="20">
        <v>0.16666666666666699</v>
      </c>
      <c r="AO40" s="20">
        <v>0.26041666666666702</v>
      </c>
      <c r="AP40" s="20">
        <v>0.375</v>
      </c>
      <c r="AQ40" s="20">
        <v>0.51041666666666696</v>
      </c>
      <c r="AR40" s="20">
        <v>0.66666666666666696</v>
      </c>
      <c r="AS40" s="20">
        <v>0.84375</v>
      </c>
      <c r="AT40" s="20">
        <v>1.0416666666666701</v>
      </c>
      <c r="AU40" s="20">
        <v>0</v>
      </c>
      <c r="AX40" s="34">
        <v>0</v>
      </c>
      <c r="AY40" s="34">
        <v>500</v>
      </c>
      <c r="AZ40" s="34">
        <v>2500</v>
      </c>
      <c r="BA40" s="34">
        <v>7000</v>
      </c>
      <c r="BB40" s="34">
        <v>15000</v>
      </c>
      <c r="BC40" s="34">
        <v>27500</v>
      </c>
      <c r="BD40" s="34">
        <v>45500</v>
      </c>
      <c r="BE40" s="34">
        <v>70000</v>
      </c>
      <c r="BF40" s="34">
        <v>102000</v>
      </c>
      <c r="BG40" s="34">
        <v>142500</v>
      </c>
      <c r="BH40" s="34">
        <v>192500</v>
      </c>
      <c r="BJ40" s="49">
        <f t="shared" si="8"/>
        <v>4.0104166666666696</v>
      </c>
      <c r="BK40" s="72">
        <v>0</v>
      </c>
      <c r="BL40" s="72">
        <v>1.0416666666666999E-2</v>
      </c>
      <c r="BM40" s="72">
        <v>5.2083333333333003E-2</v>
      </c>
      <c r="BN40" s="72">
        <v>0.14583333333333301</v>
      </c>
      <c r="BO40" s="72">
        <v>0.3125</v>
      </c>
      <c r="BP40" s="72">
        <v>0.57291666666666696</v>
      </c>
      <c r="BQ40" s="72">
        <v>0.94791666666666696</v>
      </c>
      <c r="BR40" s="72">
        <v>1.4583333333333299</v>
      </c>
      <c r="BS40" s="72">
        <v>2.125</v>
      </c>
      <c r="BT40" s="72">
        <v>2.96875</v>
      </c>
      <c r="BU40" s="72">
        <v>4.0104166666666696</v>
      </c>
      <c r="BW40" s="1">
        <v>2</v>
      </c>
      <c r="BX40" s="1">
        <v>4</v>
      </c>
      <c r="BY40" s="1">
        <v>6</v>
      </c>
      <c r="BZ40" s="1">
        <v>8</v>
      </c>
      <c r="CA40" s="1">
        <v>9</v>
      </c>
      <c r="CB40" s="1">
        <v>15</v>
      </c>
      <c r="CC40" s="1">
        <v>15</v>
      </c>
      <c r="CD40" s="1">
        <v>15</v>
      </c>
      <c r="CE40" s="1">
        <v>15</v>
      </c>
      <c r="CF40" s="1">
        <v>15</v>
      </c>
      <c r="CG40" s="1">
        <v>15</v>
      </c>
      <c r="CI40" s="1">
        <f t="shared" si="9"/>
        <v>11</v>
      </c>
    </row>
    <row r="41" spans="2:87" ht="16.5" customHeight="1">
      <c r="B41" s="2225"/>
      <c r="C41" s="2252"/>
      <c r="D41" s="2251"/>
      <c r="E41" s="461"/>
      <c r="F41" s="2203"/>
      <c r="G41" s="2203"/>
      <c r="H41" s="2213"/>
      <c r="I41" s="2319"/>
      <c r="J41" s="2349"/>
      <c r="K41" s="2379"/>
      <c r="L41" s="2425"/>
      <c r="M41" s="2157"/>
      <c r="N41" s="2192"/>
      <c r="O41" s="2174"/>
      <c r="P41" s="2083"/>
      <c r="Q41" s="2089"/>
      <c r="R41" s="222"/>
      <c r="T41" s="62"/>
      <c r="U41" s="171"/>
      <c r="V41" s="171"/>
      <c r="W41" s="171"/>
      <c r="X41" s="171"/>
      <c r="Y41" s="69"/>
      <c r="Z41" s="34"/>
      <c r="AA41" s="34"/>
      <c r="AB41" s="34"/>
      <c r="AC41" s="34"/>
      <c r="AD41" s="34"/>
      <c r="AE41" s="34"/>
      <c r="AF41" s="34"/>
      <c r="AG41" s="34"/>
      <c r="AH41" s="34"/>
      <c r="AK41" s="20"/>
      <c r="AL41" s="20"/>
      <c r="AM41" s="20"/>
      <c r="AN41" s="20"/>
      <c r="AO41" s="20"/>
      <c r="AP41" s="20"/>
      <c r="AQ41" s="20"/>
      <c r="AR41" s="20"/>
      <c r="AS41" s="20"/>
      <c r="AT41" s="20"/>
      <c r="AU41" s="20"/>
      <c r="AX41" s="34"/>
      <c r="AY41" s="34"/>
      <c r="AZ41" s="34"/>
      <c r="BA41" s="34"/>
      <c r="BB41" s="34"/>
      <c r="BC41" s="34"/>
      <c r="BD41" s="34"/>
      <c r="BE41" s="34"/>
      <c r="BF41" s="34"/>
      <c r="BG41" s="34"/>
      <c r="BH41" s="34"/>
      <c r="BJ41" s="49"/>
      <c r="BK41" s="72"/>
      <c r="BL41" s="72"/>
      <c r="BM41" s="72"/>
      <c r="BN41" s="72"/>
      <c r="BO41" s="72"/>
      <c r="BP41" s="72"/>
      <c r="BQ41" s="72"/>
      <c r="BR41" s="72"/>
      <c r="BS41" s="72"/>
      <c r="BT41" s="72"/>
      <c r="BU41" s="72"/>
      <c r="BW41" s="171"/>
      <c r="BX41" s="171"/>
      <c r="BY41" s="171"/>
      <c r="BZ41" s="171"/>
      <c r="CA41" s="171"/>
      <c r="CB41" s="171"/>
      <c r="CC41" s="171"/>
      <c r="CD41" s="171"/>
      <c r="CE41" s="171"/>
      <c r="CF41" s="171"/>
      <c r="CG41" s="171"/>
      <c r="CH41" s="171"/>
      <c r="CI41" s="171"/>
    </row>
    <row r="42" spans="2:87" ht="16.5" customHeight="1">
      <c r="B42" s="2226" t="s">
        <v>43</v>
      </c>
      <c r="C42" s="2247" t="s">
        <v>206</v>
      </c>
      <c r="D42" s="2243">
        <v>0</v>
      </c>
      <c r="E42" s="463"/>
      <c r="F42" s="2203">
        <f t="shared" ref="F42" si="26">F40</f>
        <v>10</v>
      </c>
      <c r="G42" s="2203"/>
      <c r="H42" s="2214">
        <f t="shared" si="0"/>
        <v>500</v>
      </c>
      <c r="I42" s="2320">
        <f t="shared" si="1"/>
        <v>1.0416666666666999E-2</v>
      </c>
      <c r="J42" s="2350">
        <f t="shared" si="2"/>
        <v>192500</v>
      </c>
      <c r="K42" s="2380">
        <f t="shared" si="3"/>
        <v>4.0104166666666696</v>
      </c>
      <c r="L42" s="2402" t="s">
        <v>207</v>
      </c>
      <c r="M42" s="2158">
        <f t="shared" si="4"/>
        <v>0</v>
      </c>
      <c r="N42" s="2114">
        <f t="shared" si="5"/>
        <v>0.1</v>
      </c>
      <c r="O42" s="2175" t="s">
        <v>208</v>
      </c>
      <c r="P42" s="2090">
        <f>CHOOSE(U42,BW42,BX42,BY42,BZ42,CA42,CB42,CC42,CD42,CE42,CF42,CG42)</f>
        <v>2</v>
      </c>
      <c r="Q42" s="2093">
        <f>IF((V42&lt;=U42),CHOOSE(U42,BW42,BX42,BY42,BZ42,CA42,CB42,CC42,CD42,CE42,CF42,CG42),CHOOSE(V42,BW42,BX42,BY42,BZ42,CA42,CB42,CC42,CD42,CE42,CF42,CG42))</f>
        <v>15</v>
      </c>
      <c r="R42" s="222"/>
      <c r="T42" s="62" t="s">
        <v>206</v>
      </c>
      <c r="U42" s="1">
        <f t="shared" si="6"/>
        <v>1</v>
      </c>
      <c r="V42" s="171">
        <f>F42+1</f>
        <v>11</v>
      </c>
      <c r="W42" s="1">
        <f t="shared" si="7"/>
        <v>10</v>
      </c>
      <c r="Y42" s="69">
        <v>500</v>
      </c>
      <c r="Z42" s="34">
        <v>2000</v>
      </c>
      <c r="AA42" s="34">
        <v>4500</v>
      </c>
      <c r="AB42" s="34">
        <v>8000</v>
      </c>
      <c r="AC42" s="34">
        <v>12500</v>
      </c>
      <c r="AD42" s="34">
        <v>18000</v>
      </c>
      <c r="AE42" s="34">
        <v>24500</v>
      </c>
      <c r="AF42" s="34">
        <v>32000</v>
      </c>
      <c r="AG42" s="34">
        <v>40500</v>
      </c>
      <c r="AH42" s="34">
        <v>50000</v>
      </c>
      <c r="AI42" s="8">
        <v>0</v>
      </c>
      <c r="AK42" s="20">
        <v>1.0416666666666999E-2</v>
      </c>
      <c r="AL42" s="20">
        <v>4.1666666666666997E-2</v>
      </c>
      <c r="AM42" s="20">
        <v>9.375E-2</v>
      </c>
      <c r="AN42" s="20">
        <v>0.16666666666666699</v>
      </c>
      <c r="AO42" s="20">
        <v>0.26041666666666702</v>
      </c>
      <c r="AP42" s="20">
        <v>0.375</v>
      </c>
      <c r="AQ42" s="20">
        <v>0.51041666666666696</v>
      </c>
      <c r="AR42" s="20">
        <v>0.66666666666666696</v>
      </c>
      <c r="AS42" s="20">
        <v>0.84375</v>
      </c>
      <c r="AT42" s="20">
        <v>1.0416666666666701</v>
      </c>
      <c r="AU42" s="20">
        <v>0</v>
      </c>
      <c r="AX42" s="34">
        <v>0</v>
      </c>
      <c r="AY42" s="34">
        <v>500</v>
      </c>
      <c r="AZ42" s="34">
        <v>2500</v>
      </c>
      <c r="BA42" s="34">
        <v>7000</v>
      </c>
      <c r="BB42" s="34">
        <v>15000</v>
      </c>
      <c r="BC42" s="34">
        <v>27500</v>
      </c>
      <c r="BD42" s="34">
        <v>45500</v>
      </c>
      <c r="BE42" s="34">
        <v>70000</v>
      </c>
      <c r="BF42" s="34">
        <v>102000</v>
      </c>
      <c r="BG42" s="34">
        <v>142500</v>
      </c>
      <c r="BH42" s="34">
        <v>192500</v>
      </c>
      <c r="BJ42" s="49">
        <f t="shared" si="8"/>
        <v>4.0104166666666696</v>
      </c>
      <c r="BK42" s="72">
        <v>0</v>
      </c>
      <c r="BL42" s="72">
        <v>1.0416666666666999E-2</v>
      </c>
      <c r="BM42" s="72">
        <v>5.2083333333333003E-2</v>
      </c>
      <c r="BN42" s="72">
        <v>0.14583333333333301</v>
      </c>
      <c r="BO42" s="72">
        <v>0.3125</v>
      </c>
      <c r="BP42" s="72">
        <v>0.57291666666666696</v>
      </c>
      <c r="BQ42" s="72">
        <v>0.94791666666666696</v>
      </c>
      <c r="BR42" s="72">
        <v>1.4583333333333299</v>
      </c>
      <c r="BS42" s="72">
        <v>2.125</v>
      </c>
      <c r="BT42" s="72">
        <v>2.96875</v>
      </c>
      <c r="BU42" s="72">
        <v>4.0104166666666696</v>
      </c>
      <c r="BW42" s="1">
        <v>2</v>
      </c>
      <c r="BX42" s="1">
        <v>4</v>
      </c>
      <c r="BY42" s="1">
        <v>6</v>
      </c>
      <c r="BZ42" s="1">
        <v>8</v>
      </c>
      <c r="CA42" s="1">
        <v>9</v>
      </c>
      <c r="CB42" s="1">
        <v>15</v>
      </c>
      <c r="CC42" s="1">
        <v>15</v>
      </c>
      <c r="CD42" s="1">
        <v>15</v>
      </c>
      <c r="CE42" s="1">
        <v>15</v>
      </c>
      <c r="CF42" s="1">
        <v>15</v>
      </c>
      <c r="CG42" s="1">
        <v>15</v>
      </c>
      <c r="CI42" s="1">
        <f t="shared" si="9"/>
        <v>11</v>
      </c>
    </row>
    <row r="43" spans="2:87" ht="16.5" customHeight="1">
      <c r="B43" s="2226"/>
      <c r="C43" s="2247"/>
      <c r="D43" s="2243"/>
      <c r="E43" s="463"/>
      <c r="F43" s="2203"/>
      <c r="G43" s="2203"/>
      <c r="H43" s="2215"/>
      <c r="I43" s="2321"/>
      <c r="J43" s="2351"/>
      <c r="K43" s="2381"/>
      <c r="L43" s="2403"/>
      <c r="M43" s="2159"/>
      <c r="N43" s="2115"/>
      <c r="O43" s="2176"/>
      <c r="P43" s="2091"/>
      <c r="Q43" s="2094"/>
      <c r="R43" s="222"/>
      <c r="T43" s="62"/>
      <c r="U43" s="171"/>
      <c r="V43" s="171"/>
      <c r="W43" s="171"/>
      <c r="X43" s="171"/>
      <c r="Y43" s="69"/>
      <c r="Z43" s="34"/>
      <c r="AA43" s="34"/>
      <c r="AB43" s="34"/>
      <c r="AC43" s="34"/>
      <c r="AD43" s="34"/>
      <c r="AE43" s="34"/>
      <c r="AF43" s="34"/>
      <c r="AG43" s="34"/>
      <c r="AH43" s="34"/>
      <c r="AK43" s="20"/>
      <c r="AL43" s="20"/>
      <c r="AM43" s="20"/>
      <c r="AN43" s="20"/>
      <c r="AO43" s="20"/>
      <c r="AP43" s="20"/>
      <c r="AQ43" s="20"/>
      <c r="AR43" s="20"/>
      <c r="AS43" s="20"/>
      <c r="AT43" s="20"/>
      <c r="AU43" s="20"/>
      <c r="AX43" s="34"/>
      <c r="AY43" s="34"/>
      <c r="AZ43" s="34"/>
      <c r="BA43" s="34"/>
      <c r="BB43" s="34"/>
      <c r="BC43" s="34"/>
      <c r="BD43" s="34"/>
      <c r="BE43" s="34"/>
      <c r="BF43" s="34"/>
      <c r="BG43" s="34"/>
      <c r="BH43" s="34"/>
      <c r="BJ43" s="49"/>
      <c r="BK43" s="72"/>
      <c r="BL43" s="72"/>
      <c r="BM43" s="72"/>
      <c r="BN43" s="72"/>
      <c r="BO43" s="72"/>
      <c r="BP43" s="72"/>
      <c r="BQ43" s="72"/>
      <c r="BR43" s="72"/>
      <c r="BS43" s="72"/>
      <c r="BT43" s="72"/>
      <c r="BU43" s="72"/>
      <c r="BW43" s="171"/>
      <c r="BX43" s="171"/>
      <c r="BY43" s="171"/>
      <c r="BZ43" s="171"/>
      <c r="CA43" s="171"/>
      <c r="CB43" s="171"/>
      <c r="CC43" s="171"/>
      <c r="CD43" s="171"/>
      <c r="CE43" s="171"/>
      <c r="CF43" s="171"/>
      <c r="CG43" s="171"/>
      <c r="CH43" s="171"/>
      <c r="CI43" s="171"/>
    </row>
    <row r="44" spans="2:87" ht="16.5" customHeight="1">
      <c r="B44" s="2226"/>
      <c r="C44" s="2244" t="s">
        <v>209</v>
      </c>
      <c r="D44" s="2245">
        <v>0</v>
      </c>
      <c r="E44" s="464"/>
      <c r="F44" s="2203">
        <f t="shared" ref="F44" si="27">F42</f>
        <v>10</v>
      </c>
      <c r="G44" s="2203"/>
      <c r="H44" s="2210">
        <f t="shared" si="0"/>
        <v>500</v>
      </c>
      <c r="I44" s="2322">
        <f t="shared" si="1"/>
        <v>1.0416666666666999E-2</v>
      </c>
      <c r="J44" s="2352">
        <f t="shared" si="2"/>
        <v>192500</v>
      </c>
      <c r="K44" s="2382">
        <f t="shared" si="3"/>
        <v>4.0104166666666696</v>
      </c>
      <c r="L44" s="2392" t="s">
        <v>210</v>
      </c>
      <c r="M44" s="2160">
        <f t="shared" si="4"/>
        <v>0</v>
      </c>
      <c r="N44" s="2193">
        <f t="shared" si="5"/>
        <v>0.1</v>
      </c>
      <c r="O44" s="2176"/>
      <c r="P44" s="2091"/>
      <c r="Q44" s="2094"/>
      <c r="R44" s="222"/>
      <c r="T44" s="62" t="s">
        <v>209</v>
      </c>
      <c r="U44" s="1">
        <f t="shared" si="6"/>
        <v>1</v>
      </c>
      <c r="V44" s="171">
        <f>F44+1</f>
        <v>11</v>
      </c>
      <c r="W44" s="1">
        <f t="shared" si="7"/>
        <v>10</v>
      </c>
      <c r="Y44" s="69">
        <v>500</v>
      </c>
      <c r="Z44" s="34">
        <v>2000</v>
      </c>
      <c r="AA44" s="34">
        <v>4500</v>
      </c>
      <c r="AB44" s="34">
        <v>8000</v>
      </c>
      <c r="AC44" s="34">
        <v>12500</v>
      </c>
      <c r="AD44" s="34">
        <v>18000</v>
      </c>
      <c r="AE44" s="34">
        <v>24500</v>
      </c>
      <c r="AF44" s="34">
        <v>32000</v>
      </c>
      <c r="AG44" s="34">
        <v>40500</v>
      </c>
      <c r="AH44" s="34">
        <v>50000</v>
      </c>
      <c r="AI44" s="8">
        <v>0</v>
      </c>
      <c r="AK44" s="20">
        <v>1.0416666666666999E-2</v>
      </c>
      <c r="AL44" s="20">
        <v>4.1666666666666997E-2</v>
      </c>
      <c r="AM44" s="20">
        <v>9.375E-2</v>
      </c>
      <c r="AN44" s="20">
        <v>0.16666666666666699</v>
      </c>
      <c r="AO44" s="20">
        <v>0.26041666666666702</v>
      </c>
      <c r="AP44" s="20">
        <v>0.375</v>
      </c>
      <c r="AQ44" s="20">
        <v>0.51041666666666696</v>
      </c>
      <c r="AR44" s="20">
        <v>0.66666666666666696</v>
      </c>
      <c r="AS44" s="20">
        <v>0.84375</v>
      </c>
      <c r="AT44" s="20">
        <v>1.0416666666666701</v>
      </c>
      <c r="AU44" s="20">
        <v>0</v>
      </c>
      <c r="AX44" s="34">
        <v>0</v>
      </c>
      <c r="AY44" s="34">
        <v>500</v>
      </c>
      <c r="AZ44" s="34">
        <v>2500</v>
      </c>
      <c r="BA44" s="34">
        <v>7000</v>
      </c>
      <c r="BB44" s="34">
        <v>15000</v>
      </c>
      <c r="BC44" s="34">
        <v>27500</v>
      </c>
      <c r="BD44" s="34">
        <v>45500</v>
      </c>
      <c r="BE44" s="34">
        <v>70000</v>
      </c>
      <c r="BF44" s="34">
        <v>102000</v>
      </c>
      <c r="BG44" s="34">
        <v>142500</v>
      </c>
      <c r="BH44" s="34">
        <v>192500</v>
      </c>
      <c r="BJ44" s="49">
        <f t="shared" si="8"/>
        <v>4.0104166666666696</v>
      </c>
      <c r="BK44" s="72">
        <v>0</v>
      </c>
      <c r="BL44" s="72">
        <v>1.0416666666666999E-2</v>
      </c>
      <c r="BM44" s="72">
        <v>5.2083333333333003E-2</v>
      </c>
      <c r="BN44" s="72">
        <v>0.14583333333333301</v>
      </c>
      <c r="BO44" s="72">
        <v>0.3125</v>
      </c>
      <c r="BP44" s="72">
        <v>0.57291666666666696</v>
      </c>
      <c r="BQ44" s="72">
        <v>0.94791666666666696</v>
      </c>
      <c r="BR44" s="72">
        <v>1.4583333333333299</v>
      </c>
      <c r="BS44" s="72">
        <v>2.125</v>
      </c>
      <c r="BT44" s="72">
        <v>2.96875</v>
      </c>
      <c r="BU44" s="72">
        <v>4.0104166666666696</v>
      </c>
      <c r="BW44" s="1">
        <v>2</v>
      </c>
      <c r="BX44" s="1">
        <v>4</v>
      </c>
      <c r="BY44" s="1">
        <v>6</v>
      </c>
      <c r="BZ44" s="1">
        <v>8</v>
      </c>
      <c r="CA44" s="1">
        <v>9</v>
      </c>
      <c r="CB44" s="1">
        <v>15</v>
      </c>
      <c r="CC44" s="1">
        <v>15</v>
      </c>
      <c r="CD44" s="1">
        <v>15</v>
      </c>
      <c r="CE44" s="1">
        <v>15</v>
      </c>
      <c r="CF44" s="1">
        <v>15</v>
      </c>
      <c r="CG44" s="1">
        <v>15</v>
      </c>
      <c r="CI44" s="1">
        <f t="shared" si="9"/>
        <v>11</v>
      </c>
    </row>
    <row r="45" spans="2:87" ht="16.5" customHeight="1">
      <c r="B45" s="2226"/>
      <c r="C45" s="2244"/>
      <c r="D45" s="2245"/>
      <c r="E45" s="464"/>
      <c r="F45" s="2203"/>
      <c r="G45" s="2203"/>
      <c r="H45" s="2211"/>
      <c r="I45" s="2323"/>
      <c r="J45" s="2353"/>
      <c r="K45" s="2383"/>
      <c r="L45" s="2393"/>
      <c r="M45" s="2161"/>
      <c r="N45" s="2194"/>
      <c r="O45" s="2176"/>
      <c r="P45" s="2091"/>
      <c r="Q45" s="2094"/>
      <c r="R45" s="222"/>
      <c r="T45" s="62"/>
      <c r="U45" s="171"/>
      <c r="V45" s="171"/>
      <c r="W45" s="171"/>
      <c r="X45" s="171"/>
      <c r="Y45" s="69"/>
      <c r="Z45" s="34"/>
      <c r="AA45" s="34"/>
      <c r="AB45" s="34"/>
      <c r="AC45" s="34"/>
      <c r="AD45" s="34"/>
      <c r="AE45" s="34"/>
      <c r="AF45" s="34"/>
      <c r="AG45" s="34"/>
      <c r="AH45" s="34"/>
      <c r="AK45" s="20"/>
      <c r="AL45" s="20"/>
      <c r="AM45" s="20"/>
      <c r="AN45" s="20"/>
      <c r="AO45" s="20"/>
      <c r="AP45" s="20"/>
      <c r="AQ45" s="20"/>
      <c r="AR45" s="20"/>
      <c r="AS45" s="20"/>
      <c r="AT45" s="20"/>
      <c r="AU45" s="20"/>
      <c r="AX45" s="34"/>
      <c r="AY45" s="34"/>
      <c r="AZ45" s="34"/>
      <c r="BA45" s="34"/>
      <c r="BB45" s="34"/>
      <c r="BC45" s="34"/>
      <c r="BD45" s="34"/>
      <c r="BE45" s="34"/>
      <c r="BF45" s="34"/>
      <c r="BG45" s="34"/>
      <c r="BH45" s="34"/>
      <c r="BJ45" s="49"/>
      <c r="BK45" s="72"/>
      <c r="BL45" s="72"/>
      <c r="BM45" s="72"/>
      <c r="BN45" s="72"/>
      <c r="BO45" s="72"/>
      <c r="BP45" s="72"/>
      <c r="BQ45" s="72"/>
      <c r="BR45" s="72"/>
      <c r="BS45" s="72"/>
      <c r="BT45" s="72"/>
      <c r="BU45" s="72"/>
      <c r="BW45" s="171"/>
      <c r="BX45" s="171"/>
      <c r="BY45" s="171"/>
      <c r="BZ45" s="171"/>
      <c r="CA45" s="171"/>
      <c r="CB45" s="171"/>
      <c r="CC45" s="171"/>
      <c r="CD45" s="171"/>
      <c r="CE45" s="171"/>
      <c r="CF45" s="171"/>
      <c r="CG45" s="171"/>
      <c r="CH45" s="171"/>
      <c r="CI45" s="171"/>
    </row>
    <row r="46" spans="2:87" ht="16.5" customHeight="1">
      <c r="B46" s="2226"/>
      <c r="C46" s="2244" t="s">
        <v>211</v>
      </c>
      <c r="D46" s="2245">
        <v>0</v>
      </c>
      <c r="E46" s="464"/>
      <c r="F46" s="2203">
        <f t="shared" ref="F46" si="28">F44</f>
        <v>10</v>
      </c>
      <c r="G46" s="2203"/>
      <c r="H46" s="2210">
        <f t="shared" si="0"/>
        <v>500</v>
      </c>
      <c r="I46" s="2322">
        <f t="shared" si="1"/>
        <v>1.0416666666666999E-2</v>
      </c>
      <c r="J46" s="2352">
        <f t="shared" si="2"/>
        <v>192500</v>
      </c>
      <c r="K46" s="2382">
        <f t="shared" si="3"/>
        <v>4.0104166666666696</v>
      </c>
      <c r="L46" s="2392" t="s">
        <v>46</v>
      </c>
      <c r="M46" s="2162">
        <f t="shared" si="4"/>
        <v>0</v>
      </c>
      <c r="N46" s="2120">
        <f t="shared" si="5"/>
        <v>0.1</v>
      </c>
      <c r="O46" s="2176"/>
      <c r="P46" s="2091"/>
      <c r="Q46" s="2094"/>
      <c r="R46" s="222"/>
      <c r="T46" s="62" t="s">
        <v>211</v>
      </c>
      <c r="U46" s="1">
        <f t="shared" si="6"/>
        <v>1</v>
      </c>
      <c r="V46" s="171">
        <f>F46+1</f>
        <v>11</v>
      </c>
      <c r="W46" s="1">
        <f t="shared" si="7"/>
        <v>10</v>
      </c>
      <c r="Y46" s="69">
        <v>500</v>
      </c>
      <c r="Z46" s="34">
        <v>2000</v>
      </c>
      <c r="AA46" s="34">
        <v>4500</v>
      </c>
      <c r="AB46" s="34">
        <v>8000</v>
      </c>
      <c r="AC46" s="34">
        <v>12500</v>
      </c>
      <c r="AD46" s="34">
        <v>18000</v>
      </c>
      <c r="AE46" s="34">
        <v>24500</v>
      </c>
      <c r="AF46" s="34">
        <v>32000</v>
      </c>
      <c r="AG46" s="34">
        <v>40500</v>
      </c>
      <c r="AH46" s="34">
        <v>50000</v>
      </c>
      <c r="AI46" s="8">
        <v>0</v>
      </c>
      <c r="AK46" s="20">
        <v>1.0416666666666999E-2</v>
      </c>
      <c r="AL46" s="20">
        <v>4.1666666666666997E-2</v>
      </c>
      <c r="AM46" s="20">
        <v>9.375E-2</v>
      </c>
      <c r="AN46" s="20">
        <v>0.16666666666666699</v>
      </c>
      <c r="AO46" s="20">
        <v>0.26041666666666702</v>
      </c>
      <c r="AP46" s="20">
        <v>0.375</v>
      </c>
      <c r="AQ46" s="20">
        <v>0.51041666666666696</v>
      </c>
      <c r="AR46" s="20">
        <v>0.66666666666666696</v>
      </c>
      <c r="AS46" s="20">
        <v>0.84375</v>
      </c>
      <c r="AT46" s="20">
        <v>1.0416666666666701</v>
      </c>
      <c r="AU46" s="20">
        <v>0</v>
      </c>
      <c r="AX46" s="34">
        <v>0</v>
      </c>
      <c r="AY46" s="34">
        <v>500</v>
      </c>
      <c r="AZ46" s="34">
        <v>2500</v>
      </c>
      <c r="BA46" s="34">
        <v>7000</v>
      </c>
      <c r="BB46" s="34">
        <v>15000</v>
      </c>
      <c r="BC46" s="34">
        <v>27500</v>
      </c>
      <c r="BD46" s="34">
        <v>45500</v>
      </c>
      <c r="BE46" s="34">
        <v>70000</v>
      </c>
      <c r="BF46" s="34">
        <v>102000</v>
      </c>
      <c r="BG46" s="34">
        <v>142500</v>
      </c>
      <c r="BH46" s="34">
        <v>192500</v>
      </c>
      <c r="BJ46" s="49">
        <f t="shared" si="8"/>
        <v>4.0104166666666696</v>
      </c>
      <c r="BK46" s="72">
        <v>0</v>
      </c>
      <c r="BL46" s="72">
        <v>1.0416666666666999E-2</v>
      </c>
      <c r="BM46" s="72">
        <v>5.2083333333333003E-2</v>
      </c>
      <c r="BN46" s="72">
        <v>0.14583333333333301</v>
      </c>
      <c r="BO46" s="72">
        <v>0.3125</v>
      </c>
      <c r="BP46" s="72">
        <v>0.57291666666666696</v>
      </c>
      <c r="BQ46" s="72">
        <v>0.94791666666666696</v>
      </c>
      <c r="BR46" s="72">
        <v>1.4583333333333299</v>
      </c>
      <c r="BS46" s="72">
        <v>2.125</v>
      </c>
      <c r="BT46" s="72">
        <v>2.96875</v>
      </c>
      <c r="BU46" s="72">
        <v>4.0104166666666696</v>
      </c>
      <c r="BW46" s="1">
        <v>2</v>
      </c>
      <c r="BX46" s="1">
        <v>4</v>
      </c>
      <c r="BY46" s="1">
        <v>6</v>
      </c>
      <c r="BZ46" s="1">
        <v>8</v>
      </c>
      <c r="CA46" s="1">
        <v>9</v>
      </c>
      <c r="CB46" s="1">
        <v>15</v>
      </c>
      <c r="CC46" s="1">
        <v>15</v>
      </c>
      <c r="CD46" s="1">
        <v>15</v>
      </c>
      <c r="CE46" s="1">
        <v>15</v>
      </c>
      <c r="CF46" s="1">
        <v>15</v>
      </c>
      <c r="CG46" s="1">
        <v>15</v>
      </c>
      <c r="CI46" s="1">
        <f t="shared" si="9"/>
        <v>11</v>
      </c>
    </row>
    <row r="47" spans="2:87" ht="16.5" customHeight="1">
      <c r="B47" s="2226"/>
      <c r="C47" s="2244"/>
      <c r="D47" s="2245"/>
      <c r="E47" s="464"/>
      <c r="F47" s="2203"/>
      <c r="G47" s="2203"/>
      <c r="H47" s="2211"/>
      <c r="I47" s="2323"/>
      <c r="J47" s="2353"/>
      <c r="K47" s="2383"/>
      <c r="L47" s="2393"/>
      <c r="M47" s="2163"/>
      <c r="N47" s="2121"/>
      <c r="O47" s="2177"/>
      <c r="P47" s="2092"/>
      <c r="Q47" s="2095"/>
      <c r="R47" s="222"/>
      <c r="T47" s="62"/>
      <c r="U47" s="171"/>
      <c r="V47" s="171"/>
      <c r="W47" s="171"/>
      <c r="X47" s="171"/>
      <c r="Y47" s="69"/>
      <c r="Z47" s="34"/>
      <c r="AA47" s="34"/>
      <c r="AB47" s="34"/>
      <c r="AC47" s="34"/>
      <c r="AD47" s="34"/>
      <c r="AE47" s="34"/>
      <c r="AF47" s="34"/>
      <c r="AG47" s="34"/>
      <c r="AH47" s="34"/>
      <c r="AK47" s="20"/>
      <c r="AL47" s="20"/>
      <c r="AM47" s="20"/>
      <c r="AN47" s="20"/>
      <c r="AO47" s="20"/>
      <c r="AP47" s="20"/>
      <c r="AQ47" s="20"/>
      <c r="AR47" s="20"/>
      <c r="AS47" s="20"/>
      <c r="AT47" s="20"/>
      <c r="AU47" s="20"/>
      <c r="AX47" s="34"/>
      <c r="AY47" s="34"/>
      <c r="AZ47" s="34"/>
      <c r="BA47" s="34"/>
      <c r="BB47" s="34"/>
      <c r="BC47" s="34"/>
      <c r="BD47" s="34"/>
      <c r="BE47" s="34"/>
      <c r="BF47" s="34"/>
      <c r="BG47" s="34"/>
      <c r="BH47" s="34"/>
      <c r="BJ47" s="49"/>
      <c r="BK47" s="72"/>
      <c r="BL47" s="72"/>
      <c r="BM47" s="72"/>
      <c r="BN47" s="72"/>
      <c r="BO47" s="72"/>
      <c r="BP47" s="72"/>
      <c r="BQ47" s="72"/>
      <c r="BR47" s="72"/>
      <c r="BS47" s="72"/>
      <c r="BT47" s="72"/>
      <c r="BU47" s="72"/>
      <c r="BW47" s="171"/>
      <c r="BX47" s="171"/>
      <c r="BY47" s="171"/>
      <c r="BZ47" s="171"/>
      <c r="CA47" s="171"/>
      <c r="CB47" s="171"/>
      <c r="CC47" s="171"/>
      <c r="CD47" s="171"/>
      <c r="CE47" s="171"/>
      <c r="CF47" s="171"/>
      <c r="CG47" s="171"/>
      <c r="CH47" s="171"/>
      <c r="CI47" s="171"/>
    </row>
    <row r="48" spans="2:87" ht="16.5" customHeight="1">
      <c r="B48" s="2226"/>
      <c r="C48" s="2242" t="s">
        <v>212</v>
      </c>
      <c r="D48" s="2243">
        <v>0</v>
      </c>
      <c r="E48" s="463"/>
      <c r="F48" s="2203">
        <f t="shared" ref="F48" si="29">F46</f>
        <v>10</v>
      </c>
      <c r="G48" s="2203"/>
      <c r="H48" s="2216">
        <f t="shared" si="0"/>
        <v>500</v>
      </c>
      <c r="I48" s="2324">
        <f t="shared" si="1"/>
        <v>1.0416666666666999E-2</v>
      </c>
      <c r="J48" s="2354">
        <f t="shared" si="2"/>
        <v>192500</v>
      </c>
      <c r="K48" s="2384">
        <f t="shared" si="3"/>
        <v>4.0104166666666696</v>
      </c>
      <c r="L48" s="2390" t="s">
        <v>213</v>
      </c>
      <c r="M48" s="2158">
        <f t="shared" si="4"/>
        <v>0</v>
      </c>
      <c r="N48" s="2114">
        <f t="shared" si="5"/>
        <v>0.1</v>
      </c>
      <c r="O48" s="2178" t="s">
        <v>214</v>
      </c>
      <c r="P48" s="2096">
        <f>CHOOSE(U48,BW48,BX48,BY48,BZ48,CA48,CB48,CC48,CD48,CE48,CF48,CG48)</f>
        <v>2</v>
      </c>
      <c r="Q48" s="2099">
        <f>IF((V48&lt;=U48),CHOOSE(U48,BW48,BX48,BY48,BZ48,CA48,CB48,CC48,CD48,CE48,CF48,CG48),CHOOSE(V48,BW48,BX48,BY48,BZ48,CA48,CB48,CC48,CD48,CE48,CF48,CG48))</f>
        <v>15</v>
      </c>
      <c r="R48" s="222"/>
      <c r="T48" s="62" t="s">
        <v>212</v>
      </c>
      <c r="U48" s="1">
        <f t="shared" si="6"/>
        <v>1</v>
      </c>
      <c r="V48" s="171">
        <f>F48+1</f>
        <v>11</v>
      </c>
      <c r="W48" s="1">
        <f t="shared" si="7"/>
        <v>10</v>
      </c>
      <c r="Y48" s="69">
        <v>500</v>
      </c>
      <c r="Z48" s="34">
        <v>2000</v>
      </c>
      <c r="AA48" s="34">
        <v>4500</v>
      </c>
      <c r="AB48" s="34">
        <v>8000</v>
      </c>
      <c r="AC48" s="34">
        <v>12500</v>
      </c>
      <c r="AD48" s="34">
        <v>18000</v>
      </c>
      <c r="AE48" s="34">
        <v>24500</v>
      </c>
      <c r="AF48" s="34">
        <v>32000</v>
      </c>
      <c r="AG48" s="34">
        <v>40500</v>
      </c>
      <c r="AH48" s="34">
        <v>50000</v>
      </c>
      <c r="AI48" s="8">
        <v>0</v>
      </c>
      <c r="AK48" s="20">
        <v>1.0416666666666999E-2</v>
      </c>
      <c r="AL48" s="20">
        <v>4.1666666666666997E-2</v>
      </c>
      <c r="AM48" s="20">
        <v>9.375E-2</v>
      </c>
      <c r="AN48" s="20">
        <v>0.16666666666666699</v>
      </c>
      <c r="AO48" s="20">
        <v>0.26041666666666702</v>
      </c>
      <c r="AP48" s="20">
        <v>0.375</v>
      </c>
      <c r="AQ48" s="20">
        <v>0.51041666666666696</v>
      </c>
      <c r="AR48" s="20">
        <v>0.66666666666666696</v>
      </c>
      <c r="AS48" s="20">
        <v>0.84375</v>
      </c>
      <c r="AT48" s="20">
        <v>1.0416666666666701</v>
      </c>
      <c r="AU48" s="20">
        <v>0</v>
      </c>
      <c r="AX48" s="34">
        <v>0</v>
      </c>
      <c r="AY48" s="34">
        <v>500</v>
      </c>
      <c r="AZ48" s="34">
        <v>2500</v>
      </c>
      <c r="BA48" s="34">
        <v>7000</v>
      </c>
      <c r="BB48" s="34">
        <v>15000</v>
      </c>
      <c r="BC48" s="34">
        <v>27500</v>
      </c>
      <c r="BD48" s="34">
        <v>45500</v>
      </c>
      <c r="BE48" s="34">
        <v>70000</v>
      </c>
      <c r="BF48" s="34">
        <v>102000</v>
      </c>
      <c r="BG48" s="34">
        <v>142500</v>
      </c>
      <c r="BH48" s="34">
        <v>192500</v>
      </c>
      <c r="BJ48" s="49">
        <f t="shared" si="8"/>
        <v>4.0104166666666696</v>
      </c>
      <c r="BK48" s="72">
        <v>0</v>
      </c>
      <c r="BL48" s="72">
        <v>1.0416666666666999E-2</v>
      </c>
      <c r="BM48" s="72">
        <v>5.2083333333333003E-2</v>
      </c>
      <c r="BN48" s="72">
        <v>0.14583333333333301</v>
      </c>
      <c r="BO48" s="72">
        <v>0.3125</v>
      </c>
      <c r="BP48" s="72">
        <v>0.57291666666666696</v>
      </c>
      <c r="BQ48" s="72">
        <v>0.94791666666666696</v>
      </c>
      <c r="BR48" s="72">
        <v>1.4583333333333299</v>
      </c>
      <c r="BS48" s="72">
        <v>2.125</v>
      </c>
      <c r="BT48" s="72">
        <v>2.96875</v>
      </c>
      <c r="BU48" s="72">
        <v>4.0104166666666696</v>
      </c>
      <c r="BW48" s="1">
        <v>2</v>
      </c>
      <c r="BX48" s="1">
        <v>4</v>
      </c>
      <c r="BY48" s="1">
        <v>6</v>
      </c>
      <c r="BZ48" s="1">
        <v>8</v>
      </c>
      <c r="CA48" s="1">
        <v>9</v>
      </c>
      <c r="CB48" s="1">
        <v>15</v>
      </c>
      <c r="CC48" s="1">
        <v>15</v>
      </c>
      <c r="CD48" s="1">
        <v>15</v>
      </c>
      <c r="CE48" s="1">
        <v>15</v>
      </c>
      <c r="CF48" s="1">
        <v>15</v>
      </c>
      <c r="CG48" s="1">
        <v>15</v>
      </c>
      <c r="CI48" s="1">
        <f t="shared" si="9"/>
        <v>11</v>
      </c>
    </row>
    <row r="49" spans="2:87" ht="16.5" customHeight="1">
      <c r="B49" s="2226"/>
      <c r="C49" s="2242"/>
      <c r="D49" s="2243"/>
      <c r="E49" s="463"/>
      <c r="F49" s="2203"/>
      <c r="G49" s="2203"/>
      <c r="H49" s="2217"/>
      <c r="I49" s="2325"/>
      <c r="J49" s="2355"/>
      <c r="K49" s="2385"/>
      <c r="L49" s="2391"/>
      <c r="M49" s="2159"/>
      <c r="N49" s="2115"/>
      <c r="O49" s="2179"/>
      <c r="P49" s="2097"/>
      <c r="Q49" s="2100"/>
      <c r="R49" s="222"/>
      <c r="T49" s="62"/>
      <c r="U49" s="171"/>
      <c r="V49" s="171"/>
      <c r="W49" s="171"/>
      <c r="X49" s="171"/>
      <c r="Y49" s="69"/>
      <c r="Z49" s="34"/>
      <c r="AA49" s="34"/>
      <c r="AB49" s="34"/>
      <c r="AC49" s="34"/>
      <c r="AD49" s="34"/>
      <c r="AE49" s="34"/>
      <c r="AF49" s="34"/>
      <c r="AG49" s="34"/>
      <c r="AH49" s="34"/>
      <c r="AK49" s="20"/>
      <c r="AL49" s="20"/>
      <c r="AM49" s="20"/>
      <c r="AN49" s="20"/>
      <c r="AO49" s="20"/>
      <c r="AP49" s="20"/>
      <c r="AQ49" s="20"/>
      <c r="AR49" s="20"/>
      <c r="AS49" s="20"/>
      <c r="AT49" s="20"/>
      <c r="AU49" s="20"/>
      <c r="AX49" s="34"/>
      <c r="AY49" s="34"/>
      <c r="AZ49" s="34"/>
      <c r="BA49" s="34"/>
      <c r="BB49" s="34"/>
      <c r="BC49" s="34"/>
      <c r="BD49" s="34"/>
      <c r="BE49" s="34"/>
      <c r="BF49" s="34"/>
      <c r="BG49" s="34"/>
      <c r="BH49" s="34"/>
      <c r="BJ49" s="49"/>
      <c r="BK49" s="72"/>
      <c r="BL49" s="72"/>
      <c r="BM49" s="72"/>
      <c r="BN49" s="72"/>
      <c r="BO49" s="72"/>
      <c r="BP49" s="72"/>
      <c r="BQ49" s="72"/>
      <c r="BR49" s="72"/>
      <c r="BS49" s="72"/>
      <c r="BT49" s="72"/>
      <c r="BU49" s="72"/>
      <c r="BW49" s="171"/>
      <c r="BX49" s="171"/>
      <c r="BY49" s="171"/>
      <c r="BZ49" s="171"/>
      <c r="CA49" s="171"/>
      <c r="CB49" s="171"/>
      <c r="CC49" s="171"/>
      <c r="CD49" s="171"/>
      <c r="CE49" s="171"/>
      <c r="CF49" s="171"/>
      <c r="CG49" s="171"/>
      <c r="CH49" s="171"/>
      <c r="CI49" s="171"/>
    </row>
    <row r="50" spans="2:87" ht="16.5" customHeight="1">
      <c r="B50" s="2226"/>
      <c r="C50" s="2244" t="s">
        <v>215</v>
      </c>
      <c r="D50" s="2245">
        <v>0</v>
      </c>
      <c r="E50" s="464"/>
      <c r="F50" s="2203">
        <f t="shared" ref="F50" si="30">F48</f>
        <v>10</v>
      </c>
      <c r="G50" s="2203"/>
      <c r="H50" s="2210">
        <f t="shared" si="0"/>
        <v>500</v>
      </c>
      <c r="I50" s="2322">
        <f t="shared" si="1"/>
        <v>1.0416666666666999E-2</v>
      </c>
      <c r="J50" s="2352">
        <f t="shared" si="2"/>
        <v>192500</v>
      </c>
      <c r="K50" s="2382">
        <f t="shared" si="3"/>
        <v>4.0104166666666696</v>
      </c>
      <c r="L50" s="2392" t="s">
        <v>216</v>
      </c>
      <c r="M50" s="2160">
        <f t="shared" si="4"/>
        <v>0</v>
      </c>
      <c r="N50" s="2116">
        <f t="shared" si="5"/>
        <v>0.1</v>
      </c>
      <c r="O50" s="2179"/>
      <c r="P50" s="2097"/>
      <c r="Q50" s="2100"/>
      <c r="R50" s="222"/>
      <c r="T50" s="62" t="s">
        <v>215</v>
      </c>
      <c r="U50" s="1">
        <f t="shared" si="6"/>
        <v>1</v>
      </c>
      <c r="V50" s="171">
        <f>F50+1</f>
        <v>11</v>
      </c>
      <c r="W50" s="1">
        <f t="shared" si="7"/>
        <v>10</v>
      </c>
      <c r="Y50" s="69">
        <v>500</v>
      </c>
      <c r="Z50" s="34">
        <v>2000</v>
      </c>
      <c r="AA50" s="34">
        <v>4500</v>
      </c>
      <c r="AB50" s="34">
        <v>8000</v>
      </c>
      <c r="AC50" s="34">
        <v>12500</v>
      </c>
      <c r="AD50" s="34">
        <v>18000</v>
      </c>
      <c r="AE50" s="34">
        <v>24500</v>
      </c>
      <c r="AF50" s="34">
        <v>32000</v>
      </c>
      <c r="AG50" s="34">
        <v>40500</v>
      </c>
      <c r="AH50" s="34">
        <v>50000</v>
      </c>
      <c r="AI50" s="8">
        <v>0</v>
      </c>
      <c r="AK50" s="20">
        <v>1.0416666666666999E-2</v>
      </c>
      <c r="AL50" s="20">
        <v>4.1666666666666997E-2</v>
      </c>
      <c r="AM50" s="20">
        <v>9.375E-2</v>
      </c>
      <c r="AN50" s="20">
        <v>0.16666666666666699</v>
      </c>
      <c r="AO50" s="20">
        <v>0.26041666666666702</v>
      </c>
      <c r="AP50" s="20">
        <v>0.375</v>
      </c>
      <c r="AQ50" s="20">
        <v>0.51041666666666696</v>
      </c>
      <c r="AR50" s="20">
        <v>0.66666666666666696</v>
      </c>
      <c r="AS50" s="20">
        <v>0.84375</v>
      </c>
      <c r="AT50" s="20">
        <v>1.0416666666666701</v>
      </c>
      <c r="AU50" s="20">
        <v>0</v>
      </c>
      <c r="AX50" s="34">
        <v>0</v>
      </c>
      <c r="AY50" s="34">
        <v>500</v>
      </c>
      <c r="AZ50" s="34">
        <v>2500</v>
      </c>
      <c r="BA50" s="34">
        <v>7000</v>
      </c>
      <c r="BB50" s="34">
        <v>15000</v>
      </c>
      <c r="BC50" s="34">
        <v>27500</v>
      </c>
      <c r="BD50" s="34">
        <v>45500</v>
      </c>
      <c r="BE50" s="34">
        <v>70000</v>
      </c>
      <c r="BF50" s="34">
        <v>102000</v>
      </c>
      <c r="BG50" s="34">
        <v>142500</v>
      </c>
      <c r="BH50" s="34">
        <v>192500</v>
      </c>
      <c r="BJ50" s="49">
        <f t="shared" si="8"/>
        <v>4.0104166666666696</v>
      </c>
      <c r="BK50" s="72">
        <v>0</v>
      </c>
      <c r="BL50" s="72">
        <v>1.0416666666666999E-2</v>
      </c>
      <c r="BM50" s="72">
        <v>5.2083333333333003E-2</v>
      </c>
      <c r="BN50" s="72">
        <v>0.14583333333333301</v>
      </c>
      <c r="BO50" s="72">
        <v>0.3125</v>
      </c>
      <c r="BP50" s="72">
        <v>0.57291666666666696</v>
      </c>
      <c r="BQ50" s="72">
        <v>0.94791666666666696</v>
      </c>
      <c r="BR50" s="72">
        <v>1.4583333333333299</v>
      </c>
      <c r="BS50" s="72">
        <v>2.125</v>
      </c>
      <c r="BT50" s="72">
        <v>2.96875</v>
      </c>
      <c r="BU50" s="72">
        <v>4.0104166666666696</v>
      </c>
      <c r="BW50" s="1">
        <v>2</v>
      </c>
      <c r="BX50" s="1">
        <v>4</v>
      </c>
      <c r="BY50" s="1">
        <v>6</v>
      </c>
      <c r="BZ50" s="1">
        <v>8</v>
      </c>
      <c r="CA50" s="1">
        <v>9</v>
      </c>
      <c r="CB50" s="1">
        <v>15</v>
      </c>
      <c r="CC50" s="1">
        <v>15</v>
      </c>
      <c r="CD50" s="1">
        <v>15</v>
      </c>
      <c r="CE50" s="1">
        <v>15</v>
      </c>
      <c r="CF50" s="1">
        <v>15</v>
      </c>
      <c r="CG50" s="1">
        <v>15</v>
      </c>
      <c r="CI50" s="1">
        <f t="shared" si="9"/>
        <v>11</v>
      </c>
    </row>
    <row r="51" spans="2:87" ht="16.5" customHeight="1">
      <c r="B51" s="2226"/>
      <c r="C51" s="2244"/>
      <c r="D51" s="2245"/>
      <c r="E51" s="464"/>
      <c r="F51" s="2203"/>
      <c r="G51" s="2203"/>
      <c r="H51" s="2211"/>
      <c r="I51" s="2323"/>
      <c r="J51" s="2353"/>
      <c r="K51" s="2383"/>
      <c r="L51" s="2393"/>
      <c r="M51" s="2161"/>
      <c r="N51" s="2117"/>
      <c r="O51" s="2179"/>
      <c r="P51" s="2097"/>
      <c r="Q51" s="2100"/>
      <c r="R51" s="222"/>
      <c r="T51" s="62"/>
      <c r="U51" s="171"/>
      <c r="V51" s="171"/>
      <c r="W51" s="171"/>
      <c r="X51" s="171"/>
      <c r="Y51" s="69"/>
      <c r="Z51" s="34"/>
      <c r="AA51" s="34"/>
      <c r="AB51" s="34"/>
      <c r="AC51" s="34"/>
      <c r="AD51" s="34"/>
      <c r="AE51" s="34"/>
      <c r="AF51" s="34"/>
      <c r="AG51" s="34"/>
      <c r="AH51" s="34"/>
      <c r="AK51" s="20"/>
      <c r="AL51" s="20"/>
      <c r="AM51" s="20"/>
      <c r="AN51" s="20"/>
      <c r="AO51" s="20"/>
      <c r="AP51" s="20"/>
      <c r="AQ51" s="20"/>
      <c r="AR51" s="20"/>
      <c r="AS51" s="20"/>
      <c r="AT51" s="20"/>
      <c r="AU51" s="20"/>
      <c r="AX51" s="34"/>
      <c r="AY51" s="34"/>
      <c r="AZ51" s="34"/>
      <c r="BA51" s="34"/>
      <c r="BB51" s="34"/>
      <c r="BC51" s="34"/>
      <c r="BD51" s="34"/>
      <c r="BE51" s="34"/>
      <c r="BF51" s="34"/>
      <c r="BG51" s="34"/>
      <c r="BH51" s="34"/>
      <c r="BJ51" s="49"/>
      <c r="BK51" s="72"/>
      <c r="BL51" s="72"/>
      <c r="BM51" s="72"/>
      <c r="BN51" s="72"/>
      <c r="BO51" s="72"/>
      <c r="BP51" s="72"/>
      <c r="BQ51" s="72"/>
      <c r="BR51" s="72"/>
      <c r="BS51" s="72"/>
      <c r="BT51" s="72"/>
      <c r="BU51" s="72"/>
      <c r="BW51" s="171"/>
      <c r="BX51" s="171"/>
      <c r="BY51" s="171"/>
      <c r="BZ51" s="171"/>
      <c r="CA51" s="171"/>
      <c r="CB51" s="171"/>
      <c r="CC51" s="171"/>
      <c r="CD51" s="171"/>
      <c r="CE51" s="171"/>
      <c r="CF51" s="171"/>
      <c r="CG51" s="171"/>
      <c r="CH51" s="171"/>
      <c r="CI51" s="171"/>
    </row>
    <row r="52" spans="2:87" ht="16.5" customHeight="1">
      <c r="B52" s="2226"/>
      <c r="C52" s="2244" t="s">
        <v>217</v>
      </c>
      <c r="D52" s="2245">
        <v>0</v>
      </c>
      <c r="E52" s="464"/>
      <c r="F52" s="2203">
        <f t="shared" ref="F52" si="31">F50</f>
        <v>10</v>
      </c>
      <c r="G52" s="2203"/>
      <c r="H52" s="2210">
        <f t="shared" si="0"/>
        <v>500</v>
      </c>
      <c r="I52" s="2322">
        <f t="shared" si="1"/>
        <v>1.0416666666666999E-2</v>
      </c>
      <c r="J52" s="2352">
        <f t="shared" si="2"/>
        <v>192500</v>
      </c>
      <c r="K52" s="2382">
        <f t="shared" si="3"/>
        <v>4.0104166666666696</v>
      </c>
      <c r="L52" s="2392" t="s">
        <v>218</v>
      </c>
      <c r="M52" s="2160">
        <f t="shared" si="4"/>
        <v>0</v>
      </c>
      <c r="N52" s="2116">
        <f t="shared" si="5"/>
        <v>0.1</v>
      </c>
      <c r="O52" s="2179"/>
      <c r="P52" s="2097"/>
      <c r="Q52" s="2100"/>
      <c r="R52" s="222"/>
      <c r="T52" s="62" t="s">
        <v>217</v>
      </c>
      <c r="U52" s="1">
        <f t="shared" si="6"/>
        <v>1</v>
      </c>
      <c r="V52" s="171">
        <f>F52+1</f>
        <v>11</v>
      </c>
      <c r="W52" s="1">
        <f t="shared" si="7"/>
        <v>10</v>
      </c>
      <c r="Y52" s="69">
        <v>500</v>
      </c>
      <c r="Z52" s="34">
        <v>2000</v>
      </c>
      <c r="AA52" s="34">
        <v>4500</v>
      </c>
      <c r="AB52" s="34">
        <v>8000</v>
      </c>
      <c r="AC52" s="34">
        <v>12500</v>
      </c>
      <c r="AD52" s="34">
        <v>18000</v>
      </c>
      <c r="AE52" s="34">
        <v>24500</v>
      </c>
      <c r="AF52" s="34">
        <v>32000</v>
      </c>
      <c r="AG52" s="34">
        <v>40500</v>
      </c>
      <c r="AH52" s="34">
        <v>50000</v>
      </c>
      <c r="AI52" s="8">
        <v>0</v>
      </c>
      <c r="AK52" s="20">
        <v>1.0416666666666999E-2</v>
      </c>
      <c r="AL52" s="20">
        <v>4.1666666666666997E-2</v>
      </c>
      <c r="AM52" s="20">
        <v>9.375E-2</v>
      </c>
      <c r="AN52" s="20">
        <v>0.16666666666666699</v>
      </c>
      <c r="AO52" s="20">
        <v>0.26041666666666702</v>
      </c>
      <c r="AP52" s="20">
        <v>0.375</v>
      </c>
      <c r="AQ52" s="20">
        <v>0.51041666666666696</v>
      </c>
      <c r="AR52" s="20">
        <v>0.66666666666666696</v>
      </c>
      <c r="AS52" s="20">
        <v>0.84375</v>
      </c>
      <c r="AT52" s="20">
        <v>1.0416666666666701</v>
      </c>
      <c r="AU52" s="20">
        <v>0</v>
      </c>
      <c r="AX52" s="34">
        <v>0</v>
      </c>
      <c r="AY52" s="34">
        <v>500</v>
      </c>
      <c r="AZ52" s="34">
        <v>2500</v>
      </c>
      <c r="BA52" s="34">
        <v>7000</v>
      </c>
      <c r="BB52" s="34">
        <v>15000</v>
      </c>
      <c r="BC52" s="34">
        <v>27500</v>
      </c>
      <c r="BD52" s="34">
        <v>45500</v>
      </c>
      <c r="BE52" s="34">
        <v>70000</v>
      </c>
      <c r="BF52" s="34">
        <v>102000</v>
      </c>
      <c r="BG52" s="34">
        <v>142500</v>
      </c>
      <c r="BH52" s="34">
        <v>192500</v>
      </c>
      <c r="BJ52" s="49">
        <f t="shared" si="8"/>
        <v>4.0104166666666696</v>
      </c>
      <c r="BK52" s="72">
        <v>0</v>
      </c>
      <c r="BL52" s="72">
        <v>1.0416666666666999E-2</v>
      </c>
      <c r="BM52" s="72">
        <v>5.2083333333333003E-2</v>
      </c>
      <c r="BN52" s="72">
        <v>0.14583333333333301</v>
      </c>
      <c r="BO52" s="72">
        <v>0.3125</v>
      </c>
      <c r="BP52" s="72">
        <v>0.57291666666666696</v>
      </c>
      <c r="BQ52" s="72">
        <v>0.94791666666666696</v>
      </c>
      <c r="BR52" s="72">
        <v>1.4583333333333299</v>
      </c>
      <c r="BS52" s="72">
        <v>2.125</v>
      </c>
      <c r="BT52" s="72">
        <v>2.96875</v>
      </c>
      <c r="BU52" s="72">
        <v>4.0104166666666696</v>
      </c>
      <c r="BW52" s="1">
        <v>2</v>
      </c>
      <c r="BX52" s="1">
        <v>4</v>
      </c>
      <c r="BY52" s="1">
        <v>6</v>
      </c>
      <c r="BZ52" s="1">
        <v>8</v>
      </c>
      <c r="CA52" s="1">
        <v>9</v>
      </c>
      <c r="CB52" s="1">
        <v>15</v>
      </c>
      <c r="CC52" s="1">
        <v>15</v>
      </c>
      <c r="CD52" s="1">
        <v>15</v>
      </c>
      <c r="CE52" s="1">
        <v>15</v>
      </c>
      <c r="CF52" s="1">
        <v>15</v>
      </c>
      <c r="CG52" s="1">
        <v>15</v>
      </c>
      <c r="CI52" s="1">
        <f t="shared" si="9"/>
        <v>11</v>
      </c>
    </row>
    <row r="53" spans="2:87" ht="16.5" customHeight="1">
      <c r="B53" s="2226"/>
      <c r="C53" s="2244"/>
      <c r="D53" s="2245"/>
      <c r="E53" s="464"/>
      <c r="F53" s="2203"/>
      <c r="G53" s="2203"/>
      <c r="H53" s="2211"/>
      <c r="I53" s="2323"/>
      <c r="J53" s="2353"/>
      <c r="K53" s="2383"/>
      <c r="L53" s="2393"/>
      <c r="M53" s="2161"/>
      <c r="N53" s="2117"/>
      <c r="O53" s="2180"/>
      <c r="P53" s="2098"/>
      <c r="Q53" s="2101"/>
      <c r="R53" s="222"/>
      <c r="T53" s="62"/>
      <c r="U53" s="171"/>
      <c r="V53" s="171"/>
      <c r="W53" s="171"/>
      <c r="X53" s="171"/>
      <c r="Y53" s="69"/>
      <c r="Z53" s="34"/>
      <c r="AA53" s="34"/>
      <c r="AB53" s="34"/>
      <c r="AC53" s="34"/>
      <c r="AD53" s="34"/>
      <c r="AE53" s="34"/>
      <c r="AF53" s="34"/>
      <c r="AG53" s="34"/>
      <c r="AH53" s="34"/>
      <c r="AK53" s="20"/>
      <c r="AL53" s="20"/>
      <c r="AM53" s="20"/>
      <c r="AN53" s="20"/>
      <c r="AO53" s="20"/>
      <c r="AP53" s="20"/>
      <c r="AQ53" s="20"/>
      <c r="AR53" s="20"/>
      <c r="AS53" s="20"/>
      <c r="AT53" s="20"/>
      <c r="AU53" s="20"/>
      <c r="AX53" s="34"/>
      <c r="AY53" s="34"/>
      <c r="AZ53" s="34"/>
      <c r="BA53" s="34"/>
      <c r="BB53" s="34"/>
      <c r="BC53" s="34"/>
      <c r="BD53" s="34"/>
      <c r="BE53" s="34"/>
      <c r="BF53" s="34"/>
      <c r="BG53" s="34"/>
      <c r="BH53" s="34"/>
      <c r="BJ53" s="49"/>
      <c r="BK53" s="72"/>
      <c r="BL53" s="72"/>
      <c r="BM53" s="72"/>
      <c r="BN53" s="72"/>
      <c r="BO53" s="72"/>
      <c r="BP53" s="72"/>
      <c r="BQ53" s="72"/>
      <c r="BR53" s="72"/>
      <c r="BS53" s="72"/>
      <c r="BT53" s="72"/>
      <c r="BU53" s="72"/>
      <c r="BW53" s="171"/>
      <c r="BX53" s="171"/>
      <c r="BY53" s="171"/>
      <c r="BZ53" s="171"/>
      <c r="CA53" s="171"/>
      <c r="CB53" s="171"/>
      <c r="CC53" s="171"/>
      <c r="CD53" s="171"/>
      <c r="CE53" s="171"/>
      <c r="CF53" s="171"/>
      <c r="CG53" s="171"/>
      <c r="CH53" s="171"/>
      <c r="CI53" s="171"/>
    </row>
    <row r="54" spans="2:87" ht="16.5" customHeight="1">
      <c r="B54" s="2226"/>
      <c r="C54" s="2242" t="s">
        <v>219</v>
      </c>
      <c r="D54" s="2243">
        <v>0</v>
      </c>
      <c r="E54" s="463"/>
      <c r="F54" s="2203">
        <f t="shared" ref="F54" si="32">F52</f>
        <v>10</v>
      </c>
      <c r="G54" s="2203"/>
      <c r="H54" s="2216">
        <f t="shared" si="0"/>
        <v>500</v>
      </c>
      <c r="I54" s="2324">
        <f t="shared" si="1"/>
        <v>1.0416666666666999E-2</v>
      </c>
      <c r="J54" s="2354">
        <f t="shared" si="2"/>
        <v>192500</v>
      </c>
      <c r="K54" s="2384">
        <f t="shared" si="3"/>
        <v>4.0104166666666696</v>
      </c>
      <c r="L54" s="2390" t="s">
        <v>220</v>
      </c>
      <c r="M54" s="2195">
        <f t="shared" si="4"/>
        <v>0</v>
      </c>
      <c r="N54" s="2118">
        <f t="shared" si="5"/>
        <v>0.1</v>
      </c>
      <c r="O54" s="2178" t="s">
        <v>221</v>
      </c>
      <c r="P54" s="2096">
        <f>CHOOSE(U54,BW54,BX54,BY54,BZ54,CA54,CB54,CC54,CD54,CE54,CF54,CG54)</f>
        <v>2</v>
      </c>
      <c r="Q54" s="2099">
        <f>IF((V54&lt;=U54),CHOOSE(U54,BW54,BX54,BY54,BZ54,CA54,CB54,CC54,CD54,CE54,CF54,CG54),CHOOSE(V54,BW54,BX54,BY54,BZ54,CA54,CB54,CC54,CD54,CE54,CF54,CG54))</f>
        <v>15</v>
      </c>
      <c r="R54" s="222"/>
      <c r="T54" s="62" t="s">
        <v>219</v>
      </c>
      <c r="U54" s="1">
        <f t="shared" si="6"/>
        <v>1</v>
      </c>
      <c r="V54" s="171">
        <f>F54+1</f>
        <v>11</v>
      </c>
      <c r="W54" s="1">
        <f t="shared" si="7"/>
        <v>10</v>
      </c>
      <c r="Y54" s="69">
        <v>500</v>
      </c>
      <c r="Z54" s="34">
        <v>2000</v>
      </c>
      <c r="AA54" s="34">
        <v>4500</v>
      </c>
      <c r="AB54" s="34">
        <v>8000</v>
      </c>
      <c r="AC54" s="34">
        <v>12500</v>
      </c>
      <c r="AD54" s="34">
        <v>18000</v>
      </c>
      <c r="AE54" s="34">
        <v>24500</v>
      </c>
      <c r="AF54" s="34">
        <v>32000</v>
      </c>
      <c r="AG54" s="34">
        <v>40500</v>
      </c>
      <c r="AH54" s="34">
        <v>50000</v>
      </c>
      <c r="AI54" s="8">
        <v>0</v>
      </c>
      <c r="AK54" s="20">
        <v>1.0416666666666999E-2</v>
      </c>
      <c r="AL54" s="20">
        <v>4.1666666666666997E-2</v>
      </c>
      <c r="AM54" s="20">
        <v>9.375E-2</v>
      </c>
      <c r="AN54" s="20">
        <v>0.16666666666666699</v>
      </c>
      <c r="AO54" s="20">
        <v>0.26041666666666702</v>
      </c>
      <c r="AP54" s="20">
        <v>0.375</v>
      </c>
      <c r="AQ54" s="20">
        <v>0.51041666666666696</v>
      </c>
      <c r="AR54" s="20">
        <v>0.66666666666666696</v>
      </c>
      <c r="AS54" s="20">
        <v>0.84375</v>
      </c>
      <c r="AT54" s="20">
        <v>1.0416666666666701</v>
      </c>
      <c r="AU54" s="20">
        <v>0</v>
      </c>
      <c r="AX54" s="34">
        <v>0</v>
      </c>
      <c r="AY54" s="34">
        <v>500</v>
      </c>
      <c r="AZ54" s="34">
        <v>2500</v>
      </c>
      <c r="BA54" s="34">
        <v>7000</v>
      </c>
      <c r="BB54" s="34">
        <v>15000</v>
      </c>
      <c r="BC54" s="34">
        <v>27500</v>
      </c>
      <c r="BD54" s="34">
        <v>45500</v>
      </c>
      <c r="BE54" s="34">
        <v>70000</v>
      </c>
      <c r="BF54" s="34">
        <v>102000</v>
      </c>
      <c r="BG54" s="34">
        <v>142500</v>
      </c>
      <c r="BH54" s="34">
        <v>192500</v>
      </c>
      <c r="BJ54" s="49">
        <f t="shared" si="8"/>
        <v>4.0104166666666696</v>
      </c>
      <c r="BK54" s="72">
        <v>0</v>
      </c>
      <c r="BL54" s="72">
        <v>1.0416666666666999E-2</v>
      </c>
      <c r="BM54" s="72">
        <v>5.2083333333333003E-2</v>
      </c>
      <c r="BN54" s="72">
        <v>0.14583333333333301</v>
      </c>
      <c r="BO54" s="72">
        <v>0.3125</v>
      </c>
      <c r="BP54" s="72">
        <v>0.57291666666666696</v>
      </c>
      <c r="BQ54" s="72">
        <v>0.94791666666666696</v>
      </c>
      <c r="BR54" s="72">
        <v>1.4583333333333299</v>
      </c>
      <c r="BS54" s="72">
        <v>2.125</v>
      </c>
      <c r="BT54" s="72">
        <v>2.96875</v>
      </c>
      <c r="BU54" s="72">
        <v>4.0104166666666696</v>
      </c>
      <c r="BW54" s="1">
        <v>2</v>
      </c>
      <c r="BX54" s="1">
        <v>4</v>
      </c>
      <c r="BY54" s="1">
        <v>6</v>
      </c>
      <c r="BZ54" s="1">
        <v>8</v>
      </c>
      <c r="CA54" s="1">
        <v>9</v>
      </c>
      <c r="CB54" s="1">
        <v>15</v>
      </c>
      <c r="CC54" s="1">
        <v>15</v>
      </c>
      <c r="CD54" s="1">
        <v>15</v>
      </c>
      <c r="CE54" s="1">
        <v>15</v>
      </c>
      <c r="CF54" s="1">
        <v>15</v>
      </c>
      <c r="CG54" s="1">
        <v>15</v>
      </c>
      <c r="CI54" s="1">
        <f t="shared" si="9"/>
        <v>11</v>
      </c>
    </row>
    <row r="55" spans="2:87" ht="16.5" customHeight="1">
      <c r="B55" s="2226"/>
      <c r="C55" s="2242"/>
      <c r="D55" s="2243"/>
      <c r="E55" s="463"/>
      <c r="F55" s="2203"/>
      <c r="G55" s="2203"/>
      <c r="H55" s="2217"/>
      <c r="I55" s="2325"/>
      <c r="J55" s="2355"/>
      <c r="K55" s="2385"/>
      <c r="L55" s="2391"/>
      <c r="M55" s="2196"/>
      <c r="N55" s="2119"/>
      <c r="O55" s="2179"/>
      <c r="P55" s="2097"/>
      <c r="Q55" s="2100"/>
      <c r="R55" s="222"/>
      <c r="T55" s="62"/>
      <c r="U55" s="171"/>
      <c r="V55" s="171"/>
      <c r="W55" s="171"/>
      <c r="X55" s="171"/>
      <c r="Y55" s="69"/>
      <c r="Z55" s="34"/>
      <c r="AA55" s="34"/>
      <c r="AB55" s="34"/>
      <c r="AC55" s="34"/>
      <c r="AD55" s="34"/>
      <c r="AE55" s="34"/>
      <c r="AF55" s="34"/>
      <c r="AG55" s="34"/>
      <c r="AH55" s="34"/>
      <c r="AK55" s="20"/>
      <c r="AL55" s="20"/>
      <c r="AM55" s="20"/>
      <c r="AN55" s="20"/>
      <c r="AO55" s="20"/>
      <c r="AP55" s="20"/>
      <c r="AQ55" s="20"/>
      <c r="AR55" s="20"/>
      <c r="AS55" s="20"/>
      <c r="AT55" s="20"/>
      <c r="AU55" s="20"/>
      <c r="AX55" s="34"/>
      <c r="AY55" s="34"/>
      <c r="AZ55" s="34"/>
      <c r="BA55" s="34"/>
      <c r="BB55" s="34"/>
      <c r="BC55" s="34"/>
      <c r="BD55" s="34"/>
      <c r="BE55" s="34"/>
      <c r="BF55" s="34"/>
      <c r="BG55" s="34"/>
      <c r="BH55" s="34"/>
      <c r="BJ55" s="49"/>
      <c r="BK55" s="72"/>
      <c r="BL55" s="72"/>
      <c r="BM55" s="72"/>
      <c r="BN55" s="72"/>
      <c r="BO55" s="72"/>
      <c r="BP55" s="72"/>
      <c r="BQ55" s="72"/>
      <c r="BR55" s="72"/>
      <c r="BS55" s="72"/>
      <c r="BT55" s="72"/>
      <c r="BU55" s="72"/>
      <c r="BW55" s="171"/>
      <c r="BX55" s="171"/>
      <c r="BY55" s="171"/>
      <c r="BZ55" s="171"/>
      <c r="CA55" s="171"/>
      <c r="CB55" s="171"/>
      <c r="CC55" s="171"/>
      <c r="CD55" s="171"/>
      <c r="CE55" s="171"/>
      <c r="CF55" s="171"/>
      <c r="CG55" s="171"/>
      <c r="CH55" s="171"/>
      <c r="CI55" s="171"/>
    </row>
    <row r="56" spans="2:87" ht="16.5" customHeight="1">
      <c r="B56" s="2226"/>
      <c r="C56" s="2244" t="s">
        <v>222</v>
      </c>
      <c r="D56" s="2245">
        <v>0</v>
      </c>
      <c r="E56" s="464"/>
      <c r="F56" s="2203">
        <f t="shared" ref="F56" si="33">F54</f>
        <v>10</v>
      </c>
      <c r="G56" s="2203"/>
      <c r="H56" s="2210">
        <f t="shared" si="0"/>
        <v>500</v>
      </c>
      <c r="I56" s="2322">
        <f t="shared" si="1"/>
        <v>1.0416666666666999E-2</v>
      </c>
      <c r="J56" s="2352">
        <f t="shared" si="2"/>
        <v>192500</v>
      </c>
      <c r="K56" s="2382">
        <f t="shared" si="3"/>
        <v>4.0104166666666696</v>
      </c>
      <c r="L56" s="2392" t="s">
        <v>223</v>
      </c>
      <c r="M56" s="2162">
        <f t="shared" si="4"/>
        <v>0</v>
      </c>
      <c r="N56" s="2120">
        <f t="shared" si="5"/>
        <v>0.1</v>
      </c>
      <c r="O56" s="2179"/>
      <c r="P56" s="2097"/>
      <c r="Q56" s="2100"/>
      <c r="R56" s="222"/>
      <c r="T56" s="62" t="s">
        <v>222</v>
      </c>
      <c r="U56" s="1">
        <f t="shared" si="6"/>
        <v>1</v>
      </c>
      <c r="V56" s="171">
        <f>F56+1</f>
        <v>11</v>
      </c>
      <c r="W56" s="1">
        <f t="shared" si="7"/>
        <v>10</v>
      </c>
      <c r="Y56" s="69">
        <v>500</v>
      </c>
      <c r="Z56" s="34">
        <v>2000</v>
      </c>
      <c r="AA56" s="34">
        <v>4500</v>
      </c>
      <c r="AB56" s="34">
        <v>8000</v>
      </c>
      <c r="AC56" s="34">
        <v>12500</v>
      </c>
      <c r="AD56" s="34">
        <v>18000</v>
      </c>
      <c r="AE56" s="34">
        <v>24500</v>
      </c>
      <c r="AF56" s="34">
        <v>32000</v>
      </c>
      <c r="AG56" s="34">
        <v>40500</v>
      </c>
      <c r="AH56" s="34">
        <v>50000</v>
      </c>
      <c r="AI56" s="8">
        <v>0</v>
      </c>
      <c r="AK56" s="20">
        <v>1.0416666666666999E-2</v>
      </c>
      <c r="AL56" s="20">
        <v>4.1666666666666997E-2</v>
      </c>
      <c r="AM56" s="20">
        <v>9.375E-2</v>
      </c>
      <c r="AN56" s="20">
        <v>0.16666666666666699</v>
      </c>
      <c r="AO56" s="20">
        <v>0.26041666666666702</v>
      </c>
      <c r="AP56" s="20">
        <v>0.375</v>
      </c>
      <c r="AQ56" s="20">
        <v>0.51041666666666696</v>
      </c>
      <c r="AR56" s="20">
        <v>0.66666666666666696</v>
      </c>
      <c r="AS56" s="20">
        <v>0.84375</v>
      </c>
      <c r="AT56" s="20">
        <v>1.0416666666666701</v>
      </c>
      <c r="AU56" s="20">
        <v>0</v>
      </c>
      <c r="AX56" s="34">
        <v>0</v>
      </c>
      <c r="AY56" s="34">
        <v>500</v>
      </c>
      <c r="AZ56" s="34">
        <v>2500</v>
      </c>
      <c r="BA56" s="34">
        <v>7000</v>
      </c>
      <c r="BB56" s="34">
        <v>15000</v>
      </c>
      <c r="BC56" s="34">
        <v>27500</v>
      </c>
      <c r="BD56" s="34">
        <v>45500</v>
      </c>
      <c r="BE56" s="34">
        <v>70000</v>
      </c>
      <c r="BF56" s="34">
        <v>102000</v>
      </c>
      <c r="BG56" s="34">
        <v>142500</v>
      </c>
      <c r="BH56" s="34">
        <v>192500</v>
      </c>
      <c r="BJ56" s="49">
        <f t="shared" si="8"/>
        <v>4.0104166666666696</v>
      </c>
      <c r="BK56" s="72">
        <v>0</v>
      </c>
      <c r="BL56" s="72">
        <v>1.0416666666666999E-2</v>
      </c>
      <c r="BM56" s="72">
        <v>5.2083333333333003E-2</v>
      </c>
      <c r="BN56" s="72">
        <v>0.14583333333333301</v>
      </c>
      <c r="BO56" s="72">
        <v>0.3125</v>
      </c>
      <c r="BP56" s="72">
        <v>0.57291666666666696</v>
      </c>
      <c r="BQ56" s="72">
        <v>0.94791666666666696</v>
      </c>
      <c r="BR56" s="72">
        <v>1.4583333333333299</v>
      </c>
      <c r="BS56" s="72">
        <v>2.125</v>
      </c>
      <c r="BT56" s="72">
        <v>2.96875</v>
      </c>
      <c r="BU56" s="72">
        <v>4.0104166666666696</v>
      </c>
      <c r="BW56" s="1">
        <v>2</v>
      </c>
      <c r="BX56" s="1">
        <v>4</v>
      </c>
      <c r="BY56" s="1">
        <v>6</v>
      </c>
      <c r="BZ56" s="1">
        <v>8</v>
      </c>
      <c r="CA56" s="1">
        <v>9</v>
      </c>
      <c r="CB56" s="1">
        <v>15</v>
      </c>
      <c r="CC56" s="1">
        <v>15</v>
      </c>
      <c r="CD56" s="1">
        <v>15</v>
      </c>
      <c r="CE56" s="1">
        <v>15</v>
      </c>
      <c r="CF56" s="1">
        <v>15</v>
      </c>
      <c r="CG56" s="1">
        <v>15</v>
      </c>
      <c r="CI56" s="1">
        <f t="shared" si="9"/>
        <v>11</v>
      </c>
    </row>
    <row r="57" spans="2:87" ht="16.5" customHeight="1">
      <c r="B57" s="2226"/>
      <c r="C57" s="2244"/>
      <c r="D57" s="2245"/>
      <c r="E57" s="464"/>
      <c r="F57" s="2203"/>
      <c r="G57" s="2203"/>
      <c r="H57" s="2211"/>
      <c r="I57" s="2323"/>
      <c r="J57" s="2353"/>
      <c r="K57" s="2383"/>
      <c r="L57" s="2393"/>
      <c r="M57" s="2163"/>
      <c r="N57" s="2121"/>
      <c r="O57" s="2179"/>
      <c r="P57" s="2097"/>
      <c r="Q57" s="2100"/>
      <c r="R57" s="222"/>
      <c r="T57" s="62"/>
      <c r="U57" s="171"/>
      <c r="V57" s="171"/>
      <c r="W57" s="171"/>
      <c r="X57" s="171"/>
      <c r="Y57" s="69"/>
      <c r="Z57" s="34"/>
      <c r="AA57" s="34"/>
      <c r="AB57" s="34"/>
      <c r="AC57" s="34"/>
      <c r="AD57" s="34"/>
      <c r="AE57" s="34"/>
      <c r="AF57" s="34"/>
      <c r="AG57" s="34"/>
      <c r="AH57" s="34"/>
      <c r="AK57" s="20"/>
      <c r="AL57" s="20"/>
      <c r="AM57" s="20"/>
      <c r="AN57" s="20"/>
      <c r="AO57" s="20"/>
      <c r="AP57" s="20"/>
      <c r="AQ57" s="20"/>
      <c r="AR57" s="20"/>
      <c r="AS57" s="20"/>
      <c r="AT57" s="20"/>
      <c r="AU57" s="20"/>
      <c r="AX57" s="34"/>
      <c r="AY57" s="34"/>
      <c r="AZ57" s="34"/>
      <c r="BA57" s="34"/>
      <c r="BB57" s="34"/>
      <c r="BC57" s="34"/>
      <c r="BD57" s="34"/>
      <c r="BE57" s="34"/>
      <c r="BF57" s="34"/>
      <c r="BG57" s="34"/>
      <c r="BH57" s="34"/>
      <c r="BJ57" s="49"/>
      <c r="BK57" s="72"/>
      <c r="BL57" s="72"/>
      <c r="BM57" s="72"/>
      <c r="BN57" s="72"/>
      <c r="BO57" s="72"/>
      <c r="BP57" s="72"/>
      <c r="BQ57" s="72"/>
      <c r="BR57" s="72"/>
      <c r="BS57" s="72"/>
      <c r="BT57" s="72"/>
      <c r="BU57" s="72"/>
      <c r="BW57" s="171"/>
      <c r="BX57" s="171"/>
      <c r="BY57" s="171"/>
      <c r="BZ57" s="171"/>
      <c r="CA57" s="171"/>
      <c r="CB57" s="171"/>
      <c r="CC57" s="171"/>
      <c r="CD57" s="171"/>
      <c r="CE57" s="171"/>
      <c r="CF57" s="171"/>
      <c r="CG57" s="171"/>
      <c r="CH57" s="171"/>
      <c r="CI57" s="171"/>
    </row>
    <row r="58" spans="2:87" ht="16.5" customHeight="1">
      <c r="B58" s="2226"/>
      <c r="C58" s="2246" t="s">
        <v>224</v>
      </c>
      <c r="D58" s="2245">
        <v>0</v>
      </c>
      <c r="E58" s="464"/>
      <c r="F58" s="2203">
        <f t="shared" ref="F58" si="34">F56</f>
        <v>10</v>
      </c>
      <c r="G58" s="2203"/>
      <c r="H58" s="2222">
        <f t="shared" si="0"/>
        <v>500</v>
      </c>
      <c r="I58" s="2326">
        <f t="shared" si="1"/>
        <v>1.0416666666666999E-2</v>
      </c>
      <c r="J58" s="2356">
        <f t="shared" si="2"/>
        <v>192500</v>
      </c>
      <c r="K58" s="2404">
        <f t="shared" si="3"/>
        <v>4.0104166666666696</v>
      </c>
      <c r="L58" s="2394" t="s">
        <v>225</v>
      </c>
      <c r="M58" s="2148">
        <f t="shared" si="4"/>
        <v>0</v>
      </c>
      <c r="N58" s="2122">
        <f t="shared" si="5"/>
        <v>0.1</v>
      </c>
      <c r="O58" s="2179"/>
      <c r="P58" s="2097"/>
      <c r="Q58" s="2100"/>
      <c r="R58" s="222"/>
      <c r="T58" s="62" t="s">
        <v>224</v>
      </c>
      <c r="U58" s="1">
        <f t="shared" si="6"/>
        <v>1</v>
      </c>
      <c r="V58" s="171">
        <f>F58+1</f>
        <v>11</v>
      </c>
      <c r="W58" s="1">
        <f t="shared" si="7"/>
        <v>10</v>
      </c>
      <c r="Y58" s="69">
        <v>500</v>
      </c>
      <c r="Z58" s="34">
        <v>2000</v>
      </c>
      <c r="AA58" s="34">
        <v>4500</v>
      </c>
      <c r="AB58" s="34">
        <v>8000</v>
      </c>
      <c r="AC58" s="34">
        <v>12500</v>
      </c>
      <c r="AD58" s="34">
        <v>18000</v>
      </c>
      <c r="AE58" s="34">
        <v>24500</v>
      </c>
      <c r="AF58" s="34">
        <v>32000</v>
      </c>
      <c r="AG58" s="34">
        <v>40500</v>
      </c>
      <c r="AH58" s="34">
        <v>50000</v>
      </c>
      <c r="AI58" s="8">
        <v>0</v>
      </c>
      <c r="AK58" s="20">
        <v>1.0416666666666999E-2</v>
      </c>
      <c r="AL58" s="20">
        <v>4.1666666666666997E-2</v>
      </c>
      <c r="AM58" s="20">
        <v>9.375E-2</v>
      </c>
      <c r="AN58" s="20">
        <v>0.16666666666666699</v>
      </c>
      <c r="AO58" s="20">
        <v>0.26041666666666702</v>
      </c>
      <c r="AP58" s="20">
        <v>0.375</v>
      </c>
      <c r="AQ58" s="20">
        <v>0.51041666666666696</v>
      </c>
      <c r="AR58" s="20">
        <v>0.66666666666666696</v>
      </c>
      <c r="AS58" s="20">
        <v>0.84375</v>
      </c>
      <c r="AT58" s="20">
        <v>1.0416666666666701</v>
      </c>
      <c r="AU58" s="20">
        <v>0</v>
      </c>
      <c r="AX58" s="34">
        <v>0</v>
      </c>
      <c r="AY58" s="34">
        <v>500</v>
      </c>
      <c r="AZ58" s="34">
        <v>2500</v>
      </c>
      <c r="BA58" s="34">
        <v>7000</v>
      </c>
      <c r="BB58" s="34">
        <v>15000</v>
      </c>
      <c r="BC58" s="34">
        <v>27500</v>
      </c>
      <c r="BD58" s="34">
        <v>45500</v>
      </c>
      <c r="BE58" s="34">
        <v>70000</v>
      </c>
      <c r="BF58" s="34">
        <v>102000</v>
      </c>
      <c r="BG58" s="34">
        <v>142500</v>
      </c>
      <c r="BH58" s="34">
        <v>192500</v>
      </c>
      <c r="BJ58" s="49">
        <f t="shared" si="8"/>
        <v>4.0104166666666696</v>
      </c>
      <c r="BK58" s="72">
        <v>0</v>
      </c>
      <c r="BL58" s="72">
        <v>1.0416666666666999E-2</v>
      </c>
      <c r="BM58" s="72">
        <v>5.2083333333333003E-2</v>
      </c>
      <c r="BN58" s="72">
        <v>0.14583333333333301</v>
      </c>
      <c r="BO58" s="72">
        <v>0.3125</v>
      </c>
      <c r="BP58" s="72">
        <v>0.57291666666666696</v>
      </c>
      <c r="BQ58" s="72">
        <v>0.94791666666666696</v>
      </c>
      <c r="BR58" s="72">
        <v>1.4583333333333299</v>
      </c>
      <c r="BS58" s="72">
        <v>2.125</v>
      </c>
      <c r="BT58" s="72">
        <v>2.96875</v>
      </c>
      <c r="BU58" s="72">
        <v>4.0104166666666696</v>
      </c>
      <c r="BW58" s="1">
        <v>2</v>
      </c>
      <c r="BX58" s="1">
        <v>4</v>
      </c>
      <c r="BY58" s="1">
        <v>6</v>
      </c>
      <c r="BZ58" s="1">
        <v>8</v>
      </c>
      <c r="CA58" s="1">
        <v>9</v>
      </c>
      <c r="CB58" s="1">
        <v>15</v>
      </c>
      <c r="CC58" s="1">
        <v>15</v>
      </c>
      <c r="CD58" s="1">
        <v>15</v>
      </c>
      <c r="CE58" s="1">
        <v>15</v>
      </c>
      <c r="CF58" s="1">
        <v>15</v>
      </c>
      <c r="CG58" s="1">
        <v>15</v>
      </c>
      <c r="CI58" s="1">
        <f t="shared" si="9"/>
        <v>11</v>
      </c>
    </row>
    <row r="59" spans="2:87" ht="16.5" customHeight="1">
      <c r="B59" s="2226"/>
      <c r="C59" s="2246"/>
      <c r="D59" s="2245"/>
      <c r="E59" s="464"/>
      <c r="F59" s="2203"/>
      <c r="G59" s="2203"/>
      <c r="H59" s="2223"/>
      <c r="I59" s="2327"/>
      <c r="J59" s="2357"/>
      <c r="K59" s="2405"/>
      <c r="L59" s="2395"/>
      <c r="M59" s="2149"/>
      <c r="N59" s="2123"/>
      <c r="O59" s="2180"/>
      <c r="P59" s="2098"/>
      <c r="Q59" s="2101"/>
      <c r="R59" s="222"/>
      <c r="T59" s="62"/>
      <c r="U59" s="171"/>
      <c r="V59" s="171"/>
      <c r="W59" s="171"/>
      <c r="X59" s="171"/>
      <c r="Y59" s="69"/>
      <c r="Z59" s="34"/>
      <c r="AA59" s="34"/>
      <c r="AB59" s="34"/>
      <c r="AC59" s="34"/>
      <c r="AD59" s="34"/>
      <c r="AE59" s="34"/>
      <c r="AF59" s="34"/>
      <c r="AG59" s="34"/>
      <c r="AH59" s="34"/>
      <c r="AK59" s="20"/>
      <c r="AL59" s="20"/>
      <c r="AM59" s="20"/>
      <c r="AN59" s="20"/>
      <c r="AO59" s="20"/>
      <c r="AP59" s="20"/>
      <c r="AQ59" s="20"/>
      <c r="AR59" s="20"/>
      <c r="AS59" s="20"/>
      <c r="AT59" s="20"/>
      <c r="AU59" s="20"/>
      <c r="AX59" s="34"/>
      <c r="AY59" s="34"/>
      <c r="AZ59" s="34"/>
      <c r="BA59" s="34"/>
      <c r="BB59" s="34"/>
      <c r="BC59" s="34"/>
      <c r="BD59" s="34"/>
      <c r="BE59" s="34"/>
      <c r="BF59" s="34"/>
      <c r="BG59" s="34"/>
      <c r="BH59" s="34"/>
      <c r="BJ59" s="49"/>
      <c r="BK59" s="72"/>
      <c r="BL59" s="72"/>
      <c r="BM59" s="72"/>
      <c r="BN59" s="72"/>
      <c r="BO59" s="72"/>
      <c r="BP59" s="72"/>
      <c r="BQ59" s="72"/>
      <c r="BR59" s="72"/>
      <c r="BS59" s="72"/>
      <c r="BT59" s="72"/>
      <c r="BU59" s="72"/>
      <c r="BW59" s="171"/>
      <c r="BX59" s="171"/>
      <c r="BY59" s="171"/>
      <c r="BZ59" s="171"/>
      <c r="CA59" s="171"/>
      <c r="CB59" s="171"/>
      <c r="CC59" s="171"/>
      <c r="CD59" s="171"/>
      <c r="CE59" s="171"/>
      <c r="CF59" s="171"/>
      <c r="CG59" s="171"/>
      <c r="CH59" s="171"/>
      <c r="CI59" s="171"/>
    </row>
    <row r="60" spans="2:87" ht="16.5" customHeight="1">
      <c r="B60" s="2227" t="s">
        <v>226</v>
      </c>
      <c r="C60" s="2241" t="s">
        <v>227</v>
      </c>
      <c r="D60" s="2235">
        <v>0</v>
      </c>
      <c r="E60" s="465"/>
      <c r="F60" s="2203">
        <f t="shared" ref="F60" si="35">F58</f>
        <v>10</v>
      </c>
      <c r="G60" s="2203"/>
      <c r="H60" s="2239">
        <f t="shared" si="0"/>
        <v>500</v>
      </c>
      <c r="I60" s="2328">
        <f t="shared" si="1"/>
        <v>1.0416666666666999E-2</v>
      </c>
      <c r="J60" s="2358">
        <f t="shared" si="2"/>
        <v>192500</v>
      </c>
      <c r="K60" s="2406">
        <f t="shared" si="3"/>
        <v>4.0104166666666696</v>
      </c>
      <c r="L60" s="2396" t="s">
        <v>54</v>
      </c>
      <c r="M60" s="2144">
        <f t="shared" si="4"/>
        <v>0</v>
      </c>
      <c r="N60" s="2073">
        <f t="shared" si="5"/>
        <v>0.1</v>
      </c>
      <c r="O60" s="2181" t="s">
        <v>228</v>
      </c>
      <c r="P60" s="2102">
        <f>CHOOSE(U60,BW60,BX60,BY60,BZ60,CA60,CB60,CC60,CD60,CE60,CF60,CG60)</f>
        <v>2</v>
      </c>
      <c r="Q60" s="2105">
        <f>IF((V60&lt;=U60),CHOOSE(U60,BW60,BX60,BY60,BZ60,CA60,CB60,CC60,CD60,CE60,CF60,CG60),CHOOSE(V60,BW60,BX60,BY60,BZ60,CA60,CB60,CC60,CD60,CE60,CF60,CG60))</f>
        <v>15</v>
      </c>
      <c r="R60" s="222"/>
      <c r="T60" s="62" t="s">
        <v>227</v>
      </c>
      <c r="U60" s="1">
        <f t="shared" si="6"/>
        <v>1</v>
      </c>
      <c r="V60" s="171">
        <f>F60+1</f>
        <v>11</v>
      </c>
      <c r="W60" s="1">
        <f t="shared" si="7"/>
        <v>10</v>
      </c>
      <c r="Y60" s="69">
        <v>500</v>
      </c>
      <c r="Z60" s="34">
        <v>2000</v>
      </c>
      <c r="AA60" s="34">
        <v>4500</v>
      </c>
      <c r="AB60" s="34">
        <v>8000</v>
      </c>
      <c r="AC60" s="34">
        <v>12500</v>
      </c>
      <c r="AD60" s="34">
        <v>18000</v>
      </c>
      <c r="AE60" s="34">
        <v>24500</v>
      </c>
      <c r="AF60" s="34">
        <v>32000</v>
      </c>
      <c r="AG60" s="34">
        <v>40500</v>
      </c>
      <c r="AH60" s="34">
        <v>50000</v>
      </c>
      <c r="AI60" s="8">
        <v>0</v>
      </c>
      <c r="AK60" s="20">
        <v>1.0416666666666999E-2</v>
      </c>
      <c r="AL60" s="20">
        <v>4.1666666666666997E-2</v>
      </c>
      <c r="AM60" s="20">
        <v>9.375E-2</v>
      </c>
      <c r="AN60" s="20">
        <v>0.16666666666666699</v>
      </c>
      <c r="AO60" s="20">
        <v>0.26041666666666702</v>
      </c>
      <c r="AP60" s="20">
        <v>0.375</v>
      </c>
      <c r="AQ60" s="20">
        <v>0.51041666666666696</v>
      </c>
      <c r="AR60" s="20">
        <v>0.66666666666666696</v>
      </c>
      <c r="AS60" s="20">
        <v>0.84375</v>
      </c>
      <c r="AT60" s="20">
        <v>1.0416666666666701</v>
      </c>
      <c r="AU60" s="20">
        <v>0</v>
      </c>
      <c r="AX60" s="34">
        <v>0</v>
      </c>
      <c r="AY60" s="34">
        <v>500</v>
      </c>
      <c r="AZ60" s="34">
        <v>2500</v>
      </c>
      <c r="BA60" s="34">
        <v>7000</v>
      </c>
      <c r="BB60" s="34">
        <v>15000</v>
      </c>
      <c r="BC60" s="34">
        <v>27500</v>
      </c>
      <c r="BD60" s="34">
        <v>45500</v>
      </c>
      <c r="BE60" s="34">
        <v>70000</v>
      </c>
      <c r="BF60" s="34">
        <v>102000</v>
      </c>
      <c r="BG60" s="34">
        <v>142500</v>
      </c>
      <c r="BH60" s="34">
        <v>192500</v>
      </c>
      <c r="BJ60" s="49">
        <f t="shared" si="8"/>
        <v>4.0104166666666696</v>
      </c>
      <c r="BK60" s="72">
        <v>0</v>
      </c>
      <c r="BL60" s="72">
        <v>1.0416666666666999E-2</v>
      </c>
      <c r="BM60" s="72">
        <v>5.2083333333333003E-2</v>
      </c>
      <c r="BN60" s="72">
        <v>0.14583333333333301</v>
      </c>
      <c r="BO60" s="72">
        <v>0.3125</v>
      </c>
      <c r="BP60" s="72">
        <v>0.57291666666666696</v>
      </c>
      <c r="BQ60" s="72">
        <v>0.94791666666666696</v>
      </c>
      <c r="BR60" s="72">
        <v>1.4583333333333299</v>
      </c>
      <c r="BS60" s="72">
        <v>2.125</v>
      </c>
      <c r="BT60" s="72">
        <v>2.96875</v>
      </c>
      <c r="BU60" s="72">
        <v>4.0104166666666696</v>
      </c>
      <c r="BW60" s="1">
        <v>2</v>
      </c>
      <c r="BX60" s="1">
        <v>4</v>
      </c>
      <c r="BY60" s="1">
        <v>6</v>
      </c>
      <c r="BZ60" s="1">
        <v>8</v>
      </c>
      <c r="CA60" s="1">
        <v>9</v>
      </c>
      <c r="CB60" s="1">
        <v>15</v>
      </c>
      <c r="CC60" s="1">
        <v>15</v>
      </c>
      <c r="CD60" s="1">
        <v>15</v>
      </c>
      <c r="CE60" s="1">
        <v>15</v>
      </c>
      <c r="CF60" s="1">
        <v>15</v>
      </c>
      <c r="CG60" s="1">
        <v>15</v>
      </c>
      <c r="CI60" s="1">
        <f t="shared" si="9"/>
        <v>11</v>
      </c>
    </row>
    <row r="61" spans="2:87" ht="16.5" customHeight="1">
      <c r="B61" s="2227"/>
      <c r="C61" s="2241"/>
      <c r="D61" s="2235"/>
      <c r="E61" s="465"/>
      <c r="F61" s="2203"/>
      <c r="G61" s="2203"/>
      <c r="H61" s="2240"/>
      <c r="I61" s="2329"/>
      <c r="J61" s="2359"/>
      <c r="K61" s="2407"/>
      <c r="L61" s="2397"/>
      <c r="M61" s="2145"/>
      <c r="N61" s="2074"/>
      <c r="O61" s="2182"/>
      <c r="P61" s="2103"/>
      <c r="Q61" s="2106"/>
      <c r="R61" s="222"/>
      <c r="T61" s="62"/>
      <c r="U61" s="171"/>
      <c r="V61" s="171"/>
      <c r="W61" s="171"/>
      <c r="X61" s="171"/>
      <c r="Y61" s="69"/>
      <c r="Z61" s="34"/>
      <c r="AA61" s="34"/>
      <c r="AB61" s="34"/>
      <c r="AC61" s="34"/>
      <c r="AD61" s="34"/>
      <c r="AE61" s="34"/>
      <c r="AF61" s="34"/>
      <c r="AG61" s="34"/>
      <c r="AH61" s="34"/>
      <c r="AK61" s="20"/>
      <c r="AL61" s="20"/>
      <c r="AM61" s="20"/>
      <c r="AN61" s="20"/>
      <c r="AO61" s="20"/>
      <c r="AP61" s="20"/>
      <c r="AQ61" s="20"/>
      <c r="AR61" s="20"/>
      <c r="AS61" s="20"/>
      <c r="AT61" s="20"/>
      <c r="AU61" s="20"/>
      <c r="AX61" s="34"/>
      <c r="AY61" s="34"/>
      <c r="AZ61" s="34"/>
      <c r="BA61" s="34"/>
      <c r="BB61" s="34"/>
      <c r="BC61" s="34"/>
      <c r="BD61" s="34"/>
      <c r="BE61" s="34"/>
      <c r="BF61" s="34"/>
      <c r="BG61" s="34"/>
      <c r="BH61" s="34"/>
      <c r="BJ61" s="49"/>
      <c r="BK61" s="72"/>
      <c r="BL61" s="72"/>
      <c r="BM61" s="72"/>
      <c r="BN61" s="72"/>
      <c r="BO61" s="72"/>
      <c r="BP61" s="72"/>
      <c r="BQ61" s="72"/>
      <c r="BR61" s="72"/>
      <c r="BS61" s="72"/>
      <c r="BT61" s="72"/>
      <c r="BU61" s="72"/>
      <c r="BW61" s="171"/>
      <c r="BX61" s="171"/>
      <c r="BY61" s="171"/>
      <c r="BZ61" s="171"/>
      <c r="CA61" s="171"/>
      <c r="CB61" s="171"/>
      <c r="CC61" s="171"/>
      <c r="CD61" s="171"/>
      <c r="CE61" s="171"/>
      <c r="CF61" s="171"/>
      <c r="CG61" s="171"/>
      <c r="CH61" s="171"/>
      <c r="CI61" s="171"/>
    </row>
    <row r="62" spans="2:87" ht="16.5" customHeight="1">
      <c r="B62" s="2227"/>
      <c r="C62" s="2236" t="s">
        <v>229</v>
      </c>
      <c r="D62" s="2237">
        <v>0</v>
      </c>
      <c r="E62" s="466"/>
      <c r="F62" s="2203">
        <f t="shared" ref="F62" si="36">F60</f>
        <v>10</v>
      </c>
      <c r="G62" s="2203"/>
      <c r="H62" s="2204">
        <f t="shared" si="0"/>
        <v>500</v>
      </c>
      <c r="I62" s="2330">
        <f t="shared" si="1"/>
        <v>1.0416666666666999E-2</v>
      </c>
      <c r="J62" s="2360">
        <f t="shared" si="2"/>
        <v>192500</v>
      </c>
      <c r="K62" s="2388">
        <f t="shared" si="3"/>
        <v>4.0104166666666696</v>
      </c>
      <c r="L62" s="2398" t="s">
        <v>53</v>
      </c>
      <c r="M62" s="2150">
        <f t="shared" si="4"/>
        <v>0</v>
      </c>
      <c r="N62" s="2075">
        <f t="shared" si="5"/>
        <v>0.1</v>
      </c>
      <c r="O62" s="2182"/>
      <c r="P62" s="2103"/>
      <c r="Q62" s="2106"/>
      <c r="R62" s="222"/>
      <c r="T62" s="62" t="s">
        <v>229</v>
      </c>
      <c r="U62" s="1">
        <f t="shared" si="6"/>
        <v>1</v>
      </c>
      <c r="V62" s="171">
        <f>F62+1</f>
        <v>11</v>
      </c>
      <c r="W62" s="1">
        <f t="shared" si="7"/>
        <v>10</v>
      </c>
      <c r="Y62" s="69">
        <v>500</v>
      </c>
      <c r="Z62" s="34">
        <v>2000</v>
      </c>
      <c r="AA62" s="34">
        <v>4500</v>
      </c>
      <c r="AB62" s="34">
        <v>8000</v>
      </c>
      <c r="AC62" s="34">
        <v>12500</v>
      </c>
      <c r="AD62" s="34">
        <v>18000</v>
      </c>
      <c r="AE62" s="34">
        <v>24500</v>
      </c>
      <c r="AF62" s="34">
        <v>32000</v>
      </c>
      <c r="AG62" s="34">
        <v>40500</v>
      </c>
      <c r="AH62" s="34">
        <v>50000</v>
      </c>
      <c r="AI62" s="8">
        <v>0</v>
      </c>
      <c r="AK62" s="20">
        <v>1.0416666666666999E-2</v>
      </c>
      <c r="AL62" s="20">
        <v>4.1666666666666997E-2</v>
      </c>
      <c r="AM62" s="20">
        <v>9.375E-2</v>
      </c>
      <c r="AN62" s="20">
        <v>0.16666666666666699</v>
      </c>
      <c r="AO62" s="20">
        <v>0.26041666666666702</v>
      </c>
      <c r="AP62" s="20">
        <v>0.375</v>
      </c>
      <c r="AQ62" s="20">
        <v>0.51041666666666696</v>
      </c>
      <c r="AR62" s="20">
        <v>0.66666666666666696</v>
      </c>
      <c r="AS62" s="20">
        <v>0.84375</v>
      </c>
      <c r="AT62" s="20">
        <v>1.0416666666666701</v>
      </c>
      <c r="AU62" s="20">
        <v>0</v>
      </c>
      <c r="AX62" s="34">
        <v>0</v>
      </c>
      <c r="AY62" s="34">
        <v>500</v>
      </c>
      <c r="AZ62" s="34">
        <v>2500</v>
      </c>
      <c r="BA62" s="34">
        <v>7000</v>
      </c>
      <c r="BB62" s="34">
        <v>15000</v>
      </c>
      <c r="BC62" s="34">
        <v>27500</v>
      </c>
      <c r="BD62" s="34">
        <v>45500</v>
      </c>
      <c r="BE62" s="34">
        <v>70000</v>
      </c>
      <c r="BF62" s="34">
        <v>102000</v>
      </c>
      <c r="BG62" s="34">
        <v>142500</v>
      </c>
      <c r="BH62" s="34">
        <v>192500</v>
      </c>
      <c r="BJ62" s="49">
        <f t="shared" si="8"/>
        <v>4.0104166666666696</v>
      </c>
      <c r="BK62" s="72">
        <v>0</v>
      </c>
      <c r="BL62" s="72">
        <v>1.0416666666666999E-2</v>
      </c>
      <c r="BM62" s="72">
        <v>5.2083333333333003E-2</v>
      </c>
      <c r="BN62" s="72">
        <v>0.14583333333333301</v>
      </c>
      <c r="BO62" s="72">
        <v>0.3125</v>
      </c>
      <c r="BP62" s="72">
        <v>0.57291666666666696</v>
      </c>
      <c r="BQ62" s="72">
        <v>0.94791666666666696</v>
      </c>
      <c r="BR62" s="72">
        <v>1.4583333333333299</v>
      </c>
      <c r="BS62" s="72">
        <v>2.125</v>
      </c>
      <c r="BT62" s="72">
        <v>2.96875</v>
      </c>
      <c r="BU62" s="72">
        <v>4.0104166666666696</v>
      </c>
      <c r="BW62" s="1">
        <v>2</v>
      </c>
      <c r="BX62" s="1">
        <v>4</v>
      </c>
      <c r="BY62" s="1">
        <v>6</v>
      </c>
      <c r="BZ62" s="1">
        <v>8</v>
      </c>
      <c r="CA62" s="1">
        <v>9</v>
      </c>
      <c r="CB62" s="1">
        <v>15</v>
      </c>
      <c r="CC62" s="1">
        <v>15</v>
      </c>
      <c r="CD62" s="1">
        <v>15</v>
      </c>
      <c r="CE62" s="1">
        <v>15</v>
      </c>
      <c r="CF62" s="1">
        <v>15</v>
      </c>
      <c r="CG62" s="1">
        <v>15</v>
      </c>
      <c r="CI62" s="1">
        <f t="shared" si="9"/>
        <v>11</v>
      </c>
    </row>
    <row r="63" spans="2:87" ht="16.5" customHeight="1">
      <c r="B63" s="2227"/>
      <c r="C63" s="2236"/>
      <c r="D63" s="2237"/>
      <c r="E63" s="466"/>
      <c r="F63" s="2203"/>
      <c r="G63" s="2203"/>
      <c r="H63" s="2205"/>
      <c r="I63" s="2331"/>
      <c r="J63" s="2361"/>
      <c r="K63" s="2389"/>
      <c r="L63" s="2399"/>
      <c r="M63" s="2151"/>
      <c r="N63" s="2076"/>
      <c r="O63" s="2182"/>
      <c r="P63" s="2103"/>
      <c r="Q63" s="2106"/>
      <c r="R63" s="222"/>
      <c r="T63" s="62"/>
      <c r="U63" s="171"/>
      <c r="V63" s="171"/>
      <c r="W63" s="171"/>
      <c r="X63" s="171"/>
      <c r="Y63" s="69"/>
      <c r="Z63" s="34"/>
      <c r="AA63" s="34"/>
      <c r="AB63" s="34"/>
      <c r="AC63" s="34"/>
      <c r="AD63" s="34"/>
      <c r="AE63" s="34"/>
      <c r="AF63" s="34"/>
      <c r="AG63" s="34"/>
      <c r="AH63" s="34"/>
      <c r="AK63" s="20"/>
      <c r="AL63" s="20"/>
      <c r="AM63" s="20"/>
      <c r="AN63" s="20"/>
      <c r="AO63" s="20"/>
      <c r="AP63" s="20"/>
      <c r="AQ63" s="20"/>
      <c r="AR63" s="20"/>
      <c r="AS63" s="20"/>
      <c r="AT63" s="20"/>
      <c r="AU63" s="20"/>
      <c r="AX63" s="34"/>
      <c r="AY63" s="34"/>
      <c r="AZ63" s="34"/>
      <c r="BA63" s="34"/>
      <c r="BB63" s="34"/>
      <c r="BC63" s="34"/>
      <c r="BD63" s="34"/>
      <c r="BE63" s="34"/>
      <c r="BF63" s="34"/>
      <c r="BG63" s="34"/>
      <c r="BH63" s="34"/>
      <c r="BJ63" s="49"/>
      <c r="BK63" s="72"/>
      <c r="BL63" s="72"/>
      <c r="BM63" s="72"/>
      <c r="BN63" s="72"/>
      <c r="BO63" s="72"/>
      <c r="BP63" s="72"/>
      <c r="BQ63" s="72"/>
      <c r="BR63" s="72"/>
      <c r="BS63" s="72"/>
      <c r="BT63" s="72"/>
      <c r="BU63" s="72"/>
      <c r="BW63" s="171"/>
      <c r="BX63" s="171"/>
      <c r="BY63" s="171"/>
      <c r="BZ63" s="171"/>
      <c r="CA63" s="171"/>
      <c r="CB63" s="171"/>
      <c r="CC63" s="171"/>
      <c r="CD63" s="171"/>
      <c r="CE63" s="171"/>
      <c r="CF63" s="171"/>
      <c r="CG63" s="171"/>
      <c r="CH63" s="171"/>
      <c r="CI63" s="171"/>
    </row>
    <row r="64" spans="2:87" ht="16.5" customHeight="1">
      <c r="B64" s="2227"/>
      <c r="C64" s="2236" t="s">
        <v>230</v>
      </c>
      <c r="D64" s="2237">
        <v>0</v>
      </c>
      <c r="E64" s="466"/>
      <c r="F64" s="2203">
        <f t="shared" ref="F64" si="37">F62</f>
        <v>10</v>
      </c>
      <c r="G64" s="2203"/>
      <c r="H64" s="2204">
        <f t="shared" si="0"/>
        <v>500</v>
      </c>
      <c r="I64" s="2330">
        <f t="shared" si="1"/>
        <v>1.0416666666666999E-2</v>
      </c>
      <c r="J64" s="2360">
        <f t="shared" si="2"/>
        <v>192500</v>
      </c>
      <c r="K64" s="2388">
        <f t="shared" si="3"/>
        <v>4.0104166666666696</v>
      </c>
      <c r="L64" s="2398" t="s">
        <v>55</v>
      </c>
      <c r="M64" s="2150">
        <f t="shared" si="4"/>
        <v>0</v>
      </c>
      <c r="N64" s="2075">
        <f t="shared" si="5"/>
        <v>0.1</v>
      </c>
      <c r="O64" s="2182"/>
      <c r="P64" s="2103"/>
      <c r="Q64" s="2106"/>
      <c r="R64" s="222"/>
      <c r="T64" s="62" t="s">
        <v>230</v>
      </c>
      <c r="U64" s="1">
        <f t="shared" si="6"/>
        <v>1</v>
      </c>
      <c r="V64" s="171">
        <f>F64+1</f>
        <v>11</v>
      </c>
      <c r="W64" s="1">
        <f t="shared" si="7"/>
        <v>10</v>
      </c>
      <c r="Y64" s="69">
        <v>500</v>
      </c>
      <c r="Z64" s="34">
        <v>2000</v>
      </c>
      <c r="AA64" s="34">
        <v>4500</v>
      </c>
      <c r="AB64" s="34">
        <v>8000</v>
      </c>
      <c r="AC64" s="34">
        <v>12500</v>
      </c>
      <c r="AD64" s="34">
        <v>18000</v>
      </c>
      <c r="AE64" s="34">
        <v>24500</v>
      </c>
      <c r="AF64" s="34">
        <v>32000</v>
      </c>
      <c r="AG64" s="34">
        <v>40500</v>
      </c>
      <c r="AH64" s="34">
        <v>50000</v>
      </c>
      <c r="AI64" s="8">
        <v>0</v>
      </c>
      <c r="AK64" s="20">
        <v>1.0416666666666999E-2</v>
      </c>
      <c r="AL64" s="20">
        <v>4.1666666666666997E-2</v>
      </c>
      <c r="AM64" s="20">
        <v>9.375E-2</v>
      </c>
      <c r="AN64" s="20">
        <v>0.16666666666666699</v>
      </c>
      <c r="AO64" s="20">
        <v>0.26041666666666702</v>
      </c>
      <c r="AP64" s="20">
        <v>0.375</v>
      </c>
      <c r="AQ64" s="20">
        <v>0.51041666666666696</v>
      </c>
      <c r="AR64" s="20">
        <v>0.66666666666666696</v>
      </c>
      <c r="AS64" s="20">
        <v>0.84375</v>
      </c>
      <c r="AT64" s="20">
        <v>1.0416666666666701</v>
      </c>
      <c r="AU64" s="20">
        <v>0</v>
      </c>
      <c r="AX64" s="34">
        <v>0</v>
      </c>
      <c r="AY64" s="34">
        <v>500</v>
      </c>
      <c r="AZ64" s="34">
        <v>2500</v>
      </c>
      <c r="BA64" s="34">
        <v>7000</v>
      </c>
      <c r="BB64" s="34">
        <v>15000</v>
      </c>
      <c r="BC64" s="34">
        <v>27500</v>
      </c>
      <c r="BD64" s="34">
        <v>45500</v>
      </c>
      <c r="BE64" s="34">
        <v>70000</v>
      </c>
      <c r="BF64" s="34">
        <v>102000</v>
      </c>
      <c r="BG64" s="34">
        <v>142500</v>
      </c>
      <c r="BH64" s="34">
        <v>192500</v>
      </c>
      <c r="BJ64" s="49">
        <f t="shared" si="8"/>
        <v>4.0104166666666696</v>
      </c>
      <c r="BK64" s="72">
        <v>0</v>
      </c>
      <c r="BL64" s="72">
        <v>1.0416666666666999E-2</v>
      </c>
      <c r="BM64" s="72">
        <v>5.2083333333333003E-2</v>
      </c>
      <c r="BN64" s="72">
        <v>0.14583333333333301</v>
      </c>
      <c r="BO64" s="72">
        <v>0.3125</v>
      </c>
      <c r="BP64" s="72">
        <v>0.57291666666666696</v>
      </c>
      <c r="BQ64" s="72">
        <v>0.94791666666666696</v>
      </c>
      <c r="BR64" s="72">
        <v>1.4583333333333299</v>
      </c>
      <c r="BS64" s="72">
        <v>2.125</v>
      </c>
      <c r="BT64" s="72">
        <v>2.96875</v>
      </c>
      <c r="BU64" s="72">
        <v>4.0104166666666696</v>
      </c>
      <c r="BW64" s="1">
        <v>2</v>
      </c>
      <c r="BX64" s="1">
        <v>4</v>
      </c>
      <c r="BY64" s="1">
        <v>6</v>
      </c>
      <c r="BZ64" s="1">
        <v>8</v>
      </c>
      <c r="CA64" s="1">
        <v>9</v>
      </c>
      <c r="CB64" s="1">
        <v>15</v>
      </c>
      <c r="CC64" s="1">
        <v>15</v>
      </c>
      <c r="CD64" s="1">
        <v>15</v>
      </c>
      <c r="CE64" s="1">
        <v>15</v>
      </c>
      <c r="CF64" s="1">
        <v>15</v>
      </c>
      <c r="CG64" s="1">
        <v>15</v>
      </c>
      <c r="CI64" s="1">
        <f t="shared" si="9"/>
        <v>11</v>
      </c>
    </row>
    <row r="65" spans="2:87" ht="16.5" customHeight="1">
      <c r="B65" s="2227"/>
      <c r="C65" s="2236"/>
      <c r="D65" s="2237"/>
      <c r="E65" s="466"/>
      <c r="F65" s="2203"/>
      <c r="G65" s="2203"/>
      <c r="H65" s="2205"/>
      <c r="I65" s="2331"/>
      <c r="J65" s="2361"/>
      <c r="K65" s="2389"/>
      <c r="L65" s="2399"/>
      <c r="M65" s="2151"/>
      <c r="N65" s="2076"/>
      <c r="O65" s="2183"/>
      <c r="P65" s="2104"/>
      <c r="Q65" s="2107"/>
      <c r="R65" s="222"/>
      <c r="T65" s="62"/>
      <c r="U65" s="171"/>
      <c r="V65" s="171"/>
      <c r="W65" s="171"/>
      <c r="X65" s="171"/>
      <c r="Y65" s="69"/>
      <c r="Z65" s="34"/>
      <c r="AA65" s="34"/>
      <c r="AB65" s="34"/>
      <c r="AC65" s="34"/>
      <c r="AD65" s="34"/>
      <c r="AE65" s="34"/>
      <c r="AF65" s="34"/>
      <c r="AG65" s="34"/>
      <c r="AH65" s="34"/>
      <c r="AK65" s="20"/>
      <c r="AL65" s="20"/>
      <c r="AM65" s="20"/>
      <c r="AN65" s="20"/>
      <c r="AO65" s="20"/>
      <c r="AP65" s="20"/>
      <c r="AQ65" s="20"/>
      <c r="AR65" s="20"/>
      <c r="AS65" s="20"/>
      <c r="AT65" s="20"/>
      <c r="AU65" s="20"/>
      <c r="AX65" s="34"/>
      <c r="AY65" s="34"/>
      <c r="AZ65" s="34"/>
      <c r="BA65" s="34"/>
      <c r="BB65" s="34"/>
      <c r="BC65" s="34"/>
      <c r="BD65" s="34"/>
      <c r="BE65" s="34"/>
      <c r="BF65" s="34"/>
      <c r="BG65" s="34"/>
      <c r="BH65" s="34"/>
      <c r="BJ65" s="49"/>
      <c r="BK65" s="72"/>
      <c r="BL65" s="72"/>
      <c r="BM65" s="72"/>
      <c r="BN65" s="72"/>
      <c r="BO65" s="72"/>
      <c r="BP65" s="72"/>
      <c r="BQ65" s="72"/>
      <c r="BR65" s="72"/>
      <c r="BS65" s="72"/>
      <c r="BT65" s="72"/>
      <c r="BU65" s="72"/>
      <c r="BW65" s="171"/>
      <c r="BX65" s="171"/>
      <c r="BY65" s="171"/>
      <c r="BZ65" s="171"/>
      <c r="CA65" s="171"/>
      <c r="CB65" s="171"/>
      <c r="CC65" s="171"/>
      <c r="CD65" s="171"/>
      <c r="CE65" s="171"/>
      <c r="CF65" s="171"/>
      <c r="CG65" s="171"/>
      <c r="CH65" s="171"/>
      <c r="CI65" s="171"/>
    </row>
    <row r="66" spans="2:87" ht="16.5" customHeight="1">
      <c r="B66" s="2227"/>
      <c r="C66" s="2234" t="s">
        <v>231</v>
      </c>
      <c r="D66" s="2235">
        <v>0</v>
      </c>
      <c r="E66" s="465"/>
      <c r="F66" s="2203">
        <f t="shared" ref="F66" si="38">F64</f>
        <v>10</v>
      </c>
      <c r="G66" s="2203"/>
      <c r="H66" s="2206">
        <f t="shared" si="0"/>
        <v>500</v>
      </c>
      <c r="I66" s="2332">
        <f t="shared" si="1"/>
        <v>1.0416666666666999E-2</v>
      </c>
      <c r="J66" s="2362">
        <f t="shared" si="2"/>
        <v>192500</v>
      </c>
      <c r="K66" s="2386">
        <f t="shared" si="3"/>
        <v>4.0104166666666696</v>
      </c>
      <c r="L66" s="2400" t="s">
        <v>52</v>
      </c>
      <c r="M66" s="2144">
        <f t="shared" si="4"/>
        <v>0</v>
      </c>
      <c r="N66" s="2073">
        <f t="shared" si="5"/>
        <v>0.1</v>
      </c>
      <c r="O66" s="2184" t="s">
        <v>232</v>
      </c>
      <c r="P66" s="2108">
        <f>CHOOSE(U66,BW66,BX66,BY66,BZ66,CA66,CB66,CC66,CD66,CE66,CF66,CG66)</f>
        <v>2</v>
      </c>
      <c r="Q66" s="2111">
        <f>IF((V66&lt;=U66),CHOOSE(U66,BW66,BX66,BY66,BZ66,CA66,CB66,CC66,CD66,CE66,CF66,CG66),CHOOSE(V66,BW66,BX66,BY66,BZ66,CA66,CB66,CC66,CD66,CE66,CF66,CG66))</f>
        <v>15</v>
      </c>
      <c r="R66" s="222"/>
      <c r="T66" s="62" t="s">
        <v>231</v>
      </c>
      <c r="U66" s="1">
        <f t="shared" si="6"/>
        <v>1</v>
      </c>
      <c r="V66" s="171">
        <f>F66+1</f>
        <v>11</v>
      </c>
      <c r="W66" s="1">
        <f t="shared" si="7"/>
        <v>10</v>
      </c>
      <c r="Y66" s="69">
        <v>500</v>
      </c>
      <c r="Z66" s="34">
        <v>2000</v>
      </c>
      <c r="AA66" s="34">
        <v>4500</v>
      </c>
      <c r="AB66" s="34">
        <v>8000</v>
      </c>
      <c r="AC66" s="34">
        <v>12500</v>
      </c>
      <c r="AD66" s="34">
        <v>18000</v>
      </c>
      <c r="AE66" s="34">
        <v>24500</v>
      </c>
      <c r="AF66" s="34">
        <v>32000</v>
      </c>
      <c r="AG66" s="34">
        <v>40500</v>
      </c>
      <c r="AH66" s="34">
        <v>50000</v>
      </c>
      <c r="AI66" s="8">
        <v>0</v>
      </c>
      <c r="AK66" s="20">
        <v>1.0416666666666999E-2</v>
      </c>
      <c r="AL66" s="20">
        <v>4.1666666666666997E-2</v>
      </c>
      <c r="AM66" s="20">
        <v>9.375E-2</v>
      </c>
      <c r="AN66" s="20">
        <v>0.16666666666666699</v>
      </c>
      <c r="AO66" s="20">
        <v>0.26041666666666702</v>
      </c>
      <c r="AP66" s="20">
        <v>0.375</v>
      </c>
      <c r="AQ66" s="20">
        <v>0.51041666666666696</v>
      </c>
      <c r="AR66" s="20">
        <v>0.66666666666666696</v>
      </c>
      <c r="AS66" s="20">
        <v>0.84375</v>
      </c>
      <c r="AT66" s="20">
        <v>1.0416666666666701</v>
      </c>
      <c r="AU66" s="20">
        <v>0</v>
      </c>
      <c r="AX66" s="34">
        <v>0</v>
      </c>
      <c r="AY66" s="34">
        <v>500</v>
      </c>
      <c r="AZ66" s="34">
        <v>2500</v>
      </c>
      <c r="BA66" s="34">
        <v>7000</v>
      </c>
      <c r="BB66" s="34">
        <v>15000</v>
      </c>
      <c r="BC66" s="34">
        <v>27500</v>
      </c>
      <c r="BD66" s="34">
        <v>45500</v>
      </c>
      <c r="BE66" s="34">
        <v>70000</v>
      </c>
      <c r="BF66" s="34">
        <v>102000</v>
      </c>
      <c r="BG66" s="34">
        <v>142500</v>
      </c>
      <c r="BH66" s="34">
        <v>192500</v>
      </c>
      <c r="BJ66" s="49">
        <f t="shared" si="8"/>
        <v>4.0104166666666696</v>
      </c>
      <c r="BK66" s="72">
        <v>0</v>
      </c>
      <c r="BL66" s="72">
        <v>1.0416666666666999E-2</v>
      </c>
      <c r="BM66" s="72">
        <v>5.2083333333333003E-2</v>
      </c>
      <c r="BN66" s="72">
        <v>0.14583333333333301</v>
      </c>
      <c r="BO66" s="72">
        <v>0.3125</v>
      </c>
      <c r="BP66" s="72">
        <v>0.57291666666666696</v>
      </c>
      <c r="BQ66" s="72">
        <v>0.94791666666666696</v>
      </c>
      <c r="BR66" s="72">
        <v>1.4583333333333299</v>
      </c>
      <c r="BS66" s="72">
        <v>2.125</v>
      </c>
      <c r="BT66" s="72">
        <v>2.96875</v>
      </c>
      <c r="BU66" s="72">
        <v>4.0104166666666696</v>
      </c>
      <c r="BW66" s="1">
        <v>2</v>
      </c>
      <c r="BX66" s="1">
        <v>4</v>
      </c>
      <c r="BY66" s="1">
        <v>6</v>
      </c>
      <c r="BZ66" s="1">
        <v>8</v>
      </c>
      <c r="CA66" s="1">
        <v>9</v>
      </c>
      <c r="CB66" s="1">
        <v>15</v>
      </c>
      <c r="CC66" s="1">
        <v>15</v>
      </c>
      <c r="CD66" s="1">
        <v>15</v>
      </c>
      <c r="CE66" s="1">
        <v>15</v>
      </c>
      <c r="CF66" s="1">
        <v>15</v>
      </c>
      <c r="CG66" s="1">
        <v>15</v>
      </c>
      <c r="CI66" s="1">
        <f t="shared" si="9"/>
        <v>11</v>
      </c>
    </row>
    <row r="67" spans="2:87" ht="16.5" customHeight="1">
      <c r="B67" s="2227"/>
      <c r="C67" s="2234"/>
      <c r="D67" s="2235"/>
      <c r="E67" s="465"/>
      <c r="F67" s="2203"/>
      <c r="G67" s="2203"/>
      <c r="H67" s="2207"/>
      <c r="I67" s="2333"/>
      <c r="J67" s="2363"/>
      <c r="K67" s="2387"/>
      <c r="L67" s="2401"/>
      <c r="M67" s="2145"/>
      <c r="N67" s="2074"/>
      <c r="O67" s="2185"/>
      <c r="P67" s="2109"/>
      <c r="Q67" s="2112"/>
      <c r="R67" s="222"/>
      <c r="T67" s="62"/>
      <c r="U67" s="171"/>
      <c r="V67" s="171"/>
      <c r="W67" s="171"/>
      <c r="X67" s="171"/>
      <c r="Y67" s="69"/>
      <c r="Z67" s="34"/>
      <c r="AA67" s="34"/>
      <c r="AB67" s="34"/>
      <c r="AC67" s="34"/>
      <c r="AD67" s="34"/>
      <c r="AE67" s="34"/>
      <c r="AF67" s="34"/>
      <c r="AG67" s="34"/>
      <c r="AH67" s="34"/>
      <c r="AK67" s="20"/>
      <c r="AL67" s="20"/>
      <c r="AM67" s="20"/>
      <c r="AN67" s="20"/>
      <c r="AO67" s="20"/>
      <c r="AP67" s="20"/>
      <c r="AQ67" s="20"/>
      <c r="AR67" s="20"/>
      <c r="AS67" s="20"/>
      <c r="AT67" s="20"/>
      <c r="AU67" s="20"/>
      <c r="AX67" s="34"/>
      <c r="AY67" s="34"/>
      <c r="AZ67" s="34"/>
      <c r="BA67" s="34"/>
      <c r="BB67" s="34"/>
      <c r="BC67" s="34"/>
      <c r="BD67" s="34"/>
      <c r="BE67" s="34"/>
      <c r="BF67" s="34"/>
      <c r="BG67" s="34"/>
      <c r="BH67" s="34"/>
      <c r="BJ67" s="49"/>
      <c r="BK67" s="72"/>
      <c r="BL67" s="72"/>
      <c r="BM67" s="72"/>
      <c r="BN67" s="72"/>
      <c r="BO67" s="72"/>
      <c r="BP67" s="72"/>
      <c r="BQ67" s="72"/>
      <c r="BR67" s="72"/>
      <c r="BS67" s="72"/>
      <c r="BT67" s="72"/>
      <c r="BU67" s="72"/>
      <c r="BW67" s="171"/>
      <c r="BX67" s="171"/>
      <c r="BY67" s="171"/>
      <c r="BZ67" s="171"/>
      <c r="CA67" s="171"/>
      <c r="CB67" s="171"/>
      <c r="CC67" s="171"/>
      <c r="CD67" s="171"/>
      <c r="CE67" s="171"/>
      <c r="CF67" s="171"/>
      <c r="CG67" s="171"/>
      <c r="CH67" s="171"/>
      <c r="CI67" s="171"/>
    </row>
    <row r="68" spans="2:87" ht="16.5" customHeight="1">
      <c r="B68" s="2227"/>
      <c r="C68" s="2236" t="s">
        <v>233</v>
      </c>
      <c r="D68" s="2237">
        <v>0</v>
      </c>
      <c r="E68" s="466"/>
      <c r="F68" s="2203">
        <f t="shared" ref="F68" si="39">F66</f>
        <v>10</v>
      </c>
      <c r="G68" s="2203"/>
      <c r="H68" s="2204">
        <f t="shared" si="0"/>
        <v>500</v>
      </c>
      <c r="I68" s="2330">
        <f t="shared" si="1"/>
        <v>1.0416666666666999E-2</v>
      </c>
      <c r="J68" s="2360">
        <f t="shared" si="2"/>
        <v>192500</v>
      </c>
      <c r="K68" s="2388">
        <f t="shared" si="3"/>
        <v>4.0104166666666696</v>
      </c>
      <c r="L68" s="2398" t="s">
        <v>51</v>
      </c>
      <c r="M68" s="2150">
        <f t="shared" si="4"/>
        <v>0</v>
      </c>
      <c r="N68" s="2075">
        <f t="shared" si="5"/>
        <v>0.1</v>
      </c>
      <c r="O68" s="2185"/>
      <c r="P68" s="2109"/>
      <c r="Q68" s="2112"/>
      <c r="R68" s="222"/>
      <c r="T68" s="62" t="s">
        <v>233</v>
      </c>
      <c r="U68" s="1">
        <f t="shared" si="6"/>
        <v>1</v>
      </c>
      <c r="V68" s="171">
        <f>F68+1</f>
        <v>11</v>
      </c>
      <c r="W68" s="1">
        <f t="shared" si="7"/>
        <v>10</v>
      </c>
      <c r="Y68" s="69">
        <v>500</v>
      </c>
      <c r="Z68" s="34">
        <v>2000</v>
      </c>
      <c r="AA68" s="34">
        <v>4500</v>
      </c>
      <c r="AB68" s="34">
        <v>8000</v>
      </c>
      <c r="AC68" s="34">
        <v>12500</v>
      </c>
      <c r="AD68" s="34">
        <v>18000</v>
      </c>
      <c r="AE68" s="34">
        <v>24500</v>
      </c>
      <c r="AF68" s="34">
        <v>32000</v>
      </c>
      <c r="AG68" s="34">
        <v>40500</v>
      </c>
      <c r="AH68" s="34">
        <v>50000</v>
      </c>
      <c r="AI68" s="8">
        <v>0</v>
      </c>
      <c r="AK68" s="20">
        <v>1.0416666666666999E-2</v>
      </c>
      <c r="AL68" s="20">
        <v>4.1666666666666997E-2</v>
      </c>
      <c r="AM68" s="20">
        <v>9.375E-2</v>
      </c>
      <c r="AN68" s="20">
        <v>0.16666666666666699</v>
      </c>
      <c r="AO68" s="20">
        <v>0.26041666666666702</v>
      </c>
      <c r="AP68" s="20">
        <v>0.375</v>
      </c>
      <c r="AQ68" s="20">
        <v>0.51041666666666696</v>
      </c>
      <c r="AR68" s="20">
        <v>0.66666666666666696</v>
      </c>
      <c r="AS68" s="20">
        <v>0.84375</v>
      </c>
      <c r="AT68" s="20">
        <v>1.0416666666666701</v>
      </c>
      <c r="AU68" s="20">
        <v>0</v>
      </c>
      <c r="AX68" s="34">
        <v>0</v>
      </c>
      <c r="AY68" s="34">
        <v>500</v>
      </c>
      <c r="AZ68" s="34">
        <v>2500</v>
      </c>
      <c r="BA68" s="34">
        <v>7000</v>
      </c>
      <c r="BB68" s="34">
        <v>15000</v>
      </c>
      <c r="BC68" s="34">
        <v>27500</v>
      </c>
      <c r="BD68" s="34">
        <v>45500</v>
      </c>
      <c r="BE68" s="34">
        <v>70000</v>
      </c>
      <c r="BF68" s="34">
        <v>102000</v>
      </c>
      <c r="BG68" s="34">
        <v>142500</v>
      </c>
      <c r="BH68" s="34">
        <v>192500</v>
      </c>
      <c r="BJ68" s="49">
        <f t="shared" si="8"/>
        <v>4.0104166666666696</v>
      </c>
      <c r="BK68" s="72">
        <v>0</v>
      </c>
      <c r="BL68" s="72">
        <v>1.0416666666666999E-2</v>
      </c>
      <c r="BM68" s="72">
        <v>5.2083333333333003E-2</v>
      </c>
      <c r="BN68" s="72">
        <v>0.14583333333333301</v>
      </c>
      <c r="BO68" s="72">
        <v>0.3125</v>
      </c>
      <c r="BP68" s="72">
        <v>0.57291666666666696</v>
      </c>
      <c r="BQ68" s="72">
        <v>0.94791666666666696</v>
      </c>
      <c r="BR68" s="72">
        <v>1.4583333333333299</v>
      </c>
      <c r="BS68" s="72">
        <v>2.125</v>
      </c>
      <c r="BT68" s="72">
        <v>2.96875</v>
      </c>
      <c r="BU68" s="72">
        <v>4.0104166666666696</v>
      </c>
      <c r="BW68" s="1">
        <v>2</v>
      </c>
      <c r="BX68" s="1">
        <v>4</v>
      </c>
      <c r="BY68" s="1">
        <v>6</v>
      </c>
      <c r="BZ68" s="1">
        <v>8</v>
      </c>
      <c r="CA68" s="1">
        <v>9</v>
      </c>
      <c r="CB68" s="1">
        <v>15</v>
      </c>
      <c r="CC68" s="1">
        <v>15</v>
      </c>
      <c r="CD68" s="1">
        <v>15</v>
      </c>
      <c r="CE68" s="1">
        <v>15</v>
      </c>
      <c r="CF68" s="1">
        <v>15</v>
      </c>
      <c r="CG68" s="1">
        <v>15</v>
      </c>
      <c r="CI68" s="1">
        <f t="shared" si="9"/>
        <v>11</v>
      </c>
    </row>
    <row r="69" spans="2:87" ht="16.5" customHeight="1">
      <c r="B69" s="2227"/>
      <c r="C69" s="2236"/>
      <c r="D69" s="2237"/>
      <c r="E69" s="466"/>
      <c r="F69" s="2203"/>
      <c r="G69" s="2203"/>
      <c r="H69" s="2205"/>
      <c r="I69" s="2331"/>
      <c r="J69" s="2361"/>
      <c r="K69" s="2389"/>
      <c r="L69" s="2399"/>
      <c r="M69" s="2151"/>
      <c r="N69" s="2076"/>
      <c r="O69" s="2185"/>
      <c r="P69" s="2109"/>
      <c r="Q69" s="2112"/>
      <c r="R69" s="222"/>
      <c r="T69" s="62"/>
      <c r="U69" s="171"/>
      <c r="V69" s="171"/>
      <c r="W69" s="171"/>
      <c r="X69" s="171"/>
      <c r="Y69" s="69"/>
      <c r="Z69" s="34"/>
      <c r="AA69" s="34"/>
      <c r="AB69" s="34"/>
      <c r="AC69" s="34"/>
      <c r="AD69" s="34"/>
      <c r="AE69" s="34"/>
      <c r="AF69" s="34"/>
      <c r="AG69" s="34"/>
      <c r="AH69" s="34"/>
      <c r="AK69" s="20"/>
      <c r="AL69" s="20"/>
      <c r="AM69" s="20"/>
      <c r="AN69" s="20"/>
      <c r="AO69" s="20"/>
      <c r="AP69" s="20"/>
      <c r="AQ69" s="20"/>
      <c r="AR69" s="20"/>
      <c r="AS69" s="20"/>
      <c r="AT69" s="20"/>
      <c r="AU69" s="20"/>
      <c r="AX69" s="34"/>
      <c r="AY69" s="34"/>
      <c r="AZ69" s="34"/>
      <c r="BA69" s="34"/>
      <c r="BB69" s="34"/>
      <c r="BC69" s="34"/>
      <c r="BD69" s="34"/>
      <c r="BE69" s="34"/>
      <c r="BF69" s="34"/>
      <c r="BG69" s="34"/>
      <c r="BH69" s="34"/>
      <c r="BJ69" s="49"/>
      <c r="BK69" s="72"/>
      <c r="BL69" s="72"/>
      <c r="BM69" s="72"/>
      <c r="BN69" s="72"/>
      <c r="BO69" s="72"/>
      <c r="BP69" s="72"/>
      <c r="BQ69" s="72"/>
      <c r="BR69" s="72"/>
      <c r="BS69" s="72"/>
      <c r="BT69" s="72"/>
      <c r="BU69" s="72"/>
      <c r="BW69" s="171"/>
      <c r="BX69" s="171"/>
      <c r="BY69" s="171"/>
      <c r="BZ69" s="171"/>
      <c r="CA69" s="171"/>
      <c r="CB69" s="171"/>
      <c r="CC69" s="171"/>
      <c r="CD69" s="171"/>
      <c r="CE69" s="171"/>
      <c r="CF69" s="171"/>
      <c r="CG69" s="171"/>
      <c r="CH69" s="171"/>
      <c r="CI69" s="171"/>
    </row>
    <row r="70" spans="2:87" ht="16.5" customHeight="1">
      <c r="B70" s="2227"/>
      <c r="C70" s="2236" t="s">
        <v>234</v>
      </c>
      <c r="D70" s="2237">
        <v>0</v>
      </c>
      <c r="E70" s="466"/>
      <c r="F70" s="2203">
        <f t="shared" ref="F70" si="40">F68</f>
        <v>10</v>
      </c>
      <c r="G70" s="2203"/>
      <c r="H70" s="2204">
        <f t="shared" si="0"/>
        <v>500</v>
      </c>
      <c r="I70" s="2330">
        <f t="shared" si="1"/>
        <v>1.0416666666666999E-2</v>
      </c>
      <c r="J70" s="2360">
        <f t="shared" si="2"/>
        <v>192500</v>
      </c>
      <c r="K70" s="2388">
        <f t="shared" si="3"/>
        <v>4.0104166666666696</v>
      </c>
      <c r="L70" s="2398" t="s">
        <v>235</v>
      </c>
      <c r="M70" s="2146">
        <f t="shared" si="4"/>
        <v>0</v>
      </c>
      <c r="N70" s="2077">
        <f t="shared" si="5"/>
        <v>0.1</v>
      </c>
      <c r="O70" s="2185"/>
      <c r="P70" s="2109"/>
      <c r="Q70" s="2112"/>
      <c r="R70" s="222"/>
      <c r="T70" s="62" t="s">
        <v>234</v>
      </c>
      <c r="U70" s="1">
        <f t="shared" si="6"/>
        <v>1</v>
      </c>
      <c r="V70" s="171">
        <f>F70+1</f>
        <v>11</v>
      </c>
      <c r="W70" s="1">
        <f t="shared" si="7"/>
        <v>10</v>
      </c>
      <c r="Y70" s="69">
        <v>500</v>
      </c>
      <c r="Z70" s="34">
        <v>2000</v>
      </c>
      <c r="AA70" s="34">
        <v>4500</v>
      </c>
      <c r="AB70" s="34">
        <v>8000</v>
      </c>
      <c r="AC70" s="34">
        <v>12500</v>
      </c>
      <c r="AD70" s="34">
        <v>18000</v>
      </c>
      <c r="AE70" s="34">
        <v>24500</v>
      </c>
      <c r="AF70" s="34">
        <v>32000</v>
      </c>
      <c r="AG70" s="34">
        <v>40500</v>
      </c>
      <c r="AH70" s="34">
        <v>50000</v>
      </c>
      <c r="AI70" s="8">
        <v>0</v>
      </c>
      <c r="AK70" s="20">
        <v>1.0416666666666999E-2</v>
      </c>
      <c r="AL70" s="20">
        <v>4.1666666666666997E-2</v>
      </c>
      <c r="AM70" s="20">
        <v>9.375E-2</v>
      </c>
      <c r="AN70" s="20">
        <v>0.16666666666666699</v>
      </c>
      <c r="AO70" s="20">
        <v>0.26041666666666702</v>
      </c>
      <c r="AP70" s="20">
        <v>0.375</v>
      </c>
      <c r="AQ70" s="20">
        <v>0.51041666666666696</v>
      </c>
      <c r="AR70" s="20">
        <v>0.66666666666666696</v>
      </c>
      <c r="AS70" s="20">
        <v>0.84375</v>
      </c>
      <c r="AT70" s="20">
        <v>1.0416666666666701</v>
      </c>
      <c r="AU70" s="20">
        <v>0</v>
      </c>
      <c r="AX70" s="34">
        <v>0</v>
      </c>
      <c r="AY70" s="34">
        <v>500</v>
      </c>
      <c r="AZ70" s="34">
        <v>2500</v>
      </c>
      <c r="BA70" s="34">
        <v>7000</v>
      </c>
      <c r="BB70" s="34">
        <v>15000</v>
      </c>
      <c r="BC70" s="34">
        <v>27500</v>
      </c>
      <c r="BD70" s="34">
        <v>45500</v>
      </c>
      <c r="BE70" s="34">
        <v>70000</v>
      </c>
      <c r="BF70" s="34">
        <v>102000</v>
      </c>
      <c r="BG70" s="34">
        <v>142500</v>
      </c>
      <c r="BH70" s="34">
        <v>192500</v>
      </c>
      <c r="BJ70" s="49">
        <f t="shared" si="8"/>
        <v>4.0104166666666696</v>
      </c>
      <c r="BK70" s="72">
        <v>0</v>
      </c>
      <c r="BL70" s="72">
        <v>1.0416666666666999E-2</v>
      </c>
      <c r="BM70" s="72">
        <v>5.2083333333333003E-2</v>
      </c>
      <c r="BN70" s="72">
        <v>0.14583333333333301</v>
      </c>
      <c r="BO70" s="72">
        <v>0.3125</v>
      </c>
      <c r="BP70" s="72">
        <v>0.57291666666666696</v>
      </c>
      <c r="BQ70" s="72">
        <v>0.94791666666666696</v>
      </c>
      <c r="BR70" s="72">
        <v>1.4583333333333299</v>
      </c>
      <c r="BS70" s="72">
        <v>2.125</v>
      </c>
      <c r="BT70" s="72">
        <v>2.96875</v>
      </c>
      <c r="BU70" s="72">
        <v>4.0104166666666696</v>
      </c>
      <c r="BW70" s="1">
        <v>2</v>
      </c>
      <c r="BX70" s="1">
        <v>4</v>
      </c>
      <c r="BY70" s="1">
        <v>6</v>
      </c>
      <c r="BZ70" s="1">
        <v>8</v>
      </c>
      <c r="CA70" s="1">
        <v>9</v>
      </c>
      <c r="CB70" s="1">
        <v>15</v>
      </c>
      <c r="CC70" s="1">
        <v>15</v>
      </c>
      <c r="CD70" s="1">
        <v>15</v>
      </c>
      <c r="CE70" s="1">
        <v>15</v>
      </c>
      <c r="CF70" s="1">
        <v>15</v>
      </c>
      <c r="CG70" s="1">
        <v>15</v>
      </c>
      <c r="CI70" s="1">
        <f t="shared" si="9"/>
        <v>11</v>
      </c>
    </row>
    <row r="71" spans="2:87" ht="16.5" customHeight="1">
      <c r="B71" s="2227"/>
      <c r="C71" s="2236"/>
      <c r="D71" s="2237"/>
      <c r="E71" s="466"/>
      <c r="F71" s="2203"/>
      <c r="G71" s="2203"/>
      <c r="H71" s="2205"/>
      <c r="I71" s="2331"/>
      <c r="J71" s="2361"/>
      <c r="K71" s="2389"/>
      <c r="L71" s="2399"/>
      <c r="M71" s="2147"/>
      <c r="N71" s="2078"/>
      <c r="O71" s="2186"/>
      <c r="P71" s="2110"/>
      <c r="Q71" s="2113"/>
      <c r="R71" s="222"/>
      <c r="T71" s="62"/>
      <c r="U71" s="171"/>
      <c r="V71" s="171"/>
      <c r="W71" s="171"/>
      <c r="X71" s="171"/>
      <c r="Y71" s="69"/>
      <c r="Z71" s="34"/>
      <c r="AA71" s="34"/>
      <c r="AB71" s="34"/>
      <c r="AC71" s="34"/>
      <c r="AD71" s="34"/>
      <c r="AE71" s="34"/>
      <c r="AF71" s="34"/>
      <c r="AG71" s="34"/>
      <c r="AH71" s="34"/>
      <c r="AK71" s="20"/>
      <c r="AL71" s="20"/>
      <c r="AM71" s="20"/>
      <c r="AN71" s="20"/>
      <c r="AO71" s="20"/>
      <c r="AP71" s="20"/>
      <c r="AQ71" s="20"/>
      <c r="AR71" s="20"/>
      <c r="AS71" s="20"/>
      <c r="AT71" s="20"/>
      <c r="AU71" s="20"/>
      <c r="AX71" s="34"/>
      <c r="AY71" s="34"/>
      <c r="AZ71" s="34"/>
      <c r="BA71" s="34"/>
      <c r="BB71" s="34"/>
      <c r="BC71" s="34"/>
      <c r="BD71" s="34"/>
      <c r="BE71" s="34"/>
      <c r="BF71" s="34"/>
      <c r="BG71" s="34"/>
      <c r="BH71" s="34"/>
      <c r="BJ71" s="49"/>
      <c r="BK71" s="72"/>
      <c r="BL71" s="72"/>
      <c r="BM71" s="72"/>
      <c r="BN71" s="72"/>
      <c r="BO71" s="72"/>
      <c r="BP71" s="72"/>
      <c r="BQ71" s="72"/>
      <c r="BR71" s="72"/>
      <c r="BS71" s="72"/>
      <c r="BT71" s="72"/>
      <c r="BU71" s="72"/>
      <c r="BW71" s="171"/>
      <c r="BX71" s="171"/>
      <c r="BY71" s="171"/>
      <c r="BZ71" s="171"/>
      <c r="CA71" s="171"/>
      <c r="CB71" s="171"/>
      <c r="CC71" s="171"/>
      <c r="CD71" s="171"/>
      <c r="CE71" s="171"/>
      <c r="CF71" s="171"/>
      <c r="CG71" s="171"/>
      <c r="CH71" s="171"/>
      <c r="CI71" s="171"/>
    </row>
    <row r="72" spans="2:87" ht="16.5" customHeight="1">
      <c r="B72" s="2227"/>
      <c r="C72" s="2234" t="s">
        <v>236</v>
      </c>
      <c r="D72" s="2235">
        <v>0</v>
      </c>
      <c r="E72" s="465"/>
      <c r="F72" s="2203">
        <f t="shared" ref="F72" si="41">F70</f>
        <v>10</v>
      </c>
      <c r="G72" s="2203"/>
      <c r="H72" s="2206">
        <f t="shared" si="0"/>
        <v>500</v>
      </c>
      <c r="I72" s="2332">
        <f t="shared" si="1"/>
        <v>1.0416666666666999E-2</v>
      </c>
      <c r="J72" s="2362">
        <f t="shared" si="2"/>
        <v>192500</v>
      </c>
      <c r="K72" s="2386">
        <f t="shared" si="3"/>
        <v>4.0104166666666696</v>
      </c>
      <c r="L72" s="2400" t="s">
        <v>57</v>
      </c>
      <c r="M72" s="2144">
        <f t="shared" si="4"/>
        <v>0</v>
      </c>
      <c r="N72" s="2073">
        <f t="shared" si="5"/>
        <v>0.1</v>
      </c>
      <c r="O72" s="2184" t="s">
        <v>237</v>
      </c>
      <c r="P72" s="2108">
        <f>CHOOSE(U72,BW72,BX72,BY72,BZ72,CA72,CB72,CC72,CD72,CE72,CF72,CG72)</f>
        <v>2</v>
      </c>
      <c r="Q72" s="2111">
        <f>IF((V72&lt;=U72),CHOOSE(U72,BW72,BX72,BY72,BZ72,CA72,CB72,CC72,CD72,CE72,CF72,CG72),CHOOSE(V72,BW72,BX72,BY72,BZ72,CA72,CB72,CC72,CD72,CE72,CF72,CG72))</f>
        <v>15</v>
      </c>
      <c r="R72" s="222"/>
      <c r="T72" s="62" t="s">
        <v>236</v>
      </c>
      <c r="U72" s="1">
        <f t="shared" si="6"/>
        <v>1</v>
      </c>
      <c r="V72" s="171">
        <f>F72+1</f>
        <v>11</v>
      </c>
      <c r="W72" s="1">
        <f t="shared" si="7"/>
        <v>10</v>
      </c>
      <c r="Y72" s="69">
        <v>500</v>
      </c>
      <c r="Z72" s="34">
        <v>2000</v>
      </c>
      <c r="AA72" s="34">
        <v>4500</v>
      </c>
      <c r="AB72" s="34">
        <v>8000</v>
      </c>
      <c r="AC72" s="34">
        <v>12500</v>
      </c>
      <c r="AD72" s="34">
        <v>18000</v>
      </c>
      <c r="AE72" s="34">
        <v>24500</v>
      </c>
      <c r="AF72" s="34">
        <v>32000</v>
      </c>
      <c r="AG72" s="34">
        <v>40500</v>
      </c>
      <c r="AH72" s="34">
        <v>50000</v>
      </c>
      <c r="AI72" s="8">
        <v>0</v>
      </c>
      <c r="AK72" s="20">
        <v>1.0416666666666999E-2</v>
      </c>
      <c r="AL72" s="20">
        <v>4.1666666666666997E-2</v>
      </c>
      <c r="AM72" s="20">
        <v>9.375E-2</v>
      </c>
      <c r="AN72" s="20">
        <v>0.16666666666666699</v>
      </c>
      <c r="AO72" s="20">
        <v>0.26041666666666702</v>
      </c>
      <c r="AP72" s="20">
        <v>0.375</v>
      </c>
      <c r="AQ72" s="20">
        <v>0.51041666666666696</v>
      </c>
      <c r="AR72" s="20">
        <v>0.66666666666666696</v>
      </c>
      <c r="AS72" s="20">
        <v>0.84375</v>
      </c>
      <c r="AT72" s="20">
        <v>1.0416666666666701</v>
      </c>
      <c r="AU72" s="20">
        <v>0</v>
      </c>
      <c r="AX72" s="34">
        <v>0</v>
      </c>
      <c r="AY72" s="34">
        <v>500</v>
      </c>
      <c r="AZ72" s="34">
        <v>2500</v>
      </c>
      <c r="BA72" s="34">
        <v>7000</v>
      </c>
      <c r="BB72" s="34">
        <v>15000</v>
      </c>
      <c r="BC72" s="34">
        <v>27500</v>
      </c>
      <c r="BD72" s="34">
        <v>45500</v>
      </c>
      <c r="BE72" s="34">
        <v>70000</v>
      </c>
      <c r="BF72" s="34">
        <v>102000</v>
      </c>
      <c r="BG72" s="34">
        <v>142500</v>
      </c>
      <c r="BH72" s="34">
        <v>192500</v>
      </c>
      <c r="BJ72" s="49">
        <f t="shared" si="8"/>
        <v>4.0104166666666696</v>
      </c>
      <c r="BK72" s="72">
        <v>0</v>
      </c>
      <c r="BL72" s="72">
        <v>1.0416666666666999E-2</v>
      </c>
      <c r="BM72" s="72">
        <v>5.2083333333333003E-2</v>
      </c>
      <c r="BN72" s="72">
        <v>0.14583333333333301</v>
      </c>
      <c r="BO72" s="72">
        <v>0.3125</v>
      </c>
      <c r="BP72" s="72">
        <v>0.57291666666666696</v>
      </c>
      <c r="BQ72" s="72">
        <v>0.94791666666666696</v>
      </c>
      <c r="BR72" s="72">
        <v>1.4583333333333299</v>
      </c>
      <c r="BS72" s="72">
        <v>2.125</v>
      </c>
      <c r="BT72" s="72">
        <v>2.96875</v>
      </c>
      <c r="BU72" s="72">
        <v>4.0104166666666696</v>
      </c>
      <c r="BW72" s="1">
        <v>2</v>
      </c>
      <c r="BX72" s="1">
        <v>4</v>
      </c>
      <c r="BY72" s="1">
        <v>6</v>
      </c>
      <c r="BZ72" s="1">
        <v>8</v>
      </c>
      <c r="CA72" s="1">
        <v>9</v>
      </c>
      <c r="CB72" s="1">
        <v>15</v>
      </c>
      <c r="CC72" s="1">
        <v>15</v>
      </c>
      <c r="CD72" s="1">
        <v>15</v>
      </c>
      <c r="CE72" s="1">
        <v>15</v>
      </c>
      <c r="CF72" s="1">
        <v>15</v>
      </c>
      <c r="CG72" s="1">
        <v>15</v>
      </c>
      <c r="CI72" s="1">
        <f t="shared" si="9"/>
        <v>11</v>
      </c>
    </row>
    <row r="73" spans="2:87" ht="16.5" customHeight="1">
      <c r="B73" s="2227"/>
      <c r="C73" s="2234"/>
      <c r="D73" s="2235"/>
      <c r="E73" s="465"/>
      <c r="F73" s="2203"/>
      <c r="G73" s="2203"/>
      <c r="H73" s="2207"/>
      <c r="I73" s="2333"/>
      <c r="J73" s="2363"/>
      <c r="K73" s="2387"/>
      <c r="L73" s="2401"/>
      <c r="M73" s="2145"/>
      <c r="N73" s="2074"/>
      <c r="O73" s="2185"/>
      <c r="P73" s="2109"/>
      <c r="Q73" s="2112"/>
      <c r="R73" s="222"/>
      <c r="T73" s="62"/>
      <c r="U73" s="171"/>
      <c r="V73" s="171"/>
      <c r="W73" s="171"/>
      <c r="X73" s="171"/>
      <c r="Y73" s="69"/>
      <c r="Z73" s="34"/>
      <c r="AA73" s="34"/>
      <c r="AB73" s="34"/>
      <c r="AC73" s="34"/>
      <c r="AD73" s="34"/>
      <c r="AE73" s="34"/>
      <c r="AF73" s="34"/>
      <c r="AG73" s="34"/>
      <c r="AH73" s="34"/>
      <c r="AK73" s="20"/>
      <c r="AL73" s="20"/>
      <c r="AM73" s="20"/>
      <c r="AN73" s="20"/>
      <c r="AO73" s="20"/>
      <c r="AP73" s="20"/>
      <c r="AQ73" s="20"/>
      <c r="AR73" s="20"/>
      <c r="AS73" s="20"/>
      <c r="AT73" s="20"/>
      <c r="AU73" s="20"/>
      <c r="AX73" s="34"/>
      <c r="AY73" s="34"/>
      <c r="AZ73" s="34"/>
      <c r="BA73" s="34"/>
      <c r="BB73" s="34"/>
      <c r="BC73" s="34"/>
      <c r="BD73" s="34"/>
      <c r="BE73" s="34"/>
      <c r="BF73" s="34"/>
      <c r="BG73" s="34"/>
      <c r="BH73" s="34"/>
      <c r="BJ73" s="49"/>
      <c r="BK73" s="72"/>
      <c r="BL73" s="72"/>
      <c r="BM73" s="72"/>
      <c r="BN73" s="72"/>
      <c r="BO73" s="72"/>
      <c r="BP73" s="72"/>
      <c r="BQ73" s="72"/>
      <c r="BR73" s="72"/>
      <c r="BS73" s="72"/>
      <c r="BT73" s="72"/>
      <c r="BU73" s="72"/>
      <c r="BW73" s="171"/>
      <c r="BX73" s="171"/>
      <c r="BY73" s="171"/>
      <c r="BZ73" s="171"/>
      <c r="CA73" s="171"/>
      <c r="CB73" s="171"/>
      <c r="CC73" s="171"/>
      <c r="CD73" s="171"/>
      <c r="CE73" s="171"/>
      <c r="CF73" s="171"/>
      <c r="CG73" s="171"/>
      <c r="CH73" s="171"/>
      <c r="CI73" s="171"/>
    </row>
    <row r="74" spans="2:87" ht="16.5" customHeight="1">
      <c r="B74" s="2227"/>
      <c r="C74" s="2236" t="s">
        <v>238</v>
      </c>
      <c r="D74" s="2237">
        <v>0</v>
      </c>
      <c r="E74" s="466"/>
      <c r="F74" s="2203">
        <f t="shared" ref="F74" si="42">F72</f>
        <v>10</v>
      </c>
      <c r="G74" s="2203"/>
      <c r="H74" s="2204">
        <f t="shared" si="0"/>
        <v>500</v>
      </c>
      <c r="I74" s="2330">
        <f t="shared" si="1"/>
        <v>1.0416666666666999E-2</v>
      </c>
      <c r="J74" s="2360">
        <f t="shared" si="2"/>
        <v>192500</v>
      </c>
      <c r="K74" s="2388">
        <f t="shared" si="3"/>
        <v>4.0104166666666696</v>
      </c>
      <c r="L74" s="2398" t="s">
        <v>239</v>
      </c>
      <c r="M74" s="2146">
        <f t="shared" si="4"/>
        <v>0</v>
      </c>
      <c r="N74" s="2077">
        <f t="shared" si="5"/>
        <v>0.1</v>
      </c>
      <c r="O74" s="2185"/>
      <c r="P74" s="2109"/>
      <c r="Q74" s="2112"/>
      <c r="R74" s="222"/>
      <c r="T74" s="62" t="s">
        <v>238</v>
      </c>
      <c r="U74" s="1">
        <f t="shared" si="6"/>
        <v>1</v>
      </c>
      <c r="V74" s="171">
        <f>F74+1</f>
        <v>11</v>
      </c>
      <c r="W74" s="1">
        <f t="shared" si="7"/>
        <v>10</v>
      </c>
      <c r="Y74" s="69">
        <v>500</v>
      </c>
      <c r="Z74" s="34">
        <v>2000</v>
      </c>
      <c r="AA74" s="34">
        <v>4500</v>
      </c>
      <c r="AB74" s="34">
        <v>8000</v>
      </c>
      <c r="AC74" s="34">
        <v>12500</v>
      </c>
      <c r="AD74" s="34">
        <v>18000</v>
      </c>
      <c r="AE74" s="34">
        <v>24500</v>
      </c>
      <c r="AF74" s="34">
        <v>32000</v>
      </c>
      <c r="AG74" s="34">
        <v>40500</v>
      </c>
      <c r="AH74" s="34">
        <v>50000</v>
      </c>
      <c r="AI74" s="8">
        <v>0</v>
      </c>
      <c r="AK74" s="20">
        <v>1.0416666666666999E-2</v>
      </c>
      <c r="AL74" s="20">
        <v>4.1666666666666997E-2</v>
      </c>
      <c r="AM74" s="20">
        <v>9.375E-2</v>
      </c>
      <c r="AN74" s="20">
        <v>0.16666666666666699</v>
      </c>
      <c r="AO74" s="20">
        <v>0.26041666666666702</v>
      </c>
      <c r="AP74" s="20">
        <v>0.375</v>
      </c>
      <c r="AQ74" s="20">
        <v>0.51041666666666696</v>
      </c>
      <c r="AR74" s="20">
        <v>0.66666666666666696</v>
      </c>
      <c r="AS74" s="20">
        <v>0.84375</v>
      </c>
      <c r="AT74" s="20">
        <v>1.0416666666666701</v>
      </c>
      <c r="AU74" s="20">
        <v>0</v>
      </c>
      <c r="AX74" s="34">
        <v>0</v>
      </c>
      <c r="AY74" s="34">
        <v>500</v>
      </c>
      <c r="AZ74" s="34">
        <v>2500</v>
      </c>
      <c r="BA74" s="34">
        <v>7000</v>
      </c>
      <c r="BB74" s="34">
        <v>15000</v>
      </c>
      <c r="BC74" s="34">
        <v>27500</v>
      </c>
      <c r="BD74" s="34">
        <v>45500</v>
      </c>
      <c r="BE74" s="34">
        <v>70000</v>
      </c>
      <c r="BF74" s="34">
        <v>102000</v>
      </c>
      <c r="BG74" s="34">
        <v>142500</v>
      </c>
      <c r="BH74" s="34">
        <v>192500</v>
      </c>
      <c r="BJ74" s="49">
        <f t="shared" si="8"/>
        <v>4.0104166666666696</v>
      </c>
      <c r="BK74" s="72">
        <v>0</v>
      </c>
      <c r="BL74" s="72">
        <v>1.0416666666666999E-2</v>
      </c>
      <c r="BM74" s="72">
        <v>5.2083333333333003E-2</v>
      </c>
      <c r="BN74" s="72">
        <v>0.14583333333333301</v>
      </c>
      <c r="BO74" s="72">
        <v>0.3125</v>
      </c>
      <c r="BP74" s="72">
        <v>0.57291666666666696</v>
      </c>
      <c r="BQ74" s="72">
        <v>0.94791666666666696</v>
      </c>
      <c r="BR74" s="72">
        <v>1.4583333333333299</v>
      </c>
      <c r="BS74" s="72">
        <v>2.125</v>
      </c>
      <c r="BT74" s="72">
        <v>2.96875</v>
      </c>
      <c r="BU74" s="72">
        <v>4.0104166666666696</v>
      </c>
      <c r="BW74" s="1">
        <v>2</v>
      </c>
      <c r="BX74" s="1">
        <v>4</v>
      </c>
      <c r="BY74" s="1">
        <v>6</v>
      </c>
      <c r="BZ74" s="1">
        <v>8</v>
      </c>
      <c r="CA74" s="1">
        <v>9</v>
      </c>
      <c r="CB74" s="1">
        <v>15</v>
      </c>
      <c r="CC74" s="1">
        <v>15</v>
      </c>
      <c r="CD74" s="1">
        <v>15</v>
      </c>
      <c r="CE74" s="1">
        <v>15</v>
      </c>
      <c r="CF74" s="1">
        <v>15</v>
      </c>
      <c r="CG74" s="1">
        <v>15</v>
      </c>
      <c r="CI74" s="1">
        <f t="shared" si="9"/>
        <v>11</v>
      </c>
    </row>
    <row r="75" spans="2:87" ht="16.5" customHeight="1">
      <c r="B75" s="2227"/>
      <c r="C75" s="2236"/>
      <c r="D75" s="2237"/>
      <c r="E75" s="466"/>
      <c r="F75" s="2203"/>
      <c r="G75" s="2203"/>
      <c r="H75" s="2205"/>
      <c r="I75" s="2331"/>
      <c r="J75" s="2361"/>
      <c r="K75" s="2389"/>
      <c r="L75" s="2399"/>
      <c r="M75" s="2147"/>
      <c r="N75" s="2078"/>
      <c r="O75" s="2185"/>
      <c r="P75" s="2109"/>
      <c r="Q75" s="2112"/>
      <c r="R75" s="222"/>
      <c r="T75" s="62"/>
      <c r="U75" s="171"/>
      <c r="V75" s="171"/>
      <c r="W75" s="171"/>
      <c r="X75" s="171"/>
      <c r="Y75" s="69"/>
      <c r="Z75" s="34"/>
      <c r="AA75" s="34"/>
      <c r="AB75" s="34"/>
      <c r="AC75" s="34"/>
      <c r="AD75" s="34"/>
      <c r="AE75" s="34"/>
      <c r="AF75" s="34"/>
      <c r="AG75" s="34"/>
      <c r="AH75" s="34"/>
      <c r="AK75" s="20"/>
      <c r="AL75" s="20"/>
      <c r="AM75" s="20"/>
      <c r="AN75" s="20"/>
      <c r="AO75" s="20"/>
      <c r="AP75" s="20"/>
      <c r="AQ75" s="20"/>
      <c r="AR75" s="20"/>
      <c r="AS75" s="20"/>
      <c r="AT75" s="20"/>
      <c r="AU75" s="20"/>
      <c r="AX75" s="34"/>
      <c r="AY75" s="34"/>
      <c r="AZ75" s="34"/>
      <c r="BA75" s="34"/>
      <c r="BB75" s="34"/>
      <c r="BC75" s="34"/>
      <c r="BD75" s="34"/>
      <c r="BE75" s="34"/>
      <c r="BF75" s="34"/>
      <c r="BG75" s="34"/>
      <c r="BH75" s="34"/>
      <c r="BJ75" s="49"/>
      <c r="BK75" s="72"/>
      <c r="BL75" s="72"/>
      <c r="BM75" s="72"/>
      <c r="BN75" s="72"/>
      <c r="BO75" s="72"/>
      <c r="BP75" s="72"/>
      <c r="BQ75" s="72"/>
      <c r="BR75" s="72"/>
      <c r="BS75" s="72"/>
      <c r="BT75" s="72"/>
      <c r="BU75" s="72"/>
      <c r="BW75" s="171"/>
      <c r="BX75" s="171"/>
      <c r="BY75" s="171"/>
      <c r="BZ75" s="171"/>
      <c r="CA75" s="171"/>
      <c r="CB75" s="171"/>
      <c r="CC75" s="171"/>
      <c r="CD75" s="171"/>
      <c r="CE75" s="171"/>
      <c r="CF75" s="171"/>
      <c r="CG75" s="171"/>
      <c r="CH75" s="171"/>
      <c r="CI75" s="171"/>
    </row>
    <row r="76" spans="2:87" ht="16.5" customHeight="1">
      <c r="B76" s="2227"/>
      <c r="C76" s="2238" t="s">
        <v>240</v>
      </c>
      <c r="D76" s="2237">
        <v>0</v>
      </c>
      <c r="E76" s="466"/>
      <c r="F76" s="2203">
        <f t="shared" ref="F76" si="43">F74</f>
        <v>10</v>
      </c>
      <c r="G76" s="2203"/>
      <c r="H76" s="2208">
        <f t="shared" si="0"/>
        <v>500</v>
      </c>
      <c r="I76" s="2334">
        <f t="shared" si="1"/>
        <v>1.0416666666666999E-2</v>
      </c>
      <c r="J76" s="2364">
        <f t="shared" si="2"/>
        <v>192500</v>
      </c>
      <c r="K76" s="2408">
        <f t="shared" si="3"/>
        <v>4.0104166666666696</v>
      </c>
      <c r="L76" s="2410" t="s">
        <v>241</v>
      </c>
      <c r="M76" s="2164">
        <f t="shared" si="4"/>
        <v>0</v>
      </c>
      <c r="N76" s="2079">
        <f t="shared" si="5"/>
        <v>0.1</v>
      </c>
      <c r="O76" s="2185"/>
      <c r="P76" s="2109"/>
      <c r="Q76" s="2112"/>
      <c r="R76" s="222"/>
      <c r="T76" s="62" t="s">
        <v>240</v>
      </c>
      <c r="U76" s="1">
        <f t="shared" si="6"/>
        <v>1</v>
      </c>
      <c r="V76" s="171">
        <f>F76+1</f>
        <v>11</v>
      </c>
      <c r="W76" s="1">
        <f t="shared" si="7"/>
        <v>10</v>
      </c>
      <c r="Y76" s="69">
        <v>500</v>
      </c>
      <c r="Z76" s="34">
        <v>2000</v>
      </c>
      <c r="AA76" s="34">
        <v>4500</v>
      </c>
      <c r="AB76" s="34">
        <v>8000</v>
      </c>
      <c r="AC76" s="34">
        <v>12500</v>
      </c>
      <c r="AD76" s="34">
        <v>18000</v>
      </c>
      <c r="AE76" s="34">
        <v>24500</v>
      </c>
      <c r="AF76" s="34">
        <v>32000</v>
      </c>
      <c r="AG76" s="34">
        <v>40500</v>
      </c>
      <c r="AH76" s="34">
        <v>50000</v>
      </c>
      <c r="AI76" s="8">
        <v>0</v>
      </c>
      <c r="AK76" s="20">
        <v>1.0416666666666999E-2</v>
      </c>
      <c r="AL76" s="20">
        <v>4.1666666666666997E-2</v>
      </c>
      <c r="AM76" s="20">
        <v>9.375E-2</v>
      </c>
      <c r="AN76" s="20">
        <v>0.16666666666666699</v>
      </c>
      <c r="AO76" s="20">
        <v>0.26041666666666702</v>
      </c>
      <c r="AP76" s="20">
        <v>0.375</v>
      </c>
      <c r="AQ76" s="20">
        <v>0.51041666666666696</v>
      </c>
      <c r="AR76" s="20">
        <v>0.66666666666666696</v>
      </c>
      <c r="AS76" s="20">
        <v>0.84375</v>
      </c>
      <c r="AT76" s="20">
        <v>1.0416666666666701</v>
      </c>
      <c r="AU76" s="20">
        <v>0</v>
      </c>
      <c r="AX76" s="34">
        <v>0</v>
      </c>
      <c r="AY76" s="34">
        <v>500</v>
      </c>
      <c r="AZ76" s="34">
        <v>2500</v>
      </c>
      <c r="BA76" s="34">
        <v>7000</v>
      </c>
      <c r="BB76" s="34">
        <v>15000</v>
      </c>
      <c r="BC76" s="34">
        <v>27500</v>
      </c>
      <c r="BD76" s="34">
        <v>45500</v>
      </c>
      <c r="BE76" s="34">
        <v>70000</v>
      </c>
      <c r="BF76" s="34">
        <v>102000</v>
      </c>
      <c r="BG76" s="34">
        <v>142500</v>
      </c>
      <c r="BH76" s="34">
        <v>192500</v>
      </c>
      <c r="BJ76" s="49">
        <f t="shared" si="8"/>
        <v>4.0104166666666696</v>
      </c>
      <c r="BK76" s="72">
        <v>0</v>
      </c>
      <c r="BL76" s="72">
        <v>1.0416666666666999E-2</v>
      </c>
      <c r="BM76" s="72">
        <v>5.2083333333333003E-2</v>
      </c>
      <c r="BN76" s="72">
        <v>0.14583333333333301</v>
      </c>
      <c r="BO76" s="72">
        <v>0.3125</v>
      </c>
      <c r="BP76" s="72">
        <v>0.57291666666666696</v>
      </c>
      <c r="BQ76" s="72">
        <v>0.94791666666666696</v>
      </c>
      <c r="BR76" s="72">
        <v>1.4583333333333299</v>
      </c>
      <c r="BS76" s="72">
        <v>2.125</v>
      </c>
      <c r="BT76" s="72">
        <v>2.96875</v>
      </c>
      <c r="BU76" s="72">
        <v>4.0104166666666696</v>
      </c>
      <c r="BW76" s="1">
        <v>2</v>
      </c>
      <c r="BX76" s="1">
        <v>4</v>
      </c>
      <c r="BY76" s="1">
        <v>6</v>
      </c>
      <c r="BZ76" s="1">
        <v>8</v>
      </c>
      <c r="CA76" s="1">
        <v>9</v>
      </c>
      <c r="CB76" s="1">
        <v>15</v>
      </c>
      <c r="CC76" s="1">
        <v>15</v>
      </c>
      <c r="CD76" s="1">
        <v>15</v>
      </c>
      <c r="CE76" s="1">
        <v>15</v>
      </c>
      <c r="CF76" s="1">
        <v>15</v>
      </c>
      <c r="CG76" s="1">
        <v>15</v>
      </c>
      <c r="CI76" s="1">
        <f t="shared" si="9"/>
        <v>11</v>
      </c>
    </row>
    <row r="77" spans="2:87" ht="16.5" customHeight="1">
      <c r="B77" s="2227"/>
      <c r="C77" s="2238"/>
      <c r="D77" s="2237"/>
      <c r="E77" s="232"/>
      <c r="F77" s="2203"/>
      <c r="G77" s="2203"/>
      <c r="H77" s="2209"/>
      <c r="I77" s="2335"/>
      <c r="J77" s="2365"/>
      <c r="K77" s="2409"/>
      <c r="L77" s="2411"/>
      <c r="M77" s="2165"/>
      <c r="N77" s="2080"/>
      <c r="O77" s="2186"/>
      <c r="P77" s="2110"/>
      <c r="Q77" s="2113"/>
      <c r="R77" s="222"/>
      <c r="T77" s="62"/>
      <c r="U77" s="171"/>
      <c r="V77" s="171"/>
      <c r="W77" s="171"/>
      <c r="X77" s="171"/>
      <c r="Y77" s="69"/>
      <c r="Z77" s="34"/>
      <c r="AA77" s="34"/>
      <c r="AB77" s="34"/>
      <c r="AC77" s="34"/>
      <c r="AD77" s="34"/>
      <c r="AE77" s="34"/>
      <c r="AF77" s="34"/>
      <c r="AG77" s="34"/>
      <c r="AH77" s="34"/>
      <c r="AK77" s="20"/>
      <c r="AL77" s="20"/>
      <c r="AM77" s="20"/>
      <c r="AN77" s="20"/>
      <c r="AO77" s="20"/>
      <c r="AP77" s="20"/>
      <c r="AQ77" s="20"/>
      <c r="AR77" s="20"/>
      <c r="AS77" s="20"/>
      <c r="AT77" s="20"/>
      <c r="AU77" s="20"/>
      <c r="AX77" s="34"/>
      <c r="AY77" s="34"/>
      <c r="AZ77" s="34"/>
      <c r="BA77" s="34"/>
      <c r="BB77" s="34"/>
      <c r="BC77" s="34"/>
      <c r="BD77" s="34"/>
      <c r="BE77" s="34"/>
      <c r="BF77" s="34"/>
      <c r="BG77" s="34"/>
      <c r="BH77" s="34"/>
      <c r="BJ77" s="49"/>
      <c r="BK77" s="72"/>
      <c r="BL77" s="72"/>
      <c r="BM77" s="72"/>
      <c r="BN77" s="72"/>
      <c r="BO77" s="72"/>
      <c r="BP77" s="72"/>
      <c r="BQ77" s="72"/>
      <c r="BR77" s="72"/>
      <c r="BS77" s="72"/>
      <c r="BT77" s="72"/>
      <c r="BU77" s="72"/>
      <c r="BW77" s="171"/>
      <c r="BX77" s="171"/>
      <c r="BY77" s="171"/>
      <c r="BZ77" s="171"/>
      <c r="CA77" s="171"/>
      <c r="CB77" s="171"/>
      <c r="CC77" s="171"/>
      <c r="CD77" s="171"/>
      <c r="CE77" s="171"/>
      <c r="CF77" s="171"/>
      <c r="CG77" s="171"/>
      <c r="CH77" s="171"/>
      <c r="CI77" s="171"/>
    </row>
    <row r="78" spans="2:87" ht="16.5" customHeight="1" thickBot="1">
      <c r="B78" s="2281" t="s">
        <v>242</v>
      </c>
      <c r="C78" s="2282"/>
      <c r="D78" s="224">
        <f>SUM(U6:U76)-36</f>
        <v>0</v>
      </c>
      <c r="E78" s="517"/>
      <c r="F78" s="230">
        <f>SUM(W6:W76)</f>
        <v>360</v>
      </c>
      <c r="G78" s="230"/>
      <c r="H78" s="231">
        <f>SUM(H6:H76)</f>
        <v>18000</v>
      </c>
      <c r="I78" s="226">
        <f>SUM(I6:I76)</f>
        <v>0.37500000000001216</v>
      </c>
      <c r="J78" s="225">
        <f>SUM(J6:J76)</f>
        <v>6930000</v>
      </c>
      <c r="K78" s="226">
        <f>SUM(K6:K76)</f>
        <v>144.37500000000009</v>
      </c>
      <c r="L78" s="2283">
        <f>SUM((396-U5))</f>
        <v>360</v>
      </c>
      <c r="M78" s="2284"/>
      <c r="N78" s="2285"/>
      <c r="O78" s="2286">
        <f>V5</f>
        <v>144.37500000000009</v>
      </c>
      <c r="P78" s="2287"/>
      <c r="Q78" s="2288"/>
      <c r="R78" s="107"/>
      <c r="Y78" s="69"/>
      <c r="Z78" s="34"/>
      <c r="AA78" s="34"/>
      <c r="AB78" s="34"/>
      <c r="AC78" s="34"/>
      <c r="AD78" s="34"/>
      <c r="AE78" s="34"/>
      <c r="AF78" s="34"/>
      <c r="AG78" s="34"/>
      <c r="AH78" s="34"/>
      <c r="AK78" s="20"/>
      <c r="AL78" s="20"/>
      <c r="AM78" s="20"/>
      <c r="AN78" s="20"/>
      <c r="AO78" s="20"/>
      <c r="AP78" s="20"/>
      <c r="AQ78" s="20"/>
      <c r="AR78" s="20"/>
      <c r="AS78" s="20"/>
      <c r="AT78" s="20"/>
      <c r="AU78" s="20"/>
      <c r="AX78" s="34"/>
      <c r="AY78" s="34"/>
      <c r="AZ78" s="34"/>
      <c r="BA78" s="34"/>
      <c r="BB78" s="34"/>
      <c r="BC78" s="34"/>
      <c r="BD78" s="34"/>
      <c r="BE78" s="34"/>
      <c r="BF78" s="34"/>
      <c r="BG78" s="34"/>
      <c r="BH78" s="34"/>
      <c r="BK78" s="72"/>
      <c r="BL78" s="72"/>
      <c r="BM78" s="72"/>
      <c r="BN78" s="72"/>
      <c r="BO78" s="72"/>
      <c r="BP78" s="72"/>
      <c r="BQ78" s="72"/>
      <c r="BR78" s="72"/>
      <c r="BS78" s="72"/>
      <c r="BT78" s="72"/>
      <c r="BU78" s="72"/>
      <c r="BZ78" s="72"/>
      <c r="CA78" s="72"/>
    </row>
    <row r="79" spans="2:87" ht="16.5" customHeight="1">
      <c r="B79" s="2"/>
      <c r="C79" s="35"/>
      <c r="D79" s="32"/>
      <c r="H79" s="229"/>
      <c r="I79" s="32"/>
      <c r="J79" s="32"/>
      <c r="K79" s="32"/>
      <c r="L79" s="35"/>
      <c r="M79" s="32"/>
      <c r="N79" s="32"/>
      <c r="O79" s="35"/>
      <c r="P79" s="35"/>
      <c r="Q79" s="35"/>
      <c r="BZ79" s="72"/>
      <c r="CA79" s="72"/>
    </row>
    <row r="80" spans="2:87" ht="16.5" customHeight="1">
      <c r="I80" s="11"/>
      <c r="J80" s="11"/>
      <c r="K80" s="11"/>
      <c r="L80" s="53"/>
      <c r="M80" s="11"/>
      <c r="N80" s="11"/>
      <c r="BZ80" s="72"/>
      <c r="CA80" s="72"/>
    </row>
    <row r="81" spans="8:79" ht="16.5" customHeight="1" thickBot="1">
      <c r="H81" s="30"/>
      <c r="I81" s="2289" t="s">
        <v>243</v>
      </c>
      <c r="J81" s="2290"/>
      <c r="K81" s="2290"/>
      <c r="L81" s="2290"/>
      <c r="M81" s="2290"/>
      <c r="N81" s="2291"/>
      <c r="O81" s="107"/>
      <c r="BZ81" s="72"/>
      <c r="CA81" s="72"/>
    </row>
    <row r="82" spans="8:79" ht="16.5" customHeight="1">
      <c r="H82" s="30"/>
      <c r="I82" s="2292" t="s">
        <v>244</v>
      </c>
      <c r="J82" s="2293"/>
      <c r="K82" s="2293"/>
      <c r="L82" s="5" t="s">
        <v>245</v>
      </c>
      <c r="M82" s="2294" t="s">
        <v>246</v>
      </c>
      <c r="N82" s="2294"/>
      <c r="O82" s="107"/>
      <c r="BZ82" s="72"/>
      <c r="CA82" s="72"/>
    </row>
    <row r="83" spans="8:79" ht="16.5" customHeight="1">
      <c r="H83" s="30"/>
      <c r="I83" s="2295" t="s">
        <v>247</v>
      </c>
      <c r="J83" s="2296"/>
      <c r="K83" s="2296"/>
      <c r="L83" s="41" t="s">
        <v>248</v>
      </c>
      <c r="M83" s="2297">
        <v>144.375</v>
      </c>
      <c r="N83" s="2297"/>
      <c r="O83" s="107"/>
      <c r="BZ83" s="72"/>
      <c r="CA83" s="72"/>
    </row>
    <row r="84" spans="8:79" ht="16.5" customHeight="1" thickBot="1">
      <c r="H84" s="30"/>
      <c r="I84" s="2298" t="s">
        <v>249</v>
      </c>
      <c r="J84" s="2299"/>
      <c r="K84" s="2299"/>
      <c r="L84" s="75" t="s">
        <v>250</v>
      </c>
      <c r="M84" s="2300" t="s">
        <v>251</v>
      </c>
      <c r="N84" s="2300"/>
      <c r="O84" s="107"/>
      <c r="CA84" s="72"/>
    </row>
    <row r="85" spans="8:79" ht="16.5" customHeight="1">
      <c r="H85" s="30"/>
      <c r="I85" s="2301" t="s">
        <v>252</v>
      </c>
      <c r="J85" s="2302"/>
      <c r="K85" s="2302"/>
      <c r="L85" s="2302"/>
      <c r="M85" s="2302"/>
      <c r="N85" s="2303"/>
      <c r="O85" s="107"/>
    </row>
    <row r="86" spans="8:79" ht="16.5" customHeight="1">
      <c r="I86" s="100"/>
      <c r="J86" s="100"/>
      <c r="K86" s="100"/>
      <c r="L86" s="100"/>
      <c r="M86" s="26"/>
      <c r="N86" s="26"/>
    </row>
    <row r="87" spans="8:79" ht="15.75" customHeight="1">
      <c r="I87" s="242" t="s">
        <v>672</v>
      </c>
    </row>
    <row r="88" spans="8:79" ht="15.75" customHeight="1">
      <c r="I88" s="242">
        <v>1</v>
      </c>
    </row>
    <row r="89" spans="8:79" ht="15.75" customHeight="1">
      <c r="I89" s="242">
        <v>2</v>
      </c>
    </row>
    <row r="90" spans="8:79" ht="15.75" customHeight="1">
      <c r="I90" s="242">
        <v>3</v>
      </c>
    </row>
    <row r="91" spans="8:79" ht="15.75" customHeight="1">
      <c r="I91" s="242">
        <v>4</v>
      </c>
    </row>
    <row r="92" spans="8:79" ht="15.75" customHeight="1">
      <c r="I92" s="242">
        <v>5</v>
      </c>
    </row>
    <row r="93" spans="8:79" ht="15.75" customHeight="1">
      <c r="I93" s="242">
        <v>6</v>
      </c>
    </row>
    <row r="94" spans="8:79" ht="15.75" customHeight="1">
      <c r="I94" s="242">
        <v>7</v>
      </c>
    </row>
    <row r="95" spans="8:79" ht="15.75" customHeight="1">
      <c r="I95" s="242">
        <v>8</v>
      </c>
    </row>
    <row r="96" spans="8:79" ht="15.75" customHeight="1">
      <c r="I96" s="242">
        <v>9</v>
      </c>
    </row>
    <row r="97" spans="9:9" ht="15.75" customHeight="1">
      <c r="I97" s="242">
        <v>10</v>
      </c>
    </row>
  </sheetData>
  <sheetProtection selectLockedCells="1"/>
  <mergeCells count="429">
    <mergeCell ref="H4:I4"/>
    <mergeCell ref="J4:K4"/>
    <mergeCell ref="L4:L5"/>
    <mergeCell ref="M4:M5"/>
    <mergeCell ref="N4:N5"/>
    <mergeCell ref="O4:O5"/>
    <mergeCell ref="P4:Q4"/>
    <mergeCell ref="M12:M13"/>
    <mergeCell ref="M14:M15"/>
    <mergeCell ref="N10:N11"/>
    <mergeCell ref="L6:L7"/>
    <mergeCell ref="L8:L9"/>
    <mergeCell ref="L10:L11"/>
    <mergeCell ref="F42:G43"/>
    <mergeCell ref="F44:G45"/>
    <mergeCell ref="F46:G47"/>
    <mergeCell ref="F48:G49"/>
    <mergeCell ref="L50:L51"/>
    <mergeCell ref="L52:L53"/>
    <mergeCell ref="O12:O17"/>
    <mergeCell ref="P12:P17"/>
    <mergeCell ref="Q12:Q17"/>
    <mergeCell ref="F12:G13"/>
    <mergeCell ref="F14:G15"/>
    <mergeCell ref="F16:G17"/>
    <mergeCell ref="M16:M17"/>
    <mergeCell ref="F24:G25"/>
    <mergeCell ref="F26:G27"/>
    <mergeCell ref="F28:G29"/>
    <mergeCell ref="F30:G31"/>
    <mergeCell ref="F32:G33"/>
    <mergeCell ref="F34:G35"/>
    <mergeCell ref="F36:G37"/>
    <mergeCell ref="F38:G39"/>
    <mergeCell ref="F40:G41"/>
    <mergeCell ref="L38:L39"/>
    <mergeCell ref="L40:L41"/>
    <mergeCell ref="K74:K75"/>
    <mergeCell ref="K76:K77"/>
    <mergeCell ref="K72:K73"/>
    <mergeCell ref="L68:L69"/>
    <mergeCell ref="L70:L71"/>
    <mergeCell ref="L72:L73"/>
    <mergeCell ref="L74:L75"/>
    <mergeCell ref="L76:L77"/>
    <mergeCell ref="M6:M7"/>
    <mergeCell ref="M8:M9"/>
    <mergeCell ref="M10:M11"/>
    <mergeCell ref="L12:L13"/>
    <mergeCell ref="L14:L15"/>
    <mergeCell ref="L16:L17"/>
    <mergeCell ref="L18:L19"/>
    <mergeCell ref="L20:L21"/>
    <mergeCell ref="L22:L23"/>
    <mergeCell ref="L24:L25"/>
    <mergeCell ref="L26:L27"/>
    <mergeCell ref="L28:L29"/>
    <mergeCell ref="L30:L31"/>
    <mergeCell ref="L32:L33"/>
    <mergeCell ref="L34:L35"/>
    <mergeCell ref="L36:L37"/>
    <mergeCell ref="L42:L43"/>
    <mergeCell ref="L44:L45"/>
    <mergeCell ref="L46:L47"/>
    <mergeCell ref="L48:L49"/>
    <mergeCell ref="K56:K57"/>
    <mergeCell ref="K58:K59"/>
    <mergeCell ref="K60:K61"/>
    <mergeCell ref="K62:K63"/>
    <mergeCell ref="K64:K65"/>
    <mergeCell ref="K66:K67"/>
    <mergeCell ref="K68:K69"/>
    <mergeCell ref="K70:K71"/>
    <mergeCell ref="L54:L55"/>
    <mergeCell ref="L56:L57"/>
    <mergeCell ref="L58:L59"/>
    <mergeCell ref="L60:L61"/>
    <mergeCell ref="L62:L63"/>
    <mergeCell ref="L64:L65"/>
    <mergeCell ref="L66:L67"/>
    <mergeCell ref="K38:K39"/>
    <mergeCell ref="K40:K41"/>
    <mergeCell ref="K42:K43"/>
    <mergeCell ref="K44:K45"/>
    <mergeCell ref="K46:K47"/>
    <mergeCell ref="K48:K49"/>
    <mergeCell ref="K50:K51"/>
    <mergeCell ref="K52:K53"/>
    <mergeCell ref="K54:K55"/>
    <mergeCell ref="J62:J63"/>
    <mergeCell ref="J64:J65"/>
    <mergeCell ref="J66:J67"/>
    <mergeCell ref="J68:J69"/>
    <mergeCell ref="J70:J71"/>
    <mergeCell ref="J72:J73"/>
    <mergeCell ref="J74:J75"/>
    <mergeCell ref="J76:J77"/>
    <mergeCell ref="K6:K7"/>
    <mergeCell ref="K8:K9"/>
    <mergeCell ref="K10:K11"/>
    <mergeCell ref="K12:K13"/>
    <mergeCell ref="K14:K15"/>
    <mergeCell ref="K16:K17"/>
    <mergeCell ref="K18:K19"/>
    <mergeCell ref="K20:K21"/>
    <mergeCell ref="K22:K23"/>
    <mergeCell ref="K24:K25"/>
    <mergeCell ref="K26:K27"/>
    <mergeCell ref="K28:K29"/>
    <mergeCell ref="K30:K31"/>
    <mergeCell ref="K32:K33"/>
    <mergeCell ref="K34:K35"/>
    <mergeCell ref="K36:K37"/>
    <mergeCell ref="J44:J45"/>
    <mergeCell ref="J46:J47"/>
    <mergeCell ref="J48:J49"/>
    <mergeCell ref="J50:J51"/>
    <mergeCell ref="J52:J53"/>
    <mergeCell ref="J54:J55"/>
    <mergeCell ref="J56:J57"/>
    <mergeCell ref="J58:J59"/>
    <mergeCell ref="J60:J61"/>
    <mergeCell ref="I68:I69"/>
    <mergeCell ref="I70:I71"/>
    <mergeCell ref="I72:I73"/>
    <mergeCell ref="I74:I75"/>
    <mergeCell ref="I76:I77"/>
    <mergeCell ref="J6:J7"/>
    <mergeCell ref="J8:J9"/>
    <mergeCell ref="J10:J11"/>
    <mergeCell ref="J12:J13"/>
    <mergeCell ref="J14:J15"/>
    <mergeCell ref="J16:J17"/>
    <mergeCell ref="J18:J19"/>
    <mergeCell ref="J20:J21"/>
    <mergeCell ref="J22:J23"/>
    <mergeCell ref="J24:J25"/>
    <mergeCell ref="J26:J27"/>
    <mergeCell ref="J28:J29"/>
    <mergeCell ref="J30:J31"/>
    <mergeCell ref="J32:J33"/>
    <mergeCell ref="J34:J35"/>
    <mergeCell ref="J36:J37"/>
    <mergeCell ref="J38:J39"/>
    <mergeCell ref="J40:J41"/>
    <mergeCell ref="J42:J43"/>
    <mergeCell ref="I50:I51"/>
    <mergeCell ref="I52:I53"/>
    <mergeCell ref="I54:I55"/>
    <mergeCell ref="I56:I57"/>
    <mergeCell ref="I58:I59"/>
    <mergeCell ref="I60:I61"/>
    <mergeCell ref="I62:I63"/>
    <mergeCell ref="I64:I65"/>
    <mergeCell ref="I66:I67"/>
    <mergeCell ref="I85:N85"/>
    <mergeCell ref="I6:I7"/>
    <mergeCell ref="I8:I9"/>
    <mergeCell ref="I10:I11"/>
    <mergeCell ref="I12:I13"/>
    <mergeCell ref="I14:I15"/>
    <mergeCell ref="E4:E5"/>
    <mergeCell ref="I16:I17"/>
    <mergeCell ref="I18:I19"/>
    <mergeCell ref="I20:I21"/>
    <mergeCell ref="I22:I23"/>
    <mergeCell ref="I24:I25"/>
    <mergeCell ref="I26:I27"/>
    <mergeCell ref="I28:I29"/>
    <mergeCell ref="I30:I31"/>
    <mergeCell ref="I32:I33"/>
    <mergeCell ref="I34:I35"/>
    <mergeCell ref="I36:I37"/>
    <mergeCell ref="I38:I39"/>
    <mergeCell ref="I40:I41"/>
    <mergeCell ref="I42:I43"/>
    <mergeCell ref="I44:I45"/>
    <mergeCell ref="I46:I47"/>
    <mergeCell ref="I48:I49"/>
    <mergeCell ref="B78:C78"/>
    <mergeCell ref="L78:N78"/>
    <mergeCell ref="O78:Q78"/>
    <mergeCell ref="I81:N81"/>
    <mergeCell ref="I82:K82"/>
    <mergeCell ref="M82:N82"/>
    <mergeCell ref="I83:K83"/>
    <mergeCell ref="M83:N83"/>
    <mergeCell ref="I84:K84"/>
    <mergeCell ref="M84:N84"/>
    <mergeCell ref="BW4:CA4"/>
    <mergeCell ref="CH4:CI4"/>
    <mergeCell ref="Y5:AI5"/>
    <mergeCell ref="AK5:AU5"/>
    <mergeCell ref="AX5:BH5"/>
    <mergeCell ref="BK5:BU5"/>
    <mergeCell ref="C6:C7"/>
    <mergeCell ref="D6:D7"/>
    <mergeCell ref="C8:C9"/>
    <mergeCell ref="D8:D9"/>
    <mergeCell ref="N6:N7"/>
    <mergeCell ref="N8:N9"/>
    <mergeCell ref="Q6:Q11"/>
    <mergeCell ref="P6:P11"/>
    <mergeCell ref="O6:O11"/>
    <mergeCell ref="C10:C11"/>
    <mergeCell ref="D10:D11"/>
    <mergeCell ref="B4:C5"/>
    <mergeCell ref="D4:D5"/>
    <mergeCell ref="F4:F5"/>
    <mergeCell ref="G4:G5"/>
    <mergeCell ref="F6:G7"/>
    <mergeCell ref="F8:G9"/>
    <mergeCell ref="F10:G11"/>
    <mergeCell ref="C18:C19"/>
    <mergeCell ref="D18:D19"/>
    <mergeCell ref="C20:C21"/>
    <mergeCell ref="D20:D21"/>
    <mergeCell ref="B6:B23"/>
    <mergeCell ref="F18:G19"/>
    <mergeCell ref="F20:G21"/>
    <mergeCell ref="C22:C23"/>
    <mergeCell ref="D22:D23"/>
    <mergeCell ref="C12:C13"/>
    <mergeCell ref="D12:D13"/>
    <mergeCell ref="C14:C15"/>
    <mergeCell ref="D14:D15"/>
    <mergeCell ref="C16:C17"/>
    <mergeCell ref="D16:D17"/>
    <mergeCell ref="F22:G23"/>
    <mergeCell ref="C30:C31"/>
    <mergeCell ref="D30:D31"/>
    <mergeCell ref="C32:C33"/>
    <mergeCell ref="D32:D33"/>
    <mergeCell ref="C34:C35"/>
    <mergeCell ref="D34:D35"/>
    <mergeCell ref="C24:C25"/>
    <mergeCell ref="D24:D25"/>
    <mergeCell ref="C26:C27"/>
    <mergeCell ref="D26:D27"/>
    <mergeCell ref="C28:C29"/>
    <mergeCell ref="D28:D29"/>
    <mergeCell ref="C42:C43"/>
    <mergeCell ref="D42:D43"/>
    <mergeCell ref="C44:C45"/>
    <mergeCell ref="D44:D45"/>
    <mergeCell ref="C46:C47"/>
    <mergeCell ref="D46:D47"/>
    <mergeCell ref="C36:C37"/>
    <mergeCell ref="D36:D37"/>
    <mergeCell ref="C38:C39"/>
    <mergeCell ref="D38:D39"/>
    <mergeCell ref="C40:C41"/>
    <mergeCell ref="D40:D41"/>
    <mergeCell ref="C54:C55"/>
    <mergeCell ref="D54:D55"/>
    <mergeCell ref="C56:C57"/>
    <mergeCell ref="D56:D57"/>
    <mergeCell ref="C58:C59"/>
    <mergeCell ref="D58:D59"/>
    <mergeCell ref="C48:C49"/>
    <mergeCell ref="D48:D49"/>
    <mergeCell ref="C50:C51"/>
    <mergeCell ref="D50:D51"/>
    <mergeCell ref="C52:C53"/>
    <mergeCell ref="D52:D53"/>
    <mergeCell ref="C66:C67"/>
    <mergeCell ref="D66:D67"/>
    <mergeCell ref="H60:H61"/>
    <mergeCell ref="C68:C69"/>
    <mergeCell ref="D68:D69"/>
    <mergeCell ref="C70:C71"/>
    <mergeCell ref="D70:D71"/>
    <mergeCell ref="C60:C61"/>
    <mergeCell ref="D60:D61"/>
    <mergeCell ref="C62:C63"/>
    <mergeCell ref="D62:D63"/>
    <mergeCell ref="C64:C65"/>
    <mergeCell ref="D64:D65"/>
    <mergeCell ref="H54:H55"/>
    <mergeCell ref="H56:H57"/>
    <mergeCell ref="H58:H59"/>
    <mergeCell ref="B24:B41"/>
    <mergeCell ref="B42:B59"/>
    <mergeCell ref="B60:B77"/>
    <mergeCell ref="H6:H7"/>
    <mergeCell ref="H8:H9"/>
    <mergeCell ref="H10:H11"/>
    <mergeCell ref="H12:H13"/>
    <mergeCell ref="H14:H15"/>
    <mergeCell ref="H16:H17"/>
    <mergeCell ref="H18:H19"/>
    <mergeCell ref="H20:H21"/>
    <mergeCell ref="H22:H23"/>
    <mergeCell ref="H24:H25"/>
    <mergeCell ref="H26:H27"/>
    <mergeCell ref="H28:H29"/>
    <mergeCell ref="C72:C73"/>
    <mergeCell ref="D72:D73"/>
    <mergeCell ref="C74:C75"/>
    <mergeCell ref="D74:D75"/>
    <mergeCell ref="C76:C77"/>
    <mergeCell ref="D76:D77"/>
    <mergeCell ref="H40:H41"/>
    <mergeCell ref="H42:H43"/>
    <mergeCell ref="H44:H45"/>
    <mergeCell ref="H46:H47"/>
    <mergeCell ref="H48:H49"/>
    <mergeCell ref="H30:H31"/>
    <mergeCell ref="H32:H33"/>
    <mergeCell ref="H34:H35"/>
    <mergeCell ref="H36:H37"/>
    <mergeCell ref="H38:H39"/>
    <mergeCell ref="F50:G51"/>
    <mergeCell ref="H70:H71"/>
    <mergeCell ref="H72:H73"/>
    <mergeCell ref="H74:H75"/>
    <mergeCell ref="H76:H77"/>
    <mergeCell ref="F52:G53"/>
    <mergeCell ref="F54:G55"/>
    <mergeCell ref="F56:G57"/>
    <mergeCell ref="F58:G59"/>
    <mergeCell ref="F60:G61"/>
    <mergeCell ref="F62:G63"/>
    <mergeCell ref="F64:G65"/>
    <mergeCell ref="F66:G67"/>
    <mergeCell ref="F68:G69"/>
    <mergeCell ref="F70:G71"/>
    <mergeCell ref="F72:G73"/>
    <mergeCell ref="F74:G75"/>
    <mergeCell ref="F76:G77"/>
    <mergeCell ref="H62:H63"/>
    <mergeCell ref="H64:H65"/>
    <mergeCell ref="H66:H67"/>
    <mergeCell ref="H68:H69"/>
    <mergeCell ref="H50:H51"/>
    <mergeCell ref="H52:H53"/>
    <mergeCell ref="M52:M53"/>
    <mergeCell ref="M18:M19"/>
    <mergeCell ref="M20:M21"/>
    <mergeCell ref="M22:M23"/>
    <mergeCell ref="M24:M25"/>
    <mergeCell ref="M26:M27"/>
    <mergeCell ref="M28:M29"/>
    <mergeCell ref="M30:M31"/>
    <mergeCell ref="M32:M33"/>
    <mergeCell ref="M34:M35"/>
    <mergeCell ref="M76:M77"/>
    <mergeCell ref="O18:O23"/>
    <mergeCell ref="O24:O29"/>
    <mergeCell ref="O30:O35"/>
    <mergeCell ref="O36:O41"/>
    <mergeCell ref="O42:O47"/>
    <mergeCell ref="O48:O53"/>
    <mergeCell ref="O54:O59"/>
    <mergeCell ref="O60:O65"/>
    <mergeCell ref="O66:O71"/>
    <mergeCell ref="O72:O77"/>
    <mergeCell ref="N26:N27"/>
    <mergeCell ref="N28:N29"/>
    <mergeCell ref="N30:N31"/>
    <mergeCell ref="N32:N33"/>
    <mergeCell ref="N34:N35"/>
    <mergeCell ref="N36:N37"/>
    <mergeCell ref="N38:N39"/>
    <mergeCell ref="N40:N41"/>
    <mergeCell ref="N42:N43"/>
    <mergeCell ref="N44:N45"/>
    <mergeCell ref="N46:N47"/>
    <mergeCell ref="M54:M55"/>
    <mergeCell ref="M56:M57"/>
    <mergeCell ref="P18:P23"/>
    <mergeCell ref="Q18:Q23"/>
    <mergeCell ref="N20:N21"/>
    <mergeCell ref="N22:N23"/>
    <mergeCell ref="N24:N25"/>
    <mergeCell ref="P24:P29"/>
    <mergeCell ref="Q24:Q29"/>
    <mergeCell ref="M72:M73"/>
    <mergeCell ref="M74:M75"/>
    <mergeCell ref="M58:M59"/>
    <mergeCell ref="M60:M61"/>
    <mergeCell ref="M62:M63"/>
    <mergeCell ref="M64:M65"/>
    <mergeCell ref="M66:M67"/>
    <mergeCell ref="M68:M69"/>
    <mergeCell ref="M70:M71"/>
    <mergeCell ref="M36:M37"/>
    <mergeCell ref="M38:M39"/>
    <mergeCell ref="M40:M41"/>
    <mergeCell ref="M42:M43"/>
    <mergeCell ref="M44:M45"/>
    <mergeCell ref="M46:M47"/>
    <mergeCell ref="M48:M49"/>
    <mergeCell ref="M50:M51"/>
    <mergeCell ref="N52:N53"/>
    <mergeCell ref="N54:N55"/>
    <mergeCell ref="N56:N57"/>
    <mergeCell ref="N58:N59"/>
    <mergeCell ref="N60:N61"/>
    <mergeCell ref="N62:N63"/>
    <mergeCell ref="N64:N65"/>
    <mergeCell ref="N12:N13"/>
    <mergeCell ref="N14:N15"/>
    <mergeCell ref="N16:N17"/>
    <mergeCell ref="N18:N19"/>
    <mergeCell ref="N66:N67"/>
    <mergeCell ref="N68:N69"/>
    <mergeCell ref="N70:N71"/>
    <mergeCell ref="N72:N73"/>
    <mergeCell ref="N74:N75"/>
    <mergeCell ref="N76:N77"/>
    <mergeCell ref="P30:P35"/>
    <mergeCell ref="Q30:Q35"/>
    <mergeCell ref="P36:P41"/>
    <mergeCell ref="Q36:Q41"/>
    <mergeCell ref="P42:P47"/>
    <mergeCell ref="Q42:Q47"/>
    <mergeCell ref="P48:P53"/>
    <mergeCell ref="Q48:Q53"/>
    <mergeCell ref="P54:P59"/>
    <mergeCell ref="Q54:Q59"/>
    <mergeCell ref="P60:P65"/>
    <mergeCell ref="Q60:Q65"/>
    <mergeCell ref="P66:P71"/>
    <mergeCell ref="Q66:Q71"/>
    <mergeCell ref="P72:P77"/>
    <mergeCell ref="Q72:Q77"/>
    <mergeCell ref="N48:N49"/>
    <mergeCell ref="N50:N51"/>
  </mergeCells>
  <dataValidations count="1">
    <dataValidation type="list" allowBlank="1" showErrorMessage="1" sqref="E6:E77 D6 D8 D10 D12 D14 D16 D18 D20 D22 D24 D26 D28 D30 D32 D34 D36 D38 D40 D42 D44 D46 D48 D50 D52 D54 D56 D58 D60 D62 D64 D66 D68 D70 D72 D74 D76">
      <formula1>'Skill Calculator'!P3:P13</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sheetPr codeName="Feuil9"/>
  <dimension ref="A1:EB350"/>
  <sheetViews>
    <sheetView showGridLines="0" zoomScale="70" zoomScaleNormal="70" workbookViewId="0">
      <selection activeCell="DF69" sqref="DF69"/>
    </sheetView>
  </sheetViews>
  <sheetFormatPr baseColWidth="10" defaultColWidth="8.7109375" defaultRowHeight="15" customHeight="1"/>
  <cols>
    <col min="1" max="1" width="8.7109375" style="155"/>
    <col min="2" max="2" width="2.28515625" style="153" customWidth="1"/>
    <col min="3" max="3" width="65.85546875" style="153" bestFit="1" customWidth="1"/>
    <col min="4" max="4" width="8" style="152"/>
    <col min="5" max="5" width="5.28515625" style="152" customWidth="1"/>
    <col min="6" max="6" width="3" style="152" customWidth="1"/>
    <col min="7" max="7" width="5.28515625" style="152" customWidth="1"/>
    <col min="8" max="10" width="10.5703125" style="263" customWidth="1"/>
    <col min="11" max="11" width="4.7109375" style="153" customWidth="1"/>
    <col min="12" max="12" width="8.7109375" style="153" customWidth="1"/>
    <col min="13" max="18" width="4.7109375" style="153" customWidth="1"/>
    <col min="19" max="19" width="12.28515625" style="153" customWidth="1"/>
    <col min="20" max="22" width="10.5703125" style="153" customWidth="1"/>
    <col min="23" max="23" width="4.7109375" style="153" customWidth="1"/>
    <col min="24" max="24" width="42.7109375" style="153" customWidth="1"/>
    <col min="25" max="25" width="9.5703125" style="153" customWidth="1"/>
    <col min="26" max="29" width="10.5703125" style="153" customWidth="1"/>
    <col min="30" max="30" width="11.7109375" style="153" customWidth="1"/>
    <col min="31" max="34" width="9.140625" style="153" customWidth="1"/>
    <col min="35" max="37" width="10.7109375" style="263" customWidth="1"/>
    <col min="38" max="43" width="9.140625" style="153" customWidth="1"/>
    <col min="44" max="44" width="11.42578125" style="260" customWidth="1"/>
    <col min="45" max="45" width="54.85546875" style="153" customWidth="1"/>
    <col min="46" max="46" width="7.85546875" style="153" customWidth="1"/>
    <col min="47" max="47" width="7.7109375" style="153" customWidth="1"/>
    <col min="48" max="67" width="9.140625" style="153" customWidth="1"/>
    <col min="68" max="73" width="10.7109375" style="153" customWidth="1"/>
    <col min="74" max="79" width="9.140625" style="153" customWidth="1"/>
    <col min="80" max="80" width="31.42578125" style="153" customWidth="1"/>
    <col min="81" max="81" width="7.28515625" style="152" customWidth="1"/>
    <col min="82" max="82" width="8.85546875" style="238" customWidth="1"/>
    <col min="83" max="86" width="11.42578125" style="238" customWidth="1"/>
    <col min="87" max="87" width="9.140625" style="153" customWidth="1"/>
    <col min="88" max="90" width="11.42578125" style="238" customWidth="1"/>
    <col min="91" max="91" width="9.140625" style="153" customWidth="1"/>
    <col min="92" max="96" width="11.42578125" style="238" customWidth="1"/>
    <col min="97" max="99" width="11.42578125" style="153" customWidth="1"/>
    <col min="100" max="108" width="11.42578125" style="238" customWidth="1"/>
    <col min="109" max="109" width="9.140625" style="153" customWidth="1"/>
    <col min="110" max="110" width="55.42578125" style="263" customWidth="1"/>
    <col min="111" max="111" width="8.140625" style="153" customWidth="1"/>
    <col min="112" max="119" width="9.140625" style="153" customWidth="1"/>
    <col min="120" max="120" width="53.42578125" style="153" customWidth="1"/>
    <col min="121" max="121" width="7.85546875" style="153" customWidth="1"/>
    <col min="122" max="122" width="7.7109375" style="153" customWidth="1"/>
    <col min="123" max="123" width="13.140625" style="153" customWidth="1"/>
    <col min="124" max="125" width="11.42578125" style="153" customWidth="1"/>
    <col min="126" max="131" width="9.140625" style="153" customWidth="1"/>
    <col min="132" max="132" width="8" style="153"/>
    <col min="133" max="16384" width="8.7109375" style="155"/>
  </cols>
  <sheetData>
    <row r="1" spans="1:132" s="367" customFormat="1" ht="15" customHeight="1">
      <c r="B1" s="153"/>
      <c r="C1" s="153"/>
      <c r="D1" s="152"/>
      <c r="E1" s="152"/>
      <c r="F1" s="152"/>
      <c r="G1" s="152"/>
      <c r="H1" s="263"/>
      <c r="I1" s="263"/>
      <c r="J1" s="26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263"/>
      <c r="AJ1" s="263"/>
      <c r="AK1" s="263"/>
      <c r="AL1" s="153"/>
      <c r="AM1" s="153"/>
      <c r="AN1" s="153"/>
      <c r="AO1" s="153"/>
      <c r="AP1" s="153"/>
      <c r="AQ1" s="153"/>
      <c r="AR1" s="260"/>
      <c r="AS1" s="153"/>
      <c r="AT1" s="153"/>
      <c r="AU1" s="153"/>
      <c r="AV1" s="153"/>
      <c r="AW1" s="153"/>
      <c r="AX1" s="153"/>
      <c r="AY1" s="153"/>
      <c r="AZ1" s="153"/>
      <c r="BA1" s="153"/>
      <c r="BB1" s="153"/>
      <c r="BC1" s="153"/>
      <c r="BD1" s="153"/>
      <c r="BE1" s="153"/>
      <c r="BF1" s="153"/>
      <c r="BG1" s="153"/>
      <c r="BH1" s="153"/>
      <c r="BI1" s="153"/>
      <c r="BJ1" s="153"/>
      <c r="BK1" s="153"/>
      <c r="BL1" s="153"/>
      <c r="BM1" s="153"/>
      <c r="BN1" s="153"/>
      <c r="BO1" s="153"/>
      <c r="BP1" s="153"/>
      <c r="BQ1" s="153"/>
      <c r="BR1" s="153"/>
      <c r="BS1" s="153"/>
      <c r="BT1" s="153"/>
      <c r="BU1" s="153"/>
      <c r="BV1" s="153"/>
      <c r="BW1" s="153"/>
      <c r="BX1" s="153"/>
      <c r="BY1" s="153"/>
      <c r="BZ1" s="153"/>
      <c r="CA1" s="153"/>
      <c r="CB1" s="153"/>
      <c r="CC1" s="152"/>
      <c r="CD1" s="703"/>
      <c r="CE1" s="703"/>
      <c r="CF1" s="703"/>
      <c r="CG1" s="703"/>
      <c r="CH1" s="703"/>
      <c r="CI1" s="153"/>
      <c r="CJ1" s="703"/>
      <c r="CK1" s="703"/>
      <c r="CL1" s="703"/>
      <c r="CM1" s="153"/>
      <c r="CN1" s="703"/>
      <c r="CO1" s="703"/>
      <c r="CP1" s="703"/>
      <c r="CQ1" s="703"/>
      <c r="CR1" s="703"/>
      <c r="CS1" s="153"/>
      <c r="CT1" s="153"/>
      <c r="CU1" s="153"/>
      <c r="CV1" s="703"/>
      <c r="CW1" s="703"/>
      <c r="CX1" s="703"/>
      <c r="CY1" s="703"/>
      <c r="CZ1" s="703"/>
      <c r="DA1" s="703"/>
      <c r="DB1" s="703"/>
      <c r="DC1" s="703"/>
      <c r="DD1" s="703"/>
      <c r="DE1" s="153"/>
      <c r="DF1" s="263"/>
      <c r="DG1" s="153"/>
      <c r="DH1" s="153"/>
      <c r="DI1" s="153"/>
      <c r="DJ1" s="153"/>
      <c r="DK1" s="153"/>
      <c r="DL1" s="153"/>
      <c r="DM1" s="153"/>
      <c r="DN1" s="153"/>
      <c r="DO1" s="153"/>
      <c r="DP1" s="153"/>
      <c r="DQ1" s="153"/>
      <c r="DR1" s="153"/>
      <c r="DS1" s="153"/>
      <c r="DT1" s="153"/>
      <c r="DU1" s="153"/>
      <c r="DV1" s="153"/>
      <c r="DW1" s="153"/>
      <c r="DX1" s="153"/>
      <c r="DY1" s="153"/>
      <c r="DZ1" s="153"/>
      <c r="EA1" s="153"/>
      <c r="EB1" s="153"/>
    </row>
    <row r="2" spans="1:132" s="367" customFormat="1" ht="15" hidden="1" customHeight="1" thickBot="1">
      <c r="A2" s="87"/>
      <c r="B2" s="14">
        <v>15</v>
      </c>
      <c r="C2" s="153"/>
      <c r="D2" s="152"/>
      <c r="E2" s="152"/>
      <c r="F2" s="152"/>
      <c r="G2" s="152"/>
      <c r="H2" s="263"/>
      <c r="I2" s="263"/>
      <c r="J2" s="263"/>
      <c r="K2" s="153"/>
      <c r="L2" s="153"/>
      <c r="M2" s="153"/>
      <c r="N2" s="153"/>
      <c r="O2" s="153"/>
      <c r="P2" s="153"/>
      <c r="Q2" s="153"/>
      <c r="R2" s="153"/>
      <c r="S2" s="153"/>
      <c r="T2" s="153"/>
      <c r="U2" s="153"/>
      <c r="V2" s="153"/>
      <c r="W2" s="153"/>
      <c r="X2" s="153"/>
      <c r="Y2" s="153"/>
      <c r="Z2" s="153"/>
      <c r="AA2" s="153"/>
      <c r="AB2" s="153"/>
      <c r="AC2" s="153"/>
      <c r="AD2" s="153"/>
      <c r="AE2" s="153"/>
      <c r="AF2" s="153"/>
      <c r="AG2" s="153"/>
      <c r="AH2" s="153"/>
      <c r="AI2" s="263"/>
      <c r="AJ2" s="263"/>
      <c r="AK2" s="263"/>
      <c r="AL2" s="153"/>
      <c r="AM2" s="153"/>
      <c r="AN2" s="153"/>
      <c r="AO2" s="153"/>
      <c r="AP2" s="153"/>
      <c r="AQ2" s="153"/>
      <c r="AR2" s="260"/>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c r="CC2" s="152"/>
      <c r="CD2" s="703"/>
      <c r="CE2" s="703"/>
      <c r="CF2" s="703"/>
      <c r="CG2" s="703"/>
      <c r="CH2" s="703"/>
      <c r="CI2" s="153"/>
      <c r="CJ2" s="703"/>
      <c r="CK2" s="703"/>
      <c r="CL2" s="703"/>
      <c r="CM2" s="153"/>
      <c r="CN2" s="703"/>
      <c r="CO2" s="703"/>
      <c r="CP2" s="703"/>
      <c r="CQ2" s="703"/>
      <c r="CR2" s="703"/>
      <c r="CS2" s="153"/>
      <c r="CT2" s="153"/>
      <c r="CU2" s="153"/>
      <c r="CV2" s="703"/>
      <c r="CW2" s="703"/>
      <c r="CX2" s="703"/>
      <c r="CY2" s="703"/>
      <c r="CZ2" s="703"/>
      <c r="DA2" s="703"/>
      <c r="DB2" s="703"/>
      <c r="DC2" s="703"/>
      <c r="DD2" s="703"/>
      <c r="DE2" s="153"/>
      <c r="DF2" s="263"/>
      <c r="DG2" s="153"/>
      <c r="DH2" s="153"/>
      <c r="DI2" s="153"/>
      <c r="DJ2" s="153"/>
      <c r="DK2" s="153"/>
      <c r="DL2" s="153"/>
      <c r="DM2" s="153"/>
      <c r="DN2" s="153"/>
      <c r="DO2" s="153"/>
      <c r="DP2" s="153"/>
      <c r="DQ2" s="153"/>
      <c r="DR2" s="153"/>
      <c r="DS2" s="153"/>
      <c r="DT2" s="153"/>
      <c r="DU2" s="153"/>
      <c r="DV2" s="153"/>
      <c r="DW2" s="153"/>
      <c r="DX2" s="153"/>
      <c r="DY2" s="153"/>
      <c r="DZ2" s="153"/>
      <c r="EA2" s="153"/>
      <c r="EB2" s="153"/>
    </row>
    <row r="3" spans="1:132" s="367" customFormat="1" ht="15" hidden="1" customHeight="1" thickBot="1">
      <c r="A3" s="59"/>
      <c r="B3" s="39">
        <v>15</v>
      </c>
      <c r="C3" s="153"/>
      <c r="D3" s="152"/>
      <c r="E3" s="152"/>
      <c r="F3" s="152"/>
      <c r="G3" s="152"/>
      <c r="H3" s="263"/>
      <c r="I3" s="263"/>
      <c r="J3" s="26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263"/>
      <c r="AJ3" s="263"/>
      <c r="AK3" s="263"/>
      <c r="AL3" s="153"/>
      <c r="AM3" s="153"/>
      <c r="AN3" s="153"/>
      <c r="AO3" s="153"/>
      <c r="AP3" s="153"/>
      <c r="AQ3" s="153"/>
      <c r="AR3" s="260"/>
      <c r="AS3" s="153"/>
      <c r="AT3" s="153"/>
      <c r="AU3" s="153"/>
      <c r="AV3" s="153"/>
      <c r="AW3" s="153"/>
      <c r="AX3" s="153"/>
      <c r="AY3" s="153"/>
      <c r="AZ3" s="153"/>
      <c r="BA3" s="153"/>
      <c r="BB3" s="153"/>
      <c r="BC3" s="153"/>
      <c r="BD3" s="153"/>
      <c r="BE3" s="153"/>
      <c r="BF3" s="153"/>
      <c r="BG3" s="153"/>
      <c r="BH3" s="153"/>
      <c r="BI3" s="153"/>
      <c r="BJ3" s="153"/>
      <c r="BK3" s="153"/>
      <c r="BL3" s="153"/>
      <c r="BM3" s="153"/>
      <c r="BN3" s="153"/>
      <c r="BO3" s="153"/>
      <c r="BP3" s="153"/>
      <c r="BQ3" s="153"/>
      <c r="BR3" s="153"/>
      <c r="BS3" s="153"/>
      <c r="BT3" s="153"/>
      <c r="BU3" s="153"/>
      <c r="BV3" s="153"/>
      <c r="BW3" s="153"/>
      <c r="BX3" s="153"/>
      <c r="BY3" s="153"/>
      <c r="BZ3" s="153"/>
      <c r="CA3" s="153"/>
      <c r="CB3" s="153"/>
      <c r="CC3" s="152"/>
      <c r="CD3" s="703"/>
      <c r="CE3" s="703"/>
      <c r="CF3" s="703"/>
      <c r="CG3" s="703"/>
      <c r="CH3" s="703"/>
      <c r="CI3" s="153"/>
      <c r="CJ3" s="703"/>
      <c r="CK3" s="703"/>
      <c r="CL3" s="703"/>
      <c r="CM3" s="153"/>
      <c r="CN3" s="703"/>
      <c r="CO3" s="703"/>
      <c r="CP3" s="703"/>
      <c r="CQ3" s="703"/>
      <c r="CR3" s="703"/>
      <c r="CS3" s="153"/>
      <c r="CT3" s="153"/>
      <c r="CU3" s="153"/>
      <c r="CV3" s="703"/>
      <c r="CW3" s="703"/>
      <c r="CX3" s="703"/>
      <c r="CY3" s="703"/>
      <c r="CZ3" s="703"/>
      <c r="DA3" s="703"/>
      <c r="DB3" s="703"/>
      <c r="DC3" s="703"/>
      <c r="DD3" s="703"/>
      <c r="DE3" s="153"/>
      <c r="DF3" s="263"/>
      <c r="DG3" s="153"/>
      <c r="DH3" s="153"/>
      <c r="DI3" s="153"/>
      <c r="DJ3" s="153"/>
      <c r="DK3" s="153"/>
      <c r="DL3" s="153"/>
      <c r="DM3" s="153"/>
      <c r="DN3" s="153"/>
      <c r="DO3" s="153"/>
      <c r="DP3" s="153"/>
      <c r="DQ3" s="153"/>
      <c r="DR3" s="153"/>
      <c r="DS3" s="153"/>
      <c r="DT3" s="153"/>
      <c r="DU3" s="153"/>
      <c r="DV3" s="153"/>
      <c r="DW3" s="153"/>
      <c r="DX3" s="153"/>
      <c r="DY3" s="153"/>
      <c r="DZ3" s="153"/>
      <c r="EA3" s="153"/>
      <c r="EB3" s="153"/>
    </row>
    <row r="4" spans="1:132" s="367" customFormat="1" ht="15" hidden="1" customHeight="1" thickBot="1">
      <c r="A4" s="46"/>
      <c r="B4" s="28">
        <v>15</v>
      </c>
      <c r="C4" s="153"/>
      <c r="D4" s="152"/>
      <c r="E4" s="152"/>
      <c r="F4" s="152"/>
      <c r="G4" s="152"/>
      <c r="H4" s="263"/>
      <c r="I4" s="263"/>
      <c r="J4" s="26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263"/>
      <c r="AJ4" s="263"/>
      <c r="AK4" s="263"/>
      <c r="AL4" s="153"/>
      <c r="AM4" s="153"/>
      <c r="AN4" s="153"/>
      <c r="AO4" s="153"/>
      <c r="AP4" s="153"/>
      <c r="AQ4" s="153"/>
      <c r="AR4" s="260"/>
      <c r="AS4" s="153"/>
      <c r="AT4" s="153"/>
      <c r="AU4" s="153"/>
      <c r="AV4" s="153"/>
      <c r="AW4" s="153"/>
      <c r="AX4" s="153"/>
      <c r="AY4" s="153"/>
      <c r="AZ4" s="153"/>
      <c r="BA4" s="153"/>
      <c r="BB4" s="153"/>
      <c r="BC4" s="153"/>
      <c r="BD4" s="153"/>
      <c r="BE4" s="153"/>
      <c r="BF4" s="153"/>
      <c r="BG4" s="153"/>
      <c r="BH4" s="153"/>
      <c r="BI4" s="153"/>
      <c r="BJ4" s="153"/>
      <c r="BK4" s="153"/>
      <c r="BL4" s="153"/>
      <c r="BM4" s="153"/>
      <c r="BN4" s="153"/>
      <c r="BO4" s="153"/>
      <c r="BP4" s="153"/>
      <c r="BQ4" s="153"/>
      <c r="BR4" s="153"/>
      <c r="BS4" s="153"/>
      <c r="BT4" s="153"/>
      <c r="BU4" s="153"/>
      <c r="BV4" s="153"/>
      <c r="BW4" s="153"/>
      <c r="BX4" s="153"/>
      <c r="BY4" s="153"/>
      <c r="BZ4" s="153"/>
      <c r="CA4" s="153"/>
      <c r="CB4" s="153"/>
      <c r="CC4" s="152"/>
      <c r="CD4" s="703"/>
      <c r="CE4" s="703"/>
      <c r="CF4" s="703"/>
      <c r="CG4" s="703"/>
      <c r="CH4" s="703"/>
      <c r="CI4" s="153"/>
      <c r="CJ4" s="703"/>
      <c r="CK4" s="703"/>
      <c r="CL4" s="703"/>
      <c r="CM4" s="153"/>
      <c r="CN4" s="703"/>
      <c r="CO4" s="703"/>
      <c r="CP4" s="703"/>
      <c r="CQ4" s="703"/>
      <c r="CR4" s="703"/>
      <c r="CS4" s="153"/>
      <c r="CT4" s="153"/>
      <c r="CU4" s="153"/>
      <c r="CV4" s="703"/>
      <c r="CW4" s="703"/>
      <c r="CX4" s="703"/>
      <c r="CY4" s="703"/>
      <c r="CZ4" s="703"/>
      <c r="DA4" s="703"/>
      <c r="DB4" s="703"/>
      <c r="DC4" s="703"/>
      <c r="DD4" s="703"/>
      <c r="DE4" s="153"/>
      <c r="DF4" s="263"/>
      <c r="DG4" s="153"/>
      <c r="DH4" s="153"/>
      <c r="DI4" s="153"/>
      <c r="DJ4" s="153"/>
      <c r="DK4" s="153"/>
      <c r="DL4" s="153"/>
      <c r="DM4" s="153"/>
      <c r="DN4" s="153"/>
      <c r="DO4" s="153"/>
      <c r="DP4" s="153"/>
      <c r="DQ4" s="153"/>
      <c r="DR4" s="153"/>
      <c r="DS4" s="153"/>
      <c r="DT4" s="153"/>
      <c r="DU4" s="153"/>
      <c r="DV4" s="153"/>
      <c r="DW4" s="153"/>
      <c r="DX4" s="153"/>
      <c r="DY4" s="153"/>
      <c r="DZ4" s="153"/>
      <c r="EA4" s="153"/>
      <c r="EB4" s="153"/>
    </row>
    <row r="5" spans="1:132" s="367" customFormat="1" ht="15" hidden="1" customHeight="1" thickBot="1">
      <c r="A5" s="59"/>
      <c r="B5" s="39">
        <v>15</v>
      </c>
      <c r="C5" s="153"/>
      <c r="D5" s="152"/>
      <c r="E5" s="152"/>
      <c r="F5" s="152"/>
      <c r="G5" s="152"/>
      <c r="H5" s="263"/>
      <c r="I5" s="263"/>
      <c r="J5" s="263"/>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263"/>
      <c r="AJ5" s="263"/>
      <c r="AK5" s="263"/>
      <c r="AL5" s="153"/>
      <c r="AM5" s="153"/>
      <c r="AN5" s="153"/>
      <c r="AO5" s="153"/>
      <c r="AP5" s="153"/>
      <c r="AQ5" s="153"/>
      <c r="AR5" s="260"/>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c r="CC5" s="152"/>
      <c r="CD5" s="703"/>
      <c r="CE5" s="703"/>
      <c r="CF5" s="703"/>
      <c r="CG5" s="703"/>
      <c r="CH5" s="703"/>
      <c r="CI5" s="153"/>
      <c r="CJ5" s="703"/>
      <c r="CK5" s="703"/>
      <c r="CL5" s="703"/>
      <c r="CM5" s="153"/>
      <c r="CN5" s="703"/>
      <c r="CO5" s="703"/>
      <c r="CP5" s="703"/>
      <c r="CQ5" s="703"/>
      <c r="CR5" s="703"/>
      <c r="CS5" s="153"/>
      <c r="CT5" s="153"/>
      <c r="CU5" s="153"/>
      <c r="CV5" s="703"/>
      <c r="CW5" s="703"/>
      <c r="CX5" s="703"/>
      <c r="CY5" s="703"/>
      <c r="CZ5" s="703"/>
      <c r="DA5" s="703"/>
      <c r="DB5" s="703"/>
      <c r="DC5" s="703"/>
      <c r="DD5" s="703"/>
      <c r="DE5" s="153"/>
      <c r="DF5" s="263"/>
      <c r="DG5" s="153"/>
      <c r="DH5" s="153"/>
      <c r="DI5" s="153"/>
      <c r="DJ5" s="153"/>
      <c r="DK5" s="153"/>
      <c r="DL5" s="153"/>
      <c r="DM5" s="153"/>
      <c r="DN5" s="153"/>
      <c r="DO5" s="153"/>
      <c r="DP5" s="153"/>
      <c r="DQ5" s="153"/>
      <c r="DR5" s="153"/>
      <c r="DS5" s="153"/>
      <c r="DT5" s="153"/>
      <c r="DU5" s="153"/>
      <c r="DV5" s="153"/>
      <c r="DW5" s="153"/>
      <c r="DX5" s="153"/>
      <c r="DY5" s="153"/>
      <c r="DZ5" s="153"/>
      <c r="EA5" s="153"/>
      <c r="EB5" s="153"/>
    </row>
    <row r="6" spans="1:132" s="367" customFormat="1" ht="15" hidden="1" customHeight="1" thickBot="1">
      <c r="A6" s="46"/>
      <c r="B6" s="28">
        <v>15</v>
      </c>
      <c r="C6" s="153"/>
      <c r="D6" s="152"/>
      <c r="E6" s="152"/>
      <c r="F6" s="152"/>
      <c r="G6" s="152"/>
      <c r="H6" s="263"/>
      <c r="I6" s="263"/>
      <c r="J6" s="26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263"/>
      <c r="AJ6" s="263"/>
      <c r="AK6" s="263"/>
      <c r="AL6" s="153"/>
      <c r="AM6" s="153"/>
      <c r="AN6" s="153"/>
      <c r="AO6" s="153"/>
      <c r="AP6" s="153"/>
      <c r="AQ6" s="153"/>
      <c r="AR6" s="260"/>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c r="CC6" s="152"/>
      <c r="CD6" s="703"/>
      <c r="CE6" s="703"/>
      <c r="CF6" s="703"/>
      <c r="CG6" s="703"/>
      <c r="CH6" s="703"/>
      <c r="CI6" s="153"/>
      <c r="CJ6" s="703"/>
      <c r="CK6" s="703"/>
      <c r="CL6" s="703"/>
      <c r="CM6" s="153"/>
      <c r="CN6" s="703"/>
      <c r="CO6" s="703"/>
      <c r="CP6" s="703"/>
      <c r="CQ6" s="703"/>
      <c r="CR6" s="703"/>
      <c r="CS6" s="153"/>
      <c r="CT6" s="153"/>
      <c r="CU6" s="153"/>
      <c r="CV6" s="703"/>
      <c r="CW6" s="703"/>
      <c r="CX6" s="703"/>
      <c r="CY6" s="703"/>
      <c r="CZ6" s="703"/>
      <c r="DA6" s="703"/>
      <c r="DB6" s="703"/>
      <c r="DC6" s="703"/>
      <c r="DD6" s="703"/>
      <c r="DE6" s="153"/>
      <c r="DF6" s="263"/>
      <c r="DG6" s="153"/>
      <c r="DH6" s="153"/>
      <c r="DI6" s="153"/>
      <c r="DJ6" s="153"/>
      <c r="DK6" s="153"/>
      <c r="DL6" s="153"/>
      <c r="DM6" s="153"/>
      <c r="DN6" s="153"/>
      <c r="DO6" s="153"/>
      <c r="DP6" s="153"/>
      <c r="DQ6" s="153"/>
      <c r="DR6" s="153"/>
      <c r="DS6" s="153"/>
      <c r="DT6" s="153"/>
      <c r="DU6" s="153"/>
      <c r="DV6" s="153"/>
      <c r="DW6" s="153"/>
      <c r="DX6" s="153"/>
      <c r="DY6" s="153"/>
      <c r="DZ6" s="153"/>
      <c r="EA6" s="153"/>
      <c r="EB6" s="153"/>
    </row>
    <row r="7" spans="1:132" customFormat="1" ht="15" hidden="1" customHeight="1" thickBot="1">
      <c r="A7" s="40"/>
      <c r="B7" s="39">
        <v>15</v>
      </c>
    </row>
    <row r="8" spans="1:132" s="367" customFormat="1" ht="15" hidden="1" customHeight="1" thickBot="1">
      <c r="A8" s="59"/>
      <c r="B8" s="50"/>
      <c r="C8" s="153"/>
      <c r="D8" s="152"/>
      <c r="E8" s="152"/>
      <c r="F8" s="152"/>
      <c r="G8" s="152"/>
      <c r="H8" s="263"/>
      <c r="I8" s="263"/>
      <c r="J8" s="26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263"/>
      <c r="AJ8" s="263"/>
      <c r="AK8" s="263"/>
      <c r="AL8" s="153"/>
      <c r="AM8" s="153"/>
      <c r="AN8" s="153"/>
      <c r="AO8" s="153"/>
      <c r="AP8" s="153"/>
      <c r="AQ8" s="153"/>
      <c r="AR8" s="260"/>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c r="CC8" s="152"/>
      <c r="CD8" s="703"/>
      <c r="CE8" s="703"/>
      <c r="CF8" s="703"/>
      <c r="CG8" s="703"/>
      <c r="CH8" s="703"/>
      <c r="CI8" s="153"/>
      <c r="CJ8" s="703"/>
      <c r="CK8" s="703"/>
      <c r="CL8" s="703"/>
      <c r="CM8" s="153"/>
      <c r="CN8" s="703"/>
      <c r="CO8" s="703"/>
      <c r="CP8" s="703"/>
      <c r="CQ8" s="703"/>
      <c r="CR8" s="703"/>
      <c r="CS8" s="153"/>
      <c r="CT8" s="153"/>
      <c r="CU8" s="153"/>
      <c r="CV8" s="703"/>
      <c r="CW8" s="703"/>
      <c r="CX8" s="703"/>
      <c r="CY8" s="703"/>
      <c r="CZ8" s="703"/>
      <c r="DA8" s="703"/>
      <c r="DB8" s="703"/>
      <c r="DC8" s="703"/>
      <c r="DD8" s="703"/>
      <c r="DE8" s="153"/>
      <c r="DF8" s="263"/>
      <c r="DG8" s="153"/>
      <c r="DH8" s="153"/>
      <c r="DI8" s="153"/>
      <c r="DJ8" s="153"/>
      <c r="DK8" s="153"/>
      <c r="DL8" s="153"/>
      <c r="DM8" s="153"/>
      <c r="DN8" s="153"/>
      <c r="DO8" s="153"/>
      <c r="DP8" s="153"/>
      <c r="DQ8" s="153"/>
      <c r="DR8" s="153"/>
      <c r="DS8" s="153"/>
      <c r="DT8" s="153"/>
      <c r="DU8" s="153"/>
      <c r="DV8" s="153"/>
      <c r="DW8" s="153"/>
      <c r="DX8" s="153"/>
      <c r="DY8" s="153"/>
      <c r="DZ8" s="153"/>
      <c r="EA8" s="153"/>
      <c r="EB8" s="153"/>
    </row>
    <row r="9" spans="1:132" s="367" customFormat="1" ht="15" customHeight="1">
      <c r="B9" s="153"/>
      <c r="C9" s="153"/>
      <c r="D9" s="152"/>
      <c r="F9" s="152"/>
      <c r="G9" s="152"/>
      <c r="H9" s="263"/>
      <c r="I9" s="263"/>
      <c r="J9" s="26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263"/>
      <c r="AJ9" s="263"/>
      <c r="AK9" s="263"/>
      <c r="AL9" s="153"/>
      <c r="AM9" s="153"/>
      <c r="AN9" s="153"/>
      <c r="AO9" s="153"/>
      <c r="AP9" s="153"/>
      <c r="AQ9" s="153"/>
      <c r="AR9" s="260"/>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2"/>
      <c r="CD9" s="626"/>
      <c r="CE9" s="626"/>
      <c r="CF9" s="626"/>
      <c r="CG9" s="626"/>
      <c r="CH9" s="626"/>
      <c r="CI9" s="153"/>
      <c r="CJ9" s="626"/>
      <c r="CK9" s="626"/>
      <c r="CL9" s="626"/>
      <c r="CM9" s="153"/>
      <c r="CN9" s="626"/>
      <c r="CO9" s="626"/>
      <c r="CP9" s="626"/>
      <c r="CQ9" s="626"/>
      <c r="CR9" s="626"/>
      <c r="CS9" s="153"/>
      <c r="CT9" s="153"/>
      <c r="CU9" s="153"/>
      <c r="CV9" s="626"/>
      <c r="CW9" s="626"/>
      <c r="CX9" s="626"/>
      <c r="CY9" s="626"/>
      <c r="CZ9" s="626"/>
      <c r="DA9" s="626"/>
      <c r="DB9" s="626"/>
      <c r="DC9" s="626"/>
      <c r="DD9" s="626"/>
      <c r="DE9" s="153"/>
      <c r="DF9" s="263"/>
      <c r="DG9" s="153"/>
      <c r="DH9" s="153"/>
      <c r="DI9" s="153"/>
      <c r="DJ9" s="153"/>
      <c r="DK9" s="153"/>
      <c r="DL9" s="153"/>
      <c r="DM9" s="153"/>
      <c r="DN9" s="153"/>
      <c r="DO9" s="153"/>
      <c r="DP9" s="153"/>
      <c r="DQ9" s="153"/>
      <c r="DR9" s="153"/>
      <c r="DS9" s="153"/>
      <c r="DT9" s="153"/>
      <c r="DU9" s="153"/>
      <c r="DV9" s="153"/>
      <c r="DW9" s="153"/>
      <c r="DX9" s="153"/>
      <c r="DY9" s="153"/>
      <c r="DZ9" s="153"/>
      <c r="EA9" s="153"/>
      <c r="EB9" s="153"/>
    </row>
    <row r="10" spans="1:132" ht="17.25" customHeight="1">
      <c r="A10" s="2474">
        <v>1</v>
      </c>
      <c r="B10" s="2445"/>
      <c r="C10" s="243"/>
      <c r="D10" s="2450" t="s">
        <v>311</v>
      </c>
      <c r="E10" s="2459" t="s">
        <v>312</v>
      </c>
      <c r="F10" s="2460"/>
      <c r="G10" s="2461"/>
      <c r="H10" s="2451" t="s">
        <v>313</v>
      </c>
      <c r="I10" s="2452"/>
      <c r="J10" s="2453"/>
      <c r="K10" s="244"/>
      <c r="L10" s="2454" t="s">
        <v>314</v>
      </c>
      <c r="M10" s="2455"/>
      <c r="N10" s="2455"/>
      <c r="O10" s="2455"/>
      <c r="P10" s="2455"/>
      <c r="Q10" s="2455"/>
      <c r="R10" s="2455"/>
      <c r="S10" s="2455"/>
      <c r="T10" s="2455"/>
      <c r="U10" s="2455"/>
      <c r="V10" s="2456"/>
      <c r="W10" s="244"/>
      <c r="X10" s="2457" t="s">
        <v>315</v>
      </c>
      <c r="Y10" s="2457"/>
      <c r="Z10" s="2457"/>
      <c r="AA10" s="2457"/>
      <c r="AB10" s="2457"/>
      <c r="AC10" s="2457"/>
      <c r="AD10" s="61"/>
      <c r="AE10" s="2262" t="s">
        <v>90</v>
      </c>
      <c r="AF10" s="2458" t="s">
        <v>316</v>
      </c>
      <c r="AG10" s="2449" t="s">
        <v>317</v>
      </c>
      <c r="AH10" s="2449"/>
      <c r="AI10" s="2262" t="s">
        <v>313</v>
      </c>
      <c r="AJ10" s="2262"/>
      <c r="AK10" s="2262"/>
      <c r="AL10" s="2449" t="s">
        <v>318</v>
      </c>
      <c r="AM10" s="2449"/>
      <c r="AN10" s="2449"/>
      <c r="AO10" s="2449"/>
      <c r="AP10" s="2449"/>
      <c r="AQ10" s="2449"/>
      <c r="AR10" s="245"/>
      <c r="AS10" s="2447" t="s">
        <v>319</v>
      </c>
      <c r="AT10" s="2263" t="s">
        <v>320</v>
      </c>
      <c r="AU10" s="2263" t="s">
        <v>321</v>
      </c>
      <c r="AV10" s="2448" t="s">
        <v>322</v>
      </c>
      <c r="AW10" s="2448"/>
      <c r="AX10" s="2448"/>
      <c r="AY10" s="2448"/>
      <c r="AZ10" s="2448"/>
      <c r="BA10" s="2448"/>
      <c r="BB10" s="2448"/>
      <c r="BC10" s="2448"/>
      <c r="BD10" s="2448"/>
      <c r="BE10" s="2448"/>
      <c r="BF10" s="2448" t="s">
        <v>323</v>
      </c>
      <c r="BG10" s="2448"/>
      <c r="BH10" s="2448"/>
      <c r="BI10" s="2448"/>
      <c r="BJ10" s="2448"/>
      <c r="BK10" s="2448"/>
      <c r="BL10" s="2448"/>
      <c r="BM10" s="2448"/>
      <c r="BN10" s="2448"/>
      <c r="BO10" s="2448"/>
      <c r="BP10" s="246" t="s">
        <v>73</v>
      </c>
      <c r="BQ10" s="246" t="s">
        <v>74</v>
      </c>
      <c r="BR10" s="246" t="s">
        <v>75</v>
      </c>
      <c r="BS10" s="246" t="s">
        <v>76</v>
      </c>
      <c r="BT10" s="246" t="s">
        <v>77</v>
      </c>
      <c r="BU10" s="247"/>
      <c r="BV10" s="2449" t="s">
        <v>324</v>
      </c>
      <c r="BW10" s="2449"/>
      <c r="BX10" s="2449"/>
      <c r="BY10" s="2449"/>
      <c r="BZ10" s="2449"/>
      <c r="CB10" s="2262" t="s">
        <v>325</v>
      </c>
      <c r="CC10" s="2262"/>
      <c r="CD10" s="2263" t="s">
        <v>326</v>
      </c>
      <c r="CE10" s="2263" t="s">
        <v>327</v>
      </c>
      <c r="CF10" s="2263"/>
      <c r="CG10" s="2263"/>
      <c r="CH10" s="2462" t="s">
        <v>328</v>
      </c>
      <c r="CI10" s="2462"/>
      <c r="CJ10" s="2462"/>
      <c r="CK10" s="2462"/>
      <c r="CL10" s="2462"/>
      <c r="CM10" s="2462"/>
      <c r="CN10" s="2462"/>
      <c r="CO10" s="2462"/>
      <c r="CP10" s="2262" t="s">
        <v>329</v>
      </c>
      <c r="CQ10" s="2262"/>
      <c r="CR10" s="2262"/>
      <c r="CS10" s="2262"/>
      <c r="CT10" s="2262"/>
      <c r="CU10" s="2262"/>
      <c r="CV10" s="2262" t="s">
        <v>330</v>
      </c>
      <c r="CW10" s="2262"/>
      <c r="CX10" s="2262"/>
      <c r="CY10" s="2262" t="s">
        <v>331</v>
      </c>
      <c r="CZ10" s="2262"/>
      <c r="DA10" s="2262"/>
      <c r="DB10" s="2262" t="s">
        <v>332</v>
      </c>
      <c r="DC10" s="2262"/>
      <c r="DD10" s="2262"/>
      <c r="DF10" s="2262" t="s">
        <v>321</v>
      </c>
      <c r="DG10" s="248"/>
      <c r="DH10" s="2263" t="s">
        <v>320</v>
      </c>
      <c r="DI10" s="2263" t="s">
        <v>321</v>
      </c>
      <c r="DJ10" s="2448" t="s">
        <v>328</v>
      </c>
      <c r="DK10" s="2448"/>
      <c r="DL10" s="2448"/>
      <c r="DM10" s="2262" t="s">
        <v>313</v>
      </c>
      <c r="DN10" s="2262"/>
      <c r="DO10" s="2262"/>
      <c r="DP10" s="249"/>
      <c r="DQ10" s="2263" t="s">
        <v>333</v>
      </c>
      <c r="DR10" s="2263" t="s">
        <v>334</v>
      </c>
      <c r="DS10" s="2448" t="s">
        <v>328</v>
      </c>
      <c r="DT10" s="2448"/>
      <c r="DU10" s="2448"/>
      <c r="DV10" s="2449" t="s">
        <v>335</v>
      </c>
      <c r="DW10" s="2449"/>
      <c r="DX10" s="2449"/>
    </row>
    <row r="11" spans="1:132" s="153" customFormat="1" ht="17.25" customHeight="1">
      <c r="A11" s="2474"/>
      <c r="B11" s="2446"/>
      <c r="C11" s="98"/>
      <c r="D11" s="2450"/>
      <c r="E11" s="250" t="s">
        <v>336</v>
      </c>
      <c r="F11" s="251" t="s">
        <v>61</v>
      </c>
      <c r="G11" s="252" t="s">
        <v>337</v>
      </c>
      <c r="H11" s="250" t="s">
        <v>322</v>
      </c>
      <c r="I11" s="251" t="s">
        <v>323</v>
      </c>
      <c r="J11" s="252" t="s">
        <v>338</v>
      </c>
      <c r="K11" s="244"/>
      <c r="L11" s="2454"/>
      <c r="M11" s="2455"/>
      <c r="N11" s="2455"/>
      <c r="O11" s="2455"/>
      <c r="P11" s="2455"/>
      <c r="Q11" s="2455"/>
      <c r="R11" s="2455"/>
      <c r="S11" s="2455"/>
      <c r="T11" s="2455"/>
      <c r="U11" s="2455"/>
      <c r="V11" s="2456"/>
      <c r="W11" s="66"/>
      <c r="X11" s="2457" t="s">
        <v>339</v>
      </c>
      <c r="Y11" s="2457"/>
      <c r="Z11" s="241" t="s">
        <v>340</v>
      </c>
      <c r="AA11" s="241" t="s">
        <v>322</v>
      </c>
      <c r="AB11" s="241" t="s">
        <v>323</v>
      </c>
      <c r="AC11" s="241" t="s">
        <v>341</v>
      </c>
      <c r="AD11" s="61"/>
      <c r="AE11" s="2262"/>
      <c r="AF11" s="2458"/>
      <c r="AG11" s="249" t="s">
        <v>342</v>
      </c>
      <c r="AH11" s="249" t="s">
        <v>343</v>
      </c>
      <c r="AI11" s="253" t="s">
        <v>322</v>
      </c>
      <c r="AJ11" s="253" t="s">
        <v>323</v>
      </c>
      <c r="AK11" s="253" t="s">
        <v>338</v>
      </c>
      <c r="AL11" s="2449" t="s">
        <v>344</v>
      </c>
      <c r="AM11" s="2449"/>
      <c r="AN11" s="2449" t="s">
        <v>345</v>
      </c>
      <c r="AO11" s="2449"/>
      <c r="AP11" s="2449" t="s">
        <v>346</v>
      </c>
      <c r="AQ11" s="2449"/>
      <c r="AR11" s="254"/>
      <c r="AS11" s="2447"/>
      <c r="AT11" s="2263"/>
      <c r="AU11" s="2263"/>
      <c r="AV11" s="237" t="s">
        <v>347</v>
      </c>
      <c r="AW11" s="237" t="s">
        <v>348</v>
      </c>
      <c r="AX11" s="237" t="s">
        <v>349</v>
      </c>
      <c r="AY11" s="237" t="s">
        <v>350</v>
      </c>
      <c r="AZ11" s="237" t="s">
        <v>351</v>
      </c>
      <c r="BA11" s="237" t="s">
        <v>352</v>
      </c>
      <c r="BB11" s="237" t="s">
        <v>353</v>
      </c>
      <c r="BC11" s="237" t="s">
        <v>354</v>
      </c>
      <c r="BD11" s="237" t="s">
        <v>355</v>
      </c>
      <c r="BE11" s="237" t="s">
        <v>356</v>
      </c>
      <c r="BF11" s="237" t="s">
        <v>347</v>
      </c>
      <c r="BG11" s="237" t="s">
        <v>348</v>
      </c>
      <c r="BH11" s="237" t="s">
        <v>349</v>
      </c>
      <c r="BI11" s="237" t="s">
        <v>350</v>
      </c>
      <c r="BJ11" s="237" t="s">
        <v>351</v>
      </c>
      <c r="BK11" s="237" t="s">
        <v>352</v>
      </c>
      <c r="BL11" s="237" t="s">
        <v>353</v>
      </c>
      <c r="BM11" s="237" t="s">
        <v>354</v>
      </c>
      <c r="BN11" s="237" t="s">
        <v>355</v>
      </c>
      <c r="BO11" s="237" t="s">
        <v>356</v>
      </c>
      <c r="BP11" s="255" t="s">
        <v>357</v>
      </c>
      <c r="BQ11" s="255" t="s">
        <v>357</v>
      </c>
      <c r="BR11" s="255" t="s">
        <v>357</v>
      </c>
      <c r="BS11" s="255" t="s">
        <v>357</v>
      </c>
      <c r="BT11" s="255" t="s">
        <v>357</v>
      </c>
      <c r="BU11" s="256"/>
      <c r="BV11" s="246" t="s">
        <v>73</v>
      </c>
      <c r="BW11" s="246" t="s">
        <v>74</v>
      </c>
      <c r="BX11" s="246" t="s">
        <v>75</v>
      </c>
      <c r="BY11" s="246" t="s">
        <v>76</v>
      </c>
      <c r="BZ11" s="246" t="s">
        <v>77</v>
      </c>
      <c r="CB11" s="2262"/>
      <c r="CC11" s="2262"/>
      <c r="CD11" s="2263"/>
      <c r="CE11" s="2263"/>
      <c r="CF11" s="2263"/>
      <c r="CG11" s="2263"/>
      <c r="CH11" s="2262" t="s">
        <v>340</v>
      </c>
      <c r="CI11" s="2262"/>
      <c r="CJ11" s="2262"/>
      <c r="CK11" s="2262"/>
      <c r="CL11" s="2262" t="s">
        <v>358</v>
      </c>
      <c r="CM11" s="2262"/>
      <c r="CN11" s="2262"/>
      <c r="CO11" s="2262"/>
      <c r="CP11" s="237" t="s">
        <v>322</v>
      </c>
      <c r="CQ11" s="237" t="s">
        <v>323</v>
      </c>
      <c r="CR11" s="237" t="s">
        <v>341</v>
      </c>
      <c r="CS11" s="255" t="s">
        <v>322</v>
      </c>
      <c r="CT11" s="255" t="s">
        <v>323</v>
      </c>
      <c r="CU11" s="255" t="s">
        <v>341</v>
      </c>
      <c r="CV11" s="237" t="s">
        <v>322</v>
      </c>
      <c r="CW11" s="237" t="s">
        <v>323</v>
      </c>
      <c r="CX11" s="237" t="s">
        <v>341</v>
      </c>
      <c r="CY11" s="237" t="s">
        <v>322</v>
      </c>
      <c r="CZ11" s="237" t="s">
        <v>323</v>
      </c>
      <c r="DA11" s="237" t="s">
        <v>341</v>
      </c>
      <c r="DB11" s="237" t="s">
        <v>322</v>
      </c>
      <c r="DC11" s="237" t="s">
        <v>323</v>
      </c>
      <c r="DD11" s="237" t="s">
        <v>341</v>
      </c>
      <c r="DF11" s="2262"/>
      <c r="DG11" s="248" t="s">
        <v>340</v>
      </c>
      <c r="DH11" s="2263"/>
      <c r="DI11" s="2263"/>
      <c r="DJ11" s="255" t="s">
        <v>322</v>
      </c>
      <c r="DK11" s="255" t="s">
        <v>323</v>
      </c>
      <c r="DL11" s="255" t="s">
        <v>341</v>
      </c>
      <c r="DM11" s="255" t="s">
        <v>322</v>
      </c>
      <c r="DN11" s="255" t="s">
        <v>323</v>
      </c>
      <c r="DO11" s="255" t="s">
        <v>341</v>
      </c>
      <c r="DP11" s="236" t="s">
        <v>334</v>
      </c>
      <c r="DQ11" s="2263"/>
      <c r="DR11" s="2263"/>
      <c r="DS11" s="255" t="s">
        <v>322</v>
      </c>
      <c r="DT11" s="255" t="s">
        <v>323</v>
      </c>
      <c r="DU11" s="255" t="s">
        <v>341</v>
      </c>
      <c r="DV11" s="255" t="s">
        <v>322</v>
      </c>
      <c r="DW11" s="255" t="s">
        <v>323</v>
      </c>
      <c r="DX11" s="255" t="s">
        <v>341</v>
      </c>
    </row>
    <row r="12" spans="1:132" s="153" customFormat="1" ht="17.25" customHeight="1" thickBot="1">
      <c r="B12" s="627"/>
      <c r="C12" s="257" t="s">
        <v>42</v>
      </c>
      <c r="D12" s="258"/>
      <c r="E12" s="258"/>
      <c r="F12" s="258"/>
      <c r="G12" s="258"/>
      <c r="H12" s="2433">
        <f>SUM(AI12:AI14)</f>
        <v>0</v>
      </c>
      <c r="I12" s="2434">
        <f>SUM(AJ12:AJ14)</f>
        <v>0</v>
      </c>
      <c r="J12" s="2434">
        <f>SUM(AK12:AK14)</f>
        <v>0</v>
      </c>
      <c r="K12" s="151"/>
      <c r="L12" s="259"/>
      <c r="M12" s="259"/>
      <c r="N12" s="44"/>
      <c r="O12" s="44"/>
      <c r="P12" s="44"/>
      <c r="Q12" s="44"/>
      <c r="R12" s="44"/>
      <c r="S12" s="259"/>
      <c r="T12" s="259"/>
      <c r="U12" s="259"/>
      <c r="V12" s="259"/>
      <c r="W12" s="25"/>
      <c r="X12" s="2438" t="s">
        <v>433</v>
      </c>
      <c r="Y12" s="2438"/>
      <c r="Z12" s="23">
        <v>0</v>
      </c>
      <c r="AA12" s="240">
        <f>SUM(DM27:DM47)</f>
        <v>0</v>
      </c>
      <c r="AB12" s="240">
        <f>SUM(DN27:DN47)</f>
        <v>0</v>
      </c>
      <c r="AC12" s="240">
        <f>SUM(DO27:DO47)</f>
        <v>0</v>
      </c>
      <c r="AD12" s="151"/>
      <c r="AE12" s="238">
        <v>0</v>
      </c>
      <c r="AF12" s="238">
        <f>D13</f>
        <v>0</v>
      </c>
      <c r="AG12" s="238">
        <f>A7</f>
        <v>0</v>
      </c>
      <c r="AH12" s="238">
        <f>B8</f>
        <v>0</v>
      </c>
      <c r="AI12" s="64">
        <f>IF(($AH12&lt;$AG12),0,IF(($AT12=$AU12),SUM(((AM12-AL12)*AF12)),0))</f>
        <v>0</v>
      </c>
      <c r="AJ12" s="64">
        <f t="shared" ref="AJ12:AJ54" si="0">IF(($AH12&lt;$AG12),0,IF(($AT12=$AU12),SUM(((AO12-AN12)*AF12)),0))</f>
        <v>0</v>
      </c>
      <c r="AK12" s="64">
        <f t="shared" ref="AK12:AK54" si="1">IF(($AH12&lt;$AG12),0,IF(($AT12=$AU12),SUM(((AQ12-AP12)*AF12)),0))</f>
        <v>0</v>
      </c>
      <c r="AL12" s="64">
        <f t="shared" ref="AL12:AL54" si="2">IF(($AG12&lt;1),0,IF(($AG12=1),AV12,IF(($AG12=2),AW12,IF(($AG12=3),AX12,IF(($AG12=4),AY12,IF(($AG12=5),AZ12,IF(($AG12=6),BA12,IF(($AG12=7),BB12,IF(($AG12=8),BC12,IF(($AG12=9),BD12,IF(($AG12&gt;9),BE12)))))))))))</f>
        <v>0</v>
      </c>
      <c r="AM12" s="238">
        <f t="shared" ref="AM12:AM54" si="3">IF(($AH12&lt;1),0,IF(($AH12=1),AV12,IF(($AH12=2),AW12,IF(($AH12=3),AX12,IF(($AH12=4),AY12,IF(($AH12=5),AZ12,IF(($AH12=6),BA12,IF(($AH12=7),BB12,IF(($AH12=8),BC12,IF(($AH12=9),BD12,IF(($AH12&gt;9),BE12)))))))))))</f>
        <v>0</v>
      </c>
      <c r="AN12" s="64">
        <f t="shared" ref="AN12:AN54" si="4">IF(($AG12&lt;1),0,IF(($AG12=1),BF12,IF(($AG12=2),BG12,IF(($AG12=3),BH12,IF(($AG12=4),BI12,IF(($AG12=5),BJ12,IF(($AG12=6),BK12,IF(($AG12=7),BL12,IF(($AG12=8),BM12,IF(($AG12=9),BN12,IF(($AG12&gt;9),BO12)))))))))))</f>
        <v>0</v>
      </c>
      <c r="AO12" s="238">
        <f t="shared" ref="AO12:AO54" si="5">IF(($AH12&lt;1),0,IF(($AH12=1),BF12,IF(($AH12=2),BG12,IF(($AH12=3),BH12,IF(($AH12=4),BI12,IF(($AH12=5),BJ12,IF(($AH12=6),BK12,IF(($AH12=7),BL12,IF(($AH12=8),BM12,IF(($AH12=9),BN12,IF(($AH12&gt;9),BO12)))))))))))</f>
        <v>0</v>
      </c>
      <c r="AP12" s="238">
        <f t="shared" ref="AP12:AP54" si="6">IF(($AG12&lt;11),0,IF(($AG12=11),$BP12,IF(($AG12=12),$BQ12,IF(($AG12=13),$BR12,IF(($AG12&gt;13),$BS12)))))</f>
        <v>0</v>
      </c>
      <c r="AQ12" s="238">
        <f t="shared" ref="AQ12:AQ54" si="7">IF(($AH12&lt;11),0,IF(($AH12=11),$BP12,IF(($AH12=12),$BQ12,IF(($AH12=13),$BR12,IF(($AH12=14),BS12,IF(($AH12&gt;14),$BT12))))))</f>
        <v>0</v>
      </c>
      <c r="AR12" s="260"/>
      <c r="AS12" s="261" t="s">
        <v>360</v>
      </c>
      <c r="AT12" s="238">
        <v>1</v>
      </c>
      <c r="AU12" s="238">
        <v>0</v>
      </c>
      <c r="AV12" s="36">
        <v>0</v>
      </c>
      <c r="AW12" s="36">
        <v>0</v>
      </c>
      <c r="AX12" s="36">
        <v>300</v>
      </c>
      <c r="AY12" s="36">
        <v>1500</v>
      </c>
      <c r="AZ12" s="36">
        <v>4500</v>
      </c>
      <c r="BA12" s="36">
        <v>9000</v>
      </c>
      <c r="BB12" s="36">
        <v>16500</v>
      </c>
      <c r="BC12" s="36">
        <v>28500</v>
      </c>
      <c r="BD12" s="36">
        <v>46500</v>
      </c>
      <c r="BE12" s="36">
        <v>76500</v>
      </c>
      <c r="BF12" s="16">
        <v>10000</v>
      </c>
      <c r="BG12" s="16">
        <v>20000</v>
      </c>
      <c r="BH12" s="16">
        <v>30000</v>
      </c>
      <c r="BI12" s="16">
        <v>40000</v>
      </c>
      <c r="BJ12" s="16">
        <v>50000</v>
      </c>
      <c r="BK12" s="16">
        <v>60000</v>
      </c>
      <c r="BL12" s="16">
        <v>70000</v>
      </c>
      <c r="BM12" s="16">
        <v>80000</v>
      </c>
      <c r="BN12" s="16">
        <v>90000</v>
      </c>
      <c r="BO12" s="16">
        <v>100000</v>
      </c>
      <c r="BP12" s="36">
        <f t="shared" ref="BP12:BP54" si="8">SUM(ROUNDUP(BV12,0))</f>
        <v>115</v>
      </c>
      <c r="BQ12" s="16">
        <f t="shared" ref="BQ12:BQ54" si="9">SUM(ROUNDUP(BW12,0))</f>
        <v>287</v>
      </c>
      <c r="BR12" s="36">
        <f t="shared" ref="BR12:BR54" si="10">SUM(ROUNDUP(BX12,0))</f>
        <v>370</v>
      </c>
      <c r="BS12" s="16">
        <f t="shared" ref="BS12:BS54" si="11">SUM(ROUNDUP(BY12,0))</f>
        <v>498</v>
      </c>
      <c r="BT12" s="36">
        <f t="shared" ref="BT12:BT54" si="12">SUM(ROUNDUP(BZ12,0))</f>
        <v>689</v>
      </c>
      <c r="BV12" s="153">
        <f t="shared" ref="BV12:BV54" si="13">SUM(((BE12*1.5)/1000))</f>
        <v>114.75</v>
      </c>
      <c r="BW12" s="153">
        <f t="shared" ref="BW12:BW54" si="14">SUM((((BE12*2.25)/1000)+(BV12)))</f>
        <v>286.875</v>
      </c>
      <c r="BX12" s="153">
        <f t="shared" ref="BX12:BX53" si="15">SUM(((BE12*3.333333)/1000))+(BV12:BV13)</f>
        <v>369.74997450000001</v>
      </c>
      <c r="BY12" s="153">
        <f t="shared" ref="BY12:BY52" si="16">SUM(((BE12*5)/1000))+(BV12:BV14)</f>
        <v>497.25</v>
      </c>
      <c r="BZ12" s="153">
        <f t="shared" ref="BZ12:BZ51" si="17">SUM(((BE12*7.5)/1000))+(BV12:BV15)</f>
        <v>688.5</v>
      </c>
      <c r="CB12" s="262" t="s">
        <v>361</v>
      </c>
      <c r="CC12" s="256">
        <f>VLOOKUP(L13, CB12:CD17, 3, FALSE)</f>
        <v>2</v>
      </c>
      <c r="CD12" s="238">
        <v>0</v>
      </c>
      <c r="CE12" s="236" t="s">
        <v>30</v>
      </c>
      <c r="CF12" s="236" t="s">
        <v>31</v>
      </c>
      <c r="CG12" s="236" t="s">
        <v>362</v>
      </c>
      <c r="CH12" s="2462" t="s">
        <v>30</v>
      </c>
      <c r="CI12" s="2462"/>
      <c r="CJ12" s="237" t="s">
        <v>31</v>
      </c>
      <c r="CK12" s="236" t="s">
        <v>362</v>
      </c>
      <c r="CL12" s="2462" t="s">
        <v>30</v>
      </c>
      <c r="CM12" s="2462"/>
      <c r="CN12" s="237" t="s">
        <v>31</v>
      </c>
      <c r="CO12" s="236" t="s">
        <v>362</v>
      </c>
      <c r="CP12" s="237"/>
      <c r="CQ12" s="237"/>
      <c r="CR12" s="237"/>
      <c r="CS12" s="255"/>
      <c r="CT12" s="255"/>
      <c r="CU12" s="255"/>
      <c r="CV12" s="237"/>
      <c r="CW12" s="237"/>
      <c r="CX12" s="237"/>
      <c r="CY12" s="237"/>
      <c r="CZ12" s="237"/>
      <c r="DA12" s="237"/>
      <c r="DB12" s="91"/>
      <c r="DC12" s="91"/>
      <c r="DD12" s="91"/>
      <c r="DF12" s="236" t="s">
        <v>363</v>
      </c>
      <c r="DG12" s="238"/>
      <c r="DH12" s="238"/>
      <c r="DI12" s="238"/>
      <c r="DJ12" s="238"/>
      <c r="DK12" s="238"/>
      <c r="DL12" s="238"/>
      <c r="DM12" s="238"/>
      <c r="DN12" s="238"/>
      <c r="DO12" s="238"/>
      <c r="DP12" s="263" t="s">
        <v>364</v>
      </c>
      <c r="DQ12" s="238">
        <f>VLOOKUP(X20, DP12:DR20, 3, FALSE)</f>
        <v>0</v>
      </c>
      <c r="DR12" s="238">
        <v>0</v>
      </c>
      <c r="DS12" s="64">
        <v>0</v>
      </c>
      <c r="DT12" s="64">
        <v>0</v>
      </c>
      <c r="DU12" s="64">
        <v>0</v>
      </c>
      <c r="DV12" s="64">
        <f t="shared" ref="DV12:DV20" si="18">IF(($DR12=$DQ12),DS12,0)</f>
        <v>0</v>
      </c>
      <c r="DW12" s="64">
        <f t="shared" ref="DW12:DW20" si="19">IF(($DR12=$DQ12),DT12,0)</f>
        <v>0</v>
      </c>
      <c r="DX12" s="64">
        <f t="shared" ref="DX12:DX20" si="20">IF(($DR12=$DQ12),DU12,0)</f>
        <v>0</v>
      </c>
    </row>
    <row r="13" spans="1:132" ht="17.25" customHeight="1" thickBot="1">
      <c r="B13" s="651"/>
      <c r="C13" s="642">
        <v>1</v>
      </c>
      <c r="D13" s="81">
        <v>0</v>
      </c>
      <c r="F13" s="29" t="s">
        <v>61</v>
      </c>
      <c r="G13" s="155"/>
      <c r="H13" s="2433"/>
      <c r="I13" s="2434"/>
      <c r="J13" s="2434"/>
      <c r="K13" s="264"/>
      <c r="L13" s="2463" t="s">
        <v>377</v>
      </c>
      <c r="M13" s="2464"/>
      <c r="N13" s="2464"/>
      <c r="O13" s="2464"/>
      <c r="P13" s="2464"/>
      <c r="Q13" s="2464"/>
      <c r="R13" s="2464"/>
      <c r="S13" s="103" t="s">
        <v>322</v>
      </c>
      <c r="T13" s="103" t="s">
        <v>323</v>
      </c>
      <c r="U13" s="103" t="s">
        <v>341</v>
      </c>
      <c r="V13" s="88" t="s">
        <v>357</v>
      </c>
      <c r="W13" s="105"/>
      <c r="X13" s="2442" t="s">
        <v>366</v>
      </c>
      <c r="Y13" s="2442"/>
      <c r="Z13" s="65">
        <v>0</v>
      </c>
      <c r="AA13" s="239">
        <f>SUM(DM48:DM52)</f>
        <v>0</v>
      </c>
      <c r="AB13" s="239">
        <f>SUM(DN48:DN52)</f>
        <v>0</v>
      </c>
      <c r="AC13" s="239">
        <f>SUM(DO48:DO52)</f>
        <v>0</v>
      </c>
      <c r="AD13" s="38"/>
      <c r="AE13" s="238">
        <v>1</v>
      </c>
      <c r="AF13" s="238">
        <f t="shared" ref="AF13:AH14" si="21">AF$12</f>
        <v>0</v>
      </c>
      <c r="AG13" s="238">
        <f t="shared" si="21"/>
        <v>0</v>
      </c>
      <c r="AH13" s="238">
        <f t="shared" si="21"/>
        <v>0</v>
      </c>
      <c r="AI13" s="64">
        <f t="shared" ref="AI13:AI54" si="22">IF(($AH13&lt;$AG13),0,IF(($AT13=$AU13),SUM(((AM13-AL13)*AF13)),0))</f>
        <v>0</v>
      </c>
      <c r="AJ13" s="64">
        <f t="shared" si="0"/>
        <v>0</v>
      </c>
      <c r="AK13" s="64">
        <f t="shared" si="1"/>
        <v>0</v>
      </c>
      <c r="AL13" s="64">
        <f t="shared" si="2"/>
        <v>0</v>
      </c>
      <c r="AM13" s="238">
        <f t="shared" si="3"/>
        <v>0</v>
      </c>
      <c r="AN13" s="64">
        <f t="shared" si="4"/>
        <v>0</v>
      </c>
      <c r="AO13" s="238">
        <f t="shared" si="5"/>
        <v>0</v>
      </c>
      <c r="AP13" s="238">
        <f t="shared" si="6"/>
        <v>0</v>
      </c>
      <c r="AQ13" s="238">
        <f t="shared" si="7"/>
        <v>0</v>
      </c>
      <c r="AS13" s="261" t="s">
        <v>367</v>
      </c>
      <c r="AT13" s="238">
        <v>2</v>
      </c>
      <c r="AU13" s="238">
        <f>AU12+1</f>
        <v>1</v>
      </c>
      <c r="AV13" s="36">
        <v>0</v>
      </c>
      <c r="AW13" s="36">
        <v>0</v>
      </c>
      <c r="AX13" s="36">
        <v>300</v>
      </c>
      <c r="AY13" s="36">
        <v>1500</v>
      </c>
      <c r="AZ13" s="36">
        <v>4500</v>
      </c>
      <c r="BA13" s="36">
        <v>9000</v>
      </c>
      <c r="BB13" s="36">
        <v>16500</v>
      </c>
      <c r="BC13" s="36">
        <v>28500</v>
      </c>
      <c r="BD13" s="36">
        <v>46500</v>
      </c>
      <c r="BE13" s="36">
        <v>76500</v>
      </c>
      <c r="BF13" s="16">
        <v>5000</v>
      </c>
      <c r="BG13" s="16">
        <v>10000</v>
      </c>
      <c r="BH13" s="16">
        <v>15000</v>
      </c>
      <c r="BI13" s="16">
        <v>20000</v>
      </c>
      <c r="BJ13" s="16">
        <v>25000</v>
      </c>
      <c r="BK13" s="16">
        <v>30000</v>
      </c>
      <c r="BL13" s="16">
        <v>35000</v>
      </c>
      <c r="BM13" s="16">
        <v>40000</v>
      </c>
      <c r="BN13" s="16">
        <v>45000</v>
      </c>
      <c r="BO13" s="16">
        <v>50000</v>
      </c>
      <c r="BP13" s="36">
        <f t="shared" si="8"/>
        <v>115</v>
      </c>
      <c r="BQ13" s="16">
        <f t="shared" si="9"/>
        <v>287</v>
      </c>
      <c r="BR13" s="36">
        <f t="shared" si="10"/>
        <v>370</v>
      </c>
      <c r="BS13" s="16">
        <f t="shared" si="11"/>
        <v>498</v>
      </c>
      <c r="BT13" s="36">
        <f t="shared" si="12"/>
        <v>689</v>
      </c>
      <c r="BV13" s="153">
        <f t="shared" si="13"/>
        <v>114.75</v>
      </c>
      <c r="BW13" s="153">
        <f t="shared" si="14"/>
        <v>286.875</v>
      </c>
      <c r="BX13" s="153">
        <f t="shared" si="15"/>
        <v>369.74997450000001</v>
      </c>
      <c r="BY13" s="153">
        <f t="shared" si="16"/>
        <v>497.25</v>
      </c>
      <c r="BZ13" s="153">
        <f t="shared" si="17"/>
        <v>688.5</v>
      </c>
      <c r="CB13" s="153" t="s">
        <v>368</v>
      </c>
      <c r="CC13" s="256">
        <f>$CC$12</f>
        <v>2</v>
      </c>
      <c r="CD13" s="238">
        <f>CD12+1</f>
        <v>1</v>
      </c>
      <c r="CE13" s="238" t="str">
        <f>N14</f>
        <v>No</v>
      </c>
      <c r="CF13" s="238" t="str">
        <f>P14</f>
        <v>No</v>
      </c>
      <c r="CG13" s="238" t="str">
        <f>R14</f>
        <v>No</v>
      </c>
      <c r="CH13" s="64">
        <v>100000</v>
      </c>
      <c r="CI13" s="256"/>
      <c r="CJ13" s="64">
        <v>30000</v>
      </c>
      <c r="CK13" s="64"/>
      <c r="CL13" s="64" t="s">
        <v>323</v>
      </c>
      <c r="CM13" s="256"/>
      <c r="CN13" s="64" t="s">
        <v>322</v>
      </c>
      <c r="CO13" s="64"/>
      <c r="CP13" s="64">
        <f>IF((CD13&lt;&gt;CC13),0,IF((CE13&lt;&gt;"Yes"),0,IF((CL13="Cubits"),CH13,0)))</f>
        <v>0</v>
      </c>
      <c r="CQ13" s="64">
        <f>IF((CD13&lt;&gt;CC13),0,IF((CE13&lt;&gt;"Yes"),0,IF((CL13="Tylium"),CH13,0)))</f>
        <v>0</v>
      </c>
      <c r="CR13" s="64">
        <f>IF((CD13&lt;&gt;CC13),0,IF((CE13&lt;&gt;"Yes"),0,IF((CL13="Merits"),CH13,0)))</f>
        <v>0</v>
      </c>
      <c r="CS13" s="64">
        <f>IF((CD13&lt;&gt;CC13),0,IF((CE13&lt;&gt;"Yes"),0,IF((CM13="Cubits"),CI13,0)))</f>
        <v>0</v>
      </c>
      <c r="CT13" s="64">
        <f>IF((CD13&lt;&gt;CC13),0,IF((CE13&lt;&gt;"Yes"),0,IF((CM13="Tylium"),CI13,0)))</f>
        <v>0</v>
      </c>
      <c r="CU13" s="64">
        <f>IF((CD13&lt;&gt;CC13),0,IF((CE13&lt;&gt;"Yes"),0,IF((CM13="Merits"),CI13,0)))</f>
        <v>0</v>
      </c>
      <c r="CV13" s="64">
        <f>IF((CD13&lt;&gt;CC13),0,IF((CF13&lt;&gt;"Yes"),0,IF((CN13="Cubits"),CJ13,0)))</f>
        <v>0</v>
      </c>
      <c r="CW13" s="64">
        <f>IF((CD13&lt;&gt;CC13),0,IF((CF13&lt;&gt;"Yes"),0,IF((CN13="Tylium"),CJ13,0)))</f>
        <v>0</v>
      </c>
      <c r="CX13" s="64">
        <f>IF((CD13&lt;&gt;CC13),0,IF((CF13&lt;&gt;"Yes"),0,IF((CN13="Merits"),CJ13,0)))</f>
        <v>0</v>
      </c>
      <c r="CY13" s="64">
        <f>IF((CD13&lt;&gt;CC13),0,IF((CG13&lt;&gt;"Yes"),0,IF((CO13="Cubits"),CK13,0)))</f>
        <v>0</v>
      </c>
      <c r="CZ13" s="64">
        <f>IF((CD13&lt;&gt;CC13),0,IF((CG13&lt;&gt;"Yes"),0,IF((CO13="Tylium"),CK13,0)))</f>
        <v>0</v>
      </c>
      <c r="DA13" s="64">
        <f>IF((CD13&lt;&gt;CC13),0,IF((CG13&lt;&gt;"Yes"),0,IF((CO13="Merits"),CK13,0)))</f>
        <v>0</v>
      </c>
      <c r="DB13" s="64">
        <f t="shared" ref="DB13:DD17" si="23">SUM((((CP13+CS13)+CV13)+CY13))</f>
        <v>0</v>
      </c>
      <c r="DC13" s="64">
        <f t="shared" si="23"/>
        <v>0</v>
      </c>
      <c r="DD13" s="64">
        <f t="shared" si="23"/>
        <v>0</v>
      </c>
      <c r="DF13" s="263" t="s">
        <v>363</v>
      </c>
      <c r="DG13" s="64">
        <v>0</v>
      </c>
      <c r="DH13" s="238">
        <f>VLOOKUP(X19, DF13:DI25, 4, FALSE)</f>
        <v>0</v>
      </c>
      <c r="DI13" s="238">
        <v>0</v>
      </c>
      <c r="DJ13" s="64">
        <v>0</v>
      </c>
      <c r="DK13" s="64">
        <v>0</v>
      </c>
      <c r="DL13" s="64">
        <v>0</v>
      </c>
      <c r="DM13" s="64">
        <f>ROUNDUP((DJ13*$DG13),0)</f>
        <v>0</v>
      </c>
      <c r="DN13" s="64">
        <f t="shared" ref="DN13:DN25" si="24">ROUNDUP((DK13*$DG13),0)</f>
        <v>0</v>
      </c>
      <c r="DO13" s="64">
        <f t="shared" ref="DO13:DO25" si="25">ROUNDUP((DL13*$DG13),0)</f>
        <v>0</v>
      </c>
      <c r="DP13" s="263" t="s">
        <v>369</v>
      </c>
      <c r="DQ13" s="238">
        <f t="shared" ref="DQ13:DQ20" si="26">$DQ$12</f>
        <v>0</v>
      </c>
      <c r="DR13" s="238">
        <f t="shared" ref="DR13:DR20" si="27">DR12+1</f>
        <v>1</v>
      </c>
      <c r="DS13" s="64">
        <v>0</v>
      </c>
      <c r="DT13" s="64">
        <v>0</v>
      </c>
      <c r="DU13" s="64">
        <v>0</v>
      </c>
      <c r="DV13" s="64">
        <f t="shared" si="18"/>
        <v>0</v>
      </c>
      <c r="DW13" s="64">
        <f t="shared" si="19"/>
        <v>0</v>
      </c>
      <c r="DX13" s="64">
        <f t="shared" si="20"/>
        <v>0</v>
      </c>
    </row>
    <row r="14" spans="1:132" ht="17.25" customHeight="1" thickBot="1">
      <c r="B14" s="629"/>
      <c r="C14" s="265" t="s">
        <v>43</v>
      </c>
      <c r="D14" s="266"/>
      <c r="E14" s="266"/>
      <c r="F14" s="266"/>
      <c r="G14" s="266"/>
      <c r="H14" s="2443">
        <f>SUM(AI15:AI19)</f>
        <v>0</v>
      </c>
      <c r="I14" s="2444">
        <f>SUM(AJ15:AJ19)</f>
        <v>0</v>
      </c>
      <c r="J14" s="2444">
        <f>SUM(AK15:AK19)</f>
        <v>0</v>
      </c>
      <c r="K14" s="267"/>
      <c r="L14" s="4" t="s">
        <v>370</v>
      </c>
      <c r="M14" s="68" t="s">
        <v>371</v>
      </c>
      <c r="N14" s="18" t="s">
        <v>372</v>
      </c>
      <c r="O14" s="47" t="s">
        <v>373</v>
      </c>
      <c r="P14" s="18" t="s">
        <v>372</v>
      </c>
      <c r="Q14" s="47" t="s">
        <v>32</v>
      </c>
      <c r="R14" s="27" t="s">
        <v>372</v>
      </c>
      <c r="S14" s="13">
        <f>SUM(DB13:DB17)</f>
        <v>0</v>
      </c>
      <c r="T14" s="70">
        <f>SUM(DC13:DC17)</f>
        <v>0</v>
      </c>
      <c r="U14" s="70">
        <f>SUM(DD13:DD17)</f>
        <v>0</v>
      </c>
      <c r="V14" s="42">
        <v>0</v>
      </c>
      <c r="W14" s="82"/>
      <c r="X14" s="2438" t="s">
        <v>375</v>
      </c>
      <c r="Y14" s="2438"/>
      <c r="Z14" s="23">
        <v>0</v>
      </c>
      <c r="AA14" s="240">
        <f>SUM(DM53:DM63)</f>
        <v>0</v>
      </c>
      <c r="AB14" s="240">
        <f>SUM(DN53:DN63)</f>
        <v>0</v>
      </c>
      <c r="AC14" s="240">
        <f>SUM(DO53:DO63)</f>
        <v>0</v>
      </c>
      <c r="AD14" s="38"/>
      <c r="AE14" s="238">
        <v>2</v>
      </c>
      <c r="AF14" s="238">
        <f t="shared" si="21"/>
        <v>0</v>
      </c>
      <c r="AG14" s="238">
        <f t="shared" si="21"/>
        <v>0</v>
      </c>
      <c r="AH14" s="238">
        <f t="shared" si="21"/>
        <v>0</v>
      </c>
      <c r="AI14" s="64">
        <f t="shared" si="22"/>
        <v>0</v>
      </c>
      <c r="AJ14" s="64">
        <f t="shared" si="0"/>
        <v>0</v>
      </c>
      <c r="AK14" s="64">
        <f t="shared" si="1"/>
        <v>0</v>
      </c>
      <c r="AL14" s="64">
        <f t="shared" si="2"/>
        <v>0</v>
      </c>
      <c r="AM14" s="238">
        <f t="shared" si="3"/>
        <v>0</v>
      </c>
      <c r="AN14" s="64">
        <f t="shared" si="4"/>
        <v>0</v>
      </c>
      <c r="AO14" s="238">
        <f t="shared" si="5"/>
        <v>0</v>
      </c>
      <c r="AP14" s="238">
        <f t="shared" si="6"/>
        <v>0</v>
      </c>
      <c r="AQ14" s="238">
        <f t="shared" si="7"/>
        <v>0</v>
      </c>
      <c r="AS14" s="261" t="s">
        <v>376</v>
      </c>
      <c r="AT14" s="238">
        <v>3</v>
      </c>
      <c r="AU14" s="238">
        <f>AU13+1</f>
        <v>2</v>
      </c>
      <c r="AV14" s="36">
        <v>0</v>
      </c>
      <c r="AW14" s="36">
        <v>0</v>
      </c>
      <c r="AX14" s="36">
        <v>300</v>
      </c>
      <c r="AY14" s="36">
        <v>1500</v>
      </c>
      <c r="AZ14" s="36">
        <v>4500</v>
      </c>
      <c r="BA14" s="36">
        <v>9000</v>
      </c>
      <c r="BB14" s="36">
        <v>16500</v>
      </c>
      <c r="BC14" s="36">
        <v>28500</v>
      </c>
      <c r="BD14" s="36">
        <v>46500</v>
      </c>
      <c r="BE14" s="36">
        <v>76500</v>
      </c>
      <c r="BF14" s="16">
        <v>10000</v>
      </c>
      <c r="BG14" s="16">
        <v>20000</v>
      </c>
      <c r="BH14" s="16">
        <v>30000</v>
      </c>
      <c r="BI14" s="16">
        <v>40000</v>
      </c>
      <c r="BJ14" s="16">
        <v>50000</v>
      </c>
      <c r="BK14" s="16">
        <v>60000</v>
      </c>
      <c r="BL14" s="16">
        <v>70000</v>
      </c>
      <c r="BM14" s="16">
        <v>80000</v>
      </c>
      <c r="BN14" s="16">
        <v>90000</v>
      </c>
      <c r="BO14" s="16">
        <v>100000</v>
      </c>
      <c r="BP14" s="36">
        <f t="shared" si="8"/>
        <v>115</v>
      </c>
      <c r="BQ14" s="16">
        <f t="shared" si="9"/>
        <v>287</v>
      </c>
      <c r="BR14" s="36">
        <f t="shared" si="10"/>
        <v>370</v>
      </c>
      <c r="BS14" s="16">
        <f t="shared" si="11"/>
        <v>498</v>
      </c>
      <c r="BT14" s="36">
        <f t="shared" si="12"/>
        <v>689</v>
      </c>
      <c r="BV14" s="153">
        <f t="shared" si="13"/>
        <v>114.75</v>
      </c>
      <c r="BW14" s="153">
        <f t="shared" si="14"/>
        <v>286.875</v>
      </c>
      <c r="BX14" s="153">
        <f t="shared" si="15"/>
        <v>369.74997450000001</v>
      </c>
      <c r="BY14" s="153">
        <f t="shared" si="16"/>
        <v>497.25</v>
      </c>
      <c r="BZ14" s="153">
        <f t="shared" si="17"/>
        <v>688.5</v>
      </c>
      <c r="CB14" s="153" t="s">
        <v>377</v>
      </c>
      <c r="CC14" s="256">
        <f>$CC$12</f>
        <v>2</v>
      </c>
      <c r="CD14" s="238">
        <f>CD13+1</f>
        <v>2</v>
      </c>
      <c r="CE14" s="152" t="str">
        <f>$CE$13</f>
        <v>No</v>
      </c>
      <c r="CF14" s="152" t="str">
        <f>$CF$13</f>
        <v>No</v>
      </c>
      <c r="CG14" s="152" t="str">
        <f>$CG$13</f>
        <v>No</v>
      </c>
      <c r="CH14" s="64">
        <v>23000</v>
      </c>
      <c r="CI14" s="256"/>
      <c r="CJ14" s="64">
        <v>30000</v>
      </c>
      <c r="CK14" s="64"/>
      <c r="CL14" s="64" t="s">
        <v>322</v>
      </c>
      <c r="CM14" s="256"/>
      <c r="CN14" s="64" t="s">
        <v>322</v>
      </c>
      <c r="CO14" s="64"/>
      <c r="CP14" s="64">
        <f>IF((CD14&lt;&gt;CC14),0,IF((CE14&lt;&gt;"Yes"),0,IF((CL14="Cubits"),CH14,0)))</f>
        <v>0</v>
      </c>
      <c r="CQ14" s="64">
        <f>IF((CD14&lt;&gt;CC14),0,IF((CE14&lt;&gt;"Yes"),0,IF((CL14="Tylium"),CH14,0)))</f>
        <v>0</v>
      </c>
      <c r="CR14" s="64">
        <f>IF((CD14&lt;&gt;CC14),0,IF((CE14&lt;&gt;"Yes"),0,IF((CL14="Merits"),CH14,0)))</f>
        <v>0</v>
      </c>
      <c r="CS14" s="64">
        <f>IF((CD14&lt;&gt;CC14),0,IF((CE14&lt;&gt;"Yes"),0,IF((CM14="Cubits"),CI14,0)))</f>
        <v>0</v>
      </c>
      <c r="CT14" s="64">
        <f>IF((CD14&lt;&gt;CC14),0,IF((CE14&lt;&gt;"Yes"),0,IF((CM14="Tylium"),CI14,0)))</f>
        <v>0</v>
      </c>
      <c r="CU14" s="64">
        <f>IF((CD14&lt;&gt;CC14),0,IF((CE14&lt;&gt;"Yes"),0,IF((CM14="Merits"),CI14,0)))</f>
        <v>0</v>
      </c>
      <c r="CV14" s="64">
        <f>IF((CD14&lt;&gt;CC14),0,IF((CF14&lt;&gt;"Yes"),0,IF((CN14="Cubits"),CJ14,0)))</f>
        <v>0</v>
      </c>
      <c r="CW14" s="64">
        <f>IF((CD14&lt;&gt;CC14),0,IF((CF14&lt;&gt;"Yes"),0,IF((CN14="Tylium"),CJ14,0)))</f>
        <v>0</v>
      </c>
      <c r="CX14" s="64">
        <f>IF((CD14&lt;&gt;CC14),0,IF((CF14&lt;&gt;"Yes"),0,IF((CN14="Merits"),CJ14,0)))</f>
        <v>0</v>
      </c>
      <c r="CY14" s="64">
        <f>IF((CD14&lt;&gt;CC14),0,IF((CG14&lt;&gt;"Yes"),0,IF((CO14="Cubits"),CK14,0)))</f>
        <v>0</v>
      </c>
      <c r="CZ14" s="64">
        <f>IF((CD14&lt;&gt;CC14),0,IF((CG14&lt;&gt;"Yes"),0,IF((CO14="Tylium"),CK14,0)))</f>
        <v>0</v>
      </c>
      <c r="DA14" s="64">
        <f>IF((CD14&lt;&gt;CC14),0,IF((CG14&lt;&gt;"Yes"),0,IF((CO14="Merits"),CK14,0)))</f>
        <v>0</v>
      </c>
      <c r="DB14" s="64">
        <f t="shared" si="23"/>
        <v>0</v>
      </c>
      <c r="DC14" s="64">
        <f t="shared" si="23"/>
        <v>0</v>
      </c>
      <c r="DD14" s="64">
        <f t="shared" si="23"/>
        <v>0</v>
      </c>
      <c r="DF14" s="263" t="s">
        <v>378</v>
      </c>
      <c r="DG14" s="238">
        <f>IF((DH14=DI14),$Z$19,0)</f>
        <v>0</v>
      </c>
      <c r="DH14" s="238">
        <f t="shared" ref="DH14:DH25" si="28">$DH$13</f>
        <v>0</v>
      </c>
      <c r="DI14" s="238">
        <f t="shared" ref="DI14:DI25" si="29">DI13+1</f>
        <v>1</v>
      </c>
      <c r="DJ14" s="64">
        <v>1500</v>
      </c>
      <c r="DK14" s="64">
        <v>0</v>
      </c>
      <c r="DL14" s="64">
        <v>0</v>
      </c>
      <c r="DM14" s="64">
        <f t="shared" ref="DM14:DM25" si="30">ROUNDUP((DJ14*$DG14),0)</f>
        <v>0</v>
      </c>
      <c r="DN14" s="64">
        <f t="shared" si="24"/>
        <v>0</v>
      </c>
      <c r="DO14" s="64">
        <f t="shared" si="25"/>
        <v>0</v>
      </c>
      <c r="DP14" s="263" t="s">
        <v>379</v>
      </c>
      <c r="DQ14" s="238">
        <f t="shared" si="26"/>
        <v>0</v>
      </c>
      <c r="DR14" s="238">
        <f t="shared" si="27"/>
        <v>2</v>
      </c>
      <c r="DS14" s="64">
        <v>0</v>
      </c>
      <c r="DT14" s="64">
        <v>20000</v>
      </c>
      <c r="DU14" s="64">
        <v>0</v>
      </c>
      <c r="DV14" s="64">
        <f t="shared" si="18"/>
        <v>0</v>
      </c>
      <c r="DW14" s="64">
        <f t="shared" si="19"/>
        <v>0</v>
      </c>
      <c r="DX14" s="64">
        <f t="shared" si="20"/>
        <v>0</v>
      </c>
    </row>
    <row r="15" spans="1:132" ht="17.25" customHeight="1" thickBot="1">
      <c r="B15" s="650"/>
      <c r="C15" s="643">
        <v>1</v>
      </c>
      <c r="D15" s="99">
        <v>0</v>
      </c>
      <c r="E15" s="155"/>
      <c r="F15" s="22" t="s">
        <v>61</v>
      </c>
      <c r="G15" s="155"/>
      <c r="H15" s="2443"/>
      <c r="I15" s="2444"/>
      <c r="J15" s="2444"/>
      <c r="K15" s="268"/>
      <c r="L15" s="2465" t="s">
        <v>381</v>
      </c>
      <c r="M15" s="2466"/>
      <c r="N15" s="2466"/>
      <c r="O15" s="2466"/>
      <c r="P15" s="2466"/>
      <c r="Q15" s="2466"/>
      <c r="R15" s="2465"/>
      <c r="S15" s="24">
        <f>SUM(H12:H24)</f>
        <v>0</v>
      </c>
      <c r="T15" s="24">
        <f>SUM(I12:I24)</f>
        <v>0</v>
      </c>
      <c r="U15" s="24">
        <v>0</v>
      </c>
      <c r="V15" s="48">
        <f>SUM(J12:J24)</f>
        <v>0</v>
      </c>
      <c r="W15" s="7"/>
      <c r="X15" s="2442" t="s">
        <v>460</v>
      </c>
      <c r="Y15" s="2442"/>
      <c r="Z15" s="65">
        <v>0</v>
      </c>
      <c r="AA15" s="239">
        <f>SUM(DM64:DM67)</f>
        <v>0</v>
      </c>
      <c r="AB15" s="239">
        <f>SUM(DN64:DN67)</f>
        <v>0</v>
      </c>
      <c r="AC15" s="239">
        <f>SUM(DO64:DO67)</f>
        <v>0</v>
      </c>
      <c r="AD15" s="38"/>
      <c r="AE15" s="238">
        <v>3</v>
      </c>
      <c r="AF15" s="238">
        <f>D15</f>
        <v>0</v>
      </c>
      <c r="AG15" s="238">
        <f>A8</f>
        <v>0</v>
      </c>
      <c r="AH15" s="238">
        <f>B7</f>
        <v>15</v>
      </c>
      <c r="AI15" s="64">
        <f t="shared" si="22"/>
        <v>0</v>
      </c>
      <c r="AJ15" s="64">
        <f t="shared" si="0"/>
        <v>0</v>
      </c>
      <c r="AK15" s="64">
        <f t="shared" si="1"/>
        <v>0</v>
      </c>
      <c r="AL15" s="64">
        <f t="shared" si="2"/>
        <v>0</v>
      </c>
      <c r="AM15" s="238">
        <f t="shared" si="3"/>
        <v>49500</v>
      </c>
      <c r="AN15" s="64">
        <f t="shared" si="4"/>
        <v>0</v>
      </c>
      <c r="AO15" s="238">
        <f t="shared" si="5"/>
        <v>80000</v>
      </c>
      <c r="AP15" s="238">
        <f t="shared" si="6"/>
        <v>0</v>
      </c>
      <c r="AQ15" s="238">
        <f t="shared" si="7"/>
        <v>446</v>
      </c>
      <c r="AS15" s="269" t="s">
        <v>380</v>
      </c>
      <c r="AT15" s="238">
        <v>1</v>
      </c>
      <c r="AU15" s="238">
        <v>0</v>
      </c>
      <c r="AV15" s="36">
        <v>0</v>
      </c>
      <c r="AW15" s="36">
        <v>0</v>
      </c>
      <c r="AX15" s="36">
        <v>300</v>
      </c>
      <c r="AY15" s="36">
        <v>1500</v>
      </c>
      <c r="AZ15" s="36">
        <v>3600</v>
      </c>
      <c r="BA15" s="36">
        <v>6900</v>
      </c>
      <c r="BB15" s="36">
        <v>12000</v>
      </c>
      <c r="BC15" s="36">
        <v>19500</v>
      </c>
      <c r="BD15" s="36">
        <v>31500</v>
      </c>
      <c r="BE15" s="36">
        <v>49500</v>
      </c>
      <c r="BF15" s="16">
        <v>8000</v>
      </c>
      <c r="BG15" s="16">
        <v>16000</v>
      </c>
      <c r="BH15" s="16">
        <v>24000</v>
      </c>
      <c r="BI15" s="16">
        <v>32000</v>
      </c>
      <c r="BJ15" s="16">
        <v>40000</v>
      </c>
      <c r="BK15" s="16">
        <v>48000</v>
      </c>
      <c r="BL15" s="16">
        <v>56000</v>
      </c>
      <c r="BM15" s="16">
        <v>64000</v>
      </c>
      <c r="BN15" s="16">
        <v>72000</v>
      </c>
      <c r="BO15" s="16">
        <v>80000</v>
      </c>
      <c r="BP15" s="36">
        <f t="shared" si="8"/>
        <v>75</v>
      </c>
      <c r="BQ15" s="16">
        <f t="shared" si="9"/>
        <v>186</v>
      </c>
      <c r="BR15" s="36">
        <f t="shared" si="10"/>
        <v>240</v>
      </c>
      <c r="BS15" s="16">
        <f t="shared" si="11"/>
        <v>322</v>
      </c>
      <c r="BT15" s="36">
        <f t="shared" si="12"/>
        <v>446</v>
      </c>
      <c r="BV15" s="153">
        <f t="shared" si="13"/>
        <v>74.25</v>
      </c>
      <c r="BW15" s="153">
        <f t="shared" si="14"/>
        <v>185.625</v>
      </c>
      <c r="BX15" s="153">
        <f t="shared" si="15"/>
        <v>239.24998350000001</v>
      </c>
      <c r="BY15" s="153">
        <f t="shared" si="16"/>
        <v>321.75</v>
      </c>
      <c r="BZ15" s="153">
        <f t="shared" si="17"/>
        <v>445.5</v>
      </c>
      <c r="CB15" s="153" t="s">
        <v>383</v>
      </c>
      <c r="CC15" s="256">
        <f>$CC$12</f>
        <v>2</v>
      </c>
      <c r="CD15" s="238">
        <f>CD14+1</f>
        <v>3</v>
      </c>
      <c r="CE15" s="152" t="str">
        <f>$CE$13</f>
        <v>No</v>
      </c>
      <c r="CF15" s="152" t="str">
        <f>$CF$13</f>
        <v>No</v>
      </c>
      <c r="CG15" s="152" t="str">
        <f>$CG$13</f>
        <v>No</v>
      </c>
      <c r="CH15" s="64">
        <v>36000</v>
      </c>
      <c r="CI15" s="256"/>
      <c r="CJ15" s="64">
        <v>40000</v>
      </c>
      <c r="CK15" s="64"/>
      <c r="CL15" s="64" t="s">
        <v>322</v>
      </c>
      <c r="CM15" s="256"/>
      <c r="CN15" s="64" t="s">
        <v>322</v>
      </c>
      <c r="CO15" s="64"/>
      <c r="CP15" s="64">
        <f>IF((CD15&lt;&gt;CC15),0,IF((CE15&lt;&gt;"Yes"),0,IF((CL15="Cubits"),CH15,0)))</f>
        <v>0</v>
      </c>
      <c r="CQ15" s="64">
        <f>IF((CD15&lt;&gt;CC15),0,IF((CE15&lt;&gt;"Yes"),0,IF((CL15="Tylium"),CH15,0)))</f>
        <v>0</v>
      </c>
      <c r="CR15" s="64">
        <f>IF((CD15&lt;&gt;CC15),0,IF((CE15&lt;&gt;"Yes"),0,IF((CL15="Merits"),CH15,0)))</f>
        <v>0</v>
      </c>
      <c r="CS15" s="64">
        <f>IF((CD15&lt;&gt;CC15),0,IF((CE15&lt;&gt;"Yes"),0,IF((CM15="Cubits"),CI15,0)))</f>
        <v>0</v>
      </c>
      <c r="CT15" s="64">
        <f>IF((CD15&lt;&gt;CC15),0,IF((CE15&lt;&gt;"Yes"),0,IF((CM15="Tylium"),CI15,0)))</f>
        <v>0</v>
      </c>
      <c r="CU15" s="64">
        <f>IF((CD15&lt;&gt;CC15),0,IF((CE15&lt;&gt;"Yes"),0,IF((CM15="Merits"),CI15,0)))</f>
        <v>0</v>
      </c>
      <c r="CV15" s="64">
        <f>IF((CD15&lt;&gt;CC15),0,IF((CF15&lt;&gt;"Yes"),0,IF((CN15="Cubits"),CJ15,0)))</f>
        <v>0</v>
      </c>
      <c r="CW15" s="64">
        <f>IF((CD15&lt;&gt;CC15),0,IF((CF15&lt;&gt;"Yes"),0,IF((CN15="Tylium"),CJ15,0)))</f>
        <v>0</v>
      </c>
      <c r="CX15" s="64">
        <f>IF((CD15&lt;&gt;CC15),0,IF((CF15&lt;&gt;"Yes"),0,IF((CN15="Merits"),CJ15,0)))</f>
        <v>0</v>
      </c>
      <c r="CY15" s="64">
        <f>IF((CD15&lt;&gt;CC15),0,IF((CG15&lt;&gt;"Yes"),0,IF((CO15="Cubits"),CK15,0)))</f>
        <v>0</v>
      </c>
      <c r="CZ15" s="64">
        <f>IF((CD15&lt;&gt;CC15),0,IF((CG15&lt;&gt;"Yes"),0,IF((CO15="Tylium"),CK15,0)))</f>
        <v>0</v>
      </c>
      <c r="DA15" s="64">
        <f>IF((CD15&lt;&gt;CC15),0,IF((CG15&lt;&gt;"Yes"),0,IF((CO15="Merits"),CK15,0)))</f>
        <v>0</v>
      </c>
      <c r="DB15" s="64">
        <f t="shared" si="23"/>
        <v>0</v>
      </c>
      <c r="DC15" s="64">
        <f t="shared" si="23"/>
        <v>0</v>
      </c>
      <c r="DD15" s="64">
        <f t="shared" si="23"/>
        <v>0</v>
      </c>
      <c r="DF15" s="263" t="s">
        <v>384</v>
      </c>
      <c r="DG15" s="238">
        <f t="shared" ref="DG15:DG25" si="31">IF((DH15=DI15),$Z$19,0)</f>
        <v>0</v>
      </c>
      <c r="DH15" s="238">
        <f t="shared" si="28"/>
        <v>0</v>
      </c>
      <c r="DI15" s="238">
        <f t="shared" si="29"/>
        <v>2</v>
      </c>
      <c r="DJ15" s="64">
        <v>2000</v>
      </c>
      <c r="DK15" s="64">
        <v>0</v>
      </c>
      <c r="DL15" s="64">
        <v>0</v>
      </c>
      <c r="DM15" s="64">
        <f t="shared" si="30"/>
        <v>0</v>
      </c>
      <c r="DN15" s="64">
        <f t="shared" si="24"/>
        <v>0</v>
      </c>
      <c r="DO15" s="64">
        <f t="shared" si="25"/>
        <v>0</v>
      </c>
      <c r="DP15" s="263" t="s">
        <v>385</v>
      </c>
      <c r="DQ15" s="238">
        <f t="shared" si="26"/>
        <v>0</v>
      </c>
      <c r="DR15" s="238">
        <f t="shared" si="27"/>
        <v>3</v>
      </c>
      <c r="DS15" s="64">
        <v>2000</v>
      </c>
      <c r="DT15" s="64">
        <v>0</v>
      </c>
      <c r="DU15" s="64">
        <v>0</v>
      </c>
      <c r="DV15" s="64">
        <f t="shared" si="18"/>
        <v>0</v>
      </c>
      <c r="DW15" s="64">
        <f t="shared" si="19"/>
        <v>0</v>
      </c>
      <c r="DX15" s="64">
        <f t="shared" si="20"/>
        <v>0</v>
      </c>
    </row>
    <row r="16" spans="1:132" ht="17.25" customHeight="1" thickBot="1">
      <c r="B16" s="627"/>
      <c r="C16" s="270" t="s">
        <v>226</v>
      </c>
      <c r="D16" s="271"/>
      <c r="E16" s="271"/>
      <c r="F16" s="271"/>
      <c r="G16" s="271"/>
      <c r="H16" s="2433">
        <f>SUM(AI20:AI26)</f>
        <v>0</v>
      </c>
      <c r="I16" s="2434">
        <f>SUM(AJ20:AJ26)</f>
        <v>0</v>
      </c>
      <c r="J16" s="2434">
        <f>SUM(AK20:AK26)</f>
        <v>0</v>
      </c>
      <c r="K16" s="272"/>
      <c r="L16" s="2435" t="s">
        <v>386</v>
      </c>
      <c r="M16" s="2436"/>
      <c r="N16" s="2436"/>
      <c r="O16" s="2436"/>
      <c r="P16" s="2436"/>
      <c r="Q16" s="2436"/>
      <c r="R16" s="2437"/>
      <c r="S16" s="70">
        <f>SUM(AA12:AA23)</f>
        <v>0</v>
      </c>
      <c r="T16" s="70">
        <f>SUM(AB12:AB23)</f>
        <v>0</v>
      </c>
      <c r="U16" s="70">
        <f>SUM(AC12:AC23)</f>
        <v>0</v>
      </c>
      <c r="V16" s="71">
        <v>0</v>
      </c>
      <c r="W16" s="273"/>
      <c r="X16" s="2438" t="s">
        <v>387</v>
      </c>
      <c r="Y16" s="2438"/>
      <c r="Z16" s="23">
        <v>0</v>
      </c>
      <c r="AA16" s="240">
        <f>SUM(DM68:DM71)</f>
        <v>0</v>
      </c>
      <c r="AB16" s="240">
        <f>SUM(DN68:DN71)</f>
        <v>0</v>
      </c>
      <c r="AC16" s="240">
        <f>SUM(DO68:DO71)</f>
        <v>0</v>
      </c>
      <c r="AD16" s="38"/>
      <c r="AE16" s="238">
        <v>4</v>
      </c>
      <c r="AF16" s="238">
        <f t="shared" ref="AF16:AH19" si="32">AF$15</f>
        <v>0</v>
      </c>
      <c r="AG16" s="238">
        <f t="shared" si="32"/>
        <v>0</v>
      </c>
      <c r="AH16" s="238">
        <f t="shared" si="32"/>
        <v>15</v>
      </c>
      <c r="AI16" s="64">
        <f t="shared" si="22"/>
        <v>0</v>
      </c>
      <c r="AJ16" s="64">
        <f t="shared" si="0"/>
        <v>0</v>
      </c>
      <c r="AK16" s="64">
        <f t="shared" si="1"/>
        <v>0</v>
      </c>
      <c r="AL16" s="64">
        <f t="shared" si="2"/>
        <v>0</v>
      </c>
      <c r="AM16" s="238">
        <f t="shared" si="3"/>
        <v>40300</v>
      </c>
      <c r="AN16" s="64">
        <f t="shared" si="4"/>
        <v>0</v>
      </c>
      <c r="AO16" s="238">
        <f t="shared" si="5"/>
        <v>50000</v>
      </c>
      <c r="AP16" s="238">
        <f t="shared" si="6"/>
        <v>0</v>
      </c>
      <c r="AQ16" s="238">
        <f t="shared" si="7"/>
        <v>363</v>
      </c>
      <c r="AS16" s="269" t="s">
        <v>388</v>
      </c>
      <c r="AT16" s="238">
        <v>2</v>
      </c>
      <c r="AU16" s="238">
        <f>AU15+1</f>
        <v>1</v>
      </c>
      <c r="AV16" s="36">
        <v>0</v>
      </c>
      <c r="AW16" s="36">
        <v>0</v>
      </c>
      <c r="AX16" s="36">
        <v>300</v>
      </c>
      <c r="AY16" s="36">
        <v>1200</v>
      </c>
      <c r="AZ16" s="36">
        <v>2700</v>
      </c>
      <c r="BA16" s="36">
        <v>5000</v>
      </c>
      <c r="BB16" s="36">
        <v>10300</v>
      </c>
      <c r="BC16" s="36">
        <v>16300</v>
      </c>
      <c r="BD16" s="36">
        <v>25300</v>
      </c>
      <c r="BE16" s="36">
        <v>40300</v>
      </c>
      <c r="BF16" s="16">
        <v>5000</v>
      </c>
      <c r="BG16" s="16">
        <v>10000</v>
      </c>
      <c r="BH16" s="16">
        <v>15000</v>
      </c>
      <c r="BI16" s="16">
        <v>20000</v>
      </c>
      <c r="BJ16" s="16">
        <v>25000</v>
      </c>
      <c r="BK16" s="16">
        <v>30000</v>
      </c>
      <c r="BL16" s="16">
        <v>35000</v>
      </c>
      <c r="BM16" s="16">
        <v>40000</v>
      </c>
      <c r="BN16" s="16">
        <v>45000</v>
      </c>
      <c r="BO16" s="16">
        <v>50000</v>
      </c>
      <c r="BP16" s="36">
        <f t="shared" si="8"/>
        <v>61</v>
      </c>
      <c r="BQ16" s="16">
        <f t="shared" si="9"/>
        <v>152</v>
      </c>
      <c r="BR16" s="36">
        <f t="shared" si="10"/>
        <v>195</v>
      </c>
      <c r="BS16" s="16">
        <f t="shared" si="11"/>
        <v>262</v>
      </c>
      <c r="BT16" s="36">
        <f t="shared" si="12"/>
        <v>363</v>
      </c>
      <c r="BV16" s="153">
        <f t="shared" si="13"/>
        <v>60.45</v>
      </c>
      <c r="BW16" s="153">
        <f t="shared" si="14"/>
        <v>151.125</v>
      </c>
      <c r="BX16" s="153">
        <f t="shared" si="15"/>
        <v>194.78331989999998</v>
      </c>
      <c r="BY16" s="153">
        <f t="shared" si="16"/>
        <v>261.95</v>
      </c>
      <c r="BZ16" s="153">
        <f t="shared" si="17"/>
        <v>362.7</v>
      </c>
      <c r="CB16" s="153" t="s">
        <v>389</v>
      </c>
      <c r="CC16" s="256">
        <f>$CC$12</f>
        <v>2</v>
      </c>
      <c r="CD16" s="238">
        <f>CD15+1</f>
        <v>4</v>
      </c>
      <c r="CE16" s="152" t="str">
        <f>$CE$13</f>
        <v>No</v>
      </c>
      <c r="CF16" s="152" t="str">
        <f>$CF$13</f>
        <v>No</v>
      </c>
      <c r="CG16" s="152" t="str">
        <f>$CG$13</f>
        <v>No</v>
      </c>
      <c r="CH16" s="64">
        <v>75000</v>
      </c>
      <c r="CI16" s="256"/>
      <c r="CJ16" s="64">
        <v>30000</v>
      </c>
      <c r="CK16" s="64">
        <v>45000</v>
      </c>
      <c r="CL16" s="64" t="s">
        <v>323</v>
      </c>
      <c r="CM16" s="256"/>
      <c r="CN16" s="64" t="s">
        <v>322</v>
      </c>
      <c r="CO16" s="64" t="s">
        <v>322</v>
      </c>
      <c r="CP16" s="64">
        <f>IF((CD16&lt;&gt;CC16),0,IF((CE16&lt;&gt;"Yes"),0,IF((CL16="Cubits"),CH16,0)))</f>
        <v>0</v>
      </c>
      <c r="CQ16" s="64">
        <f>IF((CD16&lt;&gt;CC16),0,IF((CE16&lt;&gt;"Yes"),0,IF((CL16="Tylium"),CH16,0)))</f>
        <v>0</v>
      </c>
      <c r="CR16" s="64">
        <f>IF((CD16&lt;&gt;CC16),0,IF((CE16&lt;&gt;"Yes"),0,IF((CL16="Merits"),CH16,0)))</f>
        <v>0</v>
      </c>
      <c r="CS16" s="64">
        <f>IF((CD16&lt;&gt;CC16),0,IF((CE16&lt;&gt;"Yes"),0,IF((CM16="Cubits"),CI16,0)))</f>
        <v>0</v>
      </c>
      <c r="CT16" s="64">
        <f>IF((CD16&lt;&gt;CC16),0,IF((CE16&lt;&gt;"Yes"),0,IF((CM16="Tylium"),CI16,0)))</f>
        <v>0</v>
      </c>
      <c r="CU16" s="64">
        <f>IF((CD16&lt;&gt;CC16),0,IF((CE16&lt;&gt;"Yes"),0,IF((CM16="Merits"),CI16,0)))</f>
        <v>0</v>
      </c>
      <c r="CV16" s="64">
        <f>IF((CD16&lt;&gt;CC16),0,IF((CF16&lt;&gt;"Yes"),0,IF((CN16="Cubits"),CJ16,0)))</f>
        <v>0</v>
      </c>
      <c r="CW16" s="64">
        <f>IF((CD16&lt;&gt;CC16),0,IF((CF16&lt;&gt;"Yes"),0,IF((CN16="Tylium"),CJ16,0)))</f>
        <v>0</v>
      </c>
      <c r="CX16" s="64">
        <f>IF((CD16&lt;&gt;CC16),0,IF((CF16&lt;&gt;"Yes"),0,IF((CN16="Merits"),CJ16,0)))</f>
        <v>0</v>
      </c>
      <c r="CY16" s="64">
        <f>IF((CD16&lt;&gt;CC16),0,IF((CG16&lt;&gt;"Yes"),0,IF((CO16="Cubits"),CK16,0)))</f>
        <v>0</v>
      </c>
      <c r="CZ16" s="64">
        <f>IF((CD16&lt;&gt;CC16),0,IF((CG16&lt;&gt;"Yes"),0,IF((CO16="Tylium"),CK16,0)))</f>
        <v>0</v>
      </c>
      <c r="DA16" s="64">
        <f>IF((CD16&lt;&gt;CC16),0,IF((CG16&lt;&gt;"Yes"),0,IF((CO16="Merits"),CK16,0)))</f>
        <v>0</v>
      </c>
      <c r="DB16" s="64">
        <f t="shared" si="23"/>
        <v>0</v>
      </c>
      <c r="DC16" s="64">
        <f t="shared" si="23"/>
        <v>0</v>
      </c>
      <c r="DD16" s="64">
        <f t="shared" si="23"/>
        <v>0</v>
      </c>
      <c r="DF16" s="263" t="s">
        <v>390</v>
      </c>
      <c r="DG16" s="238">
        <f t="shared" si="31"/>
        <v>0</v>
      </c>
      <c r="DH16" s="238">
        <f t="shared" si="28"/>
        <v>0</v>
      </c>
      <c r="DI16" s="238">
        <f t="shared" si="29"/>
        <v>3</v>
      </c>
      <c r="DJ16" s="64">
        <v>8000</v>
      </c>
      <c r="DK16" s="64">
        <v>0</v>
      </c>
      <c r="DL16" s="64">
        <v>0</v>
      </c>
      <c r="DM16" s="64">
        <f t="shared" si="30"/>
        <v>0</v>
      </c>
      <c r="DN16" s="64">
        <f t="shared" si="24"/>
        <v>0</v>
      </c>
      <c r="DO16" s="64">
        <f t="shared" si="25"/>
        <v>0</v>
      </c>
      <c r="DP16" s="263" t="s">
        <v>391</v>
      </c>
      <c r="DQ16" s="238">
        <f t="shared" si="26"/>
        <v>0</v>
      </c>
      <c r="DR16" s="238">
        <f t="shared" si="27"/>
        <v>4</v>
      </c>
      <c r="DS16" s="64">
        <v>3000</v>
      </c>
      <c r="DT16" s="64">
        <v>0</v>
      </c>
      <c r="DU16" s="64">
        <v>0</v>
      </c>
      <c r="DV16" s="64">
        <f t="shared" si="18"/>
        <v>0</v>
      </c>
      <c r="DW16" s="64">
        <f t="shared" si="19"/>
        <v>0</v>
      </c>
      <c r="DX16" s="64">
        <f t="shared" si="20"/>
        <v>0</v>
      </c>
    </row>
    <row r="17" spans="1:132" ht="17.25" customHeight="1" thickBot="1">
      <c r="B17" s="628"/>
      <c r="C17" s="642">
        <v>1</v>
      </c>
      <c r="D17" s="81">
        <v>0</v>
      </c>
      <c r="E17" s="155"/>
      <c r="F17" s="106" t="s">
        <v>61</v>
      </c>
      <c r="G17" s="155"/>
      <c r="H17" s="2433"/>
      <c r="I17" s="2434"/>
      <c r="J17" s="2434"/>
      <c r="K17" s="264"/>
      <c r="L17" s="2439" t="s">
        <v>313</v>
      </c>
      <c r="M17" s="2440"/>
      <c r="N17" s="2440"/>
      <c r="O17" s="2440"/>
      <c r="P17" s="2440"/>
      <c r="Q17" s="2440"/>
      <c r="R17" s="2441"/>
      <c r="S17" s="103">
        <f>SUM(S14:S16)</f>
        <v>0</v>
      </c>
      <c r="T17" s="103">
        <f>SUM(T14:T16)</f>
        <v>0</v>
      </c>
      <c r="U17" s="103">
        <f>SUM(U14:U16)</f>
        <v>0</v>
      </c>
      <c r="V17" s="88">
        <f>SUM(V14:V16)</f>
        <v>0</v>
      </c>
      <c r="W17" s="102"/>
      <c r="X17" s="2442" t="s">
        <v>393</v>
      </c>
      <c r="Y17" s="2442"/>
      <c r="Z17" s="65">
        <v>0</v>
      </c>
      <c r="AA17" s="239">
        <f>SUM(DM72:DM75)</f>
        <v>0</v>
      </c>
      <c r="AB17" s="239">
        <f>SUM(DN72:DN75)</f>
        <v>0</v>
      </c>
      <c r="AC17" s="239">
        <f>SUM(DO72:DO75)</f>
        <v>0</v>
      </c>
      <c r="AD17" s="38"/>
      <c r="AE17" s="238">
        <v>5</v>
      </c>
      <c r="AF17" s="238">
        <f t="shared" si="32"/>
        <v>0</v>
      </c>
      <c r="AG17" s="238">
        <f t="shared" si="32"/>
        <v>0</v>
      </c>
      <c r="AH17" s="238">
        <f t="shared" si="32"/>
        <v>15</v>
      </c>
      <c r="AI17" s="64">
        <f t="shared" si="22"/>
        <v>0</v>
      </c>
      <c r="AJ17" s="64">
        <f t="shared" si="0"/>
        <v>0</v>
      </c>
      <c r="AK17" s="64">
        <f t="shared" si="1"/>
        <v>0</v>
      </c>
      <c r="AL17" s="64">
        <f t="shared" si="2"/>
        <v>0</v>
      </c>
      <c r="AM17" s="238">
        <f t="shared" si="3"/>
        <v>49500</v>
      </c>
      <c r="AN17" s="64">
        <f t="shared" si="4"/>
        <v>0</v>
      </c>
      <c r="AO17" s="238">
        <f t="shared" si="5"/>
        <v>80000</v>
      </c>
      <c r="AP17" s="238">
        <f t="shared" si="6"/>
        <v>0</v>
      </c>
      <c r="AQ17" s="238">
        <f t="shared" si="7"/>
        <v>446</v>
      </c>
      <c r="AS17" s="269" t="s">
        <v>394</v>
      </c>
      <c r="AT17" s="238">
        <v>3</v>
      </c>
      <c r="AU17" s="238">
        <f>AU16+1</f>
        <v>2</v>
      </c>
      <c r="AV17" s="36">
        <v>0</v>
      </c>
      <c r="AW17" s="36">
        <v>0</v>
      </c>
      <c r="AX17" s="36">
        <v>300</v>
      </c>
      <c r="AY17" s="36">
        <v>1500</v>
      </c>
      <c r="AZ17" s="36">
        <v>3600</v>
      </c>
      <c r="BA17" s="36">
        <v>6900</v>
      </c>
      <c r="BB17" s="36">
        <v>12000</v>
      </c>
      <c r="BC17" s="36">
        <v>19500</v>
      </c>
      <c r="BD17" s="36">
        <v>31500</v>
      </c>
      <c r="BE17" s="36">
        <v>49500</v>
      </c>
      <c r="BF17" s="16">
        <v>8000</v>
      </c>
      <c r="BG17" s="16">
        <v>16000</v>
      </c>
      <c r="BH17" s="16">
        <v>24000</v>
      </c>
      <c r="BI17" s="16">
        <v>32000</v>
      </c>
      <c r="BJ17" s="16">
        <v>40000</v>
      </c>
      <c r="BK17" s="16">
        <v>48000</v>
      </c>
      <c r="BL17" s="16">
        <v>56000</v>
      </c>
      <c r="BM17" s="16">
        <v>64000</v>
      </c>
      <c r="BN17" s="16">
        <v>72000</v>
      </c>
      <c r="BO17" s="16">
        <v>80000</v>
      </c>
      <c r="BP17" s="36">
        <f t="shared" si="8"/>
        <v>75</v>
      </c>
      <c r="BQ17" s="16">
        <f t="shared" si="9"/>
        <v>186</v>
      </c>
      <c r="BR17" s="36">
        <f t="shared" si="10"/>
        <v>240</v>
      </c>
      <c r="BS17" s="16">
        <f t="shared" si="11"/>
        <v>322</v>
      </c>
      <c r="BT17" s="36">
        <f t="shared" si="12"/>
        <v>446</v>
      </c>
      <c r="BV17" s="153">
        <f t="shared" si="13"/>
        <v>74.25</v>
      </c>
      <c r="BW17" s="153">
        <f t="shared" si="14"/>
        <v>185.625</v>
      </c>
      <c r="BX17" s="153">
        <f t="shared" si="15"/>
        <v>239.24998350000001</v>
      </c>
      <c r="BY17" s="153">
        <f t="shared" si="16"/>
        <v>321.75</v>
      </c>
      <c r="BZ17" s="153">
        <f t="shared" si="17"/>
        <v>445.5</v>
      </c>
      <c r="CB17" s="153" t="s">
        <v>365</v>
      </c>
      <c r="CC17" s="256">
        <f>$CC$12</f>
        <v>2</v>
      </c>
      <c r="CD17" s="238">
        <f>CD16+1</f>
        <v>5</v>
      </c>
      <c r="CE17" s="152" t="str">
        <f>$CE$13</f>
        <v>No</v>
      </c>
      <c r="CF17" s="152" t="str">
        <f>$CF$13</f>
        <v>No</v>
      </c>
      <c r="CG17" s="152" t="str">
        <f>$CG$13</f>
        <v>No</v>
      </c>
      <c r="CH17" s="64">
        <v>45000</v>
      </c>
      <c r="CJ17" s="64">
        <v>30000</v>
      </c>
      <c r="CK17" s="64"/>
      <c r="CL17" s="64" t="s">
        <v>322</v>
      </c>
      <c r="CN17" s="64" t="s">
        <v>341</v>
      </c>
      <c r="CO17" s="64"/>
      <c r="CP17" s="64">
        <f>IF((CD17&lt;&gt;CC17),0,IF((CE17&lt;&gt;"Yes"),0,IF((CL17="Cubits"),CH17,0)))</f>
        <v>0</v>
      </c>
      <c r="CQ17" s="64">
        <f>IF((CD17&lt;&gt;CC17),0,IF((CE17&lt;&gt;"Yes"),0,IF((CL17="Tylium"),CH17,0)))</f>
        <v>0</v>
      </c>
      <c r="CR17" s="64">
        <f>IF((CD17&lt;&gt;CC17),0,IF((CE17&lt;&gt;"Yes"),0,IF((CL17="Merits"),CH17,0)))</f>
        <v>0</v>
      </c>
      <c r="CS17" s="64">
        <f>IF((CD17&lt;&gt;CC17),0,IF((CE17&lt;&gt;"Yes"),0,IF((CM17="Cubits"),CI17,0)))</f>
        <v>0</v>
      </c>
      <c r="CT17" s="64">
        <f>IF((CD17&lt;&gt;CC17),0,IF((CE17&lt;&gt;"Yes"),0,IF((CM17="Tylium"),CI17,0)))</f>
        <v>0</v>
      </c>
      <c r="CU17" s="64">
        <f>IF((CD17&lt;&gt;CC17),0,IF((CE17&lt;&gt;"Yes"),0,IF((CM17="Merits"),CI17,0)))</f>
        <v>0</v>
      </c>
      <c r="CV17" s="64">
        <f>IF((CD17&lt;&gt;CC17),0,IF((CF17&lt;&gt;"Yes"),0,IF((CN17="Cubits"),CJ17,0)))</f>
        <v>0</v>
      </c>
      <c r="CW17" s="64">
        <f>IF((CD17&lt;&gt;CC17),0,IF((CF17&lt;&gt;"Yes"),0,IF((CN17="Tylium"),CJ17,0)))</f>
        <v>0</v>
      </c>
      <c r="CX17" s="64">
        <f>IF((CD17&lt;&gt;CC17),0,IF((CF17&lt;&gt;"Yes"),0,IF((CN17="Merits"),CJ17,0)))</f>
        <v>0</v>
      </c>
      <c r="CY17" s="64">
        <f>IF((CD17&lt;&gt;CC17),0,IF((CG17&lt;&gt;"Yes"),0,IF((CO17="Cubits"),CK17,0)))</f>
        <v>0</v>
      </c>
      <c r="CZ17" s="64">
        <f>IF((CD17&lt;&gt;CC17),0,IF((CG17&lt;&gt;"Yes"),0,IF((CO17="Tylium"),CK17,0)))</f>
        <v>0</v>
      </c>
      <c r="DA17" s="64">
        <f>IF((CD17&lt;&gt;CC17),0,IF((CG17&lt;&gt;"Yes"),0,IF((CO17="Merits"),CK17,0)))</f>
        <v>0</v>
      </c>
      <c r="DB17" s="64">
        <f t="shared" si="23"/>
        <v>0</v>
      </c>
      <c r="DC17" s="64">
        <f t="shared" si="23"/>
        <v>0</v>
      </c>
      <c r="DD17" s="64">
        <f t="shared" si="23"/>
        <v>0</v>
      </c>
      <c r="DF17" s="263" t="s">
        <v>395</v>
      </c>
      <c r="DG17" s="238">
        <f t="shared" si="31"/>
        <v>0</v>
      </c>
      <c r="DH17" s="238">
        <f t="shared" si="28"/>
        <v>0</v>
      </c>
      <c r="DI17" s="238">
        <f t="shared" si="29"/>
        <v>4</v>
      </c>
      <c r="DJ17" s="64">
        <v>32000</v>
      </c>
      <c r="DK17" s="64">
        <v>0</v>
      </c>
      <c r="DL17" s="64">
        <v>0</v>
      </c>
      <c r="DM17" s="64">
        <f t="shared" si="30"/>
        <v>0</v>
      </c>
      <c r="DN17" s="64">
        <f t="shared" si="24"/>
        <v>0</v>
      </c>
      <c r="DO17" s="64">
        <f t="shared" si="25"/>
        <v>0</v>
      </c>
      <c r="DP17" s="263" t="s">
        <v>396</v>
      </c>
      <c r="DQ17" s="238">
        <f t="shared" si="26"/>
        <v>0</v>
      </c>
      <c r="DR17" s="238">
        <f t="shared" si="27"/>
        <v>5</v>
      </c>
      <c r="DS17" s="64">
        <v>3000</v>
      </c>
      <c r="DT17" s="64">
        <v>0</v>
      </c>
      <c r="DU17" s="64">
        <v>0</v>
      </c>
      <c r="DV17" s="64">
        <f t="shared" si="18"/>
        <v>0</v>
      </c>
      <c r="DW17" s="64">
        <f t="shared" si="19"/>
        <v>0</v>
      </c>
      <c r="DX17" s="64">
        <f t="shared" si="20"/>
        <v>0</v>
      </c>
    </row>
    <row r="18" spans="1:132" s="153" customFormat="1" ht="17.25" customHeight="1" thickBot="1">
      <c r="B18" s="631"/>
      <c r="C18" s="274" t="s">
        <v>186</v>
      </c>
      <c r="D18" s="275"/>
      <c r="E18" s="275"/>
      <c r="F18" s="275"/>
      <c r="G18" s="275"/>
      <c r="H18" s="2443">
        <f>SUM(AI27:AI41)</f>
        <v>0</v>
      </c>
      <c r="I18" s="2444">
        <f>SUM(AJ27:AJ41)</f>
        <v>0</v>
      </c>
      <c r="J18" s="2444">
        <f>SUM(AK27:AK41)</f>
        <v>0</v>
      </c>
      <c r="K18" s="151"/>
      <c r="L18" s="276"/>
      <c r="M18" s="276"/>
      <c r="N18" s="85"/>
      <c r="O18" s="85"/>
      <c r="P18" s="85"/>
      <c r="Q18" s="85"/>
      <c r="R18" s="85"/>
      <c r="S18" s="85"/>
      <c r="T18" s="85"/>
      <c r="U18" s="85"/>
      <c r="V18" s="85"/>
      <c r="W18" s="89"/>
      <c r="X18" s="2438" t="s">
        <v>397</v>
      </c>
      <c r="Y18" s="2438"/>
      <c r="Z18" s="90">
        <v>0</v>
      </c>
      <c r="AA18" s="240">
        <f>SUM(DM76:DM85)</f>
        <v>0</v>
      </c>
      <c r="AB18" s="240">
        <f>SUM(DN76:DN85)</f>
        <v>0</v>
      </c>
      <c r="AC18" s="240">
        <f>SUM(DO76:DO85)</f>
        <v>0</v>
      </c>
      <c r="AD18" s="38"/>
      <c r="AE18" s="238">
        <v>6</v>
      </c>
      <c r="AF18" s="238">
        <f t="shared" si="32"/>
        <v>0</v>
      </c>
      <c r="AG18" s="238">
        <f t="shared" si="32"/>
        <v>0</v>
      </c>
      <c r="AH18" s="238">
        <f t="shared" si="32"/>
        <v>15</v>
      </c>
      <c r="AI18" s="64">
        <f t="shared" si="22"/>
        <v>0</v>
      </c>
      <c r="AJ18" s="64">
        <f t="shared" si="0"/>
        <v>0</v>
      </c>
      <c r="AK18" s="64">
        <f t="shared" si="1"/>
        <v>0</v>
      </c>
      <c r="AL18" s="64">
        <f t="shared" si="2"/>
        <v>0</v>
      </c>
      <c r="AM18" s="238">
        <f t="shared" si="3"/>
        <v>77100</v>
      </c>
      <c r="AN18" s="64">
        <f t="shared" si="4"/>
        <v>0</v>
      </c>
      <c r="AO18" s="238">
        <f t="shared" si="5"/>
        <v>100000</v>
      </c>
      <c r="AP18" s="238">
        <f t="shared" si="6"/>
        <v>0</v>
      </c>
      <c r="AQ18" s="238">
        <f t="shared" si="7"/>
        <v>694</v>
      </c>
      <c r="AR18" s="260"/>
      <c r="AS18" s="269" t="s">
        <v>398</v>
      </c>
      <c r="AT18" s="238">
        <v>4</v>
      </c>
      <c r="AU18" s="238">
        <f>AU17+1</f>
        <v>3</v>
      </c>
      <c r="AV18" s="36">
        <v>0</v>
      </c>
      <c r="AW18" s="36">
        <v>0</v>
      </c>
      <c r="AX18" s="36">
        <v>300</v>
      </c>
      <c r="AY18" s="36">
        <v>2100</v>
      </c>
      <c r="AZ18" s="36">
        <v>5100</v>
      </c>
      <c r="BA18" s="36">
        <v>9600</v>
      </c>
      <c r="BB18" s="36">
        <v>17100</v>
      </c>
      <c r="BC18" s="36">
        <v>29100</v>
      </c>
      <c r="BD18" s="36">
        <v>47100</v>
      </c>
      <c r="BE18" s="36">
        <v>77100</v>
      </c>
      <c r="BF18" s="16">
        <v>10000</v>
      </c>
      <c r="BG18" s="16">
        <v>20000</v>
      </c>
      <c r="BH18" s="16">
        <v>30000</v>
      </c>
      <c r="BI18" s="16">
        <v>40000</v>
      </c>
      <c r="BJ18" s="16">
        <v>50000</v>
      </c>
      <c r="BK18" s="16">
        <v>60000</v>
      </c>
      <c r="BL18" s="16">
        <v>70000</v>
      </c>
      <c r="BM18" s="16">
        <v>80000</v>
      </c>
      <c r="BN18" s="16">
        <v>90000</v>
      </c>
      <c r="BO18" s="16">
        <v>100000</v>
      </c>
      <c r="BP18" s="36">
        <f t="shared" si="8"/>
        <v>116</v>
      </c>
      <c r="BQ18" s="16">
        <f t="shared" si="9"/>
        <v>290</v>
      </c>
      <c r="BR18" s="36">
        <f t="shared" si="10"/>
        <v>373</v>
      </c>
      <c r="BS18" s="16">
        <f t="shared" si="11"/>
        <v>502</v>
      </c>
      <c r="BT18" s="36">
        <f t="shared" si="12"/>
        <v>694</v>
      </c>
      <c r="BV18" s="153">
        <f t="shared" si="13"/>
        <v>115.65</v>
      </c>
      <c r="BW18" s="153">
        <f t="shared" si="14"/>
        <v>289.125</v>
      </c>
      <c r="BX18" s="153">
        <f t="shared" si="15"/>
        <v>372.64997430000005</v>
      </c>
      <c r="BY18" s="153">
        <f t="shared" si="16"/>
        <v>501.15</v>
      </c>
      <c r="BZ18" s="153">
        <f t="shared" si="17"/>
        <v>693.9</v>
      </c>
      <c r="CB18" s="262"/>
      <c r="CC18" s="256"/>
      <c r="CD18" s="238"/>
      <c r="CE18" s="238"/>
      <c r="CF18" s="236"/>
      <c r="CG18" s="236"/>
      <c r="CH18" s="238"/>
      <c r="CI18" s="256"/>
      <c r="CJ18" s="238"/>
      <c r="CK18" s="238"/>
      <c r="CL18" s="238"/>
      <c r="CM18" s="256"/>
      <c r="CN18" s="238"/>
      <c r="CO18" s="238"/>
      <c r="CP18" s="238"/>
      <c r="CQ18" s="238"/>
      <c r="CR18" s="238"/>
      <c r="CV18" s="238"/>
      <c r="CW18" s="238"/>
      <c r="CX18" s="238"/>
      <c r="CY18" s="238"/>
      <c r="CZ18" s="238"/>
      <c r="DA18" s="238"/>
      <c r="DB18" s="238"/>
      <c r="DC18" s="238"/>
      <c r="DD18" s="238"/>
      <c r="DF18" s="263" t="s">
        <v>399</v>
      </c>
      <c r="DG18" s="238">
        <f t="shared" si="31"/>
        <v>0</v>
      </c>
      <c r="DH18" s="238">
        <f t="shared" si="28"/>
        <v>0</v>
      </c>
      <c r="DI18" s="238">
        <f>DI17+1</f>
        <v>5</v>
      </c>
      <c r="DJ18" s="64">
        <v>1000</v>
      </c>
      <c r="DK18" s="64">
        <v>0</v>
      </c>
      <c r="DL18" s="64">
        <v>0</v>
      </c>
      <c r="DM18" s="64">
        <f t="shared" si="30"/>
        <v>0</v>
      </c>
      <c r="DN18" s="64">
        <f t="shared" si="24"/>
        <v>0</v>
      </c>
      <c r="DO18" s="64">
        <f t="shared" si="25"/>
        <v>0</v>
      </c>
      <c r="DP18" s="263" t="s">
        <v>400</v>
      </c>
      <c r="DQ18" s="238">
        <f t="shared" si="26"/>
        <v>0</v>
      </c>
      <c r="DR18" s="238">
        <f t="shared" si="27"/>
        <v>6</v>
      </c>
      <c r="DS18" s="64">
        <v>5000</v>
      </c>
      <c r="DT18" s="64">
        <v>0</v>
      </c>
      <c r="DU18" s="64">
        <v>0</v>
      </c>
      <c r="DV18" s="64">
        <f t="shared" si="18"/>
        <v>0</v>
      </c>
      <c r="DW18" s="64">
        <f t="shared" si="19"/>
        <v>0</v>
      </c>
      <c r="DX18" s="64">
        <f t="shared" si="20"/>
        <v>0</v>
      </c>
    </row>
    <row r="19" spans="1:132" ht="17.25" customHeight="1" thickBot="1">
      <c r="B19" s="632"/>
      <c r="C19" s="644"/>
      <c r="D19" s="99">
        <v>0</v>
      </c>
      <c r="E19" s="155"/>
      <c r="F19" s="22" t="s">
        <v>61</v>
      </c>
      <c r="G19" s="155"/>
      <c r="H19" s="2443"/>
      <c r="I19" s="2444"/>
      <c r="J19" s="2444"/>
      <c r="K19" s="151"/>
      <c r="W19" s="277"/>
      <c r="X19" s="2442" t="s">
        <v>363</v>
      </c>
      <c r="Y19" s="2442"/>
      <c r="Z19" s="65">
        <v>10</v>
      </c>
      <c r="AA19" s="239">
        <f>SUM(DM13:DM25)</f>
        <v>0</v>
      </c>
      <c r="AB19" s="239">
        <f>SUM(DN13:DN25)</f>
        <v>0</v>
      </c>
      <c r="AC19" s="239">
        <f>SUM(DO13:DO25)</f>
        <v>0</v>
      </c>
      <c r="AD19" s="38"/>
      <c r="AE19" s="238">
        <v>7</v>
      </c>
      <c r="AF19" s="238">
        <f t="shared" si="32"/>
        <v>0</v>
      </c>
      <c r="AG19" s="238">
        <f t="shared" si="32"/>
        <v>0</v>
      </c>
      <c r="AH19" s="238">
        <f t="shared" si="32"/>
        <v>15</v>
      </c>
      <c r="AI19" s="64">
        <f t="shared" si="22"/>
        <v>0</v>
      </c>
      <c r="AJ19" s="64">
        <f t="shared" si="0"/>
        <v>0</v>
      </c>
      <c r="AK19" s="64">
        <f t="shared" si="1"/>
        <v>0</v>
      </c>
      <c r="AL19" s="64">
        <f t="shared" si="2"/>
        <v>0</v>
      </c>
      <c r="AM19" s="238">
        <f t="shared" si="3"/>
        <v>74000</v>
      </c>
      <c r="AN19" s="64">
        <f t="shared" si="4"/>
        <v>0</v>
      </c>
      <c r="AO19" s="238">
        <f t="shared" si="5"/>
        <v>100000</v>
      </c>
      <c r="AP19" s="238">
        <f t="shared" si="6"/>
        <v>0</v>
      </c>
      <c r="AQ19" s="238">
        <f t="shared" si="7"/>
        <v>666</v>
      </c>
      <c r="AS19" s="269" t="s">
        <v>402</v>
      </c>
      <c r="AT19" s="238">
        <v>5</v>
      </c>
      <c r="AU19" s="238">
        <f>AU18+1</f>
        <v>4</v>
      </c>
      <c r="AV19" s="36">
        <v>0</v>
      </c>
      <c r="AW19" s="36">
        <v>0</v>
      </c>
      <c r="AX19" s="36">
        <v>300</v>
      </c>
      <c r="AY19" s="36">
        <v>1800</v>
      </c>
      <c r="AZ19" s="36">
        <v>5000</v>
      </c>
      <c r="BA19" s="36">
        <v>11000</v>
      </c>
      <c r="BB19" s="36">
        <v>20000</v>
      </c>
      <c r="BC19" s="36">
        <v>33500</v>
      </c>
      <c r="BD19" s="36">
        <v>51500</v>
      </c>
      <c r="BE19" s="36">
        <v>74000</v>
      </c>
      <c r="BF19" s="16">
        <v>10000</v>
      </c>
      <c r="BG19" s="16">
        <v>20000</v>
      </c>
      <c r="BH19" s="16">
        <v>30000</v>
      </c>
      <c r="BI19" s="16">
        <v>40000</v>
      </c>
      <c r="BJ19" s="16">
        <v>50000</v>
      </c>
      <c r="BK19" s="16">
        <v>60000</v>
      </c>
      <c r="BL19" s="16">
        <v>70000</v>
      </c>
      <c r="BM19" s="16">
        <v>80000</v>
      </c>
      <c r="BN19" s="16">
        <v>90000</v>
      </c>
      <c r="BO19" s="16">
        <v>100000</v>
      </c>
      <c r="BP19" s="36">
        <f t="shared" si="8"/>
        <v>111</v>
      </c>
      <c r="BQ19" s="16">
        <f t="shared" si="9"/>
        <v>278</v>
      </c>
      <c r="BR19" s="36">
        <f t="shared" si="10"/>
        <v>358</v>
      </c>
      <c r="BS19" s="16">
        <f t="shared" si="11"/>
        <v>481</v>
      </c>
      <c r="BT19" s="36">
        <f t="shared" si="12"/>
        <v>666</v>
      </c>
      <c r="BV19" s="153">
        <f t="shared" si="13"/>
        <v>111</v>
      </c>
      <c r="BW19" s="153">
        <f t="shared" si="14"/>
        <v>277.5</v>
      </c>
      <c r="BX19" s="153">
        <f t="shared" si="15"/>
        <v>357.66664200000002</v>
      </c>
      <c r="BY19" s="153">
        <f t="shared" si="16"/>
        <v>481</v>
      </c>
      <c r="BZ19" s="153">
        <f t="shared" si="17"/>
        <v>666</v>
      </c>
      <c r="CH19" s="64"/>
      <c r="CI19" s="256"/>
      <c r="CJ19" s="64"/>
      <c r="CK19" s="64"/>
      <c r="CL19" s="64"/>
      <c r="CM19" s="256"/>
      <c r="CN19" s="64"/>
      <c r="CO19" s="64"/>
      <c r="DF19" s="263" t="s">
        <v>403</v>
      </c>
      <c r="DG19" s="238">
        <f t="shared" si="31"/>
        <v>0</v>
      </c>
      <c r="DH19" s="238">
        <f>$DH$13</f>
        <v>0</v>
      </c>
      <c r="DI19" s="238">
        <f t="shared" si="29"/>
        <v>6</v>
      </c>
      <c r="DJ19" s="64">
        <v>15000</v>
      </c>
      <c r="DK19" s="64">
        <v>0</v>
      </c>
      <c r="DL19" s="64">
        <v>0</v>
      </c>
      <c r="DM19" s="64">
        <f t="shared" si="30"/>
        <v>0</v>
      </c>
      <c r="DN19" s="64">
        <f t="shared" si="24"/>
        <v>0</v>
      </c>
      <c r="DO19" s="64">
        <f t="shared" si="25"/>
        <v>0</v>
      </c>
      <c r="DP19" s="263" t="s">
        <v>404</v>
      </c>
      <c r="DQ19" s="238">
        <f t="shared" si="26"/>
        <v>0</v>
      </c>
      <c r="DR19" s="238">
        <f t="shared" si="27"/>
        <v>7</v>
      </c>
      <c r="DS19" s="64">
        <v>6000</v>
      </c>
      <c r="DT19" s="64">
        <v>0</v>
      </c>
      <c r="DU19" s="64">
        <v>0</v>
      </c>
      <c r="DV19" s="64">
        <f t="shared" si="18"/>
        <v>0</v>
      </c>
      <c r="DW19" s="64">
        <f t="shared" si="19"/>
        <v>0</v>
      </c>
      <c r="DX19" s="64">
        <f t="shared" si="20"/>
        <v>0</v>
      </c>
    </row>
    <row r="20" spans="1:132" ht="17.25" customHeight="1" thickBot="1">
      <c r="B20" s="627"/>
      <c r="C20" s="270" t="s">
        <v>405</v>
      </c>
      <c r="D20" s="271"/>
      <c r="E20" s="271"/>
      <c r="F20" s="271"/>
      <c r="G20" s="271"/>
      <c r="H20" s="2433">
        <f>SUM(AI42:AI45)</f>
        <v>0</v>
      </c>
      <c r="I20" s="2434">
        <f>SUM(AJ42:AJ45)</f>
        <v>0</v>
      </c>
      <c r="J20" s="2434">
        <f>SUM(AK42:AK45)</f>
        <v>0</v>
      </c>
      <c r="K20" s="151"/>
      <c r="W20" s="277"/>
      <c r="X20" s="2438" t="s">
        <v>364</v>
      </c>
      <c r="Y20" s="2438"/>
      <c r="Z20" s="23">
        <v>0</v>
      </c>
      <c r="AA20" s="240">
        <f>SUM(DV13:DV20)</f>
        <v>0</v>
      </c>
      <c r="AB20" s="240">
        <f>SUM(DW13:DW20)</f>
        <v>0</v>
      </c>
      <c r="AC20" s="240">
        <f>SUM(DX13:DX20)</f>
        <v>0</v>
      </c>
      <c r="AD20" s="38"/>
      <c r="AE20" s="238">
        <v>8</v>
      </c>
      <c r="AF20" s="238">
        <f>D17</f>
        <v>0</v>
      </c>
      <c r="AG20" s="238">
        <f>A6</f>
        <v>0</v>
      </c>
      <c r="AH20" s="238">
        <f>B6</f>
        <v>15</v>
      </c>
      <c r="AI20" s="64">
        <f t="shared" si="22"/>
        <v>0</v>
      </c>
      <c r="AJ20" s="64">
        <f t="shared" si="0"/>
        <v>0</v>
      </c>
      <c r="AK20" s="64">
        <f t="shared" si="1"/>
        <v>0</v>
      </c>
      <c r="AL20" s="64">
        <f t="shared" si="2"/>
        <v>0</v>
      </c>
      <c r="AM20" s="238">
        <f t="shared" si="3"/>
        <v>40300</v>
      </c>
      <c r="AN20" s="64">
        <f t="shared" si="4"/>
        <v>0</v>
      </c>
      <c r="AO20" s="238">
        <f t="shared" si="5"/>
        <v>50000</v>
      </c>
      <c r="AP20" s="238">
        <f t="shared" si="6"/>
        <v>0</v>
      </c>
      <c r="AQ20" s="238">
        <f t="shared" si="7"/>
        <v>363</v>
      </c>
      <c r="AS20" s="278" t="s">
        <v>406</v>
      </c>
      <c r="AT20" s="238">
        <v>1</v>
      </c>
      <c r="AU20" s="238">
        <v>0</v>
      </c>
      <c r="AV20" s="36">
        <v>0</v>
      </c>
      <c r="AW20" s="36">
        <v>0</v>
      </c>
      <c r="AX20" s="36">
        <v>300</v>
      </c>
      <c r="AY20" s="36">
        <v>1200</v>
      </c>
      <c r="AZ20" s="36">
        <v>2700</v>
      </c>
      <c r="BA20" s="36">
        <v>5000</v>
      </c>
      <c r="BB20" s="36">
        <v>10300</v>
      </c>
      <c r="BC20" s="36">
        <v>16300</v>
      </c>
      <c r="BD20" s="36">
        <v>25300</v>
      </c>
      <c r="BE20" s="36">
        <v>40300</v>
      </c>
      <c r="BF20" s="16">
        <v>5000</v>
      </c>
      <c r="BG20" s="16">
        <v>10000</v>
      </c>
      <c r="BH20" s="16">
        <v>15000</v>
      </c>
      <c r="BI20" s="16">
        <v>20000</v>
      </c>
      <c r="BJ20" s="16">
        <v>25000</v>
      </c>
      <c r="BK20" s="16">
        <v>30000</v>
      </c>
      <c r="BL20" s="16">
        <v>35000</v>
      </c>
      <c r="BM20" s="16">
        <v>40000</v>
      </c>
      <c r="BN20" s="16">
        <v>45000</v>
      </c>
      <c r="BO20" s="16">
        <v>50000</v>
      </c>
      <c r="BP20" s="36">
        <f t="shared" si="8"/>
        <v>61</v>
      </c>
      <c r="BQ20" s="16">
        <f t="shared" si="9"/>
        <v>152</v>
      </c>
      <c r="BR20" s="36">
        <f t="shared" si="10"/>
        <v>195</v>
      </c>
      <c r="BS20" s="16">
        <f t="shared" si="11"/>
        <v>262</v>
      </c>
      <c r="BT20" s="36">
        <f t="shared" si="12"/>
        <v>363</v>
      </c>
      <c r="BV20" s="153">
        <f t="shared" si="13"/>
        <v>60.45</v>
      </c>
      <c r="BW20" s="153">
        <f t="shared" si="14"/>
        <v>151.125</v>
      </c>
      <c r="BX20" s="153">
        <f t="shared" si="15"/>
        <v>194.78331989999998</v>
      </c>
      <c r="BY20" s="153">
        <f t="shared" si="16"/>
        <v>261.95</v>
      </c>
      <c r="BZ20" s="153">
        <f t="shared" si="17"/>
        <v>362.7</v>
      </c>
      <c r="CF20" s="95"/>
      <c r="CG20" s="95"/>
      <c r="CH20" s="64"/>
      <c r="CJ20" s="64"/>
      <c r="CK20" s="64"/>
      <c r="CL20" s="64"/>
      <c r="CN20" s="64"/>
      <c r="CO20" s="64"/>
      <c r="CT20" s="64"/>
      <c r="CU20" s="64"/>
      <c r="DF20" s="263" t="s">
        <v>407</v>
      </c>
      <c r="DG20" s="238">
        <f t="shared" si="31"/>
        <v>0</v>
      </c>
      <c r="DH20" s="238">
        <f t="shared" si="28"/>
        <v>0</v>
      </c>
      <c r="DI20" s="238">
        <f t="shared" si="29"/>
        <v>7</v>
      </c>
      <c r="DJ20" s="64">
        <v>40000</v>
      </c>
      <c r="DK20" s="64">
        <v>0</v>
      </c>
      <c r="DL20" s="64">
        <v>0</v>
      </c>
      <c r="DM20" s="64">
        <f t="shared" si="30"/>
        <v>0</v>
      </c>
      <c r="DN20" s="64">
        <f t="shared" si="24"/>
        <v>0</v>
      </c>
      <c r="DO20" s="64">
        <f t="shared" si="25"/>
        <v>0</v>
      </c>
      <c r="DP20" s="263" t="s">
        <v>408</v>
      </c>
      <c r="DQ20" s="238">
        <f t="shared" si="26"/>
        <v>0</v>
      </c>
      <c r="DR20" s="238">
        <f t="shared" si="27"/>
        <v>8</v>
      </c>
      <c r="DS20" s="64">
        <v>6000</v>
      </c>
      <c r="DT20" s="64">
        <v>0</v>
      </c>
      <c r="DU20" s="64">
        <v>0</v>
      </c>
      <c r="DV20" s="64">
        <f t="shared" si="18"/>
        <v>0</v>
      </c>
      <c r="DW20" s="64">
        <f t="shared" si="19"/>
        <v>0</v>
      </c>
      <c r="DX20" s="64">
        <f t="shared" si="20"/>
        <v>0</v>
      </c>
    </row>
    <row r="21" spans="1:132" ht="17.25" customHeight="1" thickBot="1">
      <c r="B21" s="628"/>
      <c r="C21" s="642"/>
      <c r="D21" s="81">
        <v>0</v>
      </c>
      <c r="E21" s="155"/>
      <c r="F21" s="106" t="s">
        <v>61</v>
      </c>
      <c r="G21" s="155"/>
      <c r="H21" s="2433"/>
      <c r="I21" s="2434"/>
      <c r="J21" s="2434"/>
      <c r="K21" s="151"/>
      <c r="W21" s="277"/>
      <c r="X21" s="2442" t="s">
        <v>410</v>
      </c>
      <c r="Y21" s="2442"/>
      <c r="Z21" s="65">
        <v>0</v>
      </c>
      <c r="AA21" s="239">
        <f>SUM(DV23:DV39)</f>
        <v>0</v>
      </c>
      <c r="AB21" s="239">
        <f>SUM(DW23:DW39)</f>
        <v>0</v>
      </c>
      <c r="AC21" s="239">
        <f>SUM(DX23:DX39)</f>
        <v>0</v>
      </c>
      <c r="AD21" s="38"/>
      <c r="AE21" s="238">
        <v>9</v>
      </c>
      <c r="AF21" s="238">
        <f t="shared" ref="AF21:AH26" si="33">AF$20</f>
        <v>0</v>
      </c>
      <c r="AG21" s="238">
        <f t="shared" si="33"/>
        <v>0</v>
      </c>
      <c r="AH21" s="238">
        <f t="shared" si="33"/>
        <v>15</v>
      </c>
      <c r="AI21" s="64">
        <f t="shared" si="22"/>
        <v>0</v>
      </c>
      <c r="AJ21" s="64">
        <f t="shared" si="0"/>
        <v>0</v>
      </c>
      <c r="AK21" s="64">
        <f t="shared" si="1"/>
        <v>0</v>
      </c>
      <c r="AL21" s="64">
        <f t="shared" si="2"/>
        <v>0</v>
      </c>
      <c r="AM21" s="238">
        <f t="shared" si="3"/>
        <v>40300</v>
      </c>
      <c r="AN21" s="64">
        <f t="shared" si="4"/>
        <v>0</v>
      </c>
      <c r="AO21" s="238">
        <f t="shared" si="5"/>
        <v>50000</v>
      </c>
      <c r="AP21" s="238">
        <f t="shared" si="6"/>
        <v>0</v>
      </c>
      <c r="AQ21" s="238">
        <f t="shared" si="7"/>
        <v>363</v>
      </c>
      <c r="AS21" s="278" t="s">
        <v>411</v>
      </c>
      <c r="AT21" s="238">
        <v>2</v>
      </c>
      <c r="AU21" s="238">
        <f t="shared" ref="AU21:AU25" si="34">AU20+1</f>
        <v>1</v>
      </c>
      <c r="AV21" s="36">
        <v>0</v>
      </c>
      <c r="AW21" s="36">
        <v>0</v>
      </c>
      <c r="AX21" s="36">
        <v>300</v>
      </c>
      <c r="AY21" s="36">
        <v>1200</v>
      </c>
      <c r="AZ21" s="36">
        <v>2700</v>
      </c>
      <c r="BA21" s="36">
        <v>5000</v>
      </c>
      <c r="BB21" s="36">
        <v>10300</v>
      </c>
      <c r="BC21" s="36">
        <v>16300</v>
      </c>
      <c r="BD21" s="36">
        <v>25300</v>
      </c>
      <c r="BE21" s="36">
        <v>40300</v>
      </c>
      <c r="BF21" s="16">
        <v>5000</v>
      </c>
      <c r="BG21" s="16">
        <v>10000</v>
      </c>
      <c r="BH21" s="16">
        <v>15000</v>
      </c>
      <c r="BI21" s="16">
        <v>20000</v>
      </c>
      <c r="BJ21" s="16">
        <v>25000</v>
      </c>
      <c r="BK21" s="16">
        <v>30000</v>
      </c>
      <c r="BL21" s="16">
        <v>35000</v>
      </c>
      <c r="BM21" s="16">
        <v>40000</v>
      </c>
      <c r="BN21" s="16">
        <v>45000</v>
      </c>
      <c r="BO21" s="16">
        <v>50000</v>
      </c>
      <c r="BP21" s="36">
        <f t="shared" si="8"/>
        <v>61</v>
      </c>
      <c r="BQ21" s="16">
        <f t="shared" si="9"/>
        <v>152</v>
      </c>
      <c r="BR21" s="36">
        <f t="shared" si="10"/>
        <v>195</v>
      </c>
      <c r="BS21" s="16">
        <f t="shared" si="11"/>
        <v>262</v>
      </c>
      <c r="BT21" s="36">
        <f t="shared" si="12"/>
        <v>363</v>
      </c>
      <c r="BV21" s="153">
        <f t="shared" si="13"/>
        <v>60.45</v>
      </c>
      <c r="BW21" s="153">
        <f t="shared" si="14"/>
        <v>151.125</v>
      </c>
      <c r="BX21" s="153">
        <f t="shared" si="15"/>
        <v>194.78331989999998</v>
      </c>
      <c r="BY21" s="153">
        <f t="shared" si="16"/>
        <v>261.95</v>
      </c>
      <c r="BZ21" s="153">
        <f t="shared" si="17"/>
        <v>362.7</v>
      </c>
      <c r="CF21" s="95"/>
      <c r="CG21" s="95"/>
      <c r="CH21" s="64"/>
      <c r="CL21" s="64"/>
      <c r="CN21" s="64"/>
      <c r="CO21" s="64"/>
      <c r="DF21" s="263" t="s">
        <v>412</v>
      </c>
      <c r="DG21" s="238">
        <f t="shared" si="31"/>
        <v>0</v>
      </c>
      <c r="DH21" s="238">
        <f t="shared" si="28"/>
        <v>0</v>
      </c>
      <c r="DI21" s="238">
        <f t="shared" si="29"/>
        <v>8</v>
      </c>
      <c r="DJ21" s="64">
        <v>3000</v>
      </c>
      <c r="DK21" s="64">
        <v>0</v>
      </c>
      <c r="DL21" s="64">
        <v>0</v>
      </c>
      <c r="DM21" s="64">
        <f t="shared" si="30"/>
        <v>0</v>
      </c>
      <c r="DN21" s="64">
        <f t="shared" si="24"/>
        <v>0</v>
      </c>
      <c r="DO21" s="64">
        <f t="shared" si="25"/>
        <v>0</v>
      </c>
      <c r="DP21" s="263"/>
      <c r="DQ21" s="238"/>
      <c r="DR21" s="238"/>
      <c r="DS21" s="64"/>
      <c r="DT21" s="64"/>
      <c r="DU21" s="64"/>
      <c r="DV21" s="64"/>
      <c r="DW21" s="64"/>
      <c r="DX21" s="64"/>
    </row>
    <row r="22" spans="1:132" ht="17.25" customHeight="1" thickBot="1">
      <c r="B22" s="629"/>
      <c r="C22" s="274" t="s">
        <v>413</v>
      </c>
      <c r="D22" s="275"/>
      <c r="E22" s="275"/>
      <c r="F22" s="275"/>
      <c r="G22" s="275"/>
      <c r="H22" s="2443">
        <f>SUM(AI46:AI49)</f>
        <v>0</v>
      </c>
      <c r="I22" s="2444">
        <f>SUM(AJ46:AJ49)</f>
        <v>0</v>
      </c>
      <c r="J22" s="2444">
        <f>SUM(AK46:AK49)</f>
        <v>0</v>
      </c>
      <c r="K22" s="151"/>
      <c r="W22" s="277"/>
      <c r="X22" s="2438" t="s">
        <v>414</v>
      </c>
      <c r="Y22" s="2438"/>
      <c r="Z22" s="23">
        <v>0</v>
      </c>
      <c r="AA22" s="240">
        <f>SUM(DV44:DV45)</f>
        <v>0</v>
      </c>
      <c r="AB22" s="240">
        <f>SUM(DW44:DW45)</f>
        <v>0</v>
      </c>
      <c r="AC22" s="240">
        <f>SUM(DX44:DX45)</f>
        <v>0</v>
      </c>
      <c r="AD22" s="38"/>
      <c r="AE22" s="238">
        <v>10</v>
      </c>
      <c r="AF22" s="238">
        <f t="shared" si="33"/>
        <v>0</v>
      </c>
      <c r="AG22" s="238">
        <f t="shared" si="33"/>
        <v>0</v>
      </c>
      <c r="AH22" s="238">
        <f t="shared" si="33"/>
        <v>15</v>
      </c>
      <c r="AI22" s="64">
        <f t="shared" si="22"/>
        <v>0</v>
      </c>
      <c r="AJ22" s="64">
        <f t="shared" si="0"/>
        <v>0</v>
      </c>
      <c r="AK22" s="64">
        <f t="shared" si="1"/>
        <v>0</v>
      </c>
      <c r="AL22" s="64">
        <f t="shared" si="2"/>
        <v>0</v>
      </c>
      <c r="AM22" s="238">
        <f t="shared" si="3"/>
        <v>40450</v>
      </c>
      <c r="AN22" s="64">
        <f t="shared" si="4"/>
        <v>0</v>
      </c>
      <c r="AO22" s="238">
        <f t="shared" si="5"/>
        <v>50000</v>
      </c>
      <c r="AP22" s="238">
        <f t="shared" si="6"/>
        <v>0</v>
      </c>
      <c r="AQ22" s="238">
        <f t="shared" si="7"/>
        <v>365</v>
      </c>
      <c r="AS22" s="278" t="s">
        <v>415</v>
      </c>
      <c r="AT22" s="238">
        <v>3</v>
      </c>
      <c r="AU22" s="238">
        <f t="shared" si="34"/>
        <v>2</v>
      </c>
      <c r="AV22" s="36">
        <v>0</v>
      </c>
      <c r="AW22" s="36">
        <v>0</v>
      </c>
      <c r="AX22" s="36">
        <v>450</v>
      </c>
      <c r="AY22" s="36">
        <v>1350</v>
      </c>
      <c r="AZ22" s="36">
        <v>2850</v>
      </c>
      <c r="BA22" s="36">
        <v>5150</v>
      </c>
      <c r="BB22" s="36">
        <v>10450</v>
      </c>
      <c r="BC22" s="36">
        <v>16450</v>
      </c>
      <c r="BD22" s="36">
        <v>25450</v>
      </c>
      <c r="BE22" s="36">
        <v>40450</v>
      </c>
      <c r="BF22" s="16">
        <v>5000</v>
      </c>
      <c r="BG22" s="16">
        <v>10000</v>
      </c>
      <c r="BH22" s="16">
        <v>15000</v>
      </c>
      <c r="BI22" s="16">
        <v>20000</v>
      </c>
      <c r="BJ22" s="16">
        <v>25000</v>
      </c>
      <c r="BK22" s="16">
        <v>30000</v>
      </c>
      <c r="BL22" s="16">
        <v>35000</v>
      </c>
      <c r="BM22" s="16">
        <v>40000</v>
      </c>
      <c r="BN22" s="16">
        <v>45000</v>
      </c>
      <c r="BO22" s="16">
        <v>50000</v>
      </c>
      <c r="BP22" s="36">
        <f t="shared" si="8"/>
        <v>61</v>
      </c>
      <c r="BQ22" s="16">
        <f t="shared" si="9"/>
        <v>152</v>
      </c>
      <c r="BR22" s="36">
        <f t="shared" si="10"/>
        <v>196</v>
      </c>
      <c r="BS22" s="16">
        <f t="shared" si="11"/>
        <v>263</v>
      </c>
      <c r="BT22" s="36">
        <f t="shared" si="12"/>
        <v>365</v>
      </c>
      <c r="BV22" s="153">
        <f t="shared" si="13"/>
        <v>60.674999999999997</v>
      </c>
      <c r="BW22" s="153">
        <f t="shared" si="14"/>
        <v>151.6875</v>
      </c>
      <c r="BX22" s="153">
        <f t="shared" si="15"/>
        <v>195.50831985000002</v>
      </c>
      <c r="BY22" s="153">
        <f t="shared" si="16"/>
        <v>262.92500000000001</v>
      </c>
      <c r="BZ22" s="153">
        <f t="shared" si="17"/>
        <v>364.05</v>
      </c>
      <c r="CF22" s="95"/>
      <c r="CG22" s="95"/>
      <c r="CH22" s="64"/>
      <c r="CJ22" s="64"/>
      <c r="CK22" s="64"/>
      <c r="CL22" s="64"/>
      <c r="CN22" s="64"/>
      <c r="CO22" s="64"/>
      <c r="CS22" s="64"/>
      <c r="CT22" s="255"/>
      <c r="CU22" s="255"/>
      <c r="DF22" s="263" t="s">
        <v>416</v>
      </c>
      <c r="DG22" s="238">
        <f t="shared" si="31"/>
        <v>0</v>
      </c>
      <c r="DH22" s="238">
        <f t="shared" si="28"/>
        <v>0</v>
      </c>
      <c r="DI22" s="238">
        <f t="shared" si="29"/>
        <v>9</v>
      </c>
      <c r="DJ22" s="64">
        <v>22000</v>
      </c>
      <c r="DK22" s="64">
        <v>0</v>
      </c>
      <c r="DL22" s="64">
        <v>0</v>
      </c>
      <c r="DM22" s="64">
        <f t="shared" si="30"/>
        <v>0</v>
      </c>
      <c r="DN22" s="64">
        <f t="shared" si="24"/>
        <v>0</v>
      </c>
      <c r="DO22" s="64">
        <f t="shared" si="25"/>
        <v>0</v>
      </c>
      <c r="DP22" s="263" t="s">
        <v>410</v>
      </c>
      <c r="DQ22" s="238">
        <f>VLOOKUP(X21, DP22:DR39, 3, FALSE)</f>
        <v>0</v>
      </c>
      <c r="DR22" s="238">
        <v>0</v>
      </c>
      <c r="DS22" s="64">
        <v>0</v>
      </c>
      <c r="DT22" s="64">
        <v>0</v>
      </c>
      <c r="DU22" s="64">
        <v>0</v>
      </c>
      <c r="DV22" s="64">
        <f t="shared" ref="DV22:DV39" si="35">IF(($DR22=$DQ22),DS22,0)</f>
        <v>0</v>
      </c>
      <c r="DW22" s="64">
        <f t="shared" ref="DW22:DW39" si="36">IF(($DR22=$DQ22),DT22,0)</f>
        <v>0</v>
      </c>
      <c r="DX22" s="64">
        <f t="shared" ref="DX22:DX39" si="37">IF(($DR22=$DQ22),DU22,0)</f>
        <v>0</v>
      </c>
    </row>
    <row r="23" spans="1:132" ht="17.25" customHeight="1" thickBot="1">
      <c r="B23" s="630"/>
      <c r="C23" s="643"/>
      <c r="D23" s="99">
        <v>0</v>
      </c>
      <c r="E23" s="155"/>
      <c r="F23" s="22" t="s">
        <v>61</v>
      </c>
      <c r="G23" s="155"/>
      <c r="H23" s="2443"/>
      <c r="I23" s="2444"/>
      <c r="J23" s="2444"/>
      <c r="K23" s="151"/>
      <c r="W23" s="277"/>
      <c r="X23" s="2442" t="s">
        <v>418</v>
      </c>
      <c r="Y23" s="2442"/>
      <c r="Z23" s="65">
        <v>0</v>
      </c>
      <c r="AA23" s="239">
        <f>SUM(DV48:DV54)</f>
        <v>0</v>
      </c>
      <c r="AB23" s="239">
        <f>SUM(DW48:DW54)</f>
        <v>0</v>
      </c>
      <c r="AC23" s="239">
        <f>SUM(DX48:DX54)</f>
        <v>0</v>
      </c>
      <c r="AD23" s="38"/>
      <c r="AE23" s="238">
        <v>11</v>
      </c>
      <c r="AF23" s="238">
        <f t="shared" si="33"/>
        <v>0</v>
      </c>
      <c r="AG23" s="238">
        <f t="shared" si="33"/>
        <v>0</v>
      </c>
      <c r="AH23" s="238">
        <f t="shared" si="33"/>
        <v>15</v>
      </c>
      <c r="AI23" s="64">
        <f t="shared" si="22"/>
        <v>0</v>
      </c>
      <c r="AJ23" s="64">
        <f t="shared" si="0"/>
        <v>0</v>
      </c>
      <c r="AK23" s="64">
        <f t="shared" si="1"/>
        <v>0</v>
      </c>
      <c r="AL23" s="64">
        <f t="shared" si="2"/>
        <v>0</v>
      </c>
      <c r="AM23" s="238">
        <f t="shared" si="3"/>
        <v>40450</v>
      </c>
      <c r="AN23" s="64">
        <f t="shared" si="4"/>
        <v>0</v>
      </c>
      <c r="AO23" s="238">
        <f t="shared" si="5"/>
        <v>50000</v>
      </c>
      <c r="AP23" s="238">
        <f t="shared" si="6"/>
        <v>0</v>
      </c>
      <c r="AQ23" s="238">
        <f t="shared" si="7"/>
        <v>365</v>
      </c>
      <c r="AS23" s="278" t="s">
        <v>392</v>
      </c>
      <c r="AT23" s="238">
        <v>4</v>
      </c>
      <c r="AU23" s="238">
        <f t="shared" si="34"/>
        <v>3</v>
      </c>
      <c r="AV23" s="36">
        <v>0</v>
      </c>
      <c r="AW23" s="36">
        <v>0</v>
      </c>
      <c r="AX23" s="36">
        <v>450</v>
      </c>
      <c r="AY23" s="36">
        <v>1350</v>
      </c>
      <c r="AZ23" s="36">
        <v>2850</v>
      </c>
      <c r="BA23" s="36">
        <v>5150</v>
      </c>
      <c r="BB23" s="36">
        <v>10450</v>
      </c>
      <c r="BC23" s="36">
        <v>16450</v>
      </c>
      <c r="BD23" s="36">
        <v>25450</v>
      </c>
      <c r="BE23" s="36">
        <v>40450</v>
      </c>
      <c r="BF23" s="16">
        <v>5000</v>
      </c>
      <c r="BG23" s="16">
        <v>10000</v>
      </c>
      <c r="BH23" s="16">
        <v>15000</v>
      </c>
      <c r="BI23" s="16">
        <v>20000</v>
      </c>
      <c r="BJ23" s="16">
        <v>25000</v>
      </c>
      <c r="BK23" s="16">
        <v>30000</v>
      </c>
      <c r="BL23" s="16">
        <v>35000</v>
      </c>
      <c r="BM23" s="16">
        <v>40000</v>
      </c>
      <c r="BN23" s="16">
        <v>45000</v>
      </c>
      <c r="BO23" s="16">
        <v>50000</v>
      </c>
      <c r="BP23" s="36">
        <f t="shared" si="8"/>
        <v>61</v>
      </c>
      <c r="BQ23" s="16">
        <f t="shared" si="9"/>
        <v>152</v>
      </c>
      <c r="BR23" s="36">
        <f t="shared" si="10"/>
        <v>196</v>
      </c>
      <c r="BS23" s="16">
        <f t="shared" si="11"/>
        <v>263</v>
      </c>
      <c r="BT23" s="36">
        <f t="shared" si="12"/>
        <v>365</v>
      </c>
      <c r="BV23" s="153">
        <f t="shared" si="13"/>
        <v>60.674999999999997</v>
      </c>
      <c r="BW23" s="153">
        <f t="shared" si="14"/>
        <v>151.6875</v>
      </c>
      <c r="BX23" s="153">
        <f t="shared" si="15"/>
        <v>195.50831985000002</v>
      </c>
      <c r="BY23" s="153">
        <f t="shared" si="16"/>
        <v>262.92500000000001</v>
      </c>
      <c r="BZ23" s="153">
        <f>SUM(((BE23*7.5)/1000))+(BV23:BV26)</f>
        <v>364.05</v>
      </c>
      <c r="CB23" s="262"/>
      <c r="CC23" s="256"/>
      <c r="CF23" s="236"/>
      <c r="CG23" s="236"/>
      <c r="CS23" s="255"/>
      <c r="CT23" s="255"/>
      <c r="CU23" s="255"/>
      <c r="DF23" s="263" t="s">
        <v>419</v>
      </c>
      <c r="DG23" s="238">
        <f t="shared" si="31"/>
        <v>0</v>
      </c>
      <c r="DH23" s="238">
        <f t="shared" si="28"/>
        <v>0</v>
      </c>
      <c r="DI23" s="238">
        <f t="shared" si="29"/>
        <v>10</v>
      </c>
      <c r="DJ23" s="64">
        <v>3000</v>
      </c>
      <c r="DK23" s="64">
        <v>0</v>
      </c>
      <c r="DL23" s="64">
        <v>0</v>
      </c>
      <c r="DM23" s="64">
        <f t="shared" si="30"/>
        <v>0</v>
      </c>
      <c r="DN23" s="64">
        <f t="shared" si="24"/>
        <v>0</v>
      </c>
      <c r="DO23" s="64">
        <f t="shared" si="25"/>
        <v>0</v>
      </c>
      <c r="DP23" s="263" t="s">
        <v>420</v>
      </c>
      <c r="DQ23" s="238">
        <f t="shared" ref="DQ23:DQ39" si="38">$DQ$22</f>
        <v>0</v>
      </c>
      <c r="DR23" s="238">
        <f t="shared" ref="DR23:DR39" si="39">DR22+1</f>
        <v>1</v>
      </c>
      <c r="DS23" s="64">
        <v>0</v>
      </c>
      <c r="DT23" s="64">
        <v>20000</v>
      </c>
      <c r="DU23" s="64">
        <v>0</v>
      </c>
      <c r="DV23" s="64">
        <f t="shared" si="35"/>
        <v>0</v>
      </c>
      <c r="DW23" s="64">
        <f t="shared" si="36"/>
        <v>0</v>
      </c>
      <c r="DX23" s="64">
        <f t="shared" si="37"/>
        <v>0</v>
      </c>
    </row>
    <row r="24" spans="1:132" s="153" customFormat="1" ht="17.25" customHeight="1" thickBot="1">
      <c r="B24" s="633"/>
      <c r="C24" s="279" t="s">
        <v>421</v>
      </c>
      <c r="D24" s="279"/>
      <c r="E24" s="279"/>
      <c r="F24" s="279"/>
      <c r="G24" s="279"/>
      <c r="H24" s="2467">
        <f>SUM(AI50:AI54)</f>
        <v>0</v>
      </c>
      <c r="I24" s="2468">
        <f>SUM(AJ50:AJ54)</f>
        <v>0</v>
      </c>
      <c r="J24" s="2468">
        <f>SUM(AK50:AK54)</f>
        <v>0</v>
      </c>
      <c r="K24" s="151"/>
      <c r="X24" s="26"/>
      <c r="Y24" s="26"/>
      <c r="Z24" s="77"/>
      <c r="AA24" s="63">
        <f>SUM(AA12:AA23)</f>
        <v>0</v>
      </c>
      <c r="AB24" s="63">
        <f>SUM(AB12:AB23)</f>
        <v>0</v>
      </c>
      <c r="AC24" s="63">
        <f>SUM(AC12:AC23)</f>
        <v>0</v>
      </c>
      <c r="AD24" s="21"/>
      <c r="AE24" s="238">
        <v>12</v>
      </c>
      <c r="AF24" s="238">
        <f t="shared" si="33"/>
        <v>0</v>
      </c>
      <c r="AG24" s="238">
        <f t="shared" si="33"/>
        <v>0</v>
      </c>
      <c r="AH24" s="238">
        <f t="shared" si="33"/>
        <v>15</v>
      </c>
      <c r="AI24" s="64">
        <f t="shared" si="22"/>
        <v>0</v>
      </c>
      <c r="AJ24" s="64">
        <f t="shared" si="0"/>
        <v>0</v>
      </c>
      <c r="AK24" s="64">
        <f t="shared" si="1"/>
        <v>0</v>
      </c>
      <c r="AL24" s="64">
        <f t="shared" si="2"/>
        <v>0</v>
      </c>
      <c r="AM24" s="238">
        <f t="shared" si="3"/>
        <v>40450</v>
      </c>
      <c r="AN24" s="64">
        <f t="shared" si="4"/>
        <v>0</v>
      </c>
      <c r="AO24" s="238">
        <f t="shared" si="5"/>
        <v>50000</v>
      </c>
      <c r="AP24" s="238">
        <f t="shared" si="6"/>
        <v>0</v>
      </c>
      <c r="AQ24" s="238">
        <f t="shared" si="7"/>
        <v>365</v>
      </c>
      <c r="AR24" s="260"/>
      <c r="AS24" s="278" t="s">
        <v>422</v>
      </c>
      <c r="AT24" s="238">
        <v>5</v>
      </c>
      <c r="AU24" s="238">
        <f t="shared" si="34"/>
        <v>4</v>
      </c>
      <c r="AV24" s="36">
        <v>0</v>
      </c>
      <c r="AW24" s="36">
        <v>0</v>
      </c>
      <c r="AX24" s="36">
        <v>450</v>
      </c>
      <c r="AY24" s="36">
        <v>1350</v>
      </c>
      <c r="AZ24" s="36">
        <v>2850</v>
      </c>
      <c r="BA24" s="36">
        <v>5150</v>
      </c>
      <c r="BB24" s="36">
        <v>10450</v>
      </c>
      <c r="BC24" s="36">
        <v>16450</v>
      </c>
      <c r="BD24" s="36">
        <v>25450</v>
      </c>
      <c r="BE24" s="36">
        <v>40450</v>
      </c>
      <c r="BF24" s="16">
        <v>5000</v>
      </c>
      <c r="BG24" s="16">
        <v>10000</v>
      </c>
      <c r="BH24" s="16">
        <v>15000</v>
      </c>
      <c r="BI24" s="16">
        <v>20000</v>
      </c>
      <c r="BJ24" s="16">
        <v>25000</v>
      </c>
      <c r="BK24" s="16">
        <v>30000</v>
      </c>
      <c r="BL24" s="16">
        <v>35000</v>
      </c>
      <c r="BM24" s="16">
        <v>40000</v>
      </c>
      <c r="BN24" s="16">
        <v>45000</v>
      </c>
      <c r="BO24" s="16">
        <v>50000</v>
      </c>
      <c r="BP24" s="36">
        <f t="shared" si="8"/>
        <v>61</v>
      </c>
      <c r="BQ24" s="16">
        <f t="shared" si="9"/>
        <v>152</v>
      </c>
      <c r="BR24" s="36">
        <f t="shared" si="10"/>
        <v>196</v>
      </c>
      <c r="BS24" s="16">
        <f t="shared" si="11"/>
        <v>263</v>
      </c>
      <c r="BT24" s="36">
        <f t="shared" si="12"/>
        <v>365</v>
      </c>
      <c r="BV24" s="153">
        <f t="shared" si="13"/>
        <v>60.674999999999997</v>
      </c>
      <c r="BW24" s="153">
        <f t="shared" si="14"/>
        <v>151.6875</v>
      </c>
      <c r="BX24" s="153">
        <f t="shared" si="15"/>
        <v>195.50831985000002</v>
      </c>
      <c r="BY24" s="153">
        <f>SUM(((BE24*5)/1000))+(BV24:BV26)</f>
        <v>262.92500000000001</v>
      </c>
      <c r="BZ24" s="153">
        <f>SUM(((BE24*7.5)/1000))+(BV24:BV27)</f>
        <v>364.05</v>
      </c>
      <c r="CC24" s="152"/>
      <c r="CD24" s="238"/>
      <c r="CE24" s="238"/>
      <c r="CF24" s="238"/>
      <c r="CG24" s="238"/>
      <c r="CH24" s="64"/>
      <c r="CJ24" s="238"/>
      <c r="CK24" s="238"/>
      <c r="CL24" s="64"/>
      <c r="CN24" s="64"/>
      <c r="CO24" s="64"/>
      <c r="CP24" s="238"/>
      <c r="CQ24" s="238"/>
      <c r="CR24" s="238"/>
      <c r="CS24" s="64"/>
      <c r="CT24" s="256"/>
      <c r="CU24" s="256"/>
      <c r="CV24" s="238"/>
      <c r="CW24" s="238"/>
      <c r="CX24" s="238"/>
      <c r="CY24" s="238"/>
      <c r="CZ24" s="238"/>
      <c r="DA24" s="238"/>
      <c r="DB24" s="238"/>
      <c r="DC24" s="238"/>
      <c r="DD24" s="238"/>
      <c r="DF24" s="263" t="s">
        <v>423</v>
      </c>
      <c r="DG24" s="238">
        <f t="shared" si="31"/>
        <v>0</v>
      </c>
      <c r="DH24" s="238">
        <f t="shared" si="28"/>
        <v>0</v>
      </c>
      <c r="DI24" s="238">
        <f t="shared" si="29"/>
        <v>11</v>
      </c>
      <c r="DJ24" s="64">
        <v>15000</v>
      </c>
      <c r="DK24" s="64">
        <v>0</v>
      </c>
      <c r="DL24" s="64">
        <v>0</v>
      </c>
      <c r="DM24" s="64">
        <f t="shared" si="30"/>
        <v>0</v>
      </c>
      <c r="DN24" s="64">
        <f t="shared" si="24"/>
        <v>0</v>
      </c>
      <c r="DO24" s="64">
        <f t="shared" si="25"/>
        <v>0</v>
      </c>
      <c r="DP24" s="263" t="s">
        <v>424</v>
      </c>
      <c r="DQ24" s="238">
        <f t="shared" si="38"/>
        <v>0</v>
      </c>
      <c r="DR24" s="238">
        <f t="shared" si="39"/>
        <v>2</v>
      </c>
      <c r="DS24" s="64">
        <v>0</v>
      </c>
      <c r="DT24" s="64">
        <v>30000</v>
      </c>
      <c r="DU24" s="64">
        <v>0</v>
      </c>
      <c r="DV24" s="64">
        <f t="shared" si="35"/>
        <v>0</v>
      </c>
      <c r="DW24" s="64">
        <f t="shared" si="36"/>
        <v>0</v>
      </c>
      <c r="DX24" s="64">
        <f t="shared" si="37"/>
        <v>0</v>
      </c>
    </row>
    <row r="25" spans="1:132" ht="17.25" customHeight="1" thickBot="1">
      <c r="B25" s="634"/>
      <c r="C25" s="645"/>
      <c r="D25" s="79">
        <v>0</v>
      </c>
      <c r="E25" s="155"/>
      <c r="F25" s="37" t="s">
        <v>61</v>
      </c>
      <c r="G25" s="155"/>
      <c r="H25" s="2467"/>
      <c r="I25" s="2468"/>
      <c r="J25" s="2468"/>
      <c r="K25" s="151"/>
      <c r="X25" s="263"/>
      <c r="AA25" s="280"/>
      <c r="AB25" s="280"/>
      <c r="AC25" s="280"/>
      <c r="AD25" s="64"/>
      <c r="AE25" s="238">
        <v>13</v>
      </c>
      <c r="AF25" s="238">
        <f t="shared" si="33"/>
        <v>0</v>
      </c>
      <c r="AG25" s="238">
        <f t="shared" si="33"/>
        <v>0</v>
      </c>
      <c r="AH25" s="238">
        <f t="shared" si="33"/>
        <v>15</v>
      </c>
      <c r="AI25" s="64">
        <f t="shared" si="22"/>
        <v>0</v>
      </c>
      <c r="AJ25" s="64">
        <f t="shared" si="0"/>
        <v>0</v>
      </c>
      <c r="AK25" s="64">
        <f t="shared" si="1"/>
        <v>0</v>
      </c>
      <c r="AL25" s="64">
        <f t="shared" si="2"/>
        <v>0</v>
      </c>
      <c r="AM25" s="238">
        <f t="shared" si="3"/>
        <v>40450</v>
      </c>
      <c r="AN25" s="64">
        <f t="shared" si="4"/>
        <v>0</v>
      </c>
      <c r="AO25" s="238">
        <f t="shared" si="5"/>
        <v>50000</v>
      </c>
      <c r="AP25" s="238">
        <f t="shared" si="6"/>
        <v>0</v>
      </c>
      <c r="AQ25" s="238">
        <f t="shared" si="7"/>
        <v>365</v>
      </c>
      <c r="AS25" s="278" t="s">
        <v>426</v>
      </c>
      <c r="AT25" s="238">
        <v>6</v>
      </c>
      <c r="AU25" s="238">
        <f t="shared" si="34"/>
        <v>5</v>
      </c>
      <c r="AV25" s="36">
        <v>0</v>
      </c>
      <c r="AW25" s="36">
        <v>0</v>
      </c>
      <c r="AX25" s="36">
        <v>450</v>
      </c>
      <c r="AY25" s="36">
        <v>1350</v>
      </c>
      <c r="AZ25" s="36">
        <v>2850</v>
      </c>
      <c r="BA25" s="36">
        <v>5150</v>
      </c>
      <c r="BB25" s="36">
        <v>10450</v>
      </c>
      <c r="BC25" s="36">
        <v>16450</v>
      </c>
      <c r="BD25" s="36">
        <v>25450</v>
      </c>
      <c r="BE25" s="36">
        <v>40450</v>
      </c>
      <c r="BF25" s="16">
        <v>5000</v>
      </c>
      <c r="BG25" s="16">
        <v>10000</v>
      </c>
      <c r="BH25" s="16">
        <v>15000</v>
      </c>
      <c r="BI25" s="16">
        <v>20000</v>
      </c>
      <c r="BJ25" s="16">
        <v>25000</v>
      </c>
      <c r="BK25" s="16">
        <v>30000</v>
      </c>
      <c r="BL25" s="16">
        <v>35000</v>
      </c>
      <c r="BM25" s="16">
        <v>40000</v>
      </c>
      <c r="BN25" s="16">
        <v>45000</v>
      </c>
      <c r="BO25" s="16">
        <v>50000</v>
      </c>
      <c r="BP25" s="36">
        <f t="shared" si="8"/>
        <v>61</v>
      </c>
      <c r="BQ25" s="16">
        <f t="shared" si="9"/>
        <v>152</v>
      </c>
      <c r="BR25" s="36">
        <f t="shared" si="10"/>
        <v>196</v>
      </c>
      <c r="BS25" s="16">
        <f t="shared" si="11"/>
        <v>263</v>
      </c>
      <c r="BT25" s="36">
        <f t="shared" si="12"/>
        <v>365</v>
      </c>
      <c r="BV25" s="153">
        <f t="shared" si="13"/>
        <v>60.674999999999997</v>
      </c>
      <c r="BW25" s="153">
        <f t="shared" si="14"/>
        <v>151.6875</v>
      </c>
      <c r="BX25" s="153">
        <f>SUM(((BE25*3.333333)/1000))+(BV25:BV26)</f>
        <v>195.50831985000002</v>
      </c>
      <c r="BY25" s="153">
        <f>SUM(((BE25*5)/1000))+(BV25:BV27)</f>
        <v>262.92500000000001</v>
      </c>
      <c r="BZ25" s="153">
        <f>SUM(((BE25*7.5)/1000))+(BV25:BV35)</f>
        <v>364.05</v>
      </c>
      <c r="CF25" s="95"/>
      <c r="CG25" s="95"/>
      <c r="CH25" s="64"/>
      <c r="CJ25" s="64"/>
      <c r="CK25" s="64"/>
      <c r="CL25" s="64"/>
      <c r="CN25" s="64"/>
      <c r="CO25" s="64"/>
      <c r="CS25" s="256"/>
      <c r="CT25" s="256"/>
      <c r="CU25" s="256"/>
      <c r="DF25" s="263" t="s">
        <v>427</v>
      </c>
      <c r="DG25" s="238">
        <f t="shared" si="31"/>
        <v>0</v>
      </c>
      <c r="DH25" s="238">
        <f t="shared" si="28"/>
        <v>0</v>
      </c>
      <c r="DI25" s="238">
        <f t="shared" si="29"/>
        <v>12</v>
      </c>
      <c r="DJ25" s="64">
        <v>12000</v>
      </c>
      <c r="DK25" s="64">
        <v>0</v>
      </c>
      <c r="DL25" s="64">
        <v>0</v>
      </c>
      <c r="DM25" s="64">
        <f t="shared" si="30"/>
        <v>0</v>
      </c>
      <c r="DN25" s="64">
        <f t="shared" si="24"/>
        <v>0</v>
      </c>
      <c r="DO25" s="64">
        <f t="shared" si="25"/>
        <v>0</v>
      </c>
      <c r="DP25" s="263" t="s">
        <v>428</v>
      </c>
      <c r="DQ25" s="238">
        <f t="shared" si="38"/>
        <v>0</v>
      </c>
      <c r="DR25" s="238">
        <f t="shared" si="39"/>
        <v>3</v>
      </c>
      <c r="DS25" s="64">
        <v>0</v>
      </c>
      <c r="DT25" s="64">
        <v>0</v>
      </c>
      <c r="DU25" s="64">
        <v>2000</v>
      </c>
      <c r="DV25" s="64">
        <f t="shared" si="35"/>
        <v>0</v>
      </c>
      <c r="DW25" s="64">
        <f t="shared" si="36"/>
        <v>0</v>
      </c>
      <c r="DX25" s="64">
        <f t="shared" si="37"/>
        <v>0</v>
      </c>
    </row>
    <row r="26" spans="1:132" ht="17.25" customHeight="1" thickBot="1">
      <c r="B26" s="281"/>
      <c r="C26" s="646"/>
      <c r="D26" s="283"/>
      <c r="E26" s="283"/>
      <c r="F26" s="283"/>
      <c r="G26" s="284"/>
      <c r="H26" s="63">
        <f>SUM(H12:H24)</f>
        <v>0</v>
      </c>
      <c r="I26" s="63">
        <f>SUM(I12:I24)</f>
        <v>0</v>
      </c>
      <c r="J26" s="63">
        <f>SUM(J12:J24)</f>
        <v>0</v>
      </c>
      <c r="K26" s="285"/>
      <c r="AD26" s="64"/>
      <c r="AE26" s="238">
        <v>14</v>
      </c>
      <c r="AF26" s="238">
        <f t="shared" si="33"/>
        <v>0</v>
      </c>
      <c r="AG26" s="238">
        <f t="shared" si="33"/>
        <v>0</v>
      </c>
      <c r="AH26" s="238">
        <f t="shared" si="33"/>
        <v>15</v>
      </c>
      <c r="AI26" s="64">
        <f t="shared" si="22"/>
        <v>0</v>
      </c>
      <c r="AJ26" s="64">
        <f t="shared" si="0"/>
        <v>0</v>
      </c>
      <c r="AK26" s="64">
        <f t="shared" si="1"/>
        <v>0</v>
      </c>
      <c r="AL26" s="64">
        <f t="shared" si="2"/>
        <v>0</v>
      </c>
      <c r="AM26" s="238">
        <f t="shared" si="3"/>
        <v>76500</v>
      </c>
      <c r="AN26" s="64">
        <f t="shared" si="4"/>
        <v>0</v>
      </c>
      <c r="AO26" s="238">
        <f t="shared" si="5"/>
        <v>100000</v>
      </c>
      <c r="AP26" s="238">
        <f t="shared" si="6"/>
        <v>0</v>
      </c>
      <c r="AQ26" s="238">
        <f t="shared" si="7"/>
        <v>689</v>
      </c>
      <c r="AS26" s="278" t="s">
        <v>429</v>
      </c>
      <c r="AT26" s="238">
        <v>7</v>
      </c>
      <c r="AU26" s="238">
        <f>AU25+1</f>
        <v>6</v>
      </c>
      <c r="AV26" s="36">
        <v>0</v>
      </c>
      <c r="AW26" s="36">
        <v>0</v>
      </c>
      <c r="AX26" s="36">
        <v>300</v>
      </c>
      <c r="AY26" s="36">
        <v>1500</v>
      </c>
      <c r="AZ26" s="36">
        <v>4500</v>
      </c>
      <c r="BA26" s="36">
        <v>9000</v>
      </c>
      <c r="BB26" s="36">
        <v>16500</v>
      </c>
      <c r="BC26" s="36">
        <v>28500</v>
      </c>
      <c r="BD26" s="36">
        <v>46500</v>
      </c>
      <c r="BE26" s="36">
        <v>76500</v>
      </c>
      <c r="BF26" s="16">
        <v>10000</v>
      </c>
      <c r="BG26" s="16">
        <v>20000</v>
      </c>
      <c r="BH26" s="16">
        <v>30000</v>
      </c>
      <c r="BI26" s="16">
        <v>40000</v>
      </c>
      <c r="BJ26" s="16">
        <v>50000</v>
      </c>
      <c r="BK26" s="16">
        <v>60000</v>
      </c>
      <c r="BL26" s="16">
        <v>70000</v>
      </c>
      <c r="BM26" s="16">
        <v>80000</v>
      </c>
      <c r="BN26" s="16">
        <v>90000</v>
      </c>
      <c r="BO26" s="16">
        <v>100000</v>
      </c>
      <c r="BP26" s="36">
        <f t="shared" si="8"/>
        <v>115</v>
      </c>
      <c r="BQ26" s="16">
        <f t="shared" si="9"/>
        <v>287</v>
      </c>
      <c r="BR26" s="36">
        <f t="shared" si="10"/>
        <v>370</v>
      </c>
      <c r="BS26" s="16">
        <f t="shared" si="11"/>
        <v>498</v>
      </c>
      <c r="BT26" s="36">
        <f t="shared" si="12"/>
        <v>689</v>
      </c>
      <c r="BV26" s="153">
        <f t="shared" si="13"/>
        <v>114.75</v>
      </c>
      <c r="BW26" s="153">
        <f t="shared" si="14"/>
        <v>286.875</v>
      </c>
      <c r="BX26" s="153">
        <f>SUM(((BE26*3.333333)/1000))+(BV26:BV27)</f>
        <v>369.74997450000001</v>
      </c>
      <c r="BY26" s="153">
        <f>SUM(((BE26*5)/1000))+(BV26:BV35)</f>
        <v>497.25</v>
      </c>
      <c r="BZ26" s="153">
        <f>SUM(((BE26*7.5)/1000))+(BV26:BV36)</f>
        <v>688.5</v>
      </c>
      <c r="CF26" s="95"/>
      <c r="CG26" s="95"/>
      <c r="CH26" s="64"/>
      <c r="CJ26" s="64"/>
      <c r="CK26" s="64"/>
      <c r="CL26" s="64"/>
      <c r="CN26" s="64"/>
      <c r="CO26" s="64"/>
      <c r="CS26" s="256"/>
      <c r="CT26" s="256"/>
      <c r="CU26" s="256"/>
      <c r="DF26" s="236" t="s">
        <v>430</v>
      </c>
      <c r="DG26" s="236"/>
      <c r="DH26" s="235"/>
      <c r="DI26" s="235"/>
      <c r="DJ26" s="237"/>
      <c r="DK26" s="237"/>
      <c r="DL26" s="237"/>
      <c r="DM26" s="237"/>
      <c r="DN26" s="237"/>
      <c r="DO26" s="237"/>
      <c r="DP26" s="263" t="s">
        <v>431</v>
      </c>
      <c r="DQ26" s="238">
        <f t="shared" si="38"/>
        <v>0</v>
      </c>
      <c r="DR26" s="238">
        <f>DR25+1</f>
        <v>4</v>
      </c>
      <c r="DS26" s="64">
        <v>2000</v>
      </c>
      <c r="DT26" s="64">
        <v>0</v>
      </c>
      <c r="DU26" s="64">
        <v>0</v>
      </c>
      <c r="DV26" s="64">
        <f t="shared" si="35"/>
        <v>0</v>
      </c>
      <c r="DW26" s="64">
        <f t="shared" si="36"/>
        <v>0</v>
      </c>
      <c r="DX26" s="64">
        <f t="shared" si="37"/>
        <v>0</v>
      </c>
    </row>
    <row r="27" spans="1:132" ht="17.25" customHeight="1">
      <c r="H27" s="282"/>
      <c r="I27" s="282"/>
      <c r="J27" s="282"/>
      <c r="AD27" s="64"/>
      <c r="AE27" s="238">
        <v>15</v>
      </c>
      <c r="AF27" s="238">
        <f>D19</f>
        <v>0</v>
      </c>
      <c r="AG27" s="238">
        <f>A5</f>
        <v>0</v>
      </c>
      <c r="AH27" s="238">
        <f>B5</f>
        <v>15</v>
      </c>
      <c r="AI27" s="64">
        <f t="shared" si="22"/>
        <v>0</v>
      </c>
      <c r="AJ27" s="64">
        <f t="shared" si="0"/>
        <v>0</v>
      </c>
      <c r="AK27" s="64">
        <f t="shared" si="1"/>
        <v>0</v>
      </c>
      <c r="AL27" s="64">
        <f t="shared" si="2"/>
        <v>0</v>
      </c>
      <c r="AM27" s="238">
        <f t="shared" si="3"/>
        <v>30800</v>
      </c>
      <c r="AN27" s="64">
        <f t="shared" si="4"/>
        <v>0</v>
      </c>
      <c r="AO27" s="238">
        <f t="shared" si="5"/>
        <v>25000</v>
      </c>
      <c r="AP27" s="238">
        <f t="shared" si="6"/>
        <v>0</v>
      </c>
      <c r="AQ27" s="238">
        <f t="shared" si="7"/>
        <v>278</v>
      </c>
      <c r="AS27" s="286" t="s">
        <v>432</v>
      </c>
      <c r="AT27" s="238">
        <v>1</v>
      </c>
      <c r="AU27" s="238">
        <v>0</v>
      </c>
      <c r="AV27" s="36">
        <v>0</v>
      </c>
      <c r="AW27" s="36">
        <v>0</v>
      </c>
      <c r="AX27" s="36">
        <v>300</v>
      </c>
      <c r="AY27" s="36">
        <v>900</v>
      </c>
      <c r="AZ27" s="36">
        <v>2000</v>
      </c>
      <c r="BA27" s="36">
        <v>3800</v>
      </c>
      <c r="BB27" s="36">
        <v>6800</v>
      </c>
      <c r="BC27" s="36">
        <v>11300</v>
      </c>
      <c r="BD27" s="36">
        <v>18800</v>
      </c>
      <c r="BE27" s="36">
        <v>30800</v>
      </c>
      <c r="BF27" s="16">
        <v>2500</v>
      </c>
      <c r="BG27" s="16">
        <v>5000</v>
      </c>
      <c r="BH27" s="16">
        <v>7500</v>
      </c>
      <c r="BI27" s="16">
        <v>10000</v>
      </c>
      <c r="BJ27" s="16">
        <v>12500</v>
      </c>
      <c r="BK27" s="16">
        <v>15000</v>
      </c>
      <c r="BL27" s="16">
        <v>17500</v>
      </c>
      <c r="BM27" s="16">
        <v>20000</v>
      </c>
      <c r="BN27" s="16">
        <v>22500</v>
      </c>
      <c r="BO27" s="16">
        <v>25000</v>
      </c>
      <c r="BP27" s="36">
        <f t="shared" si="8"/>
        <v>47</v>
      </c>
      <c r="BQ27" s="16">
        <f t="shared" si="9"/>
        <v>116</v>
      </c>
      <c r="BR27" s="36">
        <f t="shared" si="10"/>
        <v>149</v>
      </c>
      <c r="BS27" s="16">
        <f t="shared" si="11"/>
        <v>201</v>
      </c>
      <c r="BT27" s="36">
        <f t="shared" si="12"/>
        <v>278</v>
      </c>
      <c r="BV27" s="153">
        <f t="shared" si="13"/>
        <v>46.2</v>
      </c>
      <c r="BW27" s="153">
        <f t="shared" si="14"/>
        <v>115.5</v>
      </c>
      <c r="BX27" s="153">
        <f>SUM(((BE27*3.333333)/1000))+(BV27:BV35)</f>
        <v>148.86665640000001</v>
      </c>
      <c r="BY27" s="153">
        <f>SUM(((BE27*5)/1000))+(BV27:BV36)</f>
        <v>200.2</v>
      </c>
      <c r="BZ27" s="153">
        <f>SUM(((BE27*7.5)/1000))+(BV27:BV37)</f>
        <v>277.2</v>
      </c>
      <c r="CB27" s="236"/>
      <c r="CD27" s="236"/>
      <c r="CF27" s="95"/>
      <c r="CG27" s="95"/>
      <c r="CH27" s="2462"/>
      <c r="CI27" s="2462"/>
      <c r="CJ27" s="2462"/>
      <c r="CK27" s="2462"/>
      <c r="CL27" s="64"/>
      <c r="CM27" s="64"/>
      <c r="CN27" s="64"/>
      <c r="CO27" s="64"/>
      <c r="CS27" s="256"/>
      <c r="CT27" s="256"/>
      <c r="CU27" s="256"/>
      <c r="CY27" s="236"/>
      <c r="CZ27" s="236"/>
      <c r="DA27" s="236"/>
      <c r="DF27" s="287" t="s">
        <v>433</v>
      </c>
      <c r="DG27" s="238">
        <v>0</v>
      </c>
      <c r="DH27" s="238">
        <f>VLOOKUP(X12, DF27:DI47, 4, FALSE)</f>
        <v>0</v>
      </c>
      <c r="DI27" s="238">
        <v>0</v>
      </c>
      <c r="DJ27" s="3">
        <v>0</v>
      </c>
      <c r="DK27" s="3">
        <v>0</v>
      </c>
      <c r="DL27" s="3">
        <v>0</v>
      </c>
      <c r="DM27" s="64">
        <f t="shared" ref="DM27:DM85" si="40">ROUNDUP((DJ27*$DG27),0)</f>
        <v>0</v>
      </c>
      <c r="DN27" s="64">
        <f t="shared" ref="DN27:DN85" si="41">ROUNDUP((DK27*$DG27),0)</f>
        <v>0</v>
      </c>
      <c r="DO27" s="64">
        <f t="shared" ref="DO27:DO85" si="42">ROUNDUP((DL27*$DG27),0)</f>
        <v>0</v>
      </c>
      <c r="DP27" s="263" t="s">
        <v>434</v>
      </c>
      <c r="DQ27" s="238">
        <f t="shared" si="38"/>
        <v>0</v>
      </c>
      <c r="DR27" s="238">
        <f>DR26+1</f>
        <v>5</v>
      </c>
      <c r="DS27" s="64">
        <v>2500</v>
      </c>
      <c r="DT27" s="64">
        <v>0</v>
      </c>
      <c r="DU27" s="64">
        <v>0</v>
      </c>
      <c r="DV27" s="64">
        <f t="shared" si="35"/>
        <v>0</v>
      </c>
      <c r="DW27" s="64">
        <f t="shared" si="36"/>
        <v>0</v>
      </c>
      <c r="DX27" s="64">
        <f t="shared" si="37"/>
        <v>0</v>
      </c>
    </row>
    <row r="28" spans="1:132" s="367" customFormat="1" ht="17.25" hidden="1" customHeight="1" thickBot="1">
      <c r="A28" s="40"/>
      <c r="B28" s="93">
        <v>15</v>
      </c>
      <c r="C28" s="153"/>
      <c r="D28" s="152"/>
      <c r="E28" s="152"/>
      <c r="F28" s="152"/>
      <c r="G28" s="152"/>
      <c r="H28" s="721"/>
      <c r="I28" s="721"/>
      <c r="J28" s="721"/>
      <c r="K28" s="153"/>
      <c r="L28" s="153"/>
      <c r="M28" s="153"/>
      <c r="N28" s="153"/>
      <c r="O28" s="153"/>
      <c r="P28" s="153"/>
      <c r="Q28" s="153"/>
      <c r="R28" s="153"/>
      <c r="S28" s="153"/>
      <c r="T28" s="153"/>
      <c r="U28" s="153"/>
      <c r="V28" s="153"/>
      <c r="W28" s="153"/>
      <c r="X28" s="153"/>
      <c r="Y28" s="153"/>
      <c r="Z28" s="153"/>
      <c r="AA28" s="153"/>
      <c r="AB28" s="153"/>
      <c r="AC28" s="153"/>
      <c r="AD28" s="64"/>
      <c r="AE28" s="703"/>
      <c r="AF28" s="703"/>
      <c r="AG28" s="703"/>
      <c r="AH28" s="703"/>
      <c r="AI28" s="64"/>
      <c r="AJ28" s="64"/>
      <c r="AK28" s="64"/>
      <c r="AL28" s="64"/>
      <c r="AM28" s="703"/>
      <c r="AN28" s="64"/>
      <c r="AO28" s="703"/>
      <c r="AP28" s="703"/>
      <c r="AQ28" s="703"/>
      <c r="AR28" s="260"/>
      <c r="AS28" s="286"/>
      <c r="AT28" s="703"/>
      <c r="AU28" s="703"/>
      <c r="AV28" s="36"/>
      <c r="AW28" s="36"/>
      <c r="AX28" s="36"/>
      <c r="AY28" s="36"/>
      <c r="AZ28" s="36"/>
      <c r="BA28" s="36"/>
      <c r="BB28" s="36"/>
      <c r="BC28" s="36"/>
      <c r="BD28" s="36"/>
      <c r="BE28" s="36"/>
      <c r="BF28" s="16"/>
      <c r="BG28" s="16"/>
      <c r="BH28" s="16"/>
      <c r="BI28" s="16"/>
      <c r="BJ28" s="16"/>
      <c r="BK28" s="16"/>
      <c r="BL28" s="16"/>
      <c r="BM28" s="16"/>
      <c r="BN28" s="16"/>
      <c r="BO28" s="16"/>
      <c r="BP28" s="36"/>
      <c r="BQ28" s="16"/>
      <c r="BR28" s="36"/>
      <c r="BS28" s="16"/>
      <c r="BT28" s="36"/>
      <c r="BU28" s="153"/>
      <c r="BV28" s="153"/>
      <c r="BW28" s="153"/>
      <c r="BX28" s="153"/>
      <c r="BY28" s="153"/>
      <c r="BZ28" s="153"/>
      <c r="CA28" s="153"/>
      <c r="CB28" s="702"/>
      <c r="CC28" s="152"/>
      <c r="CD28" s="702"/>
      <c r="CE28" s="703"/>
      <c r="CF28" s="95"/>
      <c r="CG28" s="95"/>
      <c r="CH28" s="704"/>
      <c r="CI28" s="704"/>
      <c r="CJ28" s="704"/>
      <c r="CK28" s="704"/>
      <c r="CL28" s="64"/>
      <c r="CM28" s="64"/>
      <c r="CN28" s="64"/>
      <c r="CO28" s="64"/>
      <c r="CP28" s="703"/>
      <c r="CQ28" s="703"/>
      <c r="CR28" s="703"/>
      <c r="CS28" s="256"/>
      <c r="CT28" s="256"/>
      <c r="CU28" s="256"/>
      <c r="CV28" s="703"/>
      <c r="CW28" s="703"/>
      <c r="CX28" s="703"/>
      <c r="CY28" s="702"/>
      <c r="CZ28" s="702"/>
      <c r="DA28" s="702"/>
      <c r="DB28" s="703"/>
      <c r="DC28" s="703"/>
      <c r="DD28" s="703"/>
      <c r="DE28" s="153"/>
      <c r="DF28" s="287"/>
      <c r="DG28" s="703"/>
      <c r="DH28" s="703"/>
      <c r="DI28" s="703"/>
      <c r="DJ28" s="3"/>
      <c r="DK28" s="3"/>
      <c r="DL28" s="3"/>
      <c r="DM28" s="64"/>
      <c r="DN28" s="64"/>
      <c r="DO28" s="64"/>
      <c r="DP28" s="263"/>
      <c r="DQ28" s="703"/>
      <c r="DR28" s="703"/>
      <c r="DS28" s="64"/>
      <c r="DT28" s="64"/>
      <c r="DU28" s="64"/>
      <c r="DV28" s="64"/>
      <c r="DW28" s="64"/>
      <c r="DX28" s="64"/>
      <c r="DY28" s="153"/>
      <c r="DZ28" s="153"/>
      <c r="EA28" s="153"/>
      <c r="EB28" s="153"/>
    </row>
    <row r="29" spans="1:132" s="367" customFormat="1" ht="17.25" hidden="1" customHeight="1" thickBot="1">
      <c r="A29" s="59"/>
      <c r="B29" s="39">
        <v>15</v>
      </c>
      <c r="C29" s="153"/>
      <c r="D29" s="152"/>
      <c r="E29" s="152"/>
      <c r="F29" s="152"/>
      <c r="G29" s="152"/>
      <c r="H29" s="721"/>
      <c r="I29" s="721"/>
      <c r="J29" s="721"/>
      <c r="K29" s="153"/>
      <c r="L29" s="153"/>
      <c r="M29" s="153"/>
      <c r="N29" s="153"/>
      <c r="O29" s="153"/>
      <c r="P29" s="153"/>
      <c r="Q29" s="153"/>
      <c r="R29" s="153"/>
      <c r="S29" s="153"/>
      <c r="T29" s="153"/>
      <c r="U29" s="153"/>
      <c r="V29" s="153"/>
      <c r="W29" s="153"/>
      <c r="X29" s="153"/>
      <c r="Y29" s="153"/>
      <c r="Z29" s="153"/>
      <c r="AA29" s="153"/>
      <c r="AB29" s="153"/>
      <c r="AC29" s="153"/>
      <c r="AD29" s="64"/>
      <c r="AE29" s="703"/>
      <c r="AF29" s="703"/>
      <c r="AG29" s="703"/>
      <c r="AH29" s="703"/>
      <c r="AI29" s="64"/>
      <c r="AJ29" s="64"/>
      <c r="AK29" s="64"/>
      <c r="AL29" s="64"/>
      <c r="AM29" s="703"/>
      <c r="AN29" s="64"/>
      <c r="AO29" s="703"/>
      <c r="AP29" s="703"/>
      <c r="AQ29" s="703"/>
      <c r="AR29" s="260"/>
      <c r="AS29" s="286"/>
      <c r="AT29" s="703"/>
      <c r="AU29" s="703"/>
      <c r="AV29" s="36"/>
      <c r="AW29" s="36"/>
      <c r="AX29" s="36"/>
      <c r="AY29" s="36"/>
      <c r="AZ29" s="36"/>
      <c r="BA29" s="36"/>
      <c r="BB29" s="36"/>
      <c r="BC29" s="36"/>
      <c r="BD29" s="36"/>
      <c r="BE29" s="36"/>
      <c r="BF29" s="16"/>
      <c r="BG29" s="16"/>
      <c r="BH29" s="16"/>
      <c r="BI29" s="16"/>
      <c r="BJ29" s="16"/>
      <c r="BK29" s="16"/>
      <c r="BL29" s="16"/>
      <c r="BM29" s="16"/>
      <c r="BN29" s="16"/>
      <c r="BO29" s="16"/>
      <c r="BP29" s="36"/>
      <c r="BQ29" s="16"/>
      <c r="BR29" s="36"/>
      <c r="BS29" s="16"/>
      <c r="BT29" s="36"/>
      <c r="BU29" s="153"/>
      <c r="BV29" s="153"/>
      <c r="BW29" s="153"/>
      <c r="BX29" s="153"/>
      <c r="BY29" s="153"/>
      <c r="BZ29" s="153"/>
      <c r="CA29" s="153"/>
      <c r="CB29" s="702"/>
      <c r="CC29" s="152"/>
      <c r="CD29" s="702"/>
      <c r="CE29" s="703"/>
      <c r="CF29" s="95"/>
      <c r="CG29" s="95"/>
      <c r="CH29" s="704"/>
      <c r="CI29" s="704"/>
      <c r="CJ29" s="704"/>
      <c r="CK29" s="704"/>
      <c r="CL29" s="64"/>
      <c r="CM29" s="64"/>
      <c r="CN29" s="64"/>
      <c r="CO29" s="64"/>
      <c r="CP29" s="703"/>
      <c r="CQ29" s="703"/>
      <c r="CR29" s="703"/>
      <c r="CS29" s="256"/>
      <c r="CT29" s="256"/>
      <c r="CU29" s="256"/>
      <c r="CV29" s="703"/>
      <c r="CW29" s="703"/>
      <c r="CX29" s="703"/>
      <c r="CY29" s="702"/>
      <c r="CZ29" s="702"/>
      <c r="DA29" s="702"/>
      <c r="DB29" s="703"/>
      <c r="DC29" s="703"/>
      <c r="DD29" s="703"/>
      <c r="DE29" s="153"/>
      <c r="DF29" s="287"/>
      <c r="DG29" s="703"/>
      <c r="DH29" s="703"/>
      <c r="DI29" s="703"/>
      <c r="DJ29" s="3"/>
      <c r="DK29" s="3"/>
      <c r="DL29" s="3"/>
      <c r="DM29" s="64"/>
      <c r="DN29" s="64"/>
      <c r="DO29" s="64"/>
      <c r="DP29" s="263"/>
      <c r="DQ29" s="703"/>
      <c r="DR29" s="703"/>
      <c r="DS29" s="64"/>
      <c r="DT29" s="64"/>
      <c r="DU29" s="64"/>
      <c r="DV29" s="64"/>
      <c r="DW29" s="64"/>
      <c r="DX29" s="64"/>
      <c r="DY29" s="153"/>
      <c r="DZ29" s="153"/>
      <c r="EA29" s="153"/>
      <c r="EB29" s="153"/>
    </row>
    <row r="30" spans="1:132" s="367" customFormat="1" ht="17.25" hidden="1" customHeight="1" thickBot="1">
      <c r="A30" s="46"/>
      <c r="B30" s="28">
        <v>15</v>
      </c>
      <c r="C30" s="153"/>
      <c r="D30" s="152"/>
      <c r="E30" s="152"/>
      <c r="F30" s="152"/>
      <c r="G30" s="152"/>
      <c r="H30" s="721"/>
      <c r="I30" s="721"/>
      <c r="J30" s="721"/>
      <c r="K30" s="153"/>
      <c r="L30" s="153"/>
      <c r="M30" s="153"/>
      <c r="N30" s="153"/>
      <c r="O30" s="153"/>
      <c r="P30" s="153"/>
      <c r="Q30" s="153"/>
      <c r="R30" s="153"/>
      <c r="S30" s="153"/>
      <c r="T30" s="153"/>
      <c r="U30" s="153"/>
      <c r="V30" s="153"/>
      <c r="W30" s="153"/>
      <c r="X30" s="153"/>
      <c r="Y30" s="153"/>
      <c r="Z30" s="153"/>
      <c r="AA30" s="153"/>
      <c r="AB30" s="153"/>
      <c r="AC30" s="153"/>
      <c r="AD30" s="64"/>
      <c r="AE30" s="703"/>
      <c r="AF30" s="703"/>
      <c r="AG30" s="703"/>
      <c r="AH30" s="703"/>
      <c r="AI30" s="64"/>
      <c r="AJ30" s="64"/>
      <c r="AK30" s="64"/>
      <c r="AL30" s="64"/>
      <c r="AM30" s="703"/>
      <c r="AN30" s="64"/>
      <c r="AO30" s="703"/>
      <c r="AP30" s="703"/>
      <c r="AQ30" s="703"/>
      <c r="AR30" s="260"/>
      <c r="AS30" s="286"/>
      <c r="AT30" s="703"/>
      <c r="AU30" s="703"/>
      <c r="AV30" s="36"/>
      <c r="AW30" s="36"/>
      <c r="AX30" s="36"/>
      <c r="AY30" s="36"/>
      <c r="AZ30" s="36"/>
      <c r="BA30" s="36"/>
      <c r="BB30" s="36"/>
      <c r="BC30" s="36"/>
      <c r="BD30" s="36"/>
      <c r="BE30" s="36"/>
      <c r="BF30" s="16"/>
      <c r="BG30" s="16"/>
      <c r="BH30" s="16"/>
      <c r="BI30" s="16"/>
      <c r="BJ30" s="16"/>
      <c r="BK30" s="16"/>
      <c r="BL30" s="16"/>
      <c r="BM30" s="16"/>
      <c r="BN30" s="16"/>
      <c r="BO30" s="16"/>
      <c r="BP30" s="36"/>
      <c r="BQ30" s="16"/>
      <c r="BR30" s="36"/>
      <c r="BS30" s="16"/>
      <c r="BT30" s="36"/>
      <c r="BU30" s="153"/>
      <c r="BV30" s="153"/>
      <c r="BW30" s="153"/>
      <c r="BX30" s="153"/>
      <c r="BY30" s="153"/>
      <c r="BZ30" s="153"/>
      <c r="CA30" s="153"/>
      <c r="CB30" s="702"/>
      <c r="CC30" s="152"/>
      <c r="CD30" s="702"/>
      <c r="CE30" s="703"/>
      <c r="CF30" s="95"/>
      <c r="CG30" s="95"/>
      <c r="CH30" s="704"/>
      <c r="CI30" s="704"/>
      <c r="CJ30" s="704"/>
      <c r="CK30" s="704"/>
      <c r="CL30" s="64"/>
      <c r="CM30" s="64"/>
      <c r="CN30" s="64"/>
      <c r="CO30" s="64"/>
      <c r="CP30" s="703"/>
      <c r="CQ30" s="703"/>
      <c r="CR30" s="703"/>
      <c r="CS30" s="256"/>
      <c r="CT30" s="256"/>
      <c r="CU30" s="256"/>
      <c r="CV30" s="703"/>
      <c r="CW30" s="703"/>
      <c r="CX30" s="703"/>
      <c r="CY30" s="702"/>
      <c r="CZ30" s="702"/>
      <c r="DA30" s="702"/>
      <c r="DB30" s="703"/>
      <c r="DC30" s="703"/>
      <c r="DD30" s="703"/>
      <c r="DE30" s="153"/>
      <c r="DF30" s="287"/>
      <c r="DG30" s="703"/>
      <c r="DH30" s="703"/>
      <c r="DI30" s="703"/>
      <c r="DJ30" s="3"/>
      <c r="DK30" s="3"/>
      <c r="DL30" s="3"/>
      <c r="DM30" s="64"/>
      <c r="DN30" s="64"/>
      <c r="DO30" s="64"/>
      <c r="DP30" s="263"/>
      <c r="DQ30" s="703"/>
      <c r="DR30" s="703"/>
      <c r="DS30" s="64"/>
      <c r="DT30" s="64"/>
      <c r="DU30" s="64"/>
      <c r="DV30" s="64"/>
      <c r="DW30" s="64"/>
      <c r="DX30" s="64"/>
      <c r="DY30" s="153"/>
      <c r="DZ30" s="153"/>
      <c r="EA30" s="153"/>
      <c r="EB30" s="153"/>
    </row>
    <row r="31" spans="1:132" s="367" customFormat="1" ht="17.25" hidden="1" customHeight="1" thickBot="1">
      <c r="A31" s="59"/>
      <c r="B31" s="39">
        <v>10</v>
      </c>
      <c r="C31" s="153"/>
      <c r="D31" s="152"/>
      <c r="E31" s="152"/>
      <c r="F31" s="152"/>
      <c r="G31" s="152"/>
      <c r="H31" s="721"/>
      <c r="I31" s="721"/>
      <c r="J31" s="721"/>
      <c r="K31" s="153"/>
      <c r="L31" s="153"/>
      <c r="M31" s="153"/>
      <c r="N31" s="153"/>
      <c r="O31" s="153"/>
      <c r="P31" s="153"/>
      <c r="Q31" s="153"/>
      <c r="R31" s="153"/>
      <c r="S31" s="153"/>
      <c r="T31" s="153"/>
      <c r="U31" s="153"/>
      <c r="V31" s="153"/>
      <c r="W31" s="153"/>
      <c r="X31" s="153"/>
      <c r="Y31" s="153"/>
      <c r="Z31" s="153"/>
      <c r="AA31" s="153"/>
      <c r="AB31" s="153"/>
      <c r="AC31" s="153"/>
      <c r="AD31" s="64"/>
      <c r="AE31" s="703"/>
      <c r="AF31" s="703"/>
      <c r="AG31" s="703"/>
      <c r="AH31" s="703"/>
      <c r="AI31" s="64"/>
      <c r="AJ31" s="64"/>
      <c r="AK31" s="64"/>
      <c r="AL31" s="64"/>
      <c r="AM31" s="703"/>
      <c r="AN31" s="64"/>
      <c r="AO31" s="703"/>
      <c r="AP31" s="703"/>
      <c r="AQ31" s="703"/>
      <c r="AR31" s="260"/>
      <c r="AS31" s="286"/>
      <c r="AT31" s="703"/>
      <c r="AU31" s="703"/>
      <c r="AV31" s="36"/>
      <c r="AW31" s="36"/>
      <c r="AX31" s="36"/>
      <c r="AY31" s="36"/>
      <c r="AZ31" s="36"/>
      <c r="BA31" s="36"/>
      <c r="BB31" s="36"/>
      <c r="BC31" s="36"/>
      <c r="BD31" s="36"/>
      <c r="BE31" s="36"/>
      <c r="BF31" s="16"/>
      <c r="BG31" s="16"/>
      <c r="BH31" s="16"/>
      <c r="BI31" s="16"/>
      <c r="BJ31" s="16"/>
      <c r="BK31" s="16"/>
      <c r="BL31" s="16"/>
      <c r="BM31" s="16"/>
      <c r="BN31" s="16"/>
      <c r="BO31" s="16"/>
      <c r="BP31" s="36"/>
      <c r="BQ31" s="16"/>
      <c r="BR31" s="36"/>
      <c r="BS31" s="16"/>
      <c r="BT31" s="36"/>
      <c r="BU31" s="153"/>
      <c r="BV31" s="153"/>
      <c r="BW31" s="153"/>
      <c r="BX31" s="153"/>
      <c r="BY31" s="153"/>
      <c r="BZ31" s="153"/>
      <c r="CA31" s="153"/>
      <c r="CB31" s="702"/>
      <c r="CC31" s="152"/>
      <c r="CD31" s="702"/>
      <c r="CE31" s="703"/>
      <c r="CF31" s="95"/>
      <c r="CG31" s="95"/>
      <c r="CH31" s="704"/>
      <c r="CI31" s="704"/>
      <c r="CJ31" s="704"/>
      <c r="CK31" s="704"/>
      <c r="CL31" s="64"/>
      <c r="CM31" s="64"/>
      <c r="CN31" s="64"/>
      <c r="CO31" s="64"/>
      <c r="CP31" s="703"/>
      <c r="CQ31" s="703"/>
      <c r="CR31" s="703"/>
      <c r="CS31" s="256"/>
      <c r="CT31" s="256"/>
      <c r="CU31" s="256"/>
      <c r="CV31" s="703"/>
      <c r="CW31" s="703"/>
      <c r="CX31" s="703"/>
      <c r="CY31" s="702"/>
      <c r="CZ31" s="702"/>
      <c r="DA31" s="702"/>
      <c r="DB31" s="703"/>
      <c r="DC31" s="703"/>
      <c r="DD31" s="703"/>
      <c r="DE31" s="153"/>
      <c r="DF31" s="287"/>
      <c r="DG31" s="703"/>
      <c r="DH31" s="703"/>
      <c r="DI31" s="703"/>
      <c r="DJ31" s="3"/>
      <c r="DK31" s="3"/>
      <c r="DL31" s="3"/>
      <c r="DM31" s="64"/>
      <c r="DN31" s="64"/>
      <c r="DO31" s="64"/>
      <c r="DP31" s="263"/>
      <c r="DQ31" s="703"/>
      <c r="DR31" s="703"/>
      <c r="DS31" s="64"/>
      <c r="DT31" s="64"/>
      <c r="DU31" s="64"/>
      <c r="DV31" s="64"/>
      <c r="DW31" s="64"/>
      <c r="DX31" s="64"/>
      <c r="DY31" s="153"/>
      <c r="DZ31" s="153"/>
      <c r="EA31" s="153"/>
      <c r="EB31" s="153"/>
    </row>
    <row r="32" spans="1:132" s="367" customFormat="1" ht="17.25" hidden="1" customHeight="1" thickBot="1">
      <c r="A32" s="46"/>
      <c r="B32" s="28">
        <v>11</v>
      </c>
      <c r="C32" s="153"/>
      <c r="D32" s="152"/>
      <c r="E32" s="152"/>
      <c r="F32" s="152"/>
      <c r="G32" s="152"/>
      <c r="H32" s="721"/>
      <c r="I32" s="721"/>
      <c r="J32" s="721"/>
      <c r="K32" s="153"/>
      <c r="L32" s="153"/>
      <c r="M32" s="153"/>
      <c r="N32" s="153"/>
      <c r="O32" s="153"/>
      <c r="P32" s="153"/>
      <c r="Q32" s="153"/>
      <c r="R32" s="153"/>
      <c r="S32" s="153"/>
      <c r="T32" s="153"/>
      <c r="U32" s="153"/>
      <c r="V32" s="153"/>
      <c r="W32" s="153"/>
      <c r="X32" s="153"/>
      <c r="Y32" s="153"/>
      <c r="Z32" s="153"/>
      <c r="AA32" s="153"/>
      <c r="AB32" s="153"/>
      <c r="AC32" s="153"/>
      <c r="AD32" s="64"/>
      <c r="AE32" s="703"/>
      <c r="AF32" s="703"/>
      <c r="AG32" s="703"/>
      <c r="AH32" s="703"/>
      <c r="AI32" s="64"/>
      <c r="AJ32" s="64"/>
      <c r="AK32" s="64"/>
      <c r="AL32" s="64"/>
      <c r="AM32" s="703"/>
      <c r="AN32" s="64"/>
      <c r="AO32" s="703"/>
      <c r="AP32" s="703"/>
      <c r="AQ32" s="703"/>
      <c r="AR32" s="260"/>
      <c r="AS32" s="286"/>
      <c r="AT32" s="703"/>
      <c r="AU32" s="703"/>
      <c r="AV32" s="36"/>
      <c r="AW32" s="36"/>
      <c r="AX32" s="36"/>
      <c r="AY32" s="36"/>
      <c r="AZ32" s="36"/>
      <c r="BA32" s="36"/>
      <c r="BB32" s="36"/>
      <c r="BC32" s="36"/>
      <c r="BD32" s="36"/>
      <c r="BE32" s="36"/>
      <c r="BF32" s="16"/>
      <c r="BG32" s="16"/>
      <c r="BH32" s="16"/>
      <c r="BI32" s="16"/>
      <c r="BJ32" s="16"/>
      <c r="BK32" s="16"/>
      <c r="BL32" s="16"/>
      <c r="BM32" s="16"/>
      <c r="BN32" s="16"/>
      <c r="BO32" s="16"/>
      <c r="BP32" s="36"/>
      <c r="BQ32" s="16"/>
      <c r="BR32" s="36"/>
      <c r="BS32" s="16"/>
      <c r="BT32" s="36"/>
      <c r="BU32" s="153"/>
      <c r="BV32" s="153"/>
      <c r="BW32" s="153"/>
      <c r="BX32" s="153"/>
      <c r="BY32" s="153"/>
      <c r="BZ32" s="153"/>
      <c r="CA32" s="153"/>
      <c r="CB32" s="702"/>
      <c r="CC32" s="152"/>
      <c r="CD32" s="702"/>
      <c r="CE32" s="703"/>
      <c r="CF32" s="95"/>
      <c r="CG32" s="95"/>
      <c r="CH32" s="704"/>
      <c r="CI32" s="704"/>
      <c r="CJ32" s="704"/>
      <c r="CK32" s="704"/>
      <c r="CL32" s="64"/>
      <c r="CM32" s="64"/>
      <c r="CN32" s="64"/>
      <c r="CO32" s="64"/>
      <c r="CP32" s="703"/>
      <c r="CQ32" s="703"/>
      <c r="CR32" s="703"/>
      <c r="CS32" s="256"/>
      <c r="CT32" s="256"/>
      <c r="CU32" s="256"/>
      <c r="CV32" s="703"/>
      <c r="CW32" s="703"/>
      <c r="CX32" s="703"/>
      <c r="CY32" s="702"/>
      <c r="CZ32" s="702"/>
      <c r="DA32" s="702"/>
      <c r="DB32" s="703"/>
      <c r="DC32" s="703"/>
      <c r="DD32" s="703"/>
      <c r="DE32" s="153"/>
      <c r="DF32" s="287"/>
      <c r="DG32" s="703"/>
      <c r="DH32" s="703"/>
      <c r="DI32" s="703"/>
      <c r="DJ32" s="3"/>
      <c r="DK32" s="3"/>
      <c r="DL32" s="3"/>
      <c r="DM32" s="64"/>
      <c r="DN32" s="64"/>
      <c r="DO32" s="64"/>
      <c r="DP32" s="263"/>
      <c r="DQ32" s="703"/>
      <c r="DR32" s="703"/>
      <c r="DS32" s="64"/>
      <c r="DT32" s="64"/>
      <c r="DU32" s="64"/>
      <c r="DV32" s="64"/>
      <c r="DW32" s="64"/>
      <c r="DX32" s="64"/>
      <c r="DY32" s="153"/>
      <c r="DZ32" s="153"/>
      <c r="EA32" s="153"/>
      <c r="EB32" s="153"/>
    </row>
    <row r="33" spans="1:132" s="367" customFormat="1" ht="17.25" hidden="1" customHeight="1" thickBot="1">
      <c r="A33" s="59"/>
      <c r="B33" s="39">
        <v>5</v>
      </c>
      <c r="C33" s="153"/>
      <c r="D33" s="152"/>
      <c r="E33" s="152"/>
      <c r="F33" s="152"/>
      <c r="G33" s="152"/>
      <c r="H33" s="721"/>
      <c r="I33" s="721"/>
      <c r="J33" s="721"/>
      <c r="K33" s="153"/>
      <c r="L33" s="153"/>
      <c r="M33" s="153"/>
      <c r="N33" s="153"/>
      <c r="O33" s="153"/>
      <c r="P33" s="153"/>
      <c r="Q33" s="153"/>
      <c r="R33" s="153"/>
      <c r="S33" s="153"/>
      <c r="T33" s="153"/>
      <c r="U33" s="153"/>
      <c r="V33" s="153"/>
      <c r="W33" s="153"/>
      <c r="X33" s="153"/>
      <c r="Y33" s="153"/>
      <c r="Z33" s="153"/>
      <c r="AA33" s="153"/>
      <c r="AB33" s="153"/>
      <c r="AC33" s="153"/>
      <c r="AD33" s="64"/>
      <c r="AE33" s="703"/>
      <c r="AF33" s="703"/>
      <c r="AG33" s="703"/>
      <c r="AH33" s="703"/>
      <c r="AI33" s="64"/>
      <c r="AJ33" s="64"/>
      <c r="AK33" s="64"/>
      <c r="AL33" s="64"/>
      <c r="AM33" s="703"/>
      <c r="AN33" s="64"/>
      <c r="AO33" s="703"/>
      <c r="AP33" s="703"/>
      <c r="AQ33" s="703"/>
      <c r="AR33" s="260"/>
      <c r="AS33" s="286"/>
      <c r="AT33" s="703"/>
      <c r="AU33" s="703"/>
      <c r="AV33" s="36"/>
      <c r="AW33" s="36"/>
      <c r="AX33" s="36"/>
      <c r="AY33" s="36"/>
      <c r="AZ33" s="36"/>
      <c r="BA33" s="36"/>
      <c r="BB33" s="36"/>
      <c r="BC33" s="36"/>
      <c r="BD33" s="36"/>
      <c r="BE33" s="36"/>
      <c r="BF33" s="16"/>
      <c r="BG33" s="16"/>
      <c r="BH33" s="16"/>
      <c r="BI33" s="16"/>
      <c r="BJ33" s="16"/>
      <c r="BK33" s="16"/>
      <c r="BL33" s="16"/>
      <c r="BM33" s="16"/>
      <c r="BN33" s="16"/>
      <c r="BO33" s="16"/>
      <c r="BP33" s="36"/>
      <c r="BQ33" s="16"/>
      <c r="BR33" s="36"/>
      <c r="BS33" s="16"/>
      <c r="BT33" s="36"/>
      <c r="BU33" s="153"/>
      <c r="BV33" s="153"/>
      <c r="BW33" s="153"/>
      <c r="BX33" s="153"/>
      <c r="BY33" s="153"/>
      <c r="BZ33" s="153"/>
      <c r="CA33" s="153"/>
      <c r="CB33" s="702"/>
      <c r="CC33" s="152"/>
      <c r="CD33" s="702"/>
      <c r="CE33" s="703"/>
      <c r="CF33" s="95"/>
      <c r="CG33" s="95"/>
      <c r="CH33" s="704"/>
      <c r="CI33" s="704"/>
      <c r="CJ33" s="704"/>
      <c r="CK33" s="704"/>
      <c r="CL33" s="64"/>
      <c r="CM33" s="64"/>
      <c r="CN33" s="64"/>
      <c r="CO33" s="64"/>
      <c r="CP33" s="703"/>
      <c r="CQ33" s="703"/>
      <c r="CR33" s="703"/>
      <c r="CS33" s="256"/>
      <c r="CT33" s="256"/>
      <c r="CU33" s="256"/>
      <c r="CV33" s="703"/>
      <c r="CW33" s="703"/>
      <c r="CX33" s="703"/>
      <c r="CY33" s="702"/>
      <c r="CZ33" s="702"/>
      <c r="DA33" s="702"/>
      <c r="DB33" s="703"/>
      <c r="DC33" s="703"/>
      <c r="DD33" s="703"/>
      <c r="DE33" s="153"/>
      <c r="DF33" s="287"/>
      <c r="DG33" s="703"/>
      <c r="DH33" s="703"/>
      <c r="DI33" s="703"/>
      <c r="DJ33" s="3"/>
      <c r="DK33" s="3"/>
      <c r="DL33" s="3"/>
      <c r="DM33" s="64"/>
      <c r="DN33" s="64"/>
      <c r="DO33" s="64"/>
      <c r="DP33" s="263"/>
      <c r="DQ33" s="703"/>
      <c r="DR33" s="703"/>
      <c r="DS33" s="64"/>
      <c r="DT33" s="64"/>
      <c r="DU33" s="64"/>
      <c r="DV33" s="64"/>
      <c r="DW33" s="64"/>
      <c r="DX33" s="64"/>
      <c r="DY33" s="153"/>
      <c r="DZ33" s="153"/>
      <c r="EA33" s="153"/>
      <c r="EB33" s="153"/>
    </row>
    <row r="34" spans="1:132" ht="17.25" hidden="1" customHeight="1" thickBot="1">
      <c r="A34" s="87"/>
      <c r="B34" s="14">
        <v>15</v>
      </c>
      <c r="AD34" s="64"/>
      <c r="AE34" s="238"/>
      <c r="AF34" s="155"/>
      <c r="AG34" s="155"/>
      <c r="AH34" s="155"/>
      <c r="AI34" s="155"/>
      <c r="AJ34" s="155"/>
      <c r="AK34" s="155"/>
      <c r="AL34" s="155"/>
      <c r="AM34" s="155"/>
      <c r="AN34" s="155"/>
      <c r="AO34" s="155"/>
      <c r="AP34" s="155"/>
      <c r="AQ34" s="155"/>
      <c r="AR34" s="155"/>
      <c r="AS34" s="155"/>
      <c r="AT34" s="155"/>
      <c r="AU34" s="155"/>
      <c r="AV34" s="155"/>
      <c r="AW34" s="155"/>
      <c r="AX34" s="155"/>
      <c r="AY34" s="155"/>
      <c r="AZ34" s="155"/>
      <c r="BA34" s="155"/>
      <c r="BB34" s="155"/>
      <c r="BC34" s="155"/>
      <c r="BD34" s="155"/>
      <c r="BE34" s="155"/>
      <c r="BF34" s="155"/>
      <c r="BG34" s="155"/>
      <c r="BH34" s="155"/>
      <c r="BI34" s="155"/>
      <c r="BJ34" s="155"/>
      <c r="BK34" s="155"/>
      <c r="BL34" s="155"/>
      <c r="BM34" s="155"/>
      <c r="BN34" s="155"/>
      <c r="BO34" s="155"/>
      <c r="BP34" s="155"/>
      <c r="BQ34" s="155"/>
      <c r="BR34" s="155"/>
      <c r="BS34" s="155"/>
      <c r="BT34" s="155"/>
      <c r="BU34" s="155"/>
      <c r="BV34" s="155"/>
      <c r="BW34" s="155"/>
      <c r="BX34" s="155"/>
      <c r="BY34" s="155"/>
      <c r="BZ34" s="155"/>
      <c r="CA34" s="155"/>
      <c r="CB34" s="155"/>
      <c r="CD34" s="236"/>
      <c r="CH34" s="237"/>
      <c r="CJ34" s="237"/>
      <c r="CK34" s="237"/>
      <c r="CL34" s="237"/>
      <c r="CN34" s="237"/>
      <c r="CO34" s="237"/>
      <c r="CY34" s="237"/>
      <c r="CZ34" s="237"/>
      <c r="DA34" s="237"/>
      <c r="DF34" s="287" t="s">
        <v>436</v>
      </c>
      <c r="DG34" s="238">
        <f t="shared" ref="DG34:DG47" si="43">IF((DH34=DI34),$Z$12,0)</f>
        <v>0</v>
      </c>
      <c r="DH34" s="238">
        <f t="shared" ref="DH34:DH47" si="44">$DH$27</f>
        <v>0</v>
      </c>
      <c r="DI34" s="238">
        <f>DI27+1</f>
        <v>1</v>
      </c>
      <c r="DJ34" s="3">
        <v>0</v>
      </c>
      <c r="DK34" s="3">
        <v>1.5</v>
      </c>
      <c r="DL34" s="3">
        <v>0</v>
      </c>
      <c r="DM34" s="64">
        <f t="shared" si="40"/>
        <v>0</v>
      </c>
      <c r="DN34" s="64">
        <f t="shared" si="41"/>
        <v>0</v>
      </c>
      <c r="DO34" s="64">
        <f t="shared" si="42"/>
        <v>0</v>
      </c>
      <c r="DP34" s="263" t="s">
        <v>437</v>
      </c>
      <c r="DQ34" s="238">
        <f t="shared" si="38"/>
        <v>0</v>
      </c>
      <c r="DR34" s="238">
        <f>DR27+1</f>
        <v>6</v>
      </c>
      <c r="DS34" s="64">
        <v>3000</v>
      </c>
      <c r="DT34" s="64">
        <v>0</v>
      </c>
      <c r="DU34" s="64">
        <v>0</v>
      </c>
      <c r="DV34" s="64">
        <f t="shared" si="35"/>
        <v>0</v>
      </c>
      <c r="DW34" s="64">
        <f t="shared" si="36"/>
        <v>0</v>
      </c>
      <c r="DX34" s="64">
        <f t="shared" si="37"/>
        <v>0</v>
      </c>
    </row>
    <row r="35" spans="1:132" customFormat="1" ht="17.25" customHeight="1">
      <c r="AF35" s="238">
        <f t="shared" ref="AF35:AH41" si="45">AF$27</f>
        <v>0</v>
      </c>
      <c r="AG35" s="238">
        <f t="shared" si="45"/>
        <v>0</v>
      </c>
      <c r="AH35" s="238">
        <f t="shared" si="45"/>
        <v>15</v>
      </c>
      <c r="AI35" s="64">
        <f>IF(($AH35&lt;$AG35),0,IF(($AT35=$AU35),SUM(((AM35-AL35)*AF35)),0))</f>
        <v>0</v>
      </c>
      <c r="AJ35" s="64">
        <f>IF(($AH35&lt;$AG35),0,IF(($AT35=$AU35),SUM(((AO35-AN35)*AF35)),0))</f>
        <v>0</v>
      </c>
      <c r="AK35" s="64">
        <f>IF(($AH35&lt;$AG35),0,IF(($AT35=$AU35),SUM(((AQ35-AP35)*AF35)),0))</f>
        <v>0</v>
      </c>
      <c r="AL35" s="64">
        <f>IF(($AG35&lt;1),0,IF(($AG35=1),AV35,IF(($AG35=2),AW35,IF(($AG35=3),AX35,IF(($AG35=4),AY35,IF(($AG35=5),AZ35,IF(($AG35=6),BA35,IF(($AG35=7),BB35,IF(($AG35=8),BC35,IF(($AG35=9),BD35,IF(($AG35&gt;9),BE35)))))))))))</f>
        <v>0</v>
      </c>
      <c r="AM35" s="238">
        <f>IF(($AH35&lt;1),0,IF(($AH35=1),AV35,IF(($AH35=2),AW35,IF(($AH35=3),AX35,IF(($AH35=4),AY35,IF(($AH35=5),AZ35,IF(($AH35=6),BA35,IF(($AH35=7),BB35,IF(($AH35=8),BC35,IF(($AH35=9),BD35,IF(($AH35&gt;9),BE35)))))))))))</f>
        <v>30800</v>
      </c>
      <c r="AN35" s="64">
        <f>IF(($AG35&lt;1),0,IF(($AG35=1),BF35,IF(($AG35=2),BG35,IF(($AG35=3),BH35,IF(($AG35=4),BI35,IF(($AG35=5),BJ35,IF(($AG35=6),BK35,IF(($AG35=7),BL35,IF(($AG35=8),BM35,IF(($AG35=9),BN35,IF(($AG35&gt;9),BO35)))))))))))</f>
        <v>0</v>
      </c>
      <c r="AO35" s="238">
        <f>IF(($AH35&lt;1),0,IF(($AH35=1),BF35,IF(($AH35=2),BG35,IF(($AH35=3),BH35,IF(($AH35=4),BI35,IF(($AH35=5),BJ35,IF(($AH35=6),BK35,IF(($AH35=7),BL35,IF(($AH35=8),BM35,IF(($AH35=9),BN35,IF(($AH35&gt;9),BO35)))))))))))</f>
        <v>25000</v>
      </c>
      <c r="AP35" s="238">
        <f>IF(($AG35&lt;11),0,IF(($AG35=11),$BP35,IF(($AG35=12),$BQ35,IF(($AG35=13),$BR35,IF(($AG35&gt;13),$BS35)))))</f>
        <v>0</v>
      </c>
      <c r="AQ35" s="238">
        <f>IF(($AH35&lt;11),0,IF(($AH35=11),$BP35,IF(($AH35=12),$BQ35,IF(($AH35=13),$BR35,IF(($AH35=14),BS35,IF(($AH35&gt;14),$BT35))))))</f>
        <v>278</v>
      </c>
      <c r="AR35" s="260"/>
      <c r="AS35" s="286" t="s">
        <v>435</v>
      </c>
      <c r="AT35" s="238">
        <v>2</v>
      </c>
      <c r="AU35" s="238">
        <f>AU27+1</f>
        <v>1</v>
      </c>
      <c r="AV35" s="36">
        <v>0</v>
      </c>
      <c r="AW35" s="36">
        <v>0</v>
      </c>
      <c r="AX35" s="36">
        <v>300</v>
      </c>
      <c r="AY35" s="36">
        <v>900</v>
      </c>
      <c r="AZ35" s="36">
        <v>2000</v>
      </c>
      <c r="BA35" s="36">
        <v>3800</v>
      </c>
      <c r="BB35" s="36">
        <v>6800</v>
      </c>
      <c r="BC35" s="36">
        <v>11300</v>
      </c>
      <c r="BD35" s="36">
        <v>18800</v>
      </c>
      <c r="BE35" s="36">
        <v>30800</v>
      </c>
      <c r="BF35" s="16">
        <v>2500</v>
      </c>
      <c r="BG35" s="16">
        <v>5000</v>
      </c>
      <c r="BH35" s="16">
        <v>7500</v>
      </c>
      <c r="BI35" s="16">
        <v>10000</v>
      </c>
      <c r="BJ35" s="16">
        <v>12500</v>
      </c>
      <c r="BK35" s="16">
        <v>15000</v>
      </c>
      <c r="BL35" s="16">
        <v>17500</v>
      </c>
      <c r="BM35" s="16">
        <v>20000</v>
      </c>
      <c r="BN35" s="16">
        <v>22500</v>
      </c>
      <c r="BO35" s="16">
        <v>25000</v>
      </c>
      <c r="BP35" s="36">
        <f>SUM(ROUNDUP(BV35,0))</f>
        <v>47</v>
      </c>
      <c r="BQ35" s="16">
        <f>SUM(ROUNDUP(BW35,0))</f>
        <v>116</v>
      </c>
      <c r="BR35" s="36">
        <f>SUM(ROUNDUP(BX35,0))</f>
        <v>149</v>
      </c>
      <c r="BS35" s="16">
        <f>SUM(ROUNDUP(BY35,0))</f>
        <v>201</v>
      </c>
      <c r="BT35" s="36">
        <f>SUM(ROUNDUP(BZ35,0))</f>
        <v>278</v>
      </c>
      <c r="BU35" s="153"/>
      <c r="BV35" s="153">
        <f>SUM(((BE35*1.5)/1000))</f>
        <v>46.2</v>
      </c>
      <c r="BW35" s="153">
        <f>SUM((((BE35*2.25)/1000)+(BV35)))</f>
        <v>115.5</v>
      </c>
      <c r="BX35" s="153">
        <f>SUM(((BE35*3.333333)/1000))+(BV35:BV36)</f>
        <v>148.86665640000001</v>
      </c>
      <c r="BY35" s="153">
        <f>SUM(((BE35*5)/1000))+(BV35:BV37)</f>
        <v>200.2</v>
      </c>
      <c r="BZ35" s="153">
        <f>SUM(((BE35*7.5)/1000))+(BV35:BV38)</f>
        <v>277.2</v>
      </c>
      <c r="CA35" s="153"/>
      <c r="CB35" s="249"/>
    </row>
    <row r="36" spans="1:132" ht="17.25" customHeight="1">
      <c r="B36" s="288"/>
      <c r="C36" s="647"/>
      <c r="D36" s="290"/>
      <c r="E36" s="290"/>
      <c r="F36" s="290"/>
      <c r="G36" s="290"/>
      <c r="H36" s="289"/>
      <c r="I36" s="289"/>
      <c r="J36" s="289"/>
      <c r="L36" s="288"/>
      <c r="M36" s="288"/>
      <c r="N36" s="288"/>
      <c r="O36" s="288"/>
      <c r="P36" s="288"/>
      <c r="Q36" s="288"/>
      <c r="R36" s="288"/>
      <c r="S36" s="288"/>
      <c r="T36" s="288"/>
      <c r="U36" s="288"/>
      <c r="V36" s="288"/>
      <c r="X36" s="288"/>
      <c r="Y36" s="288"/>
      <c r="Z36" s="288"/>
      <c r="AA36" s="288"/>
      <c r="AB36" s="288"/>
      <c r="AC36" s="288"/>
      <c r="AD36" s="64"/>
      <c r="AE36" s="238"/>
      <c r="AF36" s="238">
        <f t="shared" si="45"/>
        <v>0</v>
      </c>
      <c r="AG36" s="238">
        <f t="shared" si="45"/>
        <v>0</v>
      </c>
      <c r="AH36" s="238">
        <f t="shared" si="45"/>
        <v>15</v>
      </c>
      <c r="AI36" s="64">
        <f t="shared" si="22"/>
        <v>0</v>
      </c>
      <c r="AJ36" s="64">
        <f t="shared" si="0"/>
        <v>0</v>
      </c>
      <c r="AK36" s="64">
        <f t="shared" si="1"/>
        <v>0</v>
      </c>
      <c r="AL36" s="64">
        <f t="shared" si="2"/>
        <v>0</v>
      </c>
      <c r="AM36" s="238">
        <f t="shared" si="3"/>
        <v>19125</v>
      </c>
      <c r="AN36" s="64">
        <f t="shared" si="4"/>
        <v>0</v>
      </c>
      <c r="AO36" s="238">
        <f t="shared" si="5"/>
        <v>20000</v>
      </c>
      <c r="AP36" s="238">
        <f t="shared" si="6"/>
        <v>0</v>
      </c>
      <c r="AQ36" s="238">
        <f t="shared" si="7"/>
        <v>173</v>
      </c>
      <c r="AS36" s="286" t="s">
        <v>438</v>
      </c>
      <c r="AT36" s="238">
        <v>3</v>
      </c>
      <c r="AU36" s="238">
        <f>AU35+1</f>
        <v>2</v>
      </c>
      <c r="AV36" s="36">
        <v>0</v>
      </c>
      <c r="AW36" s="36">
        <v>0</v>
      </c>
      <c r="AX36" s="36">
        <v>75</v>
      </c>
      <c r="AY36" s="36">
        <v>375</v>
      </c>
      <c r="AZ36" s="36">
        <v>1125</v>
      </c>
      <c r="BA36" s="36">
        <v>2225</v>
      </c>
      <c r="BB36" s="36">
        <v>4125</v>
      </c>
      <c r="BC36" s="36">
        <v>7125</v>
      </c>
      <c r="BD36" s="36">
        <v>11625</v>
      </c>
      <c r="BE36" s="36">
        <v>19125</v>
      </c>
      <c r="BF36" s="16">
        <v>2000</v>
      </c>
      <c r="BG36" s="16">
        <v>4000</v>
      </c>
      <c r="BH36" s="16">
        <v>6000</v>
      </c>
      <c r="BI36" s="16">
        <v>8000</v>
      </c>
      <c r="BJ36" s="16">
        <v>10000</v>
      </c>
      <c r="BK36" s="16">
        <v>12000</v>
      </c>
      <c r="BL36" s="16">
        <v>14000</v>
      </c>
      <c r="BM36" s="16">
        <v>16000</v>
      </c>
      <c r="BN36" s="16">
        <v>18000</v>
      </c>
      <c r="BO36" s="16">
        <v>20000</v>
      </c>
      <c r="BP36" s="36">
        <f t="shared" si="8"/>
        <v>29</v>
      </c>
      <c r="BQ36" s="16">
        <f t="shared" si="9"/>
        <v>72</v>
      </c>
      <c r="BR36" s="36">
        <f t="shared" si="10"/>
        <v>93</v>
      </c>
      <c r="BS36" s="16">
        <f t="shared" si="11"/>
        <v>125</v>
      </c>
      <c r="BT36" s="36">
        <f t="shared" si="12"/>
        <v>173</v>
      </c>
      <c r="BV36" s="153">
        <f t="shared" si="13"/>
        <v>28.6875</v>
      </c>
      <c r="BW36" s="153">
        <f t="shared" si="14"/>
        <v>71.71875</v>
      </c>
      <c r="BX36" s="153">
        <f t="shared" si="15"/>
        <v>92.437493625000002</v>
      </c>
      <c r="BY36" s="153">
        <f t="shared" si="16"/>
        <v>124.3125</v>
      </c>
      <c r="BZ36" s="153">
        <f t="shared" si="17"/>
        <v>172.125</v>
      </c>
      <c r="CB36" s="262"/>
      <c r="DF36" s="287" t="s">
        <v>439</v>
      </c>
      <c r="DG36" s="238">
        <f>IF((DH36=DI36),$Z$12,0)</f>
        <v>0</v>
      </c>
      <c r="DH36" s="238">
        <f t="shared" si="44"/>
        <v>0</v>
      </c>
      <c r="DI36" s="238">
        <f>DI34+1</f>
        <v>2</v>
      </c>
      <c r="DJ36" s="3">
        <v>0</v>
      </c>
      <c r="DK36" s="3">
        <v>10</v>
      </c>
      <c r="DL36" s="3">
        <v>0</v>
      </c>
      <c r="DM36" s="64">
        <f t="shared" si="40"/>
        <v>0</v>
      </c>
      <c r="DN36" s="64">
        <f t="shared" si="41"/>
        <v>0</v>
      </c>
      <c r="DO36" s="64">
        <f t="shared" si="42"/>
        <v>0</v>
      </c>
      <c r="DP36" s="263" t="s">
        <v>440</v>
      </c>
      <c r="DQ36" s="238">
        <f t="shared" si="38"/>
        <v>0</v>
      </c>
      <c r="DR36" s="238">
        <f>DR34+1</f>
        <v>7</v>
      </c>
      <c r="DS36" s="64">
        <v>3000</v>
      </c>
      <c r="DT36" s="64">
        <v>0</v>
      </c>
      <c r="DU36" s="64">
        <v>0</v>
      </c>
      <c r="DV36" s="64">
        <f t="shared" si="35"/>
        <v>0</v>
      </c>
      <c r="DW36" s="64">
        <f t="shared" si="36"/>
        <v>0</v>
      </c>
      <c r="DX36" s="64">
        <f t="shared" si="37"/>
        <v>0</v>
      </c>
    </row>
    <row r="37" spans="1:132" ht="17.25" customHeight="1">
      <c r="A37" s="2474">
        <v>2</v>
      </c>
      <c r="B37" s="243"/>
      <c r="C37" s="243"/>
      <c r="D37" s="2450" t="s">
        <v>311</v>
      </c>
      <c r="E37" s="2459" t="s">
        <v>312</v>
      </c>
      <c r="F37" s="2460"/>
      <c r="G37" s="2461"/>
      <c r="H37" s="2451" t="s">
        <v>313</v>
      </c>
      <c r="I37" s="2452"/>
      <c r="J37" s="2453"/>
      <c r="K37" s="244"/>
      <c r="L37" s="2454" t="s">
        <v>441</v>
      </c>
      <c r="M37" s="2455"/>
      <c r="N37" s="2455"/>
      <c r="O37" s="2455"/>
      <c r="P37" s="2455"/>
      <c r="Q37" s="2455"/>
      <c r="R37" s="2455"/>
      <c r="S37" s="2455"/>
      <c r="T37" s="2455"/>
      <c r="U37" s="2455"/>
      <c r="V37" s="2456"/>
      <c r="W37" s="244"/>
      <c r="X37" s="2457" t="s">
        <v>315</v>
      </c>
      <c r="Y37" s="2457"/>
      <c r="Z37" s="2457"/>
      <c r="AA37" s="2457"/>
      <c r="AB37" s="2457"/>
      <c r="AC37" s="2457"/>
      <c r="AD37" s="61"/>
      <c r="AE37" s="238"/>
      <c r="AF37" s="238">
        <f t="shared" si="45"/>
        <v>0</v>
      </c>
      <c r="AG37" s="238">
        <f t="shared" si="45"/>
        <v>0</v>
      </c>
      <c r="AH37" s="238">
        <f t="shared" si="45"/>
        <v>15</v>
      </c>
      <c r="AI37" s="64">
        <f t="shared" si="22"/>
        <v>0</v>
      </c>
      <c r="AJ37" s="64">
        <f t="shared" si="0"/>
        <v>0</v>
      </c>
      <c r="AK37" s="64">
        <f t="shared" si="1"/>
        <v>0</v>
      </c>
      <c r="AL37" s="64">
        <f t="shared" si="2"/>
        <v>0</v>
      </c>
      <c r="AM37" s="238">
        <f t="shared" si="3"/>
        <v>43325</v>
      </c>
      <c r="AN37" s="64">
        <f t="shared" si="4"/>
        <v>0</v>
      </c>
      <c r="AO37" s="238">
        <f t="shared" si="5"/>
        <v>40000</v>
      </c>
      <c r="AP37" s="238">
        <f t="shared" si="6"/>
        <v>0</v>
      </c>
      <c r="AQ37" s="238">
        <f t="shared" si="7"/>
        <v>390</v>
      </c>
      <c r="AS37" s="286" t="s">
        <v>442</v>
      </c>
      <c r="AT37" s="238">
        <v>4</v>
      </c>
      <c r="AU37" s="238">
        <f t="shared" ref="AU37:AU41" si="46">AU36+1</f>
        <v>3</v>
      </c>
      <c r="AV37" s="36">
        <v>5000</v>
      </c>
      <c r="AW37" s="36">
        <v>5075</v>
      </c>
      <c r="AX37" s="36">
        <v>5225</v>
      </c>
      <c r="AY37" s="36">
        <v>5825</v>
      </c>
      <c r="AZ37" s="36">
        <v>7325</v>
      </c>
      <c r="BA37" s="36">
        <v>9525</v>
      </c>
      <c r="BB37" s="36">
        <v>13325</v>
      </c>
      <c r="BC37" s="36">
        <v>19325</v>
      </c>
      <c r="BD37" s="36">
        <v>28325</v>
      </c>
      <c r="BE37" s="36">
        <v>43325</v>
      </c>
      <c r="BF37" s="16">
        <v>4000</v>
      </c>
      <c r="BG37" s="16">
        <v>8000</v>
      </c>
      <c r="BH37" s="16">
        <v>12000</v>
      </c>
      <c r="BI37" s="16">
        <v>16000</v>
      </c>
      <c r="BJ37" s="16">
        <v>20000</v>
      </c>
      <c r="BK37" s="16">
        <v>24000</v>
      </c>
      <c r="BL37" s="16">
        <v>28000</v>
      </c>
      <c r="BM37" s="16">
        <v>32000</v>
      </c>
      <c r="BN37" s="16">
        <v>36000</v>
      </c>
      <c r="BO37" s="16">
        <v>40000</v>
      </c>
      <c r="BP37" s="36">
        <f t="shared" si="8"/>
        <v>65</v>
      </c>
      <c r="BQ37" s="16">
        <f t="shared" si="9"/>
        <v>163</v>
      </c>
      <c r="BR37" s="36">
        <f t="shared" si="10"/>
        <v>210</v>
      </c>
      <c r="BS37" s="16">
        <f t="shared" si="11"/>
        <v>282</v>
      </c>
      <c r="BT37" s="36">
        <f t="shared" si="12"/>
        <v>390</v>
      </c>
      <c r="BV37" s="153">
        <f t="shared" si="13"/>
        <v>64.987499999999997</v>
      </c>
      <c r="BW37" s="153">
        <f t="shared" si="14"/>
        <v>162.46875</v>
      </c>
      <c r="BX37" s="153">
        <f t="shared" si="15"/>
        <v>209.40415222500002</v>
      </c>
      <c r="BY37" s="153">
        <f t="shared" si="16"/>
        <v>281.61250000000001</v>
      </c>
      <c r="BZ37" s="153">
        <f t="shared" si="17"/>
        <v>389.92500000000001</v>
      </c>
      <c r="CE37" s="236"/>
      <c r="CF37" s="236"/>
      <c r="CG37" s="236"/>
      <c r="CH37" s="64"/>
      <c r="CI37" s="256"/>
      <c r="CJ37" s="64"/>
      <c r="CK37" s="64"/>
      <c r="CL37" s="64"/>
      <c r="CM37" s="256"/>
      <c r="CN37" s="64"/>
      <c r="CO37" s="64"/>
      <c r="DF37" s="287" t="s">
        <v>443</v>
      </c>
      <c r="DG37" s="238">
        <f t="shared" si="43"/>
        <v>0</v>
      </c>
      <c r="DH37" s="238">
        <f t="shared" si="44"/>
        <v>0</v>
      </c>
      <c r="DI37" s="238">
        <f t="shared" ref="DI37:DI47" si="47">DI36+1</f>
        <v>3</v>
      </c>
      <c r="DJ37" s="3">
        <v>0.5</v>
      </c>
      <c r="DK37" s="3">
        <v>5</v>
      </c>
      <c r="DL37" s="3">
        <v>0</v>
      </c>
      <c r="DM37" s="64">
        <f t="shared" si="40"/>
        <v>0</v>
      </c>
      <c r="DN37" s="64">
        <f t="shared" si="41"/>
        <v>0</v>
      </c>
      <c r="DO37" s="64">
        <f t="shared" si="42"/>
        <v>0</v>
      </c>
      <c r="DP37" s="263" t="s">
        <v>444</v>
      </c>
      <c r="DQ37" s="238">
        <f t="shared" si="38"/>
        <v>0</v>
      </c>
      <c r="DR37" s="238">
        <f t="shared" si="39"/>
        <v>8</v>
      </c>
      <c r="DS37" s="64">
        <v>5000</v>
      </c>
      <c r="DT37" s="64">
        <v>0</v>
      </c>
      <c r="DU37" s="64">
        <v>0</v>
      </c>
      <c r="DV37" s="64">
        <f t="shared" si="35"/>
        <v>0</v>
      </c>
      <c r="DW37" s="64">
        <f t="shared" si="36"/>
        <v>0</v>
      </c>
      <c r="DX37" s="64">
        <f t="shared" si="37"/>
        <v>0</v>
      </c>
    </row>
    <row r="38" spans="1:132" s="153" customFormat="1" ht="17.25" customHeight="1">
      <c r="A38" s="2474"/>
      <c r="B38" s="98"/>
      <c r="C38" s="98"/>
      <c r="D38" s="2450"/>
      <c r="E38" s="250" t="s">
        <v>336</v>
      </c>
      <c r="F38" s="251" t="s">
        <v>61</v>
      </c>
      <c r="G38" s="252" t="s">
        <v>337</v>
      </c>
      <c r="H38" s="250" t="s">
        <v>322</v>
      </c>
      <c r="I38" s="251" t="s">
        <v>323</v>
      </c>
      <c r="J38" s="252" t="s">
        <v>338</v>
      </c>
      <c r="K38" s="244"/>
      <c r="L38" s="2454"/>
      <c r="M38" s="2455"/>
      <c r="N38" s="2455"/>
      <c r="O38" s="2455"/>
      <c r="P38" s="2455"/>
      <c r="Q38" s="2455"/>
      <c r="R38" s="2455"/>
      <c r="S38" s="2455"/>
      <c r="T38" s="2455"/>
      <c r="U38" s="2455"/>
      <c r="V38" s="2456"/>
      <c r="W38" s="66"/>
      <c r="X38" s="2457" t="s">
        <v>339</v>
      </c>
      <c r="Y38" s="2457"/>
      <c r="Z38" s="241" t="s">
        <v>340</v>
      </c>
      <c r="AA38" s="241" t="s">
        <v>322</v>
      </c>
      <c r="AB38" s="241" t="s">
        <v>323</v>
      </c>
      <c r="AC38" s="241" t="s">
        <v>341</v>
      </c>
      <c r="AD38" s="61"/>
      <c r="AE38" s="238"/>
      <c r="AF38" s="238">
        <f t="shared" si="45"/>
        <v>0</v>
      </c>
      <c r="AG38" s="238">
        <f t="shared" si="45"/>
        <v>0</v>
      </c>
      <c r="AH38" s="238">
        <f t="shared" si="45"/>
        <v>15</v>
      </c>
      <c r="AI38" s="64">
        <f t="shared" si="22"/>
        <v>0</v>
      </c>
      <c r="AJ38" s="64">
        <f t="shared" si="0"/>
        <v>0</v>
      </c>
      <c r="AK38" s="64">
        <f t="shared" si="1"/>
        <v>0</v>
      </c>
      <c r="AL38" s="64">
        <f t="shared" si="2"/>
        <v>0</v>
      </c>
      <c r="AM38" s="238">
        <f t="shared" si="3"/>
        <v>30800</v>
      </c>
      <c r="AN38" s="64">
        <f t="shared" si="4"/>
        <v>0</v>
      </c>
      <c r="AO38" s="238">
        <f t="shared" si="5"/>
        <v>30000</v>
      </c>
      <c r="AP38" s="238">
        <f t="shared" si="6"/>
        <v>0</v>
      </c>
      <c r="AQ38" s="238">
        <f t="shared" si="7"/>
        <v>278</v>
      </c>
      <c r="AR38" s="260"/>
      <c r="AS38" s="286" t="s">
        <v>445</v>
      </c>
      <c r="AT38" s="238">
        <v>5</v>
      </c>
      <c r="AU38" s="238">
        <f t="shared" si="46"/>
        <v>4</v>
      </c>
      <c r="AV38" s="36">
        <v>0</v>
      </c>
      <c r="AW38" s="36">
        <v>0</v>
      </c>
      <c r="AX38" s="36">
        <v>300</v>
      </c>
      <c r="AY38" s="36">
        <v>900</v>
      </c>
      <c r="AZ38" s="36">
        <v>2000</v>
      </c>
      <c r="BA38" s="36">
        <v>3800</v>
      </c>
      <c r="BB38" s="36">
        <v>6800</v>
      </c>
      <c r="BC38" s="36">
        <v>11300</v>
      </c>
      <c r="BD38" s="36">
        <v>18800</v>
      </c>
      <c r="BE38" s="36">
        <v>30800</v>
      </c>
      <c r="BF38" s="16">
        <v>3000</v>
      </c>
      <c r="BG38" s="16">
        <v>6000</v>
      </c>
      <c r="BH38" s="16">
        <v>9000</v>
      </c>
      <c r="BI38" s="16">
        <v>12000</v>
      </c>
      <c r="BJ38" s="16">
        <v>15000</v>
      </c>
      <c r="BK38" s="16">
        <v>18000</v>
      </c>
      <c r="BL38" s="16">
        <v>21000</v>
      </c>
      <c r="BM38" s="16">
        <v>24000</v>
      </c>
      <c r="BN38" s="16">
        <v>27000</v>
      </c>
      <c r="BO38" s="16">
        <v>30000</v>
      </c>
      <c r="BP38" s="36">
        <f t="shared" si="8"/>
        <v>47</v>
      </c>
      <c r="BQ38" s="16">
        <f t="shared" si="9"/>
        <v>116</v>
      </c>
      <c r="BR38" s="36">
        <f t="shared" si="10"/>
        <v>149</v>
      </c>
      <c r="BS38" s="16">
        <f t="shared" si="11"/>
        <v>201</v>
      </c>
      <c r="BT38" s="36">
        <f t="shared" si="12"/>
        <v>278</v>
      </c>
      <c r="BV38" s="153">
        <f t="shared" si="13"/>
        <v>46.2</v>
      </c>
      <c r="BW38" s="153">
        <f t="shared" si="14"/>
        <v>115.5</v>
      </c>
      <c r="BX38" s="153">
        <f t="shared" si="15"/>
        <v>148.86665640000001</v>
      </c>
      <c r="BY38" s="153">
        <f t="shared" si="16"/>
        <v>200.2</v>
      </c>
      <c r="BZ38" s="153">
        <f t="shared" si="17"/>
        <v>277.2</v>
      </c>
      <c r="CC38" s="152"/>
      <c r="CD38" s="238"/>
      <c r="CE38" s="95"/>
      <c r="CF38" s="95"/>
      <c r="CG38" s="95"/>
      <c r="CH38" s="64"/>
      <c r="CI38" s="256"/>
      <c r="CJ38" s="64"/>
      <c r="CK38" s="64"/>
      <c r="CL38" s="64"/>
      <c r="CM38" s="256"/>
      <c r="CN38" s="64"/>
      <c r="CO38" s="64"/>
      <c r="CP38" s="238"/>
      <c r="CQ38" s="238"/>
      <c r="CR38" s="238"/>
      <c r="CV38" s="238"/>
      <c r="CW38" s="238"/>
      <c r="CX38" s="238"/>
      <c r="CY38" s="238"/>
      <c r="CZ38" s="238"/>
      <c r="DA38" s="238"/>
      <c r="DB38" s="238"/>
      <c r="DC38" s="238"/>
      <c r="DD38" s="238"/>
      <c r="DF38" s="287" t="s">
        <v>446</v>
      </c>
      <c r="DG38" s="238">
        <f t="shared" si="43"/>
        <v>0</v>
      </c>
      <c r="DH38" s="238">
        <f t="shared" si="44"/>
        <v>0</v>
      </c>
      <c r="DI38" s="238">
        <f t="shared" si="47"/>
        <v>4</v>
      </c>
      <c r="DJ38" s="3">
        <v>2</v>
      </c>
      <c r="DK38" s="3">
        <v>0</v>
      </c>
      <c r="DL38" s="3">
        <v>0</v>
      </c>
      <c r="DM38" s="64">
        <f t="shared" si="40"/>
        <v>0</v>
      </c>
      <c r="DN38" s="64">
        <f t="shared" si="41"/>
        <v>0</v>
      </c>
      <c r="DO38" s="64">
        <f t="shared" si="42"/>
        <v>0</v>
      </c>
      <c r="DP38" s="263" t="s">
        <v>447</v>
      </c>
      <c r="DQ38" s="238">
        <f t="shared" si="38"/>
        <v>0</v>
      </c>
      <c r="DR38" s="238">
        <f t="shared" si="39"/>
        <v>9</v>
      </c>
      <c r="DS38" s="64">
        <v>6000</v>
      </c>
      <c r="DT38" s="64">
        <v>0</v>
      </c>
      <c r="DU38" s="64">
        <v>0</v>
      </c>
      <c r="DV38" s="64">
        <f t="shared" si="35"/>
        <v>0</v>
      </c>
      <c r="DW38" s="64">
        <f t="shared" si="36"/>
        <v>0</v>
      </c>
      <c r="DX38" s="64">
        <f t="shared" si="37"/>
        <v>0</v>
      </c>
    </row>
    <row r="39" spans="1:132" ht="17.25" customHeight="1" thickBot="1">
      <c r="B39" s="627"/>
      <c r="C39" s="257" t="s">
        <v>42</v>
      </c>
      <c r="D39" s="258"/>
      <c r="E39" s="258"/>
      <c r="F39" s="258"/>
      <c r="G39" s="258"/>
      <c r="H39" s="2433">
        <f>SUM(AI94:AI96)</f>
        <v>0</v>
      </c>
      <c r="I39" s="2434">
        <f>SUM(AJ94:AJ96)</f>
        <v>0</v>
      </c>
      <c r="J39" s="2434">
        <f>SUM(AK94:AK96)</f>
        <v>0</v>
      </c>
      <c r="K39" s="151"/>
      <c r="L39" s="259"/>
      <c r="M39" s="259"/>
      <c r="N39" s="44"/>
      <c r="O39" s="44"/>
      <c r="P39" s="44"/>
      <c r="Q39" s="44"/>
      <c r="R39" s="44"/>
      <c r="S39" s="259"/>
      <c r="T39" s="259"/>
      <c r="U39" s="259"/>
      <c r="V39" s="259"/>
      <c r="W39" s="25"/>
      <c r="X39" s="2438" t="s">
        <v>448</v>
      </c>
      <c r="Y39" s="2438"/>
      <c r="Z39" s="23">
        <v>0</v>
      </c>
      <c r="AA39" s="240">
        <f>SUM(DM109:DM122)</f>
        <v>0</v>
      </c>
      <c r="AB39" s="240">
        <f>SUM(DN109:DN122)</f>
        <v>0</v>
      </c>
      <c r="AC39" s="240">
        <f>SUM(DO109:DO122)</f>
        <v>0</v>
      </c>
      <c r="AD39" s="38"/>
      <c r="AE39" s="238"/>
      <c r="AF39" s="238">
        <f t="shared" si="45"/>
        <v>0</v>
      </c>
      <c r="AG39" s="238">
        <f t="shared" si="45"/>
        <v>0</v>
      </c>
      <c r="AH39" s="238">
        <f t="shared" si="45"/>
        <v>15</v>
      </c>
      <c r="AI39" s="64">
        <f t="shared" si="22"/>
        <v>0</v>
      </c>
      <c r="AJ39" s="64">
        <f t="shared" si="0"/>
        <v>0</v>
      </c>
      <c r="AK39" s="64">
        <f t="shared" si="1"/>
        <v>0</v>
      </c>
      <c r="AL39" s="64">
        <f t="shared" si="2"/>
        <v>0</v>
      </c>
      <c r="AM39" s="238">
        <f t="shared" si="3"/>
        <v>74000</v>
      </c>
      <c r="AN39" s="64">
        <f t="shared" si="4"/>
        <v>0</v>
      </c>
      <c r="AO39" s="238">
        <f t="shared" si="5"/>
        <v>100000</v>
      </c>
      <c r="AP39" s="238">
        <f t="shared" si="6"/>
        <v>0</v>
      </c>
      <c r="AQ39" s="238">
        <f t="shared" si="7"/>
        <v>666</v>
      </c>
      <c r="AS39" s="286" t="s">
        <v>449</v>
      </c>
      <c r="AT39" s="238">
        <v>6</v>
      </c>
      <c r="AU39" s="238">
        <f t="shared" si="46"/>
        <v>5</v>
      </c>
      <c r="AV39" s="36">
        <v>0</v>
      </c>
      <c r="AW39" s="36">
        <v>0</v>
      </c>
      <c r="AX39" s="36">
        <v>300</v>
      </c>
      <c r="AY39" s="36">
        <v>1800</v>
      </c>
      <c r="AZ39" s="36">
        <v>5000</v>
      </c>
      <c r="BA39" s="36">
        <v>11000</v>
      </c>
      <c r="BB39" s="36">
        <v>20000</v>
      </c>
      <c r="BC39" s="36">
        <v>33500</v>
      </c>
      <c r="BD39" s="36">
        <v>51500</v>
      </c>
      <c r="BE39" s="36">
        <v>74000</v>
      </c>
      <c r="BF39" s="16">
        <v>10000</v>
      </c>
      <c r="BG39" s="16">
        <v>20000</v>
      </c>
      <c r="BH39" s="16">
        <v>30000</v>
      </c>
      <c r="BI39" s="16">
        <v>40000</v>
      </c>
      <c r="BJ39" s="16">
        <v>50000</v>
      </c>
      <c r="BK39" s="16">
        <v>60000</v>
      </c>
      <c r="BL39" s="16">
        <v>70000</v>
      </c>
      <c r="BM39" s="16">
        <v>80000</v>
      </c>
      <c r="BN39" s="16">
        <v>90000</v>
      </c>
      <c r="BO39" s="16">
        <v>100000</v>
      </c>
      <c r="BP39" s="36">
        <f t="shared" si="8"/>
        <v>111</v>
      </c>
      <c r="BQ39" s="16">
        <f t="shared" si="9"/>
        <v>278</v>
      </c>
      <c r="BR39" s="36">
        <f t="shared" si="10"/>
        <v>358</v>
      </c>
      <c r="BS39" s="16">
        <f t="shared" si="11"/>
        <v>481</v>
      </c>
      <c r="BT39" s="36">
        <f t="shared" si="12"/>
        <v>666</v>
      </c>
      <c r="BV39" s="153">
        <f t="shared" si="13"/>
        <v>111</v>
      </c>
      <c r="BW39" s="153">
        <f t="shared" si="14"/>
        <v>277.5</v>
      </c>
      <c r="BX39" s="153">
        <f t="shared" si="15"/>
        <v>357.66664200000002</v>
      </c>
      <c r="BY39" s="153">
        <f t="shared" si="16"/>
        <v>481</v>
      </c>
      <c r="BZ39" s="153">
        <f t="shared" si="17"/>
        <v>666</v>
      </c>
      <c r="CE39" s="236"/>
      <c r="CF39" s="236"/>
      <c r="CG39" s="236"/>
      <c r="CH39" s="64"/>
      <c r="CI39" s="256"/>
      <c r="CJ39" s="64"/>
      <c r="CK39" s="64"/>
      <c r="CL39" s="64"/>
      <c r="CM39" s="256"/>
      <c r="CN39" s="64"/>
      <c r="CO39" s="64"/>
      <c r="DF39" s="287" t="s">
        <v>450</v>
      </c>
      <c r="DG39" s="238">
        <f t="shared" si="43"/>
        <v>0</v>
      </c>
      <c r="DH39" s="238">
        <f t="shared" si="44"/>
        <v>0</v>
      </c>
      <c r="DI39" s="238">
        <f t="shared" si="47"/>
        <v>5</v>
      </c>
      <c r="DJ39" s="3">
        <v>0</v>
      </c>
      <c r="DK39" s="3">
        <v>10</v>
      </c>
      <c r="DL39" s="3">
        <v>0</v>
      </c>
      <c r="DM39" s="64">
        <f t="shared" si="40"/>
        <v>0</v>
      </c>
      <c r="DN39" s="64">
        <f t="shared" si="41"/>
        <v>0</v>
      </c>
      <c r="DO39" s="64">
        <f t="shared" si="42"/>
        <v>0</v>
      </c>
      <c r="DP39" s="263" t="s">
        <v>451</v>
      </c>
      <c r="DQ39" s="238">
        <f t="shared" si="38"/>
        <v>0</v>
      </c>
      <c r="DR39" s="238">
        <f t="shared" si="39"/>
        <v>10</v>
      </c>
      <c r="DS39" s="64">
        <v>6000</v>
      </c>
      <c r="DT39" s="64">
        <v>0</v>
      </c>
      <c r="DU39" s="64">
        <v>0</v>
      </c>
      <c r="DV39" s="64">
        <f t="shared" si="35"/>
        <v>0</v>
      </c>
      <c r="DW39" s="64">
        <f t="shared" si="36"/>
        <v>0</v>
      </c>
      <c r="DX39" s="64">
        <f t="shared" si="37"/>
        <v>0</v>
      </c>
    </row>
    <row r="40" spans="1:132" ht="17.25" customHeight="1" thickBot="1">
      <c r="B40" s="628"/>
      <c r="C40" s="642"/>
      <c r="D40" s="81">
        <v>0</v>
      </c>
      <c r="E40" s="155"/>
      <c r="F40" s="29" t="s">
        <v>61</v>
      </c>
      <c r="G40" s="155"/>
      <c r="H40" s="2433"/>
      <c r="I40" s="2434"/>
      <c r="J40" s="2434"/>
      <c r="K40" s="264"/>
      <c r="L40" s="2463" t="s">
        <v>453</v>
      </c>
      <c r="M40" s="2464"/>
      <c r="N40" s="2464"/>
      <c r="O40" s="2464"/>
      <c r="P40" s="2464"/>
      <c r="Q40" s="2464"/>
      <c r="R40" s="2464"/>
      <c r="S40" s="103" t="s">
        <v>322</v>
      </c>
      <c r="T40" s="103" t="s">
        <v>323</v>
      </c>
      <c r="U40" s="103" t="s">
        <v>341</v>
      </c>
      <c r="V40" s="88" t="s">
        <v>357</v>
      </c>
      <c r="W40" s="105"/>
      <c r="X40" s="2442" t="s">
        <v>454</v>
      </c>
      <c r="Y40" s="2442"/>
      <c r="Z40" s="65">
        <v>1000</v>
      </c>
      <c r="AA40" s="239">
        <f>SUM(DM123:DM127)</f>
        <v>0</v>
      </c>
      <c r="AB40" s="239">
        <f>SUM(DN123:DN127)</f>
        <v>65000</v>
      </c>
      <c r="AC40" s="239">
        <f>SUM(DO123:DO127)</f>
        <v>0</v>
      </c>
      <c r="AD40" s="38"/>
      <c r="AE40" s="238"/>
      <c r="AF40" s="238">
        <f t="shared" si="45"/>
        <v>0</v>
      </c>
      <c r="AG40" s="238">
        <f t="shared" si="45"/>
        <v>0</v>
      </c>
      <c r="AH40" s="238">
        <f t="shared" si="45"/>
        <v>15</v>
      </c>
      <c r="AI40" s="64">
        <f t="shared" si="22"/>
        <v>0</v>
      </c>
      <c r="AJ40" s="64">
        <f t="shared" si="0"/>
        <v>0</v>
      </c>
      <c r="AK40" s="64">
        <f t="shared" si="1"/>
        <v>0</v>
      </c>
      <c r="AL40" s="64">
        <f t="shared" si="2"/>
        <v>0</v>
      </c>
      <c r="AM40" s="238">
        <f t="shared" si="3"/>
        <v>74000</v>
      </c>
      <c r="AN40" s="64">
        <f t="shared" si="4"/>
        <v>0</v>
      </c>
      <c r="AO40" s="238">
        <f t="shared" si="5"/>
        <v>100000</v>
      </c>
      <c r="AP40" s="238">
        <f t="shared" si="6"/>
        <v>0</v>
      </c>
      <c r="AQ40" s="238">
        <f t="shared" si="7"/>
        <v>666</v>
      </c>
      <c r="AS40" s="286" t="s">
        <v>455</v>
      </c>
      <c r="AT40" s="238">
        <v>7</v>
      </c>
      <c r="AU40" s="238">
        <f t="shared" si="46"/>
        <v>6</v>
      </c>
      <c r="AV40" s="36">
        <v>0</v>
      </c>
      <c r="AW40" s="36">
        <v>0</v>
      </c>
      <c r="AX40" s="36">
        <v>300</v>
      </c>
      <c r="AY40" s="36">
        <v>1800</v>
      </c>
      <c r="AZ40" s="36">
        <v>5000</v>
      </c>
      <c r="BA40" s="36">
        <v>11000</v>
      </c>
      <c r="BB40" s="36">
        <v>20000</v>
      </c>
      <c r="BC40" s="36">
        <v>33500</v>
      </c>
      <c r="BD40" s="36">
        <v>51500</v>
      </c>
      <c r="BE40" s="36">
        <v>74000</v>
      </c>
      <c r="BF40" s="16">
        <v>10000</v>
      </c>
      <c r="BG40" s="16">
        <v>20000</v>
      </c>
      <c r="BH40" s="16">
        <v>30000</v>
      </c>
      <c r="BI40" s="16">
        <v>40000</v>
      </c>
      <c r="BJ40" s="16">
        <v>50000</v>
      </c>
      <c r="BK40" s="16">
        <v>60000</v>
      </c>
      <c r="BL40" s="16">
        <v>70000</v>
      </c>
      <c r="BM40" s="16">
        <v>80000</v>
      </c>
      <c r="BN40" s="16">
        <v>90000</v>
      </c>
      <c r="BO40" s="16">
        <v>100000</v>
      </c>
      <c r="BP40" s="36">
        <f t="shared" si="8"/>
        <v>111</v>
      </c>
      <c r="BQ40" s="16">
        <f t="shared" si="9"/>
        <v>278</v>
      </c>
      <c r="BR40" s="36">
        <f t="shared" si="10"/>
        <v>358</v>
      </c>
      <c r="BS40" s="16">
        <f t="shared" si="11"/>
        <v>481</v>
      </c>
      <c r="BT40" s="36">
        <f t="shared" si="12"/>
        <v>666</v>
      </c>
      <c r="BV40" s="153">
        <f t="shared" si="13"/>
        <v>111</v>
      </c>
      <c r="BW40" s="153">
        <f t="shared" si="14"/>
        <v>277.5</v>
      </c>
      <c r="BX40" s="153">
        <f t="shared" si="15"/>
        <v>357.66664200000002</v>
      </c>
      <c r="BY40" s="153">
        <f t="shared" si="16"/>
        <v>481</v>
      </c>
      <c r="BZ40" s="153">
        <f t="shared" si="17"/>
        <v>666</v>
      </c>
      <c r="CH40" s="64"/>
      <c r="CI40" s="256"/>
      <c r="CJ40" s="64"/>
      <c r="CK40" s="64"/>
      <c r="CL40" s="64"/>
      <c r="CM40" s="256"/>
      <c r="CN40" s="64"/>
      <c r="CO40" s="64"/>
      <c r="DF40" s="287" t="s">
        <v>456</v>
      </c>
      <c r="DG40" s="238">
        <f t="shared" si="43"/>
        <v>0</v>
      </c>
      <c r="DH40" s="238">
        <f t="shared" si="44"/>
        <v>0</v>
      </c>
      <c r="DI40" s="238">
        <f t="shared" si="47"/>
        <v>6</v>
      </c>
      <c r="DJ40" s="3">
        <v>0.5</v>
      </c>
      <c r="DK40" s="3">
        <v>5</v>
      </c>
      <c r="DL40" s="3">
        <v>0</v>
      </c>
      <c r="DM40" s="64">
        <f t="shared" si="40"/>
        <v>0</v>
      </c>
      <c r="DN40" s="64">
        <f t="shared" si="41"/>
        <v>0</v>
      </c>
      <c r="DO40" s="64">
        <f t="shared" si="42"/>
        <v>0</v>
      </c>
      <c r="DP40" s="263"/>
      <c r="DQ40" s="238"/>
      <c r="DR40" s="238"/>
      <c r="DS40" s="64"/>
      <c r="DT40" s="64"/>
      <c r="DU40" s="64"/>
      <c r="DV40" s="64"/>
      <c r="DW40" s="64"/>
      <c r="DX40" s="64"/>
    </row>
    <row r="41" spans="1:132" s="153" customFormat="1" ht="17.25" customHeight="1" thickBot="1">
      <c r="B41" s="629"/>
      <c r="C41" s="265" t="s">
        <v>43</v>
      </c>
      <c r="D41" s="266"/>
      <c r="E41" s="266"/>
      <c r="F41" s="266"/>
      <c r="G41" s="266"/>
      <c r="H41" s="2443">
        <f>SUM(AI97:AI101)</f>
        <v>0</v>
      </c>
      <c r="I41" s="2444">
        <f>SUM(AJ97:AJ101)</f>
        <v>0</v>
      </c>
      <c r="J41" s="2444">
        <f>SUM(AK97:AK101)</f>
        <v>0</v>
      </c>
      <c r="K41" s="267"/>
      <c r="L41" s="4" t="s">
        <v>370</v>
      </c>
      <c r="M41" s="68" t="s">
        <v>371</v>
      </c>
      <c r="N41" s="18" t="s">
        <v>372</v>
      </c>
      <c r="O41" s="47" t="s">
        <v>373</v>
      </c>
      <c r="P41" s="18" t="s">
        <v>372</v>
      </c>
      <c r="Q41" s="47" t="s">
        <v>32</v>
      </c>
      <c r="R41" s="27" t="s">
        <v>372</v>
      </c>
      <c r="S41" s="13">
        <f>SUM(DB95:DB98)</f>
        <v>0</v>
      </c>
      <c r="T41" s="70">
        <f>SUM(DC95:DC98)</f>
        <v>0</v>
      </c>
      <c r="U41" s="70">
        <f>SUM(DD95:DD98)</f>
        <v>0</v>
      </c>
      <c r="V41" s="42">
        <v>0</v>
      </c>
      <c r="W41" s="82"/>
      <c r="X41" s="2438" t="s">
        <v>457</v>
      </c>
      <c r="Y41" s="2438"/>
      <c r="Z41" s="23">
        <v>50</v>
      </c>
      <c r="AA41" s="240">
        <f>SUM(DM128:DM131)</f>
        <v>0</v>
      </c>
      <c r="AB41" s="240">
        <f>SUM(DN128:DN131)</f>
        <v>7500</v>
      </c>
      <c r="AC41" s="240">
        <f>SUM(DO128:DO131)</f>
        <v>0</v>
      </c>
      <c r="AD41" s="38"/>
      <c r="AE41" s="238"/>
      <c r="AF41" s="238">
        <f t="shared" si="45"/>
        <v>0</v>
      </c>
      <c r="AG41" s="238">
        <f t="shared" si="45"/>
        <v>0</v>
      </c>
      <c r="AH41" s="238">
        <f t="shared" si="45"/>
        <v>15</v>
      </c>
      <c r="AI41" s="64">
        <f t="shared" si="22"/>
        <v>0</v>
      </c>
      <c r="AJ41" s="64">
        <f t="shared" si="0"/>
        <v>0</v>
      </c>
      <c r="AK41" s="64">
        <f t="shared" si="1"/>
        <v>0</v>
      </c>
      <c r="AL41" s="64">
        <f t="shared" si="2"/>
        <v>0</v>
      </c>
      <c r="AM41" s="238">
        <f t="shared" si="3"/>
        <v>30800</v>
      </c>
      <c r="AN41" s="64">
        <f t="shared" si="4"/>
        <v>0</v>
      </c>
      <c r="AO41" s="238">
        <f t="shared" si="5"/>
        <v>30000</v>
      </c>
      <c r="AP41" s="238">
        <f t="shared" si="6"/>
        <v>0</v>
      </c>
      <c r="AQ41" s="238">
        <f t="shared" si="7"/>
        <v>278</v>
      </c>
      <c r="AR41" s="260"/>
      <c r="AS41" s="286" t="s">
        <v>401</v>
      </c>
      <c r="AT41" s="238">
        <v>8</v>
      </c>
      <c r="AU41" s="238">
        <f t="shared" si="46"/>
        <v>7</v>
      </c>
      <c r="AV41" s="36">
        <v>0</v>
      </c>
      <c r="AW41" s="36">
        <v>0</v>
      </c>
      <c r="AX41" s="36">
        <v>300</v>
      </c>
      <c r="AY41" s="36">
        <v>900</v>
      </c>
      <c r="AZ41" s="36">
        <v>2000</v>
      </c>
      <c r="BA41" s="36">
        <v>3800</v>
      </c>
      <c r="BB41" s="36">
        <v>6800</v>
      </c>
      <c r="BC41" s="36">
        <v>11300</v>
      </c>
      <c r="BD41" s="36">
        <v>18800</v>
      </c>
      <c r="BE41" s="36">
        <v>30800</v>
      </c>
      <c r="BF41" s="16">
        <v>3000</v>
      </c>
      <c r="BG41" s="16">
        <v>6000</v>
      </c>
      <c r="BH41" s="16">
        <v>9000</v>
      </c>
      <c r="BI41" s="16">
        <v>12000</v>
      </c>
      <c r="BJ41" s="16">
        <v>15000</v>
      </c>
      <c r="BK41" s="16">
        <v>18000</v>
      </c>
      <c r="BL41" s="16">
        <v>21000</v>
      </c>
      <c r="BM41" s="16">
        <v>24000</v>
      </c>
      <c r="BN41" s="16">
        <v>27000</v>
      </c>
      <c r="BO41" s="16">
        <v>30000</v>
      </c>
      <c r="BP41" s="36">
        <f t="shared" si="8"/>
        <v>47</v>
      </c>
      <c r="BQ41" s="16">
        <f t="shared" si="9"/>
        <v>116</v>
      </c>
      <c r="BR41" s="36">
        <f t="shared" si="10"/>
        <v>149</v>
      </c>
      <c r="BS41" s="16">
        <f t="shared" si="11"/>
        <v>201</v>
      </c>
      <c r="BT41" s="36">
        <f t="shared" si="12"/>
        <v>278</v>
      </c>
      <c r="BV41" s="153">
        <f t="shared" si="13"/>
        <v>46.2</v>
      </c>
      <c r="BW41" s="153">
        <f t="shared" si="14"/>
        <v>115.5</v>
      </c>
      <c r="BX41" s="153">
        <f t="shared" si="15"/>
        <v>148.86665640000001</v>
      </c>
      <c r="BY41" s="153">
        <f t="shared" si="16"/>
        <v>200.2</v>
      </c>
      <c r="BZ41" s="153">
        <f t="shared" si="17"/>
        <v>277.2</v>
      </c>
      <c r="CC41" s="152"/>
      <c r="CD41" s="238"/>
      <c r="CE41" s="238"/>
      <c r="CF41" s="238"/>
      <c r="CG41" s="238"/>
      <c r="CH41" s="64"/>
      <c r="CJ41" s="64"/>
      <c r="CK41" s="64"/>
      <c r="CL41" s="64"/>
      <c r="CN41" s="64"/>
      <c r="CO41" s="64"/>
      <c r="CP41" s="238"/>
      <c r="CQ41" s="238"/>
      <c r="CR41" s="238"/>
      <c r="CV41" s="238"/>
      <c r="CW41" s="238"/>
      <c r="CX41" s="238"/>
      <c r="CY41" s="238"/>
      <c r="CZ41" s="238"/>
      <c r="DA41" s="238"/>
      <c r="DB41" s="238"/>
      <c r="DC41" s="238"/>
      <c r="DD41" s="238"/>
      <c r="DF41" s="287" t="s">
        <v>458</v>
      </c>
      <c r="DG41" s="238">
        <f t="shared" si="43"/>
        <v>0</v>
      </c>
      <c r="DH41" s="238">
        <f t="shared" si="44"/>
        <v>0</v>
      </c>
      <c r="DI41" s="238">
        <f t="shared" si="47"/>
        <v>7</v>
      </c>
      <c r="DJ41" s="3">
        <v>2</v>
      </c>
      <c r="DK41" s="3">
        <v>0</v>
      </c>
      <c r="DL41" s="3">
        <v>0</v>
      </c>
      <c r="DM41" s="64">
        <f t="shared" si="40"/>
        <v>0</v>
      </c>
      <c r="DN41" s="64">
        <f t="shared" si="41"/>
        <v>0</v>
      </c>
      <c r="DO41" s="64">
        <f t="shared" si="42"/>
        <v>0</v>
      </c>
      <c r="DP41" s="263" t="s">
        <v>459</v>
      </c>
      <c r="DQ41" s="238">
        <f>VLOOKUP(EA43, DP41:DR42, 3, FALSE)</f>
        <v>0</v>
      </c>
      <c r="DR41" s="238">
        <v>0</v>
      </c>
      <c r="DS41" s="64">
        <v>0</v>
      </c>
      <c r="DT41" s="64">
        <v>0</v>
      </c>
      <c r="DU41" s="64">
        <v>0</v>
      </c>
      <c r="DV41" s="64">
        <f>IF(($DR41=$DQ41),DS41,0)</f>
        <v>0</v>
      </c>
      <c r="DW41" s="64">
        <f>IF(($DR41=$DQ41),DT41,0)</f>
        <v>0</v>
      </c>
      <c r="DX41" s="64">
        <f>IF(($DR41=$DQ41),DU41,0)</f>
        <v>0</v>
      </c>
    </row>
    <row r="42" spans="1:132" ht="17.25" customHeight="1" thickBot="1">
      <c r="B42" s="630"/>
      <c r="C42" s="643"/>
      <c r="D42" s="99">
        <v>0</v>
      </c>
      <c r="E42" s="155"/>
      <c r="F42" s="22" t="s">
        <v>61</v>
      </c>
      <c r="G42" s="155"/>
      <c r="H42" s="2443"/>
      <c r="I42" s="2444"/>
      <c r="J42" s="2444"/>
      <c r="K42" s="268"/>
      <c r="L42" s="2465" t="s">
        <v>381</v>
      </c>
      <c r="M42" s="2466"/>
      <c r="N42" s="2466"/>
      <c r="O42" s="2466"/>
      <c r="P42" s="2466"/>
      <c r="Q42" s="2466"/>
      <c r="R42" s="2465"/>
      <c r="S42" s="24">
        <f>SUM(H39:H51)</f>
        <v>0</v>
      </c>
      <c r="T42" s="24">
        <f>SUM(I39:I51)</f>
        <v>0</v>
      </c>
      <c r="U42" s="24">
        <v>0</v>
      </c>
      <c r="V42" s="48">
        <f>SUM(J39:J51)</f>
        <v>0</v>
      </c>
      <c r="W42" s="7"/>
      <c r="X42" s="2442" t="s">
        <v>460</v>
      </c>
      <c r="Y42" s="2442"/>
      <c r="Z42" s="65">
        <v>0</v>
      </c>
      <c r="AA42" s="239">
        <f>SUM(DM132:DM135)</f>
        <v>0</v>
      </c>
      <c r="AB42" s="239">
        <f>SUM(DN132:DN135)</f>
        <v>0</v>
      </c>
      <c r="AC42" s="239">
        <f>SUM(DO132:DO135)</f>
        <v>0</v>
      </c>
      <c r="AD42" s="38"/>
      <c r="AE42" s="238"/>
      <c r="AF42" s="238">
        <f>D21</f>
        <v>0</v>
      </c>
      <c r="AG42" s="238">
        <f>A4</f>
        <v>0</v>
      </c>
      <c r="AH42" s="238">
        <f>B4</f>
        <v>15</v>
      </c>
      <c r="AI42" s="64">
        <f t="shared" si="22"/>
        <v>0</v>
      </c>
      <c r="AJ42" s="64">
        <f t="shared" si="0"/>
        <v>0</v>
      </c>
      <c r="AK42" s="64">
        <f t="shared" si="1"/>
        <v>0</v>
      </c>
      <c r="AL42" s="64">
        <f t="shared" si="2"/>
        <v>0</v>
      </c>
      <c r="AM42" s="238">
        <f t="shared" si="3"/>
        <v>40300</v>
      </c>
      <c r="AN42" s="64">
        <f t="shared" si="4"/>
        <v>0</v>
      </c>
      <c r="AO42" s="238">
        <f t="shared" si="5"/>
        <v>50000</v>
      </c>
      <c r="AP42" s="238">
        <f t="shared" si="6"/>
        <v>0</v>
      </c>
      <c r="AQ42" s="238">
        <f t="shared" si="7"/>
        <v>363</v>
      </c>
      <c r="AS42" s="269" t="s">
        <v>409</v>
      </c>
      <c r="AT42" s="238">
        <v>1</v>
      </c>
      <c r="AU42" s="238">
        <v>0</v>
      </c>
      <c r="AV42" s="36">
        <v>0</v>
      </c>
      <c r="AW42" s="36">
        <v>0</v>
      </c>
      <c r="AX42" s="36">
        <v>300</v>
      </c>
      <c r="AY42" s="36">
        <v>1200</v>
      </c>
      <c r="AZ42" s="36">
        <v>2700</v>
      </c>
      <c r="BA42" s="36">
        <v>5000</v>
      </c>
      <c r="BB42" s="36">
        <v>10300</v>
      </c>
      <c r="BC42" s="36">
        <v>16300</v>
      </c>
      <c r="BD42" s="36">
        <v>25300</v>
      </c>
      <c r="BE42" s="36">
        <v>40300</v>
      </c>
      <c r="BF42" s="16">
        <v>5000</v>
      </c>
      <c r="BG42" s="16">
        <v>10000</v>
      </c>
      <c r="BH42" s="16">
        <v>15000</v>
      </c>
      <c r="BI42" s="16">
        <v>20000</v>
      </c>
      <c r="BJ42" s="16">
        <v>25000</v>
      </c>
      <c r="BK42" s="16">
        <v>30000</v>
      </c>
      <c r="BL42" s="16">
        <v>35000</v>
      </c>
      <c r="BM42" s="16">
        <v>40000</v>
      </c>
      <c r="BN42" s="16">
        <v>45000</v>
      </c>
      <c r="BO42" s="16">
        <v>50000</v>
      </c>
      <c r="BP42" s="36">
        <f t="shared" si="8"/>
        <v>61</v>
      </c>
      <c r="BQ42" s="16">
        <f t="shared" si="9"/>
        <v>152</v>
      </c>
      <c r="BR42" s="36">
        <f t="shared" si="10"/>
        <v>195</v>
      </c>
      <c r="BS42" s="16">
        <f t="shared" si="11"/>
        <v>262</v>
      </c>
      <c r="BT42" s="36">
        <f t="shared" si="12"/>
        <v>363</v>
      </c>
      <c r="BV42" s="153">
        <f t="shared" si="13"/>
        <v>60.45</v>
      </c>
      <c r="BW42" s="153">
        <f t="shared" si="14"/>
        <v>151.125</v>
      </c>
      <c r="BX42" s="153">
        <f t="shared" si="15"/>
        <v>194.78331989999998</v>
      </c>
      <c r="BY42" s="153">
        <f t="shared" si="16"/>
        <v>261.95</v>
      </c>
      <c r="BZ42" s="153">
        <f t="shared" si="17"/>
        <v>362.7</v>
      </c>
      <c r="CB42" s="262"/>
      <c r="CE42" s="236"/>
      <c r="CF42" s="236"/>
      <c r="CG42" s="236"/>
      <c r="CI42" s="256"/>
      <c r="CM42" s="256"/>
      <c r="DF42" s="287" t="s">
        <v>359</v>
      </c>
      <c r="DG42" s="238">
        <f t="shared" si="43"/>
        <v>0</v>
      </c>
      <c r="DH42" s="238">
        <f t="shared" si="44"/>
        <v>0</v>
      </c>
      <c r="DI42" s="238">
        <f t="shared" si="47"/>
        <v>8</v>
      </c>
      <c r="DJ42" s="3">
        <v>0</v>
      </c>
      <c r="DK42" s="3">
        <v>10</v>
      </c>
      <c r="DL42" s="3">
        <v>0</v>
      </c>
      <c r="DM42" s="64">
        <f t="shared" si="40"/>
        <v>0</v>
      </c>
      <c r="DN42" s="64">
        <f t="shared" si="41"/>
        <v>0</v>
      </c>
      <c r="DO42" s="64">
        <f t="shared" si="42"/>
        <v>0</v>
      </c>
      <c r="DP42" s="263"/>
      <c r="DQ42" s="238"/>
      <c r="DR42" s="238"/>
      <c r="DS42" s="64"/>
      <c r="DT42" s="64"/>
      <c r="DU42" s="64"/>
      <c r="DV42" s="64"/>
      <c r="DW42" s="64"/>
      <c r="DX42" s="64"/>
    </row>
    <row r="43" spans="1:132" ht="17.25" customHeight="1" thickBot="1">
      <c r="B43" s="627"/>
      <c r="C43" s="270" t="s">
        <v>226</v>
      </c>
      <c r="D43" s="271"/>
      <c r="E43" s="271"/>
      <c r="F43" s="271"/>
      <c r="G43" s="271"/>
      <c r="H43" s="2433">
        <f>SUM(AI102:AI108)</f>
        <v>0</v>
      </c>
      <c r="I43" s="2434">
        <f>SUM(AJ102:AJ108)</f>
        <v>0</v>
      </c>
      <c r="J43" s="2434">
        <f>SUM(AK102:AK108)</f>
        <v>0</v>
      </c>
      <c r="K43" s="272"/>
      <c r="L43" s="2435" t="s">
        <v>386</v>
      </c>
      <c r="M43" s="2436"/>
      <c r="N43" s="2436"/>
      <c r="O43" s="2436"/>
      <c r="P43" s="2436"/>
      <c r="Q43" s="2436"/>
      <c r="R43" s="2437"/>
      <c r="S43" s="70">
        <f>SUM(AA39:AA49)</f>
        <v>0</v>
      </c>
      <c r="T43" s="70">
        <f>SUM(AB39:AB49)</f>
        <v>72500</v>
      </c>
      <c r="U43" s="70">
        <f>SUM(AC39:AC49)</f>
        <v>0</v>
      </c>
      <c r="V43" s="71">
        <v>0</v>
      </c>
      <c r="W43" s="273"/>
      <c r="X43" s="2438" t="s">
        <v>387</v>
      </c>
      <c r="Y43" s="2438"/>
      <c r="Z43" s="23">
        <v>0</v>
      </c>
      <c r="AA43" s="240">
        <f>SUM(DM136:DM139)</f>
        <v>0</v>
      </c>
      <c r="AB43" s="240">
        <f>SUM(DN136:DN139)</f>
        <v>0</v>
      </c>
      <c r="AC43" s="240">
        <f>SUM(DO136:DO139)</f>
        <v>0</v>
      </c>
      <c r="AD43" s="38"/>
      <c r="AE43" s="238"/>
      <c r="AF43" s="238">
        <f t="shared" ref="AF43:AH45" si="48">AF$42</f>
        <v>0</v>
      </c>
      <c r="AG43" s="238">
        <f t="shared" si="48"/>
        <v>0</v>
      </c>
      <c r="AH43" s="238">
        <f t="shared" si="48"/>
        <v>15</v>
      </c>
      <c r="AI43" s="64">
        <f t="shared" si="22"/>
        <v>0</v>
      </c>
      <c r="AJ43" s="64">
        <f t="shared" si="0"/>
        <v>0</v>
      </c>
      <c r="AK43" s="64">
        <f t="shared" si="1"/>
        <v>0</v>
      </c>
      <c r="AL43" s="64">
        <f t="shared" si="2"/>
        <v>0</v>
      </c>
      <c r="AM43" s="238">
        <f t="shared" si="3"/>
        <v>39900</v>
      </c>
      <c r="AN43" s="64">
        <f t="shared" si="4"/>
        <v>0</v>
      </c>
      <c r="AO43" s="238">
        <f t="shared" si="5"/>
        <v>50000</v>
      </c>
      <c r="AP43" s="238">
        <f t="shared" si="6"/>
        <v>0</v>
      </c>
      <c r="AQ43" s="238">
        <f t="shared" si="7"/>
        <v>360</v>
      </c>
      <c r="AS43" s="269" t="s">
        <v>461</v>
      </c>
      <c r="AT43" s="238">
        <v>2</v>
      </c>
      <c r="AU43" s="238">
        <f>AU42+1</f>
        <v>1</v>
      </c>
      <c r="AV43" s="36">
        <v>0</v>
      </c>
      <c r="AW43" s="36">
        <v>0</v>
      </c>
      <c r="AX43" s="36">
        <v>300</v>
      </c>
      <c r="AY43" s="36">
        <v>1200</v>
      </c>
      <c r="AZ43" s="36">
        <v>2700</v>
      </c>
      <c r="BA43" s="36">
        <v>5200</v>
      </c>
      <c r="BB43" s="36">
        <v>10200</v>
      </c>
      <c r="BC43" s="36">
        <v>16800</v>
      </c>
      <c r="BD43" s="36">
        <v>26400</v>
      </c>
      <c r="BE43" s="36">
        <v>39900</v>
      </c>
      <c r="BF43" s="16">
        <v>5000</v>
      </c>
      <c r="BG43" s="16">
        <v>10000</v>
      </c>
      <c r="BH43" s="16">
        <v>15000</v>
      </c>
      <c r="BI43" s="16">
        <v>20000</v>
      </c>
      <c r="BJ43" s="16">
        <v>25000</v>
      </c>
      <c r="BK43" s="16">
        <v>30000</v>
      </c>
      <c r="BL43" s="16">
        <v>35000</v>
      </c>
      <c r="BM43" s="16">
        <v>40000</v>
      </c>
      <c r="BN43" s="16">
        <v>45000</v>
      </c>
      <c r="BO43" s="16">
        <v>50000</v>
      </c>
      <c r="BP43" s="36">
        <f t="shared" si="8"/>
        <v>60</v>
      </c>
      <c r="BQ43" s="16">
        <f t="shared" si="9"/>
        <v>150</v>
      </c>
      <c r="BR43" s="36">
        <f t="shared" si="10"/>
        <v>193</v>
      </c>
      <c r="BS43" s="16">
        <f t="shared" si="11"/>
        <v>260</v>
      </c>
      <c r="BT43" s="36">
        <f t="shared" si="12"/>
        <v>360</v>
      </c>
      <c r="BV43" s="153">
        <f t="shared" si="13"/>
        <v>59.85</v>
      </c>
      <c r="BW43" s="153">
        <f t="shared" si="14"/>
        <v>149.625</v>
      </c>
      <c r="BX43" s="153">
        <f t="shared" si="15"/>
        <v>192.84998670000002</v>
      </c>
      <c r="BY43" s="153">
        <f t="shared" si="16"/>
        <v>259.35000000000002</v>
      </c>
      <c r="BZ43" s="153">
        <f t="shared" si="17"/>
        <v>359.1</v>
      </c>
      <c r="CH43" s="64"/>
      <c r="CJ43" s="64"/>
      <c r="CK43" s="64"/>
      <c r="CL43" s="64"/>
      <c r="CN43" s="64"/>
      <c r="CO43" s="64"/>
      <c r="DF43" s="287" t="s">
        <v>462</v>
      </c>
      <c r="DG43" s="238">
        <f t="shared" si="43"/>
        <v>0</v>
      </c>
      <c r="DH43" s="238">
        <f t="shared" si="44"/>
        <v>0</v>
      </c>
      <c r="DI43" s="238">
        <f t="shared" si="47"/>
        <v>9</v>
      </c>
      <c r="DJ43" s="3">
        <v>0.5</v>
      </c>
      <c r="DK43" s="3">
        <v>5</v>
      </c>
      <c r="DL43" s="3">
        <v>0</v>
      </c>
      <c r="DM43" s="64">
        <f t="shared" si="40"/>
        <v>0</v>
      </c>
      <c r="DN43" s="64">
        <f t="shared" si="41"/>
        <v>0</v>
      </c>
      <c r="DO43" s="64">
        <f t="shared" si="42"/>
        <v>0</v>
      </c>
      <c r="DP43" s="263" t="s">
        <v>414</v>
      </c>
      <c r="DQ43" s="238">
        <f>VLOOKUP(X22, DP43:DR45, 3, FALSE)</f>
        <v>0</v>
      </c>
      <c r="DR43" s="238">
        <v>0</v>
      </c>
      <c r="DS43" s="64">
        <v>0</v>
      </c>
      <c r="DT43" s="64">
        <v>0</v>
      </c>
      <c r="DU43" s="64">
        <v>0</v>
      </c>
      <c r="DV43" s="64">
        <f t="shared" ref="DV43:DX45" si="49">IF(($DR43=$DQ43),DS43,0)</f>
        <v>0</v>
      </c>
      <c r="DW43" s="64">
        <f t="shared" si="49"/>
        <v>0</v>
      </c>
      <c r="DX43" s="64">
        <f t="shared" si="49"/>
        <v>0</v>
      </c>
      <c r="EA43" s="153" t="s">
        <v>459</v>
      </c>
    </row>
    <row r="44" spans="1:132" ht="17.25" customHeight="1" thickBot="1">
      <c r="B44" s="628"/>
      <c r="C44" s="642"/>
      <c r="D44" s="81">
        <v>0</v>
      </c>
      <c r="E44" s="155"/>
      <c r="F44" s="106" t="s">
        <v>61</v>
      </c>
      <c r="G44" s="155"/>
      <c r="H44" s="2433"/>
      <c r="I44" s="2434"/>
      <c r="J44" s="2434"/>
      <c r="K44" s="264"/>
      <c r="L44" s="2439" t="s">
        <v>313</v>
      </c>
      <c r="M44" s="2440"/>
      <c r="N44" s="2440"/>
      <c r="O44" s="2440"/>
      <c r="P44" s="2440"/>
      <c r="Q44" s="2440"/>
      <c r="R44" s="2441"/>
      <c r="S44" s="103">
        <f>SUM(S41:S43)</f>
        <v>0</v>
      </c>
      <c r="T44" s="103">
        <f>SUM(T41:T43)</f>
        <v>72500</v>
      </c>
      <c r="U44" s="103">
        <f>SUM(U41:U43)</f>
        <v>0</v>
      </c>
      <c r="V44" s="88">
        <f>SUM(V41:V43)</f>
        <v>0</v>
      </c>
      <c r="W44" s="102"/>
      <c r="X44" s="2442" t="s">
        <v>393</v>
      </c>
      <c r="Y44" s="2442"/>
      <c r="Z44" s="65">
        <v>0</v>
      </c>
      <c r="AA44" s="239">
        <f>SUM(DM140:DM143)</f>
        <v>0</v>
      </c>
      <c r="AB44" s="239">
        <f>SUM(DN140:DN143)</f>
        <v>0</v>
      </c>
      <c r="AC44" s="239">
        <f>SUM(DO140:DO143)</f>
        <v>0</v>
      </c>
      <c r="AD44" s="38"/>
      <c r="AE44" s="238"/>
      <c r="AF44" s="238">
        <f t="shared" si="48"/>
        <v>0</v>
      </c>
      <c r="AG44" s="238">
        <f t="shared" si="48"/>
        <v>0</v>
      </c>
      <c r="AH44" s="238">
        <f t="shared" si="48"/>
        <v>15</v>
      </c>
      <c r="AI44" s="64">
        <f t="shared" si="22"/>
        <v>0</v>
      </c>
      <c r="AJ44" s="64">
        <f t="shared" si="0"/>
        <v>0</v>
      </c>
      <c r="AK44" s="64">
        <f t="shared" si="1"/>
        <v>0</v>
      </c>
      <c r="AL44" s="64">
        <f t="shared" si="2"/>
        <v>0</v>
      </c>
      <c r="AM44" s="238">
        <f t="shared" si="3"/>
        <v>40300</v>
      </c>
      <c r="AN44" s="64">
        <f t="shared" si="4"/>
        <v>0</v>
      </c>
      <c r="AO44" s="238">
        <f t="shared" si="5"/>
        <v>50000</v>
      </c>
      <c r="AP44" s="238">
        <f t="shared" si="6"/>
        <v>0</v>
      </c>
      <c r="AQ44" s="238">
        <f t="shared" si="7"/>
        <v>363</v>
      </c>
      <c r="AS44" s="269" t="s">
        <v>463</v>
      </c>
      <c r="AT44" s="238">
        <v>3</v>
      </c>
      <c r="AU44" s="238">
        <f>AU43+1</f>
        <v>2</v>
      </c>
      <c r="AV44" s="36">
        <v>0</v>
      </c>
      <c r="AW44" s="36">
        <v>0</v>
      </c>
      <c r="AX44" s="36">
        <v>300</v>
      </c>
      <c r="AY44" s="36">
        <v>1200</v>
      </c>
      <c r="AZ44" s="36">
        <v>2700</v>
      </c>
      <c r="BA44" s="36">
        <v>5000</v>
      </c>
      <c r="BB44" s="36">
        <v>10300</v>
      </c>
      <c r="BC44" s="36">
        <v>16300</v>
      </c>
      <c r="BD44" s="36">
        <v>25300</v>
      </c>
      <c r="BE44" s="36">
        <v>40300</v>
      </c>
      <c r="BF44" s="16">
        <v>5000</v>
      </c>
      <c r="BG44" s="16">
        <v>10000</v>
      </c>
      <c r="BH44" s="16">
        <v>15000</v>
      </c>
      <c r="BI44" s="16">
        <v>20000</v>
      </c>
      <c r="BJ44" s="16">
        <v>25000</v>
      </c>
      <c r="BK44" s="16">
        <v>30000</v>
      </c>
      <c r="BL44" s="16">
        <v>35000</v>
      </c>
      <c r="BM44" s="16">
        <v>40000</v>
      </c>
      <c r="BN44" s="16">
        <v>45000</v>
      </c>
      <c r="BO44" s="16">
        <v>50000</v>
      </c>
      <c r="BP44" s="36">
        <f t="shared" si="8"/>
        <v>61</v>
      </c>
      <c r="BQ44" s="16">
        <f t="shared" si="9"/>
        <v>152</v>
      </c>
      <c r="BR44" s="36">
        <f t="shared" si="10"/>
        <v>195</v>
      </c>
      <c r="BS44" s="16">
        <f t="shared" si="11"/>
        <v>262</v>
      </c>
      <c r="BT44" s="36">
        <f t="shared" si="12"/>
        <v>363</v>
      </c>
      <c r="BV44" s="153">
        <f t="shared" si="13"/>
        <v>60.45</v>
      </c>
      <c r="BW44" s="153">
        <f t="shared" si="14"/>
        <v>151.125</v>
      </c>
      <c r="BX44" s="153">
        <f t="shared" si="15"/>
        <v>194.78331989999998</v>
      </c>
      <c r="BY44" s="153">
        <f t="shared" si="16"/>
        <v>261.95</v>
      </c>
      <c r="BZ44" s="153">
        <f t="shared" si="17"/>
        <v>362.7</v>
      </c>
      <c r="DF44" s="287" t="s">
        <v>464</v>
      </c>
      <c r="DG44" s="238">
        <f t="shared" si="43"/>
        <v>0</v>
      </c>
      <c r="DH44" s="238">
        <f t="shared" si="44"/>
        <v>0</v>
      </c>
      <c r="DI44" s="238">
        <f t="shared" si="47"/>
        <v>10</v>
      </c>
      <c r="DJ44" s="3">
        <v>2</v>
      </c>
      <c r="DK44" s="3">
        <v>0</v>
      </c>
      <c r="DL44" s="3">
        <v>0</v>
      </c>
      <c r="DM44" s="64">
        <f t="shared" si="40"/>
        <v>0</v>
      </c>
      <c r="DN44" s="64">
        <f t="shared" si="41"/>
        <v>0</v>
      </c>
      <c r="DO44" s="64">
        <f t="shared" si="42"/>
        <v>0</v>
      </c>
      <c r="DP44" s="263" t="s">
        <v>465</v>
      </c>
      <c r="DQ44" s="238">
        <f>$DQ$43</f>
        <v>0</v>
      </c>
      <c r="DR44" s="238">
        <f>DR43+1</f>
        <v>1</v>
      </c>
      <c r="DS44" s="64">
        <v>6000</v>
      </c>
      <c r="DT44" s="64">
        <v>0</v>
      </c>
      <c r="DU44" s="64">
        <v>0</v>
      </c>
      <c r="DV44" s="64">
        <f t="shared" si="49"/>
        <v>0</v>
      </c>
      <c r="DW44" s="64">
        <f t="shared" si="49"/>
        <v>0</v>
      </c>
      <c r="DX44" s="64">
        <f t="shared" si="49"/>
        <v>0</v>
      </c>
    </row>
    <row r="45" spans="1:132" ht="17.25" customHeight="1" thickBot="1">
      <c r="B45" s="631"/>
      <c r="C45" s="274" t="s">
        <v>186</v>
      </c>
      <c r="D45" s="275"/>
      <c r="E45" s="275"/>
      <c r="F45" s="275"/>
      <c r="G45" s="275"/>
      <c r="H45" s="2443">
        <f>SUM(AI109:AI115)</f>
        <v>0</v>
      </c>
      <c r="I45" s="2444">
        <f>SUM(AJ109:AJ115)</f>
        <v>0</v>
      </c>
      <c r="J45" s="2444">
        <f>SUM(AK109:AK115)</f>
        <v>0</v>
      </c>
      <c r="K45" s="151"/>
      <c r="L45" s="276"/>
      <c r="M45" s="276"/>
      <c r="N45" s="85"/>
      <c r="O45" s="85"/>
      <c r="P45" s="85"/>
      <c r="Q45" s="85"/>
      <c r="R45" s="85"/>
      <c r="S45" s="85"/>
      <c r="T45" s="85"/>
      <c r="U45" s="85"/>
      <c r="V45" s="85"/>
      <c r="W45" s="89"/>
      <c r="X45" s="2438" t="s">
        <v>397</v>
      </c>
      <c r="Y45" s="2438"/>
      <c r="Z45" s="90">
        <v>0</v>
      </c>
      <c r="AA45" s="240">
        <f>SUM(DM144:DM150)</f>
        <v>0</v>
      </c>
      <c r="AB45" s="240">
        <f>SUM(DN144:DN150)</f>
        <v>0</v>
      </c>
      <c r="AC45" s="240">
        <f>SUM(DO144:DO150)</f>
        <v>0</v>
      </c>
      <c r="AD45" s="38"/>
      <c r="AE45" s="238"/>
      <c r="AF45" s="238">
        <f t="shared" si="48"/>
        <v>0</v>
      </c>
      <c r="AG45" s="238">
        <f t="shared" si="48"/>
        <v>0</v>
      </c>
      <c r="AH45" s="238">
        <f t="shared" si="48"/>
        <v>15</v>
      </c>
      <c r="AI45" s="64">
        <f t="shared" si="22"/>
        <v>0</v>
      </c>
      <c r="AJ45" s="64">
        <f t="shared" si="0"/>
        <v>0</v>
      </c>
      <c r="AK45" s="64">
        <f t="shared" si="1"/>
        <v>0</v>
      </c>
      <c r="AL45" s="64">
        <f t="shared" si="2"/>
        <v>0</v>
      </c>
      <c r="AM45" s="238">
        <f t="shared" si="3"/>
        <v>30800</v>
      </c>
      <c r="AN45" s="64">
        <f t="shared" si="4"/>
        <v>0</v>
      </c>
      <c r="AO45" s="238">
        <f t="shared" si="5"/>
        <v>25000</v>
      </c>
      <c r="AP45" s="238">
        <f t="shared" si="6"/>
        <v>0</v>
      </c>
      <c r="AQ45" s="238">
        <f t="shared" si="7"/>
        <v>278</v>
      </c>
      <c r="AS45" s="269" t="s">
        <v>466</v>
      </c>
      <c r="AT45" s="238">
        <v>4</v>
      </c>
      <c r="AU45" s="238">
        <f>AU44+1</f>
        <v>3</v>
      </c>
      <c r="AV45" s="36">
        <v>0</v>
      </c>
      <c r="AW45" s="36">
        <v>0</v>
      </c>
      <c r="AX45" s="36">
        <v>300</v>
      </c>
      <c r="AY45" s="36">
        <v>900</v>
      </c>
      <c r="AZ45" s="36">
        <v>2000</v>
      </c>
      <c r="BA45" s="36">
        <v>3800</v>
      </c>
      <c r="BB45" s="36">
        <v>6800</v>
      </c>
      <c r="BC45" s="36">
        <v>11300</v>
      </c>
      <c r="BD45" s="36">
        <v>18800</v>
      </c>
      <c r="BE45" s="36">
        <v>30800</v>
      </c>
      <c r="BF45" s="16">
        <v>2500</v>
      </c>
      <c r="BG45" s="16">
        <v>5000</v>
      </c>
      <c r="BH45" s="16">
        <v>7500</v>
      </c>
      <c r="BI45" s="16">
        <v>10000</v>
      </c>
      <c r="BJ45" s="16">
        <v>12500</v>
      </c>
      <c r="BK45" s="16">
        <v>15000</v>
      </c>
      <c r="BL45" s="16">
        <v>17500</v>
      </c>
      <c r="BM45" s="16">
        <v>20000</v>
      </c>
      <c r="BN45" s="16">
        <v>22500</v>
      </c>
      <c r="BO45" s="16">
        <v>25000</v>
      </c>
      <c r="BP45" s="36">
        <f t="shared" si="8"/>
        <v>47</v>
      </c>
      <c r="BQ45" s="16">
        <f t="shared" si="9"/>
        <v>116</v>
      </c>
      <c r="BR45" s="36">
        <f t="shared" si="10"/>
        <v>149</v>
      </c>
      <c r="BS45" s="16">
        <f t="shared" si="11"/>
        <v>201</v>
      </c>
      <c r="BT45" s="36">
        <f t="shared" si="12"/>
        <v>278</v>
      </c>
      <c r="BV45" s="153">
        <f t="shared" si="13"/>
        <v>46.2</v>
      </c>
      <c r="BW45" s="153">
        <f t="shared" si="14"/>
        <v>115.5</v>
      </c>
      <c r="BX45" s="153">
        <f t="shared" si="15"/>
        <v>148.86665640000001</v>
      </c>
      <c r="BY45" s="153">
        <f t="shared" si="16"/>
        <v>200.2</v>
      </c>
      <c r="BZ45" s="153">
        <f t="shared" si="17"/>
        <v>277.2</v>
      </c>
      <c r="DF45" s="287" t="s">
        <v>467</v>
      </c>
      <c r="DG45" s="238">
        <f t="shared" si="43"/>
        <v>0</v>
      </c>
      <c r="DH45" s="238">
        <f t="shared" si="44"/>
        <v>0</v>
      </c>
      <c r="DI45" s="238">
        <f t="shared" si="47"/>
        <v>11</v>
      </c>
      <c r="DJ45" s="3">
        <v>0</v>
      </c>
      <c r="DK45" s="3">
        <v>10</v>
      </c>
      <c r="DL45" s="3">
        <v>0</v>
      </c>
      <c r="DM45" s="64">
        <f t="shared" si="40"/>
        <v>0</v>
      </c>
      <c r="DN45" s="64">
        <f t="shared" si="41"/>
        <v>0</v>
      </c>
      <c r="DO45" s="64">
        <f t="shared" si="42"/>
        <v>0</v>
      </c>
      <c r="DP45" s="263" t="s">
        <v>468</v>
      </c>
      <c r="DQ45" s="238">
        <f>$DQ$43</f>
        <v>0</v>
      </c>
      <c r="DR45" s="238">
        <f>DR44+1</f>
        <v>2</v>
      </c>
      <c r="DS45" s="64">
        <v>6000</v>
      </c>
      <c r="DT45" s="64">
        <v>0</v>
      </c>
      <c r="DU45" s="64">
        <v>0</v>
      </c>
      <c r="DV45" s="64">
        <f t="shared" si="49"/>
        <v>0</v>
      </c>
      <c r="DW45" s="64">
        <f t="shared" si="49"/>
        <v>0</v>
      </c>
      <c r="DX45" s="64">
        <f t="shared" si="49"/>
        <v>0</v>
      </c>
    </row>
    <row r="46" spans="1:132" ht="17.25" customHeight="1" thickBot="1">
      <c r="B46" s="632"/>
      <c r="C46" s="644"/>
      <c r="D46" s="99">
        <v>0</v>
      </c>
      <c r="E46" s="155"/>
      <c r="F46" s="22" t="s">
        <v>61</v>
      </c>
      <c r="G46" s="155"/>
      <c r="H46" s="2443"/>
      <c r="I46" s="2444"/>
      <c r="J46" s="2444"/>
      <c r="K46" s="151"/>
      <c r="W46" s="277"/>
      <c r="X46" s="2442" t="s">
        <v>363</v>
      </c>
      <c r="Y46" s="2442"/>
      <c r="Z46" s="65">
        <v>0</v>
      </c>
      <c r="AA46" s="239">
        <f>SUM(DM95:DM107)</f>
        <v>0</v>
      </c>
      <c r="AB46" s="239">
        <f>SUM(DN95:DN107)</f>
        <v>0</v>
      </c>
      <c r="AC46" s="239">
        <f>SUM(DO95:DO107)</f>
        <v>0</v>
      </c>
      <c r="AD46" s="38"/>
      <c r="AE46" s="238"/>
      <c r="AF46" s="238">
        <f>D23</f>
        <v>0</v>
      </c>
      <c r="AG46" s="238">
        <f>A3</f>
        <v>0</v>
      </c>
      <c r="AH46" s="238">
        <f>B3</f>
        <v>15</v>
      </c>
      <c r="AI46" s="64">
        <f t="shared" si="22"/>
        <v>0</v>
      </c>
      <c r="AJ46" s="64">
        <f t="shared" si="0"/>
        <v>0</v>
      </c>
      <c r="AK46" s="64">
        <f t="shared" si="1"/>
        <v>0</v>
      </c>
      <c r="AL46" s="64">
        <f t="shared" si="2"/>
        <v>0</v>
      </c>
      <c r="AM46" s="238">
        <f t="shared" si="3"/>
        <v>40300</v>
      </c>
      <c r="AN46" s="64">
        <f t="shared" si="4"/>
        <v>0</v>
      </c>
      <c r="AO46" s="238">
        <f t="shared" si="5"/>
        <v>50000</v>
      </c>
      <c r="AP46" s="238">
        <f t="shared" si="6"/>
        <v>0</v>
      </c>
      <c r="AQ46" s="238">
        <f t="shared" si="7"/>
        <v>363</v>
      </c>
      <c r="AS46" s="278" t="s">
        <v>417</v>
      </c>
      <c r="AT46" s="238">
        <v>1</v>
      </c>
      <c r="AU46" s="238">
        <v>0</v>
      </c>
      <c r="AV46" s="36">
        <v>0</v>
      </c>
      <c r="AW46" s="36">
        <v>0</v>
      </c>
      <c r="AX46" s="36">
        <v>300</v>
      </c>
      <c r="AY46" s="36">
        <v>1200</v>
      </c>
      <c r="AZ46" s="36">
        <v>2700</v>
      </c>
      <c r="BA46" s="36">
        <v>5000</v>
      </c>
      <c r="BB46" s="36">
        <v>10300</v>
      </c>
      <c r="BC46" s="36">
        <v>16300</v>
      </c>
      <c r="BD46" s="36">
        <v>25300</v>
      </c>
      <c r="BE46" s="36">
        <v>40300</v>
      </c>
      <c r="BF46" s="16">
        <v>5000</v>
      </c>
      <c r="BG46" s="16">
        <v>10000</v>
      </c>
      <c r="BH46" s="16">
        <v>15000</v>
      </c>
      <c r="BI46" s="16">
        <v>20000</v>
      </c>
      <c r="BJ46" s="16">
        <v>25000</v>
      </c>
      <c r="BK46" s="16">
        <v>30000</v>
      </c>
      <c r="BL46" s="16">
        <v>35000</v>
      </c>
      <c r="BM46" s="16">
        <v>40000</v>
      </c>
      <c r="BN46" s="16">
        <v>45000</v>
      </c>
      <c r="BO46" s="16">
        <v>50000</v>
      </c>
      <c r="BP46" s="36">
        <f t="shared" si="8"/>
        <v>61</v>
      </c>
      <c r="BQ46" s="16">
        <f t="shared" si="9"/>
        <v>152</v>
      </c>
      <c r="BR46" s="36">
        <f t="shared" si="10"/>
        <v>195</v>
      </c>
      <c r="BS46" s="16">
        <f t="shared" si="11"/>
        <v>262</v>
      </c>
      <c r="BT46" s="36">
        <f t="shared" si="12"/>
        <v>363</v>
      </c>
      <c r="BV46" s="153">
        <f t="shared" si="13"/>
        <v>60.45</v>
      </c>
      <c r="BW46" s="153">
        <f t="shared" si="14"/>
        <v>151.125</v>
      </c>
      <c r="BX46" s="153">
        <f t="shared" si="15"/>
        <v>194.78331989999998</v>
      </c>
      <c r="BY46" s="153">
        <f t="shared" si="16"/>
        <v>261.95</v>
      </c>
      <c r="BZ46" s="153">
        <f t="shared" si="17"/>
        <v>362.7</v>
      </c>
      <c r="DF46" s="287" t="s">
        <v>470</v>
      </c>
      <c r="DG46" s="238">
        <f t="shared" si="43"/>
        <v>0</v>
      </c>
      <c r="DH46" s="238">
        <f t="shared" si="44"/>
        <v>0</v>
      </c>
      <c r="DI46" s="238">
        <f t="shared" si="47"/>
        <v>12</v>
      </c>
      <c r="DJ46" s="3">
        <v>0.5</v>
      </c>
      <c r="DK46" s="3">
        <v>5</v>
      </c>
      <c r="DL46" s="3">
        <v>0</v>
      </c>
      <c r="DM46" s="64">
        <f t="shared" si="40"/>
        <v>0</v>
      </c>
      <c r="DN46" s="64">
        <f t="shared" si="41"/>
        <v>0</v>
      </c>
      <c r="DO46" s="64">
        <f t="shared" si="42"/>
        <v>0</v>
      </c>
      <c r="DP46" s="263"/>
      <c r="DQ46" s="238"/>
      <c r="DR46" s="238"/>
      <c r="DS46" s="64"/>
      <c r="DT46" s="64"/>
      <c r="DU46" s="64"/>
      <c r="DV46" s="64"/>
      <c r="DW46" s="64"/>
      <c r="DX46" s="64"/>
    </row>
    <row r="47" spans="1:132" ht="17.25" customHeight="1" thickBot="1">
      <c r="B47" s="627"/>
      <c r="C47" s="270" t="s">
        <v>405</v>
      </c>
      <c r="D47" s="271"/>
      <c r="E47" s="271"/>
      <c r="F47" s="271"/>
      <c r="G47" s="271"/>
      <c r="H47" s="2433">
        <f>SUM(AI116:AI119)</f>
        <v>0</v>
      </c>
      <c r="I47" s="2434">
        <f>SUM(AJ116:AJ119)</f>
        <v>0</v>
      </c>
      <c r="J47" s="2434">
        <f>SUM(AK116:AK119)</f>
        <v>0</v>
      </c>
      <c r="K47" s="151"/>
      <c r="W47" s="277"/>
      <c r="X47" s="2438" t="s">
        <v>471</v>
      </c>
      <c r="Y47" s="2438"/>
      <c r="Z47" s="23">
        <v>0</v>
      </c>
      <c r="AA47" s="240">
        <f>SUM(DV95:DV97)</f>
        <v>0</v>
      </c>
      <c r="AB47" s="240">
        <f>SUM(DW95:DW97)</f>
        <v>0</v>
      </c>
      <c r="AC47" s="240">
        <f>SUM(DX95:DX97)</f>
        <v>0</v>
      </c>
      <c r="AD47" s="38"/>
      <c r="AE47" s="238"/>
      <c r="AF47" s="238">
        <f t="shared" ref="AF47:AH49" si="50">AF$46</f>
        <v>0</v>
      </c>
      <c r="AG47" s="238">
        <f t="shared" si="50"/>
        <v>0</v>
      </c>
      <c r="AH47" s="238">
        <f t="shared" si="50"/>
        <v>15</v>
      </c>
      <c r="AI47" s="64">
        <f t="shared" si="22"/>
        <v>0</v>
      </c>
      <c r="AJ47" s="64">
        <f t="shared" si="0"/>
        <v>0</v>
      </c>
      <c r="AK47" s="64">
        <f t="shared" si="1"/>
        <v>0</v>
      </c>
      <c r="AL47" s="64">
        <f t="shared" si="2"/>
        <v>0</v>
      </c>
      <c r="AM47" s="238">
        <f t="shared" si="3"/>
        <v>39900</v>
      </c>
      <c r="AN47" s="64">
        <f t="shared" si="4"/>
        <v>0</v>
      </c>
      <c r="AO47" s="238">
        <f t="shared" si="5"/>
        <v>50000</v>
      </c>
      <c r="AP47" s="238">
        <f t="shared" si="6"/>
        <v>0</v>
      </c>
      <c r="AQ47" s="238">
        <f t="shared" si="7"/>
        <v>360</v>
      </c>
      <c r="AS47" s="278" t="s">
        <v>472</v>
      </c>
      <c r="AT47" s="238">
        <v>2</v>
      </c>
      <c r="AU47" s="238">
        <f>AU46+1</f>
        <v>1</v>
      </c>
      <c r="AV47" s="36">
        <v>0</v>
      </c>
      <c r="AW47" s="36">
        <v>0</v>
      </c>
      <c r="AX47" s="36">
        <v>300</v>
      </c>
      <c r="AY47" s="36">
        <v>1200</v>
      </c>
      <c r="AZ47" s="36">
        <v>2700</v>
      </c>
      <c r="BA47" s="36">
        <v>5200</v>
      </c>
      <c r="BB47" s="36">
        <v>10200</v>
      </c>
      <c r="BC47" s="36">
        <v>16800</v>
      </c>
      <c r="BD47" s="36">
        <v>26400</v>
      </c>
      <c r="BE47" s="36">
        <v>39900</v>
      </c>
      <c r="BF47" s="16">
        <v>5000</v>
      </c>
      <c r="BG47" s="16">
        <v>10000</v>
      </c>
      <c r="BH47" s="16">
        <v>15000</v>
      </c>
      <c r="BI47" s="16">
        <v>20000</v>
      </c>
      <c r="BJ47" s="16">
        <v>25000</v>
      </c>
      <c r="BK47" s="16">
        <v>30000</v>
      </c>
      <c r="BL47" s="16">
        <v>35000</v>
      </c>
      <c r="BM47" s="16">
        <v>40000</v>
      </c>
      <c r="BN47" s="16">
        <v>45000</v>
      </c>
      <c r="BO47" s="16">
        <v>50000</v>
      </c>
      <c r="BP47" s="36">
        <f t="shared" si="8"/>
        <v>60</v>
      </c>
      <c r="BQ47" s="16">
        <f t="shared" si="9"/>
        <v>150</v>
      </c>
      <c r="BR47" s="36">
        <f t="shared" si="10"/>
        <v>193</v>
      </c>
      <c r="BS47" s="16">
        <f t="shared" si="11"/>
        <v>260</v>
      </c>
      <c r="BT47" s="36">
        <f t="shared" si="12"/>
        <v>360</v>
      </c>
      <c r="BV47" s="153">
        <f t="shared" si="13"/>
        <v>59.85</v>
      </c>
      <c r="BW47" s="153">
        <f t="shared" si="14"/>
        <v>149.625</v>
      </c>
      <c r="BX47" s="153">
        <f t="shared" si="15"/>
        <v>192.84998670000002</v>
      </c>
      <c r="BY47" s="153">
        <f t="shared" si="16"/>
        <v>259.35000000000002</v>
      </c>
      <c r="BZ47" s="153">
        <f t="shared" si="17"/>
        <v>359.1</v>
      </c>
      <c r="DF47" s="287" t="s">
        <v>473</v>
      </c>
      <c r="DG47" s="238">
        <f t="shared" si="43"/>
        <v>0</v>
      </c>
      <c r="DH47" s="238">
        <f t="shared" si="44"/>
        <v>0</v>
      </c>
      <c r="DI47" s="238">
        <f t="shared" si="47"/>
        <v>13</v>
      </c>
      <c r="DJ47" s="3">
        <v>2</v>
      </c>
      <c r="DK47" s="3">
        <v>0</v>
      </c>
      <c r="DL47" s="3">
        <v>0</v>
      </c>
      <c r="DM47" s="64">
        <f t="shared" si="40"/>
        <v>0</v>
      </c>
      <c r="DN47" s="64">
        <f t="shared" si="41"/>
        <v>0</v>
      </c>
      <c r="DO47" s="64">
        <f t="shared" si="42"/>
        <v>0</v>
      </c>
      <c r="DP47" s="263" t="s">
        <v>418</v>
      </c>
      <c r="DQ47" s="238">
        <f>VLOOKUP(X23, DP47:DR54, 3, FALSE)</f>
        <v>0</v>
      </c>
      <c r="DR47" s="238">
        <v>0</v>
      </c>
      <c r="DS47" s="64">
        <v>0</v>
      </c>
      <c r="DT47" s="64">
        <v>0</v>
      </c>
      <c r="DU47" s="64">
        <v>0</v>
      </c>
      <c r="DV47" s="64">
        <f t="shared" ref="DV47:DX54" si="51">IF(($DR47=$DQ47),DS47,0)</f>
        <v>0</v>
      </c>
      <c r="DW47" s="64">
        <f t="shared" si="51"/>
        <v>0</v>
      </c>
      <c r="DX47" s="64">
        <f t="shared" si="51"/>
        <v>0</v>
      </c>
    </row>
    <row r="48" spans="1:132" ht="17.25" customHeight="1" thickBot="1">
      <c r="B48" s="628"/>
      <c r="C48" s="642"/>
      <c r="D48" s="81">
        <v>0</v>
      </c>
      <c r="E48" s="155"/>
      <c r="F48" s="106" t="s">
        <v>61</v>
      </c>
      <c r="G48" s="155"/>
      <c r="H48" s="2433"/>
      <c r="I48" s="2434"/>
      <c r="J48" s="2434"/>
      <c r="K48" s="151"/>
      <c r="W48" s="277"/>
      <c r="X48" s="2442" t="s">
        <v>474</v>
      </c>
      <c r="Y48" s="2442"/>
      <c r="Z48" s="65">
        <v>0</v>
      </c>
      <c r="AA48" s="239">
        <f>SUM(DV100:DV101)</f>
        <v>0</v>
      </c>
      <c r="AB48" s="239">
        <f>SUM(DW100:DW101)</f>
        <v>0</v>
      </c>
      <c r="AC48" s="239">
        <f>SUM(DX100:DX101)</f>
        <v>0</v>
      </c>
      <c r="AD48" s="101"/>
      <c r="AE48" s="238"/>
      <c r="AF48" s="238">
        <f t="shared" si="50"/>
        <v>0</v>
      </c>
      <c r="AG48" s="238">
        <f t="shared" si="50"/>
        <v>0</v>
      </c>
      <c r="AH48" s="238">
        <f t="shared" si="50"/>
        <v>15</v>
      </c>
      <c r="AI48" s="64">
        <f t="shared" si="22"/>
        <v>0</v>
      </c>
      <c r="AJ48" s="64">
        <f t="shared" si="0"/>
        <v>0</v>
      </c>
      <c r="AK48" s="64">
        <f t="shared" si="1"/>
        <v>0</v>
      </c>
      <c r="AL48" s="64">
        <f t="shared" si="2"/>
        <v>0</v>
      </c>
      <c r="AM48" s="238">
        <f t="shared" si="3"/>
        <v>40300</v>
      </c>
      <c r="AN48" s="64">
        <f t="shared" si="4"/>
        <v>0</v>
      </c>
      <c r="AO48" s="238">
        <f t="shared" si="5"/>
        <v>50000</v>
      </c>
      <c r="AP48" s="238">
        <f t="shared" si="6"/>
        <v>0</v>
      </c>
      <c r="AQ48" s="238">
        <f t="shared" si="7"/>
        <v>363</v>
      </c>
      <c r="AS48" s="278" t="s">
        <v>475</v>
      </c>
      <c r="AT48" s="666">
        <v>3</v>
      </c>
      <c r="AU48" s="238">
        <f>AU47+1</f>
        <v>2</v>
      </c>
      <c r="AV48" s="36">
        <v>0</v>
      </c>
      <c r="AW48" s="36">
        <v>0</v>
      </c>
      <c r="AX48" s="36">
        <v>300</v>
      </c>
      <c r="AY48" s="36">
        <v>1200</v>
      </c>
      <c r="AZ48" s="36">
        <v>2700</v>
      </c>
      <c r="BA48" s="36">
        <v>5000</v>
      </c>
      <c r="BB48" s="36">
        <v>10300</v>
      </c>
      <c r="BC48" s="36">
        <v>16300</v>
      </c>
      <c r="BD48" s="36">
        <v>25300</v>
      </c>
      <c r="BE48" s="36">
        <v>40300</v>
      </c>
      <c r="BF48" s="16">
        <v>5000</v>
      </c>
      <c r="BG48" s="16">
        <v>10000</v>
      </c>
      <c r="BH48" s="16">
        <v>15000</v>
      </c>
      <c r="BI48" s="16">
        <v>20000</v>
      </c>
      <c r="BJ48" s="16">
        <v>25000</v>
      </c>
      <c r="BK48" s="16">
        <v>30000</v>
      </c>
      <c r="BL48" s="16">
        <v>35000</v>
      </c>
      <c r="BM48" s="16">
        <v>40000</v>
      </c>
      <c r="BN48" s="16">
        <v>45000</v>
      </c>
      <c r="BO48" s="16">
        <v>50000</v>
      </c>
      <c r="BP48" s="36">
        <f t="shared" si="8"/>
        <v>61</v>
      </c>
      <c r="BQ48" s="16">
        <f t="shared" si="9"/>
        <v>152</v>
      </c>
      <c r="BR48" s="36">
        <f t="shared" si="10"/>
        <v>195</v>
      </c>
      <c r="BS48" s="16">
        <f t="shared" si="11"/>
        <v>262</v>
      </c>
      <c r="BT48" s="36">
        <f t="shared" si="12"/>
        <v>363</v>
      </c>
      <c r="BV48" s="153">
        <f t="shared" si="13"/>
        <v>60.45</v>
      </c>
      <c r="BW48" s="153">
        <f t="shared" si="14"/>
        <v>151.125</v>
      </c>
      <c r="BX48" s="153">
        <f t="shared" si="15"/>
        <v>194.78331989999998</v>
      </c>
      <c r="BY48" s="153">
        <f t="shared" si="16"/>
        <v>261.95</v>
      </c>
      <c r="BZ48" s="153">
        <f t="shared" si="17"/>
        <v>362.7</v>
      </c>
      <c r="DF48" s="287" t="s">
        <v>366</v>
      </c>
      <c r="DG48" s="64">
        <v>0</v>
      </c>
      <c r="DH48" s="238">
        <f>VLOOKUP(X13, DF48:DI52, 4, FALSE)</f>
        <v>0</v>
      </c>
      <c r="DI48" s="238">
        <v>0</v>
      </c>
      <c r="DJ48" s="3">
        <v>0</v>
      </c>
      <c r="DK48" s="3">
        <v>0</v>
      </c>
      <c r="DL48" s="3">
        <v>0</v>
      </c>
      <c r="DM48" s="64">
        <f t="shared" si="40"/>
        <v>0</v>
      </c>
      <c r="DN48" s="64">
        <f t="shared" si="41"/>
        <v>0</v>
      </c>
      <c r="DO48" s="64">
        <f t="shared" si="42"/>
        <v>0</v>
      </c>
      <c r="DP48" s="263" t="s">
        <v>476</v>
      </c>
      <c r="DQ48" s="238">
        <f t="shared" ref="DQ48:DQ54" si="52">$DQ$47</f>
        <v>0</v>
      </c>
      <c r="DR48" s="238">
        <f t="shared" ref="DR48:DR54" si="53">DR47+1</f>
        <v>1</v>
      </c>
      <c r="DS48" s="64">
        <v>0</v>
      </c>
      <c r="DT48" s="64">
        <v>20000</v>
      </c>
      <c r="DU48" s="64">
        <v>0</v>
      </c>
      <c r="DV48" s="64">
        <f t="shared" si="51"/>
        <v>0</v>
      </c>
      <c r="DW48" s="64">
        <f t="shared" si="51"/>
        <v>0</v>
      </c>
      <c r="DX48" s="64">
        <f t="shared" si="51"/>
        <v>0</v>
      </c>
    </row>
    <row r="49" spans="1:132" ht="17.25" customHeight="1" thickBot="1">
      <c r="B49" s="629"/>
      <c r="C49" s="274" t="s">
        <v>413</v>
      </c>
      <c r="D49" s="275"/>
      <c r="E49" s="275"/>
      <c r="F49" s="275"/>
      <c r="G49" s="275"/>
      <c r="H49" s="2443">
        <f>SUM(AI120:AI123)</f>
        <v>0</v>
      </c>
      <c r="I49" s="2444">
        <f>SUM(AJ120:AJ123)</f>
        <v>0</v>
      </c>
      <c r="J49" s="2444">
        <f>SUM(AK120:AK123)</f>
        <v>0</v>
      </c>
      <c r="K49" s="151"/>
      <c r="W49" s="277"/>
      <c r="X49" s="2438" t="s">
        <v>477</v>
      </c>
      <c r="Y49" s="2438"/>
      <c r="Z49" s="23">
        <v>0</v>
      </c>
      <c r="AA49" s="240">
        <f>SUM(DV104:DV107)</f>
        <v>0</v>
      </c>
      <c r="AB49" s="240">
        <f>SUM(DW104:DW107)</f>
        <v>0</v>
      </c>
      <c r="AC49" s="240">
        <f>SUM(DX104:DX107)</f>
        <v>0</v>
      </c>
      <c r="AD49" s="101"/>
      <c r="AE49" s="238"/>
      <c r="AF49" s="238">
        <f t="shared" si="50"/>
        <v>0</v>
      </c>
      <c r="AG49" s="238">
        <f t="shared" si="50"/>
        <v>0</v>
      </c>
      <c r="AH49" s="238">
        <f t="shared" si="50"/>
        <v>15</v>
      </c>
      <c r="AI49" s="64">
        <f t="shared" si="22"/>
        <v>0</v>
      </c>
      <c r="AJ49" s="64">
        <f t="shared" si="0"/>
        <v>0</v>
      </c>
      <c r="AK49" s="64">
        <f t="shared" si="1"/>
        <v>0</v>
      </c>
      <c r="AL49" s="64">
        <f t="shared" si="2"/>
        <v>0</v>
      </c>
      <c r="AM49" s="238">
        <f t="shared" si="3"/>
        <v>30800</v>
      </c>
      <c r="AN49" s="64">
        <f t="shared" si="4"/>
        <v>0</v>
      </c>
      <c r="AO49" s="238">
        <f t="shared" si="5"/>
        <v>25000</v>
      </c>
      <c r="AP49" s="238">
        <f t="shared" si="6"/>
        <v>0</v>
      </c>
      <c r="AQ49" s="238">
        <f t="shared" si="7"/>
        <v>278</v>
      </c>
      <c r="AS49" s="278" t="s">
        <v>478</v>
      </c>
      <c r="AT49" s="666">
        <v>4</v>
      </c>
      <c r="AU49" s="238">
        <f>AU48+1</f>
        <v>3</v>
      </c>
      <c r="AV49" s="36">
        <v>0</v>
      </c>
      <c r="AW49" s="36">
        <v>0</v>
      </c>
      <c r="AX49" s="36">
        <v>300</v>
      </c>
      <c r="AY49" s="36">
        <v>900</v>
      </c>
      <c r="AZ49" s="36">
        <v>2000</v>
      </c>
      <c r="BA49" s="36">
        <v>3800</v>
      </c>
      <c r="BB49" s="36">
        <v>6800</v>
      </c>
      <c r="BC49" s="36">
        <v>11300</v>
      </c>
      <c r="BD49" s="36">
        <v>18800</v>
      </c>
      <c r="BE49" s="36">
        <v>30800</v>
      </c>
      <c r="BF49" s="16">
        <v>2500</v>
      </c>
      <c r="BG49" s="16">
        <v>5000</v>
      </c>
      <c r="BH49" s="16">
        <v>7500</v>
      </c>
      <c r="BI49" s="16">
        <v>10000</v>
      </c>
      <c r="BJ49" s="16">
        <v>12500</v>
      </c>
      <c r="BK49" s="16">
        <v>15000</v>
      </c>
      <c r="BL49" s="16">
        <v>17500</v>
      </c>
      <c r="BM49" s="16">
        <v>20000</v>
      </c>
      <c r="BN49" s="16">
        <v>22500</v>
      </c>
      <c r="BO49" s="16">
        <v>25000</v>
      </c>
      <c r="BP49" s="36">
        <f t="shared" si="8"/>
        <v>47</v>
      </c>
      <c r="BQ49" s="16">
        <f t="shared" si="9"/>
        <v>116</v>
      </c>
      <c r="BR49" s="36">
        <f t="shared" si="10"/>
        <v>149</v>
      </c>
      <c r="BS49" s="16">
        <f t="shared" si="11"/>
        <v>201</v>
      </c>
      <c r="BT49" s="36">
        <f t="shared" si="12"/>
        <v>278</v>
      </c>
      <c r="BV49" s="153">
        <f t="shared" si="13"/>
        <v>46.2</v>
      </c>
      <c r="BW49" s="153">
        <f t="shared" si="14"/>
        <v>115.5</v>
      </c>
      <c r="BX49" s="153">
        <f t="shared" si="15"/>
        <v>148.86665640000001</v>
      </c>
      <c r="BY49" s="153">
        <f t="shared" si="16"/>
        <v>200.2</v>
      </c>
      <c r="BZ49" s="153">
        <f t="shared" si="17"/>
        <v>277.2</v>
      </c>
      <c r="DF49" s="263" t="s">
        <v>479</v>
      </c>
      <c r="DG49" s="238">
        <f>IF((DH49=DI49),$Z$13,0)</f>
        <v>0</v>
      </c>
      <c r="DH49" s="238">
        <f>$DH$48</f>
        <v>0</v>
      </c>
      <c r="DI49" s="238">
        <f>DI48+1</f>
        <v>1</v>
      </c>
      <c r="DJ49" s="3">
        <v>0</v>
      </c>
      <c r="DK49" s="3">
        <v>35</v>
      </c>
      <c r="DL49" s="3">
        <v>0</v>
      </c>
      <c r="DM49" s="64">
        <f t="shared" si="40"/>
        <v>0</v>
      </c>
      <c r="DN49" s="64">
        <f t="shared" si="41"/>
        <v>0</v>
      </c>
      <c r="DO49" s="64">
        <f t="shared" si="42"/>
        <v>0</v>
      </c>
      <c r="DP49" s="263" t="s">
        <v>480</v>
      </c>
      <c r="DQ49" s="238">
        <f t="shared" si="52"/>
        <v>0</v>
      </c>
      <c r="DR49" s="238">
        <f t="shared" si="53"/>
        <v>2</v>
      </c>
      <c r="DS49" s="64">
        <v>2000</v>
      </c>
      <c r="DT49" s="64">
        <v>0</v>
      </c>
      <c r="DU49" s="64">
        <v>0</v>
      </c>
      <c r="DV49" s="64">
        <f t="shared" si="51"/>
        <v>0</v>
      </c>
      <c r="DW49" s="64">
        <f t="shared" si="51"/>
        <v>0</v>
      </c>
      <c r="DX49" s="64">
        <f t="shared" si="51"/>
        <v>0</v>
      </c>
    </row>
    <row r="50" spans="1:132" ht="17.25" customHeight="1" thickBot="1">
      <c r="B50" s="630"/>
      <c r="C50" s="643"/>
      <c r="D50" s="99">
        <v>0</v>
      </c>
      <c r="E50" s="155"/>
      <c r="F50" s="22" t="s">
        <v>61</v>
      </c>
      <c r="G50" s="155"/>
      <c r="H50" s="2443"/>
      <c r="I50" s="2444"/>
      <c r="J50" s="2444"/>
      <c r="K50" s="151"/>
      <c r="X50" s="26"/>
      <c r="Y50" s="26"/>
      <c r="Z50" s="77"/>
      <c r="AA50" s="63">
        <f>SUM(AA39:AA49)</f>
        <v>0</v>
      </c>
      <c r="AB50" s="63">
        <f>SUM(AB39:AB49)</f>
        <v>72500</v>
      </c>
      <c r="AC50" s="63">
        <f>SUM(AC39:AC49)</f>
        <v>0</v>
      </c>
      <c r="AD50" s="97"/>
      <c r="AE50" s="238"/>
      <c r="AF50" s="238">
        <f>D25</f>
        <v>0</v>
      </c>
      <c r="AG50" s="238">
        <f>A2</f>
        <v>0</v>
      </c>
      <c r="AH50" s="238">
        <f>B2</f>
        <v>15</v>
      </c>
      <c r="AI50" s="64">
        <f t="shared" si="22"/>
        <v>0</v>
      </c>
      <c r="AJ50" s="64">
        <f t="shared" si="0"/>
        <v>0</v>
      </c>
      <c r="AK50" s="64">
        <f t="shared" si="1"/>
        <v>0</v>
      </c>
      <c r="AL50" s="64">
        <f t="shared" si="2"/>
        <v>0</v>
      </c>
      <c r="AM50" s="238">
        <f t="shared" si="3"/>
        <v>76950</v>
      </c>
      <c r="AN50" s="64">
        <f t="shared" si="4"/>
        <v>0</v>
      </c>
      <c r="AO50" s="238">
        <f t="shared" si="5"/>
        <v>100000</v>
      </c>
      <c r="AP50" s="238">
        <f t="shared" si="6"/>
        <v>0</v>
      </c>
      <c r="AQ50" s="238">
        <f t="shared" si="7"/>
        <v>693</v>
      </c>
      <c r="AS50" s="261" t="s">
        <v>425</v>
      </c>
      <c r="AT50" s="238">
        <v>1</v>
      </c>
      <c r="AU50" s="238">
        <v>0</v>
      </c>
      <c r="AV50" s="36">
        <v>300</v>
      </c>
      <c r="AW50" s="36">
        <v>450</v>
      </c>
      <c r="AX50" s="36">
        <v>750</v>
      </c>
      <c r="AY50" s="36">
        <v>1950</v>
      </c>
      <c r="AZ50" s="36">
        <v>4950</v>
      </c>
      <c r="BA50" s="36">
        <v>9450</v>
      </c>
      <c r="BB50" s="36">
        <v>16950</v>
      </c>
      <c r="BC50" s="36">
        <v>28950</v>
      </c>
      <c r="BD50" s="36">
        <v>46950</v>
      </c>
      <c r="BE50" s="36">
        <v>76950</v>
      </c>
      <c r="BF50" s="16">
        <v>10000</v>
      </c>
      <c r="BG50" s="16">
        <v>20000</v>
      </c>
      <c r="BH50" s="16">
        <v>30000</v>
      </c>
      <c r="BI50" s="16">
        <v>40000</v>
      </c>
      <c r="BJ50" s="16">
        <v>50000</v>
      </c>
      <c r="BK50" s="16">
        <v>60000</v>
      </c>
      <c r="BL50" s="16">
        <v>70000</v>
      </c>
      <c r="BM50" s="16">
        <v>80000</v>
      </c>
      <c r="BN50" s="16">
        <v>90000</v>
      </c>
      <c r="BO50" s="16">
        <v>100000</v>
      </c>
      <c r="BP50" s="36">
        <f t="shared" si="8"/>
        <v>116</v>
      </c>
      <c r="BQ50" s="16">
        <f t="shared" si="9"/>
        <v>289</v>
      </c>
      <c r="BR50" s="36">
        <f t="shared" si="10"/>
        <v>372</v>
      </c>
      <c r="BS50" s="16">
        <f t="shared" si="11"/>
        <v>501</v>
      </c>
      <c r="BT50" s="36">
        <f t="shared" si="12"/>
        <v>693</v>
      </c>
      <c r="BV50" s="153">
        <f t="shared" si="13"/>
        <v>115.425</v>
      </c>
      <c r="BW50" s="153">
        <f t="shared" si="14"/>
        <v>288.5625</v>
      </c>
      <c r="BX50" s="153">
        <f t="shared" si="15"/>
        <v>371.92497435000001</v>
      </c>
      <c r="BY50" s="153">
        <f t="shared" si="16"/>
        <v>500.17500000000001</v>
      </c>
      <c r="BZ50" s="153">
        <f t="shared" si="17"/>
        <v>692.55</v>
      </c>
      <c r="DE50" s="238"/>
      <c r="DF50" s="263" t="s">
        <v>481</v>
      </c>
      <c r="DG50" s="238">
        <f>IF((DH50=DI50),$Z$13,0)</f>
        <v>0</v>
      </c>
      <c r="DH50" s="238">
        <f>$DH$48</f>
        <v>0</v>
      </c>
      <c r="DI50" s="238">
        <f>DI49+1</f>
        <v>2</v>
      </c>
      <c r="DJ50" s="3">
        <v>15</v>
      </c>
      <c r="DK50" s="3">
        <v>35</v>
      </c>
      <c r="DL50" s="3">
        <v>0</v>
      </c>
      <c r="DM50" s="64">
        <f t="shared" si="40"/>
        <v>0</v>
      </c>
      <c r="DN50" s="64">
        <f t="shared" si="41"/>
        <v>0</v>
      </c>
      <c r="DO50" s="64">
        <f t="shared" si="42"/>
        <v>0</v>
      </c>
      <c r="DP50" s="263" t="s">
        <v>482</v>
      </c>
      <c r="DQ50" s="238">
        <f t="shared" si="52"/>
        <v>0</v>
      </c>
      <c r="DR50" s="238">
        <f t="shared" si="53"/>
        <v>3</v>
      </c>
      <c r="DS50" s="64">
        <v>3000</v>
      </c>
      <c r="DT50" s="64">
        <v>0</v>
      </c>
      <c r="DU50" s="64">
        <v>0</v>
      </c>
      <c r="DV50" s="64">
        <f t="shared" si="51"/>
        <v>0</v>
      </c>
      <c r="DW50" s="64">
        <f t="shared" si="51"/>
        <v>0</v>
      </c>
      <c r="DX50" s="64">
        <f t="shared" si="51"/>
        <v>0</v>
      </c>
    </row>
    <row r="51" spans="1:132" ht="17.25" customHeight="1" thickBot="1">
      <c r="B51" s="633"/>
      <c r="C51" s="279" t="s">
        <v>421</v>
      </c>
      <c r="D51" s="279"/>
      <c r="E51" s="279"/>
      <c r="F51" s="279"/>
      <c r="G51" s="279"/>
      <c r="H51" s="2467">
        <f>SUM(AI124:AI128)</f>
        <v>0</v>
      </c>
      <c r="I51" s="2468">
        <f>SUM(AJ124:AJ128)</f>
        <v>0</v>
      </c>
      <c r="J51" s="2468">
        <f>SUM(AK124:AK128)</f>
        <v>0</v>
      </c>
      <c r="K51" s="151"/>
      <c r="X51" s="263"/>
      <c r="AA51" s="280"/>
      <c r="AB51" s="280"/>
      <c r="AC51" s="280"/>
      <c r="AD51" s="152"/>
      <c r="AE51" s="238"/>
      <c r="AF51" s="238">
        <f t="shared" ref="AF51:AH54" si="54">AF$50</f>
        <v>0</v>
      </c>
      <c r="AG51" s="238">
        <f t="shared" si="54"/>
        <v>0</v>
      </c>
      <c r="AH51" s="238">
        <f t="shared" si="54"/>
        <v>15</v>
      </c>
      <c r="AI51" s="64">
        <f t="shared" si="22"/>
        <v>0</v>
      </c>
      <c r="AJ51" s="64">
        <f t="shared" si="0"/>
        <v>0</v>
      </c>
      <c r="AK51" s="64">
        <f t="shared" si="1"/>
        <v>0</v>
      </c>
      <c r="AL51" s="64">
        <f t="shared" si="2"/>
        <v>0</v>
      </c>
      <c r="AM51" s="238">
        <f t="shared" si="3"/>
        <v>114900</v>
      </c>
      <c r="AN51" s="64">
        <f t="shared" si="4"/>
        <v>0</v>
      </c>
      <c r="AO51" s="238">
        <f t="shared" si="5"/>
        <v>75000</v>
      </c>
      <c r="AP51" s="238">
        <f t="shared" si="6"/>
        <v>0</v>
      </c>
      <c r="AQ51" s="238">
        <f t="shared" si="7"/>
        <v>1035</v>
      </c>
      <c r="AR51" s="291"/>
      <c r="AS51" s="261" t="s">
        <v>483</v>
      </c>
      <c r="AT51" s="238">
        <v>2</v>
      </c>
      <c r="AU51" s="238">
        <f>AU50+1</f>
        <v>1</v>
      </c>
      <c r="AV51" s="36">
        <v>150</v>
      </c>
      <c r="AW51" s="36">
        <v>150</v>
      </c>
      <c r="AX51" s="36">
        <v>600</v>
      </c>
      <c r="AY51" s="36">
        <v>2400</v>
      </c>
      <c r="AZ51" s="36">
        <v>6900</v>
      </c>
      <c r="BA51" s="36">
        <v>13650</v>
      </c>
      <c r="BB51" s="36">
        <v>24900</v>
      </c>
      <c r="BC51" s="36">
        <v>42900</v>
      </c>
      <c r="BD51" s="36">
        <v>69900</v>
      </c>
      <c r="BE51" s="36">
        <v>114900</v>
      </c>
      <c r="BF51" s="16">
        <v>7500</v>
      </c>
      <c r="BG51" s="16">
        <v>15000</v>
      </c>
      <c r="BH51" s="16">
        <v>22500</v>
      </c>
      <c r="BI51" s="16">
        <v>30000</v>
      </c>
      <c r="BJ51" s="16">
        <v>37500</v>
      </c>
      <c r="BK51" s="16">
        <v>45000</v>
      </c>
      <c r="BL51" s="16">
        <v>52500</v>
      </c>
      <c r="BM51" s="16">
        <v>60000</v>
      </c>
      <c r="BN51" s="16">
        <v>67500</v>
      </c>
      <c r="BO51" s="16">
        <v>75000</v>
      </c>
      <c r="BP51" s="36">
        <f t="shared" si="8"/>
        <v>173</v>
      </c>
      <c r="BQ51" s="16">
        <f t="shared" si="9"/>
        <v>431</v>
      </c>
      <c r="BR51" s="36">
        <f t="shared" si="10"/>
        <v>556</v>
      </c>
      <c r="BS51" s="16">
        <f t="shared" si="11"/>
        <v>747</v>
      </c>
      <c r="BT51" s="36">
        <f t="shared" si="12"/>
        <v>1035</v>
      </c>
      <c r="BV51" s="153">
        <f t="shared" si="13"/>
        <v>172.35</v>
      </c>
      <c r="BW51" s="153">
        <f t="shared" si="14"/>
        <v>430.875</v>
      </c>
      <c r="BX51" s="153">
        <f t="shared" si="15"/>
        <v>555.34996169999999</v>
      </c>
      <c r="BY51" s="153">
        <f t="shared" si="16"/>
        <v>746.85</v>
      </c>
      <c r="BZ51" s="153">
        <f t="shared" si="17"/>
        <v>1034.0999999999999</v>
      </c>
      <c r="DF51" s="263" t="s">
        <v>484</v>
      </c>
      <c r="DG51" s="238">
        <f>IF((DH51=DI51),$Z$13,0)</f>
        <v>0</v>
      </c>
      <c r="DH51" s="238">
        <f>$DH$48</f>
        <v>0</v>
      </c>
      <c r="DI51" s="238">
        <f>DI50+1</f>
        <v>3</v>
      </c>
      <c r="DJ51" s="3">
        <v>30</v>
      </c>
      <c r="DK51" s="3">
        <v>0</v>
      </c>
      <c r="DL51" s="3">
        <v>0</v>
      </c>
      <c r="DM51" s="64">
        <f t="shared" si="40"/>
        <v>0</v>
      </c>
      <c r="DN51" s="64">
        <f t="shared" si="41"/>
        <v>0</v>
      </c>
      <c r="DO51" s="64">
        <f t="shared" si="42"/>
        <v>0</v>
      </c>
      <c r="DP51" s="263" t="s">
        <v>485</v>
      </c>
      <c r="DQ51" s="238">
        <f t="shared" si="52"/>
        <v>0</v>
      </c>
      <c r="DR51" s="238">
        <f t="shared" si="53"/>
        <v>4</v>
      </c>
      <c r="DS51" s="64">
        <v>3000</v>
      </c>
      <c r="DT51" s="64">
        <v>0</v>
      </c>
      <c r="DU51" s="64">
        <v>0</v>
      </c>
      <c r="DV51" s="64">
        <f t="shared" si="51"/>
        <v>0</v>
      </c>
      <c r="DW51" s="64">
        <f t="shared" si="51"/>
        <v>0</v>
      </c>
      <c r="DX51" s="64">
        <f t="shared" si="51"/>
        <v>0</v>
      </c>
    </row>
    <row r="52" spans="1:132" ht="17.25" customHeight="1" thickBot="1">
      <c r="B52" s="635"/>
      <c r="C52" s="648"/>
      <c r="D52" s="79">
        <v>0</v>
      </c>
      <c r="E52" s="155"/>
      <c r="F52" s="37" t="s">
        <v>61</v>
      </c>
      <c r="G52" s="155"/>
      <c r="H52" s="2467"/>
      <c r="I52" s="2468"/>
      <c r="J52" s="2468"/>
      <c r="K52" s="151"/>
      <c r="AD52" s="152"/>
      <c r="AE52" s="238"/>
      <c r="AF52" s="238">
        <f t="shared" si="54"/>
        <v>0</v>
      </c>
      <c r="AG52" s="238">
        <f t="shared" si="54"/>
        <v>0</v>
      </c>
      <c r="AH52" s="238">
        <f t="shared" si="54"/>
        <v>15</v>
      </c>
      <c r="AI52" s="64">
        <f t="shared" si="22"/>
        <v>0</v>
      </c>
      <c r="AJ52" s="64">
        <f t="shared" si="0"/>
        <v>0</v>
      </c>
      <c r="AK52" s="64">
        <f t="shared" si="1"/>
        <v>0</v>
      </c>
      <c r="AL52" s="64">
        <f t="shared" si="2"/>
        <v>0</v>
      </c>
      <c r="AM52" s="238">
        <f t="shared" si="3"/>
        <v>77550</v>
      </c>
      <c r="AN52" s="64">
        <f t="shared" si="4"/>
        <v>0</v>
      </c>
      <c r="AO52" s="238">
        <f t="shared" si="5"/>
        <v>100000</v>
      </c>
      <c r="AP52" s="238">
        <f t="shared" si="6"/>
        <v>0</v>
      </c>
      <c r="AQ52" s="238">
        <f t="shared" si="7"/>
        <v>698</v>
      </c>
      <c r="AR52" s="291"/>
      <c r="AS52" s="261" t="s">
        <v>487</v>
      </c>
      <c r="AT52" s="666">
        <v>3</v>
      </c>
      <c r="AU52" s="238">
        <f>AU51+1</f>
        <v>2</v>
      </c>
      <c r="AV52" s="36">
        <v>300</v>
      </c>
      <c r="AW52" s="36">
        <v>600</v>
      </c>
      <c r="AX52" s="36">
        <v>1350</v>
      </c>
      <c r="AY52" s="36">
        <v>2550</v>
      </c>
      <c r="AZ52" s="36">
        <v>5550</v>
      </c>
      <c r="BA52" s="36">
        <v>10050</v>
      </c>
      <c r="BB52" s="36">
        <v>17550</v>
      </c>
      <c r="BC52" s="36">
        <v>29550</v>
      </c>
      <c r="BD52" s="36">
        <v>47550</v>
      </c>
      <c r="BE52" s="36">
        <v>77550</v>
      </c>
      <c r="BF52" s="16">
        <v>10000</v>
      </c>
      <c r="BG52" s="16">
        <v>20000</v>
      </c>
      <c r="BH52" s="16">
        <v>30000</v>
      </c>
      <c r="BI52" s="16">
        <v>40000</v>
      </c>
      <c r="BJ52" s="16">
        <v>50000</v>
      </c>
      <c r="BK52" s="16">
        <v>60000</v>
      </c>
      <c r="BL52" s="16">
        <v>70000</v>
      </c>
      <c r="BM52" s="16">
        <v>80000</v>
      </c>
      <c r="BN52" s="16">
        <v>90000</v>
      </c>
      <c r="BO52" s="16">
        <v>100000</v>
      </c>
      <c r="BP52" s="36">
        <f t="shared" si="8"/>
        <v>117</v>
      </c>
      <c r="BQ52" s="16">
        <f t="shared" si="9"/>
        <v>291</v>
      </c>
      <c r="BR52" s="36">
        <f t="shared" si="10"/>
        <v>375</v>
      </c>
      <c r="BS52" s="16">
        <f t="shared" si="11"/>
        <v>505</v>
      </c>
      <c r="BT52" s="36">
        <f t="shared" si="12"/>
        <v>698</v>
      </c>
      <c r="BV52" s="153">
        <f t="shared" si="13"/>
        <v>116.325</v>
      </c>
      <c r="BW52" s="153">
        <f t="shared" si="14"/>
        <v>290.8125</v>
      </c>
      <c r="BX52" s="153">
        <f t="shared" si="15"/>
        <v>374.82497415</v>
      </c>
      <c r="BY52" s="153">
        <f t="shared" si="16"/>
        <v>504.07499999999999</v>
      </c>
      <c r="BZ52" s="153">
        <f>SUM(((BE52*7.5)/1000))+(BV52:BV62)</f>
        <v>697.95</v>
      </c>
      <c r="DF52" s="263" t="s">
        <v>488</v>
      </c>
      <c r="DG52" s="238">
        <f>IF((DH52=DI52),$Z$13,0)</f>
        <v>0</v>
      </c>
      <c r="DH52" s="238">
        <f>$DH$48</f>
        <v>0</v>
      </c>
      <c r="DI52" s="238">
        <f>DI51+1</f>
        <v>4</v>
      </c>
      <c r="DJ52" s="3">
        <v>0</v>
      </c>
      <c r="DK52" s="3">
        <v>0</v>
      </c>
      <c r="DL52" s="3">
        <v>500</v>
      </c>
      <c r="DM52" s="64">
        <f t="shared" si="40"/>
        <v>0</v>
      </c>
      <c r="DN52" s="64">
        <f t="shared" si="41"/>
        <v>0</v>
      </c>
      <c r="DO52" s="64">
        <f t="shared" si="42"/>
        <v>0</v>
      </c>
      <c r="DP52" s="263" t="s">
        <v>489</v>
      </c>
      <c r="DQ52" s="238">
        <f t="shared" si="52"/>
        <v>0</v>
      </c>
      <c r="DR52" s="238">
        <f t="shared" si="53"/>
        <v>5</v>
      </c>
      <c r="DS52" s="64">
        <v>5000</v>
      </c>
      <c r="DT52" s="64">
        <v>0</v>
      </c>
      <c r="DU52" s="64">
        <v>0</v>
      </c>
      <c r="DV52" s="64">
        <f t="shared" si="51"/>
        <v>0</v>
      </c>
      <c r="DW52" s="64">
        <f t="shared" si="51"/>
        <v>0</v>
      </c>
      <c r="DX52" s="64">
        <f t="shared" si="51"/>
        <v>0</v>
      </c>
    </row>
    <row r="53" spans="1:132" ht="17.25" customHeight="1" thickBot="1">
      <c r="B53" s="281"/>
      <c r="C53" s="646"/>
      <c r="D53" s="283"/>
      <c r="E53" s="283"/>
      <c r="F53" s="283"/>
      <c r="G53" s="284"/>
      <c r="H53" s="63">
        <f>SUM(H39:H51)</f>
        <v>0</v>
      </c>
      <c r="I53" s="63">
        <f>SUM(I39:I51)</f>
        <v>0</v>
      </c>
      <c r="J53" s="63">
        <f>SUM(J39:J51)</f>
        <v>0</v>
      </c>
      <c r="K53" s="285"/>
      <c r="AD53" s="152"/>
      <c r="AE53" s="238"/>
      <c r="AF53" s="238">
        <f t="shared" si="54"/>
        <v>0</v>
      </c>
      <c r="AG53" s="238">
        <f t="shared" si="54"/>
        <v>0</v>
      </c>
      <c r="AH53" s="238">
        <f t="shared" si="54"/>
        <v>15</v>
      </c>
      <c r="AI53" s="64">
        <f t="shared" si="22"/>
        <v>0</v>
      </c>
      <c r="AJ53" s="64">
        <f t="shared" si="0"/>
        <v>0</v>
      </c>
      <c r="AK53" s="64">
        <f t="shared" si="1"/>
        <v>0</v>
      </c>
      <c r="AL53" s="64">
        <f t="shared" si="2"/>
        <v>0</v>
      </c>
      <c r="AM53" s="238">
        <f t="shared" si="3"/>
        <v>40800</v>
      </c>
      <c r="AN53" s="64">
        <f t="shared" si="4"/>
        <v>0</v>
      </c>
      <c r="AO53" s="238">
        <f t="shared" si="5"/>
        <v>75000</v>
      </c>
      <c r="AP53" s="238">
        <f t="shared" si="6"/>
        <v>0</v>
      </c>
      <c r="AQ53" s="238">
        <f t="shared" si="7"/>
        <v>368</v>
      </c>
      <c r="AS53" s="278" t="s">
        <v>490</v>
      </c>
      <c r="AT53" s="238">
        <f>$AT$50</f>
        <v>1</v>
      </c>
      <c r="AU53" s="238">
        <f>AU52+1</f>
        <v>3</v>
      </c>
      <c r="AV53" s="36">
        <v>125</v>
      </c>
      <c r="AW53" s="36">
        <v>350</v>
      </c>
      <c r="AX53" s="36">
        <v>800</v>
      </c>
      <c r="AY53" s="36">
        <v>1700</v>
      </c>
      <c r="AZ53" s="36">
        <v>3200</v>
      </c>
      <c r="BA53" s="36">
        <v>5500</v>
      </c>
      <c r="BB53" s="36">
        <v>10800</v>
      </c>
      <c r="BC53" s="36">
        <v>16800</v>
      </c>
      <c r="BD53" s="36">
        <v>25800</v>
      </c>
      <c r="BE53" s="36">
        <v>40800</v>
      </c>
      <c r="BF53" s="16">
        <v>7500</v>
      </c>
      <c r="BG53" s="16">
        <v>15000</v>
      </c>
      <c r="BH53" s="16">
        <v>22500</v>
      </c>
      <c r="BI53" s="16">
        <v>30000</v>
      </c>
      <c r="BJ53" s="16">
        <v>37500</v>
      </c>
      <c r="BK53" s="16">
        <v>45000</v>
      </c>
      <c r="BL53" s="16">
        <v>52500</v>
      </c>
      <c r="BM53" s="16">
        <v>60000</v>
      </c>
      <c r="BN53" s="16">
        <v>67500</v>
      </c>
      <c r="BO53" s="16">
        <v>75000</v>
      </c>
      <c r="BP53" s="36">
        <f t="shared" si="8"/>
        <v>62</v>
      </c>
      <c r="BQ53" s="16">
        <f t="shared" si="9"/>
        <v>153</v>
      </c>
      <c r="BR53" s="36">
        <f t="shared" si="10"/>
        <v>198</v>
      </c>
      <c r="BS53" s="16">
        <f t="shared" si="11"/>
        <v>266</v>
      </c>
      <c r="BT53" s="36">
        <f t="shared" si="12"/>
        <v>368</v>
      </c>
      <c r="BV53" s="153">
        <f t="shared" si="13"/>
        <v>61.2</v>
      </c>
      <c r="BW53" s="153">
        <f t="shared" si="14"/>
        <v>153</v>
      </c>
      <c r="BX53" s="153">
        <f t="shared" si="15"/>
        <v>197.1999864</v>
      </c>
      <c r="BY53" s="153">
        <f>SUM(((BE53*5)/1000))+(BV53:BV62)</f>
        <v>265.2</v>
      </c>
      <c r="BZ53" s="153">
        <f>SUM(((BE53*7.5)/1000))+(BV53:BV63)</f>
        <v>367.2</v>
      </c>
      <c r="CC53" s="292"/>
      <c r="DF53" s="263" t="s">
        <v>375</v>
      </c>
      <c r="DG53" s="238">
        <v>0</v>
      </c>
      <c r="DH53" s="238">
        <f>VLOOKUP(X14, DF53:DI63, 4, FALSE)</f>
        <v>0</v>
      </c>
      <c r="DI53" s="238">
        <v>0</v>
      </c>
      <c r="DJ53" s="3">
        <v>0</v>
      </c>
      <c r="DK53" s="3">
        <v>0</v>
      </c>
      <c r="DL53" s="3">
        <v>0</v>
      </c>
      <c r="DM53" s="64">
        <f t="shared" si="40"/>
        <v>0</v>
      </c>
      <c r="DN53" s="64">
        <f t="shared" si="41"/>
        <v>0</v>
      </c>
      <c r="DO53" s="64">
        <f t="shared" si="42"/>
        <v>0</v>
      </c>
      <c r="DP53" s="263" t="s">
        <v>491</v>
      </c>
      <c r="DQ53" s="238">
        <f t="shared" si="52"/>
        <v>0</v>
      </c>
      <c r="DR53" s="238">
        <f t="shared" si="53"/>
        <v>6</v>
      </c>
      <c r="DS53" s="64">
        <v>6000</v>
      </c>
      <c r="DT53" s="64">
        <v>0</v>
      </c>
      <c r="DU53" s="64">
        <v>0</v>
      </c>
      <c r="DV53" s="64">
        <f t="shared" si="51"/>
        <v>0</v>
      </c>
      <c r="DW53" s="64">
        <f t="shared" si="51"/>
        <v>0</v>
      </c>
      <c r="DX53" s="64">
        <f t="shared" si="51"/>
        <v>0</v>
      </c>
    </row>
    <row r="54" spans="1:132" ht="17.25" customHeight="1">
      <c r="H54" s="282"/>
      <c r="I54" s="282"/>
      <c r="J54" s="282"/>
      <c r="AD54" s="152"/>
      <c r="AE54" s="238"/>
      <c r="AF54" s="238">
        <f t="shared" si="54"/>
        <v>0</v>
      </c>
      <c r="AG54" s="238">
        <f t="shared" si="54"/>
        <v>0</v>
      </c>
      <c r="AH54" s="238">
        <f t="shared" si="54"/>
        <v>15</v>
      </c>
      <c r="AI54" s="64">
        <f t="shared" si="22"/>
        <v>0</v>
      </c>
      <c r="AJ54" s="64">
        <f t="shared" si="0"/>
        <v>0</v>
      </c>
      <c r="AK54" s="64">
        <f t="shared" si="1"/>
        <v>0</v>
      </c>
      <c r="AL54" s="64">
        <f t="shared" si="2"/>
        <v>0</v>
      </c>
      <c r="AM54" s="238">
        <f t="shared" si="3"/>
        <v>41900</v>
      </c>
      <c r="AN54" s="64">
        <f t="shared" si="4"/>
        <v>0</v>
      </c>
      <c r="AO54" s="238">
        <f t="shared" si="5"/>
        <v>50000</v>
      </c>
      <c r="AP54" s="238">
        <f t="shared" si="6"/>
        <v>0</v>
      </c>
      <c r="AQ54" s="238">
        <f t="shared" si="7"/>
        <v>378</v>
      </c>
      <c r="AS54" s="286" t="s">
        <v>492</v>
      </c>
      <c r="AT54" s="238">
        <f>$AT$50</f>
        <v>1</v>
      </c>
      <c r="AU54" s="238">
        <f>AU53+1</f>
        <v>4</v>
      </c>
      <c r="AV54" s="36">
        <v>1000</v>
      </c>
      <c r="AW54" s="36">
        <v>1300</v>
      </c>
      <c r="AX54" s="36">
        <v>1900</v>
      </c>
      <c r="AY54" s="36">
        <v>2800</v>
      </c>
      <c r="AZ54" s="36">
        <v>4300</v>
      </c>
      <c r="BA54" s="36">
        <v>6600</v>
      </c>
      <c r="BB54" s="36">
        <v>11900</v>
      </c>
      <c r="BC54" s="36">
        <v>17900</v>
      </c>
      <c r="BD54" s="36">
        <v>26900</v>
      </c>
      <c r="BE54" s="36">
        <v>41900</v>
      </c>
      <c r="BF54" s="16">
        <v>5000</v>
      </c>
      <c r="BG54" s="16">
        <v>10000</v>
      </c>
      <c r="BH54" s="16">
        <v>15000</v>
      </c>
      <c r="BI54" s="16">
        <v>20000</v>
      </c>
      <c r="BJ54" s="16">
        <v>25000</v>
      </c>
      <c r="BK54" s="16">
        <v>30000</v>
      </c>
      <c r="BL54" s="16">
        <v>35000</v>
      </c>
      <c r="BM54" s="16">
        <v>40000</v>
      </c>
      <c r="BN54" s="16">
        <v>45000</v>
      </c>
      <c r="BO54" s="16">
        <v>50000</v>
      </c>
      <c r="BP54" s="36">
        <f t="shared" si="8"/>
        <v>63</v>
      </c>
      <c r="BQ54" s="16">
        <f t="shared" si="9"/>
        <v>158</v>
      </c>
      <c r="BR54" s="36">
        <f t="shared" si="10"/>
        <v>203</v>
      </c>
      <c r="BS54" s="16">
        <f t="shared" si="11"/>
        <v>273</v>
      </c>
      <c r="BT54" s="36">
        <f t="shared" si="12"/>
        <v>378</v>
      </c>
      <c r="BV54" s="153">
        <f t="shared" si="13"/>
        <v>62.85</v>
      </c>
      <c r="BW54" s="153">
        <f t="shared" si="14"/>
        <v>157.125</v>
      </c>
      <c r="BX54" s="153">
        <f>SUM(((BE54*3.333333)/1000))+(BV54:BV62)</f>
        <v>202.51665270000001</v>
      </c>
      <c r="BY54" s="153">
        <f>SUM(((BE54*5)/1000))+(BV54:BV63)</f>
        <v>272.35000000000002</v>
      </c>
      <c r="BZ54" s="153">
        <f>SUM(((BE54*7.5)/1000))+(BV54:BV64)</f>
        <v>377.1</v>
      </c>
      <c r="CC54" s="292"/>
      <c r="DF54" s="263" t="s">
        <v>493</v>
      </c>
      <c r="DG54" s="238">
        <f>IF((DH54=DI54),$Z$14,0)</f>
        <v>0</v>
      </c>
      <c r="DH54" s="238">
        <f>$DH$53</f>
        <v>0</v>
      </c>
      <c r="DI54" s="238">
        <f>DI53+1</f>
        <v>1</v>
      </c>
      <c r="DJ54" s="3">
        <v>0</v>
      </c>
      <c r="DK54" s="3">
        <v>40</v>
      </c>
      <c r="DL54" s="3">
        <v>0</v>
      </c>
      <c r="DM54" s="64">
        <f t="shared" si="40"/>
        <v>0</v>
      </c>
      <c r="DN54" s="64">
        <f t="shared" si="41"/>
        <v>0</v>
      </c>
      <c r="DO54" s="64">
        <f t="shared" si="42"/>
        <v>0</v>
      </c>
      <c r="DP54" s="263" t="s">
        <v>494</v>
      </c>
      <c r="DQ54" s="238">
        <f t="shared" si="52"/>
        <v>0</v>
      </c>
      <c r="DR54" s="238">
        <f t="shared" si="53"/>
        <v>7</v>
      </c>
      <c r="DS54" s="64">
        <v>6000</v>
      </c>
      <c r="DT54" s="64">
        <v>0</v>
      </c>
      <c r="DU54" s="64">
        <v>0</v>
      </c>
      <c r="DV54" s="64">
        <f t="shared" si="51"/>
        <v>0</v>
      </c>
      <c r="DW54" s="64">
        <f t="shared" si="51"/>
        <v>0</v>
      </c>
      <c r="DX54" s="64">
        <f t="shared" si="51"/>
        <v>0</v>
      </c>
    </row>
    <row r="55" spans="1:132" s="367" customFormat="1" ht="17.25" hidden="1" customHeight="1" thickBot="1">
      <c r="A55" s="40"/>
      <c r="B55" s="50">
        <v>11</v>
      </c>
      <c r="C55" s="153"/>
      <c r="D55" s="152"/>
      <c r="E55" s="152"/>
      <c r="F55" s="152"/>
      <c r="G55" s="152"/>
      <c r="H55" s="721"/>
      <c r="I55" s="721"/>
      <c r="J55" s="721"/>
      <c r="K55" s="153"/>
      <c r="L55" s="153"/>
      <c r="M55" s="153"/>
      <c r="N55" s="153"/>
      <c r="O55" s="153"/>
      <c r="P55" s="153"/>
      <c r="Q55" s="153"/>
      <c r="R55" s="153"/>
      <c r="S55" s="153"/>
      <c r="T55" s="153"/>
      <c r="U55" s="153"/>
      <c r="V55" s="153"/>
      <c r="W55" s="153"/>
      <c r="X55" s="153"/>
      <c r="Y55" s="153"/>
      <c r="Z55" s="153"/>
      <c r="AA55" s="153"/>
      <c r="AB55" s="153"/>
      <c r="AC55" s="153"/>
      <c r="AD55" s="152"/>
      <c r="AE55" s="703"/>
      <c r="AF55" s="703"/>
      <c r="AG55" s="703"/>
      <c r="AH55" s="703"/>
      <c r="AI55" s="64"/>
      <c r="AJ55" s="64"/>
      <c r="AK55" s="64"/>
      <c r="AL55" s="64"/>
      <c r="AM55" s="703"/>
      <c r="AN55" s="64"/>
      <c r="AO55" s="703"/>
      <c r="AP55" s="703"/>
      <c r="AQ55" s="703"/>
      <c r="AR55" s="260"/>
      <c r="AS55" s="286"/>
      <c r="AT55" s="703"/>
      <c r="AU55" s="703"/>
      <c r="AV55" s="36"/>
      <c r="AW55" s="36"/>
      <c r="AX55" s="36"/>
      <c r="AY55" s="36"/>
      <c r="AZ55" s="36"/>
      <c r="BA55" s="36"/>
      <c r="BB55" s="36"/>
      <c r="BC55" s="36"/>
      <c r="BD55" s="36"/>
      <c r="BE55" s="36"/>
      <c r="BF55" s="16"/>
      <c r="BG55" s="16"/>
      <c r="BH55" s="16"/>
      <c r="BI55" s="16"/>
      <c r="BJ55" s="16"/>
      <c r="BK55" s="16"/>
      <c r="BL55" s="16"/>
      <c r="BM55" s="16"/>
      <c r="BN55" s="16"/>
      <c r="BO55" s="16"/>
      <c r="BP55" s="36"/>
      <c r="BQ55" s="16"/>
      <c r="BR55" s="36"/>
      <c r="BS55" s="16"/>
      <c r="BT55" s="36"/>
      <c r="BU55" s="153"/>
      <c r="BV55" s="153"/>
      <c r="BW55" s="153"/>
      <c r="BX55" s="153"/>
      <c r="BY55" s="153"/>
      <c r="BZ55" s="153"/>
      <c r="CA55" s="153"/>
      <c r="CB55" s="153"/>
      <c r="CC55" s="292"/>
      <c r="CD55" s="703"/>
      <c r="CE55" s="703"/>
      <c r="CF55" s="703"/>
      <c r="CG55" s="703"/>
      <c r="CH55" s="703"/>
      <c r="CI55" s="153"/>
      <c r="CJ55" s="703"/>
      <c r="CK55" s="703"/>
      <c r="CL55" s="703"/>
      <c r="CM55" s="153"/>
      <c r="CN55" s="703"/>
      <c r="CO55" s="703"/>
      <c r="CP55" s="703"/>
      <c r="CQ55" s="703"/>
      <c r="CR55" s="703"/>
      <c r="CS55" s="153"/>
      <c r="CT55" s="153"/>
      <c r="CU55" s="153"/>
      <c r="CV55" s="703"/>
      <c r="CW55" s="703"/>
      <c r="CX55" s="703"/>
      <c r="CY55" s="703"/>
      <c r="CZ55" s="703"/>
      <c r="DA55" s="703"/>
      <c r="DB55" s="703"/>
      <c r="DC55" s="703"/>
      <c r="DD55" s="703"/>
      <c r="DE55" s="153"/>
      <c r="DF55" s="263"/>
      <c r="DG55" s="703"/>
      <c r="DH55" s="703"/>
      <c r="DI55" s="703"/>
      <c r="DJ55" s="3"/>
      <c r="DK55" s="3"/>
      <c r="DL55" s="3"/>
      <c r="DM55" s="64"/>
      <c r="DN55" s="64"/>
      <c r="DO55" s="64"/>
      <c r="DP55" s="263"/>
      <c r="DQ55" s="703"/>
      <c r="DR55" s="703"/>
      <c r="DS55" s="64"/>
      <c r="DT55" s="64"/>
      <c r="DU55" s="64"/>
      <c r="DV55" s="64"/>
      <c r="DW55" s="64"/>
      <c r="DX55" s="64"/>
      <c r="DY55" s="153"/>
      <c r="DZ55" s="153"/>
      <c r="EA55" s="153"/>
      <c r="EB55" s="153"/>
    </row>
    <row r="56" spans="1:132" s="367" customFormat="1" ht="17.25" hidden="1" customHeight="1" thickBot="1">
      <c r="A56" s="59"/>
      <c r="B56" s="39">
        <v>15</v>
      </c>
      <c r="C56" s="153"/>
      <c r="D56" s="152"/>
      <c r="E56" s="152"/>
      <c r="F56" s="152"/>
      <c r="G56" s="152"/>
      <c r="H56" s="721"/>
      <c r="I56" s="721"/>
      <c r="J56" s="721"/>
      <c r="K56" s="153"/>
      <c r="L56" s="153"/>
      <c r="M56" s="153"/>
      <c r="N56" s="153"/>
      <c r="O56" s="153"/>
      <c r="P56" s="153"/>
      <c r="Q56" s="153"/>
      <c r="R56" s="153"/>
      <c r="S56" s="153"/>
      <c r="T56" s="153"/>
      <c r="U56" s="153"/>
      <c r="V56" s="153"/>
      <c r="W56" s="153"/>
      <c r="X56" s="153"/>
      <c r="Y56" s="153"/>
      <c r="Z56" s="153"/>
      <c r="AA56" s="153"/>
      <c r="AB56" s="153"/>
      <c r="AC56" s="153"/>
      <c r="AD56" s="152"/>
      <c r="AE56" s="703"/>
      <c r="AF56" s="703"/>
      <c r="AG56" s="703"/>
      <c r="AH56" s="703"/>
      <c r="AI56" s="64"/>
      <c r="AJ56" s="64"/>
      <c r="AK56" s="64"/>
      <c r="AL56" s="64"/>
      <c r="AM56" s="703"/>
      <c r="AN56" s="64"/>
      <c r="AO56" s="703"/>
      <c r="AP56" s="703"/>
      <c r="AQ56" s="703"/>
      <c r="AR56" s="260"/>
      <c r="AS56" s="286"/>
      <c r="AT56" s="703"/>
      <c r="AU56" s="703"/>
      <c r="AV56" s="36"/>
      <c r="AW56" s="36"/>
      <c r="AX56" s="36"/>
      <c r="AY56" s="36"/>
      <c r="AZ56" s="36"/>
      <c r="BA56" s="36"/>
      <c r="BB56" s="36"/>
      <c r="BC56" s="36"/>
      <c r="BD56" s="36"/>
      <c r="BE56" s="36"/>
      <c r="BF56" s="16"/>
      <c r="BG56" s="16"/>
      <c r="BH56" s="16"/>
      <c r="BI56" s="16"/>
      <c r="BJ56" s="16"/>
      <c r="BK56" s="16"/>
      <c r="BL56" s="16"/>
      <c r="BM56" s="16"/>
      <c r="BN56" s="16"/>
      <c r="BO56" s="16"/>
      <c r="BP56" s="36"/>
      <c r="BQ56" s="16"/>
      <c r="BR56" s="36"/>
      <c r="BS56" s="16"/>
      <c r="BT56" s="36"/>
      <c r="BU56" s="153"/>
      <c r="BV56" s="153"/>
      <c r="BW56" s="153"/>
      <c r="BX56" s="153"/>
      <c r="BY56" s="153"/>
      <c r="BZ56" s="153"/>
      <c r="CA56" s="153"/>
      <c r="CB56" s="153"/>
      <c r="CC56" s="292"/>
      <c r="CD56" s="703"/>
      <c r="CE56" s="703"/>
      <c r="CF56" s="703"/>
      <c r="CG56" s="703"/>
      <c r="CH56" s="703"/>
      <c r="CI56" s="153"/>
      <c r="CJ56" s="703"/>
      <c r="CK56" s="703"/>
      <c r="CL56" s="703"/>
      <c r="CM56" s="153"/>
      <c r="CN56" s="703"/>
      <c r="CO56" s="703"/>
      <c r="CP56" s="703"/>
      <c r="CQ56" s="703"/>
      <c r="CR56" s="703"/>
      <c r="CS56" s="153"/>
      <c r="CT56" s="153"/>
      <c r="CU56" s="153"/>
      <c r="CV56" s="703"/>
      <c r="CW56" s="703"/>
      <c r="CX56" s="703"/>
      <c r="CY56" s="703"/>
      <c r="CZ56" s="703"/>
      <c r="DA56" s="703"/>
      <c r="DB56" s="703"/>
      <c r="DC56" s="703"/>
      <c r="DD56" s="703"/>
      <c r="DE56" s="153"/>
      <c r="DF56" s="263"/>
      <c r="DG56" s="703"/>
      <c r="DH56" s="703"/>
      <c r="DI56" s="703"/>
      <c r="DJ56" s="3"/>
      <c r="DK56" s="3"/>
      <c r="DL56" s="3"/>
      <c r="DM56" s="64"/>
      <c r="DN56" s="64"/>
      <c r="DO56" s="64"/>
      <c r="DP56" s="263"/>
      <c r="DQ56" s="703"/>
      <c r="DR56" s="703"/>
      <c r="DS56" s="64"/>
      <c r="DT56" s="64"/>
      <c r="DU56" s="64"/>
      <c r="DV56" s="64"/>
      <c r="DW56" s="64"/>
      <c r="DX56" s="64"/>
      <c r="DY56" s="153"/>
      <c r="DZ56" s="153"/>
      <c r="EA56" s="153"/>
      <c r="EB56" s="153"/>
    </row>
    <row r="57" spans="1:132" s="367" customFormat="1" ht="17.25" hidden="1" customHeight="1" thickBot="1">
      <c r="A57" s="46"/>
      <c r="B57" s="28">
        <v>5</v>
      </c>
      <c r="C57" s="153"/>
      <c r="D57" s="152"/>
      <c r="E57" s="152"/>
      <c r="F57" s="152"/>
      <c r="G57" s="152"/>
      <c r="H57" s="721"/>
      <c r="I57" s="721"/>
      <c r="J57" s="721"/>
      <c r="K57" s="153"/>
      <c r="L57" s="153"/>
      <c r="M57" s="153"/>
      <c r="N57" s="153"/>
      <c r="O57" s="153"/>
      <c r="P57" s="153"/>
      <c r="Q57" s="153"/>
      <c r="R57" s="153"/>
      <c r="S57" s="153"/>
      <c r="T57" s="153"/>
      <c r="U57" s="153"/>
      <c r="V57" s="153"/>
      <c r="W57" s="153"/>
      <c r="X57" s="153"/>
      <c r="Y57" s="153"/>
      <c r="Z57" s="153"/>
      <c r="AA57" s="153"/>
      <c r="AB57" s="153"/>
      <c r="AC57" s="153"/>
      <c r="AD57" s="152"/>
      <c r="AE57" s="703"/>
      <c r="AF57" s="703"/>
      <c r="AG57" s="703"/>
      <c r="AH57" s="703"/>
      <c r="AI57" s="64"/>
      <c r="AJ57" s="64"/>
      <c r="AK57" s="64"/>
      <c r="AL57" s="64"/>
      <c r="AM57" s="703"/>
      <c r="AN57" s="64"/>
      <c r="AO57" s="703"/>
      <c r="AP57" s="703"/>
      <c r="AQ57" s="703"/>
      <c r="AR57" s="260"/>
      <c r="AS57" s="286"/>
      <c r="AT57" s="703"/>
      <c r="AU57" s="703"/>
      <c r="AV57" s="36"/>
      <c r="AW57" s="36"/>
      <c r="AX57" s="36"/>
      <c r="AY57" s="36"/>
      <c r="AZ57" s="36"/>
      <c r="BA57" s="36"/>
      <c r="BB57" s="36"/>
      <c r="BC57" s="36"/>
      <c r="BD57" s="36"/>
      <c r="BE57" s="36"/>
      <c r="BF57" s="16"/>
      <c r="BG57" s="16"/>
      <c r="BH57" s="16"/>
      <c r="BI57" s="16"/>
      <c r="BJ57" s="16"/>
      <c r="BK57" s="16"/>
      <c r="BL57" s="16"/>
      <c r="BM57" s="16"/>
      <c r="BN57" s="16"/>
      <c r="BO57" s="16"/>
      <c r="BP57" s="36"/>
      <c r="BQ57" s="16"/>
      <c r="BR57" s="36"/>
      <c r="BS57" s="16"/>
      <c r="BT57" s="36"/>
      <c r="BU57" s="153"/>
      <c r="BV57" s="153"/>
      <c r="BW57" s="153"/>
      <c r="BX57" s="153"/>
      <c r="BY57" s="153"/>
      <c r="BZ57" s="153"/>
      <c r="CA57" s="153"/>
      <c r="CB57" s="153"/>
      <c r="CC57" s="292"/>
      <c r="CD57" s="703"/>
      <c r="CE57" s="703"/>
      <c r="CF57" s="703"/>
      <c r="CG57" s="703"/>
      <c r="CH57" s="703"/>
      <c r="CI57" s="153"/>
      <c r="CJ57" s="703"/>
      <c r="CK57" s="703"/>
      <c r="CL57" s="703"/>
      <c r="CM57" s="153"/>
      <c r="CN57" s="703"/>
      <c r="CO57" s="703"/>
      <c r="CP57" s="703"/>
      <c r="CQ57" s="703"/>
      <c r="CR57" s="703"/>
      <c r="CS57" s="153"/>
      <c r="CT57" s="153"/>
      <c r="CU57" s="153"/>
      <c r="CV57" s="703"/>
      <c r="CW57" s="703"/>
      <c r="CX57" s="703"/>
      <c r="CY57" s="703"/>
      <c r="CZ57" s="703"/>
      <c r="DA57" s="703"/>
      <c r="DB57" s="703"/>
      <c r="DC57" s="703"/>
      <c r="DD57" s="703"/>
      <c r="DE57" s="153"/>
      <c r="DF57" s="263"/>
      <c r="DG57" s="703"/>
      <c r="DH57" s="703"/>
      <c r="DI57" s="703"/>
      <c r="DJ57" s="3"/>
      <c r="DK57" s="3"/>
      <c r="DL57" s="3"/>
      <c r="DM57" s="64"/>
      <c r="DN57" s="64"/>
      <c r="DO57" s="64"/>
      <c r="DP57" s="263"/>
      <c r="DQ57" s="703"/>
      <c r="DR57" s="703"/>
      <c r="DS57" s="64"/>
      <c r="DT57" s="64"/>
      <c r="DU57" s="64"/>
      <c r="DV57" s="64"/>
      <c r="DW57" s="64"/>
      <c r="DX57" s="64"/>
      <c r="DY57" s="153"/>
      <c r="DZ57" s="153"/>
      <c r="EA57" s="153"/>
      <c r="EB57" s="153"/>
    </row>
    <row r="58" spans="1:132" s="367" customFormat="1" ht="17.25" hidden="1" customHeight="1" thickBot="1">
      <c r="A58" s="59"/>
      <c r="B58" s="39">
        <v>5</v>
      </c>
      <c r="C58" s="153"/>
      <c r="D58" s="152"/>
      <c r="E58" s="152"/>
      <c r="F58" s="152"/>
      <c r="G58" s="152"/>
      <c r="H58" s="721"/>
      <c r="I58" s="721"/>
      <c r="J58" s="721"/>
      <c r="K58" s="153"/>
      <c r="L58" s="153"/>
      <c r="M58" s="153"/>
      <c r="N58" s="153"/>
      <c r="O58" s="153"/>
      <c r="P58" s="153"/>
      <c r="Q58" s="153"/>
      <c r="R58" s="153"/>
      <c r="S58" s="153"/>
      <c r="T58" s="153"/>
      <c r="U58" s="153"/>
      <c r="V58" s="153"/>
      <c r="W58" s="153"/>
      <c r="X58" s="153"/>
      <c r="Y58" s="153"/>
      <c r="Z58" s="153"/>
      <c r="AA58" s="153"/>
      <c r="AB58" s="153"/>
      <c r="AC58" s="153"/>
      <c r="AD58" s="152"/>
      <c r="AE58" s="703"/>
      <c r="AF58" s="703"/>
      <c r="AG58" s="703"/>
      <c r="AH58" s="703"/>
      <c r="AI58" s="64"/>
      <c r="AJ58" s="64"/>
      <c r="AK58" s="64"/>
      <c r="AL58" s="64"/>
      <c r="AM58" s="703"/>
      <c r="AN58" s="64"/>
      <c r="AO58" s="703"/>
      <c r="AP58" s="703"/>
      <c r="AQ58" s="703"/>
      <c r="AR58" s="260"/>
      <c r="AS58" s="286"/>
      <c r="AT58" s="703"/>
      <c r="AU58" s="703"/>
      <c r="AV58" s="36"/>
      <c r="AW58" s="36"/>
      <c r="AX58" s="36"/>
      <c r="AY58" s="36"/>
      <c r="AZ58" s="36"/>
      <c r="BA58" s="36"/>
      <c r="BB58" s="36"/>
      <c r="BC58" s="36"/>
      <c r="BD58" s="36"/>
      <c r="BE58" s="36"/>
      <c r="BF58" s="16"/>
      <c r="BG58" s="16"/>
      <c r="BH58" s="16"/>
      <c r="BI58" s="16"/>
      <c r="BJ58" s="16"/>
      <c r="BK58" s="16"/>
      <c r="BL58" s="16"/>
      <c r="BM58" s="16"/>
      <c r="BN58" s="16"/>
      <c r="BO58" s="16"/>
      <c r="BP58" s="36"/>
      <c r="BQ58" s="16"/>
      <c r="BR58" s="36"/>
      <c r="BS58" s="16"/>
      <c r="BT58" s="36"/>
      <c r="BU58" s="153"/>
      <c r="BV58" s="153"/>
      <c r="BW58" s="153"/>
      <c r="BX58" s="153"/>
      <c r="BY58" s="153"/>
      <c r="BZ58" s="153"/>
      <c r="CA58" s="153"/>
      <c r="CB58" s="153"/>
      <c r="CC58" s="292"/>
      <c r="CD58" s="703"/>
      <c r="CE58" s="703"/>
      <c r="CF58" s="703"/>
      <c r="CG58" s="703"/>
      <c r="CH58" s="703"/>
      <c r="CI58" s="153"/>
      <c r="CJ58" s="703"/>
      <c r="CK58" s="703"/>
      <c r="CL58" s="703"/>
      <c r="CM58" s="153"/>
      <c r="CN58" s="703"/>
      <c r="CO58" s="703"/>
      <c r="CP58" s="703"/>
      <c r="CQ58" s="703"/>
      <c r="CR58" s="703"/>
      <c r="CS58" s="153"/>
      <c r="CT58" s="153"/>
      <c r="CU58" s="153"/>
      <c r="CV58" s="703"/>
      <c r="CW58" s="703"/>
      <c r="CX58" s="703"/>
      <c r="CY58" s="703"/>
      <c r="CZ58" s="703"/>
      <c r="DA58" s="703"/>
      <c r="DB58" s="703"/>
      <c r="DC58" s="703"/>
      <c r="DD58" s="703"/>
      <c r="DE58" s="153"/>
      <c r="DF58" s="263"/>
      <c r="DG58" s="703"/>
      <c r="DH58" s="703"/>
      <c r="DI58" s="703"/>
      <c r="DJ58" s="3"/>
      <c r="DK58" s="3"/>
      <c r="DL58" s="3"/>
      <c r="DM58" s="64"/>
      <c r="DN58" s="64"/>
      <c r="DO58" s="64"/>
      <c r="DP58" s="263"/>
      <c r="DQ58" s="703"/>
      <c r="DR58" s="703"/>
      <c r="DS58" s="64"/>
      <c r="DT58" s="64"/>
      <c r="DU58" s="64"/>
      <c r="DV58" s="64"/>
      <c r="DW58" s="64"/>
      <c r="DX58" s="64"/>
      <c r="DY58" s="153"/>
      <c r="DZ58" s="153"/>
      <c r="EA58" s="153"/>
      <c r="EB58" s="153"/>
    </row>
    <row r="59" spans="1:132" s="367" customFormat="1" ht="17.25" hidden="1" customHeight="1" thickBot="1">
      <c r="A59" s="46"/>
      <c r="B59" s="28">
        <v>15</v>
      </c>
      <c r="C59" s="153"/>
      <c r="D59" s="152"/>
      <c r="E59" s="152"/>
      <c r="F59" s="152"/>
      <c r="G59" s="152"/>
      <c r="H59" s="721"/>
      <c r="I59" s="721"/>
      <c r="J59" s="721"/>
      <c r="K59" s="153"/>
      <c r="L59" s="153"/>
      <c r="M59" s="153"/>
      <c r="N59" s="153"/>
      <c r="O59" s="153"/>
      <c r="P59" s="153"/>
      <c r="Q59" s="153"/>
      <c r="R59" s="153"/>
      <c r="S59" s="153"/>
      <c r="T59" s="153"/>
      <c r="U59" s="153"/>
      <c r="V59" s="153"/>
      <c r="W59" s="153"/>
      <c r="X59" s="153"/>
      <c r="Y59" s="153"/>
      <c r="Z59" s="153"/>
      <c r="AA59" s="153"/>
      <c r="AB59" s="153"/>
      <c r="AC59" s="153"/>
      <c r="AD59" s="152"/>
      <c r="AE59" s="703"/>
      <c r="AF59" s="703"/>
      <c r="AG59" s="703"/>
      <c r="AH59" s="703"/>
      <c r="AI59" s="64"/>
      <c r="AJ59" s="64"/>
      <c r="AK59" s="64"/>
      <c r="AL59" s="64"/>
      <c r="AM59" s="703"/>
      <c r="AN59" s="64"/>
      <c r="AO59" s="703"/>
      <c r="AP59" s="703"/>
      <c r="AQ59" s="703"/>
      <c r="AR59" s="260"/>
      <c r="AS59" s="286"/>
      <c r="AT59" s="703"/>
      <c r="AU59" s="703"/>
      <c r="AV59" s="36"/>
      <c r="AW59" s="36"/>
      <c r="AX59" s="36"/>
      <c r="AY59" s="36"/>
      <c r="AZ59" s="36"/>
      <c r="BA59" s="36"/>
      <c r="BB59" s="36"/>
      <c r="BC59" s="36"/>
      <c r="BD59" s="36"/>
      <c r="BE59" s="36"/>
      <c r="BF59" s="16"/>
      <c r="BG59" s="16"/>
      <c r="BH59" s="16"/>
      <c r="BI59" s="16"/>
      <c r="BJ59" s="16"/>
      <c r="BK59" s="16"/>
      <c r="BL59" s="16"/>
      <c r="BM59" s="16"/>
      <c r="BN59" s="16"/>
      <c r="BO59" s="16"/>
      <c r="BP59" s="36"/>
      <c r="BQ59" s="16"/>
      <c r="BR59" s="36"/>
      <c r="BS59" s="16"/>
      <c r="BT59" s="36"/>
      <c r="BU59" s="153"/>
      <c r="BV59" s="153"/>
      <c r="BW59" s="153"/>
      <c r="BX59" s="153"/>
      <c r="BY59" s="153"/>
      <c r="BZ59" s="153"/>
      <c r="CA59" s="153"/>
      <c r="CB59" s="153"/>
      <c r="CC59" s="292"/>
      <c r="CD59" s="703"/>
      <c r="CE59" s="703"/>
      <c r="CF59" s="703"/>
      <c r="CG59" s="703"/>
      <c r="CH59" s="703"/>
      <c r="CI59" s="153"/>
      <c r="CJ59" s="703"/>
      <c r="CK59" s="703"/>
      <c r="CL59" s="703"/>
      <c r="CM59" s="153"/>
      <c r="CN59" s="703"/>
      <c r="CO59" s="703"/>
      <c r="CP59" s="703"/>
      <c r="CQ59" s="703"/>
      <c r="CR59" s="703"/>
      <c r="CS59" s="153"/>
      <c r="CT59" s="153"/>
      <c r="CU59" s="153"/>
      <c r="CV59" s="703"/>
      <c r="CW59" s="703"/>
      <c r="CX59" s="703"/>
      <c r="CY59" s="703"/>
      <c r="CZ59" s="703"/>
      <c r="DA59" s="703"/>
      <c r="DB59" s="703"/>
      <c r="DC59" s="703"/>
      <c r="DD59" s="703"/>
      <c r="DE59" s="153"/>
      <c r="DF59" s="263"/>
      <c r="DG59" s="703"/>
      <c r="DH59" s="703"/>
      <c r="DI59" s="703"/>
      <c r="DJ59" s="3"/>
      <c r="DK59" s="3"/>
      <c r="DL59" s="3"/>
      <c r="DM59" s="64"/>
      <c r="DN59" s="64"/>
      <c r="DO59" s="64"/>
      <c r="DP59" s="263"/>
      <c r="DQ59" s="703"/>
      <c r="DR59" s="703"/>
      <c r="DS59" s="64"/>
      <c r="DT59" s="64"/>
      <c r="DU59" s="64"/>
      <c r="DV59" s="64"/>
      <c r="DW59" s="64"/>
      <c r="DX59" s="64"/>
      <c r="DY59" s="153"/>
      <c r="DZ59" s="153"/>
      <c r="EA59" s="153"/>
      <c r="EB59" s="153"/>
    </row>
    <row r="60" spans="1:132" s="367" customFormat="1" ht="17.25" hidden="1" customHeight="1" thickBot="1">
      <c r="A60" s="59"/>
      <c r="B60" s="39"/>
      <c r="C60" s="153"/>
      <c r="D60" s="152"/>
      <c r="E60" s="152"/>
      <c r="F60" s="152"/>
      <c r="G60" s="152"/>
      <c r="H60" s="721"/>
      <c r="I60" s="721"/>
      <c r="J60" s="721"/>
      <c r="K60" s="153"/>
      <c r="L60" s="153"/>
      <c r="M60" s="153"/>
      <c r="N60" s="153"/>
      <c r="O60" s="153"/>
      <c r="P60" s="153"/>
      <c r="Q60" s="153"/>
      <c r="R60" s="153"/>
      <c r="S60" s="153"/>
      <c r="T60" s="153"/>
      <c r="U60" s="153"/>
      <c r="V60" s="153"/>
      <c r="W60" s="153"/>
      <c r="X60" s="153"/>
      <c r="Y60" s="153"/>
      <c r="Z60" s="153"/>
      <c r="AA60" s="153"/>
      <c r="AB60" s="153"/>
      <c r="AC60" s="153"/>
      <c r="AD60" s="152"/>
      <c r="AE60" s="703"/>
      <c r="AF60" s="703"/>
      <c r="AG60" s="703"/>
      <c r="AH60" s="703"/>
      <c r="AI60" s="64"/>
      <c r="AJ60" s="64"/>
      <c r="AK60" s="64"/>
      <c r="AL60" s="64"/>
      <c r="AM60" s="703"/>
      <c r="AN60" s="64"/>
      <c r="AO60" s="703"/>
      <c r="AP60" s="703"/>
      <c r="AQ60" s="703"/>
      <c r="AR60" s="260"/>
      <c r="AS60" s="286"/>
      <c r="AT60" s="703"/>
      <c r="AU60" s="703"/>
      <c r="AV60" s="36"/>
      <c r="AW60" s="36"/>
      <c r="AX60" s="36"/>
      <c r="AY60" s="36"/>
      <c r="AZ60" s="36"/>
      <c r="BA60" s="36"/>
      <c r="BB60" s="36"/>
      <c r="BC60" s="36"/>
      <c r="BD60" s="36"/>
      <c r="BE60" s="36"/>
      <c r="BF60" s="16"/>
      <c r="BG60" s="16"/>
      <c r="BH60" s="16"/>
      <c r="BI60" s="16"/>
      <c r="BJ60" s="16"/>
      <c r="BK60" s="16"/>
      <c r="BL60" s="16"/>
      <c r="BM60" s="16"/>
      <c r="BN60" s="16"/>
      <c r="BO60" s="16"/>
      <c r="BP60" s="36"/>
      <c r="BQ60" s="16"/>
      <c r="BR60" s="36"/>
      <c r="BS60" s="16"/>
      <c r="BT60" s="36"/>
      <c r="BU60" s="153"/>
      <c r="BV60" s="153"/>
      <c r="BW60" s="153"/>
      <c r="BX60" s="153"/>
      <c r="BY60" s="153"/>
      <c r="BZ60" s="153"/>
      <c r="CA60" s="153"/>
      <c r="CB60" s="153"/>
      <c r="CC60" s="292"/>
      <c r="CD60" s="703"/>
      <c r="CE60" s="703"/>
      <c r="CF60" s="703"/>
      <c r="CG60" s="703"/>
      <c r="CH60" s="703"/>
      <c r="CI60" s="153"/>
      <c r="CJ60" s="703"/>
      <c r="CK60" s="703"/>
      <c r="CL60" s="703"/>
      <c r="CM60" s="153"/>
      <c r="CN60" s="703"/>
      <c r="CO60" s="703"/>
      <c r="CP60" s="703"/>
      <c r="CQ60" s="703"/>
      <c r="CR60" s="703"/>
      <c r="CS60" s="153"/>
      <c r="CT60" s="153"/>
      <c r="CU60" s="153"/>
      <c r="CV60" s="703"/>
      <c r="CW60" s="703"/>
      <c r="CX60" s="703"/>
      <c r="CY60" s="703"/>
      <c r="CZ60" s="703"/>
      <c r="DA60" s="703"/>
      <c r="DB60" s="703"/>
      <c r="DC60" s="703"/>
      <c r="DD60" s="703"/>
      <c r="DE60" s="153"/>
      <c r="DF60" s="263"/>
      <c r="DG60" s="703"/>
      <c r="DH60" s="703"/>
      <c r="DI60" s="703"/>
      <c r="DJ60" s="3"/>
      <c r="DK60" s="3"/>
      <c r="DL60" s="3"/>
      <c r="DM60" s="64"/>
      <c r="DN60" s="64"/>
      <c r="DO60" s="64"/>
      <c r="DP60" s="263"/>
      <c r="DQ60" s="703"/>
      <c r="DR60" s="703"/>
      <c r="DS60" s="64"/>
      <c r="DT60" s="64"/>
      <c r="DU60" s="64"/>
      <c r="DV60" s="64"/>
      <c r="DW60" s="64"/>
      <c r="DX60" s="64"/>
      <c r="DY60" s="153"/>
      <c r="DZ60" s="153"/>
      <c r="EA60" s="153"/>
      <c r="EB60" s="153"/>
    </row>
    <row r="61" spans="1:132" s="367" customFormat="1" ht="17.25" hidden="1" customHeight="1" thickBot="1">
      <c r="A61" s="87"/>
      <c r="B61" s="14"/>
      <c r="C61" s="153"/>
      <c r="D61" s="152"/>
      <c r="E61" s="152"/>
      <c r="F61" s="152"/>
      <c r="G61" s="152"/>
      <c r="H61" s="721"/>
      <c r="I61" s="721"/>
      <c r="J61" s="721"/>
      <c r="K61" s="153"/>
      <c r="L61" s="153"/>
      <c r="M61" s="153"/>
      <c r="N61" s="153"/>
      <c r="O61" s="153"/>
      <c r="P61" s="153"/>
      <c r="Q61" s="153"/>
      <c r="R61" s="153"/>
      <c r="S61" s="153"/>
      <c r="T61" s="153"/>
      <c r="U61" s="153"/>
      <c r="V61" s="153"/>
      <c r="W61" s="153"/>
      <c r="X61" s="153"/>
      <c r="Y61" s="153"/>
      <c r="Z61" s="153"/>
      <c r="AA61" s="153"/>
      <c r="AB61" s="153"/>
      <c r="AC61" s="153"/>
      <c r="AD61" s="152"/>
      <c r="AE61" s="703"/>
      <c r="AF61" s="703"/>
      <c r="AG61" s="703"/>
      <c r="AH61" s="703"/>
      <c r="AI61" s="64"/>
      <c r="AJ61" s="64"/>
      <c r="AK61" s="64"/>
      <c r="AL61" s="64"/>
      <c r="AM61" s="703"/>
      <c r="AN61" s="64"/>
      <c r="AO61" s="703"/>
      <c r="AP61" s="703"/>
      <c r="AQ61" s="703"/>
      <c r="AR61" s="260"/>
      <c r="AS61" s="286"/>
      <c r="AT61" s="703"/>
      <c r="AU61" s="703"/>
      <c r="AV61" s="36"/>
      <c r="AW61" s="36"/>
      <c r="AX61" s="36"/>
      <c r="AY61" s="36"/>
      <c r="AZ61" s="36"/>
      <c r="BA61" s="36"/>
      <c r="BB61" s="36"/>
      <c r="BC61" s="36"/>
      <c r="BD61" s="36"/>
      <c r="BE61" s="36"/>
      <c r="BF61" s="16"/>
      <c r="BG61" s="16"/>
      <c r="BH61" s="16"/>
      <c r="BI61" s="16"/>
      <c r="BJ61" s="16"/>
      <c r="BK61" s="16"/>
      <c r="BL61" s="16"/>
      <c r="BM61" s="16"/>
      <c r="BN61" s="16"/>
      <c r="BO61" s="16"/>
      <c r="BP61" s="36"/>
      <c r="BQ61" s="16"/>
      <c r="BR61" s="36"/>
      <c r="BS61" s="16"/>
      <c r="BT61" s="36"/>
      <c r="BU61" s="153"/>
      <c r="BV61" s="153"/>
      <c r="BW61" s="153"/>
      <c r="BX61" s="153"/>
      <c r="BY61" s="153"/>
      <c r="BZ61" s="153"/>
      <c r="CA61" s="153"/>
      <c r="CB61" s="153"/>
      <c r="CC61" s="292"/>
      <c r="CD61" s="703"/>
      <c r="CE61" s="703"/>
      <c r="CF61" s="703"/>
      <c r="CG61" s="703"/>
      <c r="CH61" s="703"/>
      <c r="CI61" s="153"/>
      <c r="CJ61" s="703"/>
      <c r="CK61" s="703"/>
      <c r="CL61" s="703"/>
      <c r="CM61" s="153"/>
      <c r="CN61" s="703"/>
      <c r="CO61" s="703"/>
      <c r="CP61" s="703"/>
      <c r="CQ61" s="703"/>
      <c r="CR61" s="703"/>
      <c r="CS61" s="153"/>
      <c r="CT61" s="153"/>
      <c r="CU61" s="153"/>
      <c r="CV61" s="703"/>
      <c r="CW61" s="703"/>
      <c r="CX61" s="703"/>
      <c r="CY61" s="703"/>
      <c r="CZ61" s="703"/>
      <c r="DA61" s="703"/>
      <c r="DB61" s="703"/>
      <c r="DC61" s="703"/>
      <c r="DD61" s="703"/>
      <c r="DE61" s="153"/>
      <c r="DF61" s="263"/>
      <c r="DG61" s="703"/>
      <c r="DH61" s="703"/>
      <c r="DI61" s="703"/>
      <c r="DJ61" s="3"/>
      <c r="DK61" s="3"/>
      <c r="DL61" s="3"/>
      <c r="DM61" s="64"/>
      <c r="DN61" s="64"/>
      <c r="DO61" s="64"/>
      <c r="DP61" s="263"/>
      <c r="DQ61" s="703"/>
      <c r="DR61" s="703"/>
      <c r="DS61" s="64"/>
      <c r="DT61" s="64"/>
      <c r="DU61" s="64"/>
      <c r="DV61" s="64"/>
      <c r="DW61" s="64"/>
      <c r="DX61" s="64"/>
      <c r="DY61" s="153"/>
      <c r="DZ61" s="153"/>
      <c r="EA61" s="153"/>
      <c r="EB61" s="153"/>
    </row>
    <row r="62" spans="1:132" ht="17.25" customHeight="1">
      <c r="AD62" s="152"/>
      <c r="AE62" s="238"/>
      <c r="CC62" s="292"/>
      <c r="DF62" s="263" t="s">
        <v>495</v>
      </c>
      <c r="DG62" s="238">
        <f>IF((DH62=DI62),$Z$14,0)</f>
        <v>0</v>
      </c>
      <c r="DH62" s="238">
        <f>$DH$53</f>
        <v>0</v>
      </c>
      <c r="DI62" s="238">
        <f>DI54+1</f>
        <v>2</v>
      </c>
      <c r="DJ62" s="3">
        <v>30</v>
      </c>
      <c r="DK62" s="3">
        <v>0</v>
      </c>
      <c r="DL62" s="3">
        <v>0</v>
      </c>
      <c r="DM62" s="64">
        <f t="shared" si="40"/>
        <v>0</v>
      </c>
      <c r="DN62" s="64">
        <f t="shared" si="41"/>
        <v>0</v>
      </c>
      <c r="DO62" s="64">
        <f t="shared" si="42"/>
        <v>0</v>
      </c>
      <c r="DP62" s="263"/>
      <c r="DQ62" s="152"/>
      <c r="DR62" s="152"/>
      <c r="DS62" s="152"/>
      <c r="DT62" s="152"/>
      <c r="DU62" s="64"/>
      <c r="DV62" s="64"/>
      <c r="DW62" s="64"/>
      <c r="DX62" s="64"/>
    </row>
    <row r="63" spans="1:132" ht="17.25" customHeight="1">
      <c r="B63" s="288"/>
      <c r="C63" s="647"/>
      <c r="D63" s="290"/>
      <c r="E63" s="290"/>
      <c r="F63" s="290"/>
      <c r="G63" s="290"/>
      <c r="H63" s="289"/>
      <c r="I63" s="289"/>
      <c r="J63" s="289"/>
      <c r="L63" s="288"/>
      <c r="M63" s="288"/>
      <c r="N63" s="288"/>
      <c r="O63" s="288"/>
      <c r="P63" s="288"/>
      <c r="Q63" s="288"/>
      <c r="R63" s="288"/>
      <c r="S63" s="288"/>
      <c r="T63" s="288"/>
      <c r="U63" s="288"/>
      <c r="V63" s="288"/>
      <c r="X63" s="288"/>
      <c r="Y63" s="288"/>
      <c r="Z63" s="288"/>
      <c r="AA63" s="288"/>
      <c r="AB63" s="288"/>
      <c r="AC63" s="288"/>
      <c r="AD63" s="152"/>
      <c r="CC63" s="292"/>
      <c r="DF63" s="263" t="s">
        <v>496</v>
      </c>
      <c r="DG63" s="238">
        <f>IF((DH63=DI63),$Z$14,0)</f>
        <v>0</v>
      </c>
      <c r="DH63" s="238">
        <f>$DH$53</f>
        <v>0</v>
      </c>
      <c r="DI63" s="238">
        <f>DI62+1</f>
        <v>3</v>
      </c>
      <c r="DJ63" s="3">
        <v>0</v>
      </c>
      <c r="DK63" s="3">
        <v>0</v>
      </c>
      <c r="DL63" s="3">
        <v>60</v>
      </c>
      <c r="DM63" s="64">
        <f t="shared" si="40"/>
        <v>0</v>
      </c>
      <c r="DN63" s="64">
        <f t="shared" si="41"/>
        <v>0</v>
      </c>
      <c r="DO63" s="64">
        <f t="shared" si="42"/>
        <v>0</v>
      </c>
    </row>
    <row r="64" spans="1:132" ht="17.25" customHeight="1">
      <c r="A64" s="2474">
        <v>3</v>
      </c>
      <c r="B64" s="243"/>
      <c r="C64" s="243"/>
      <c r="D64" s="2450" t="s">
        <v>311</v>
      </c>
      <c r="E64" s="2459" t="s">
        <v>312</v>
      </c>
      <c r="F64" s="2460"/>
      <c r="G64" s="2461"/>
      <c r="H64" s="2451" t="s">
        <v>313</v>
      </c>
      <c r="I64" s="2452"/>
      <c r="J64" s="2453"/>
      <c r="K64" s="244"/>
      <c r="L64" s="2454" t="s">
        <v>497</v>
      </c>
      <c r="M64" s="2455"/>
      <c r="N64" s="2455"/>
      <c r="O64" s="2455"/>
      <c r="P64" s="2455"/>
      <c r="Q64" s="2455"/>
      <c r="R64" s="2455"/>
      <c r="S64" s="2455"/>
      <c r="T64" s="2455"/>
      <c r="U64" s="2455"/>
      <c r="V64" s="2456"/>
      <c r="W64" s="244"/>
      <c r="X64" s="2457" t="s">
        <v>315</v>
      </c>
      <c r="Y64" s="2457"/>
      <c r="Z64" s="2457"/>
      <c r="AA64" s="2457"/>
      <c r="AB64" s="2457"/>
      <c r="AC64" s="2457"/>
      <c r="AD64" s="151"/>
      <c r="CC64" s="292"/>
      <c r="DF64" s="263" t="s">
        <v>460</v>
      </c>
      <c r="DG64" s="238">
        <v>0</v>
      </c>
      <c r="DH64" s="238">
        <f>VLOOKUP(X15, DF64:DI67, 4, FALSE)</f>
        <v>0</v>
      </c>
      <c r="DI64" s="238">
        <v>0</v>
      </c>
      <c r="DJ64" s="3">
        <v>0</v>
      </c>
      <c r="DK64" s="3">
        <v>0</v>
      </c>
      <c r="DL64" s="3">
        <v>0</v>
      </c>
      <c r="DM64" s="64">
        <f t="shared" si="40"/>
        <v>0</v>
      </c>
      <c r="DN64" s="64">
        <f t="shared" si="41"/>
        <v>0</v>
      </c>
      <c r="DO64" s="64">
        <f t="shared" si="42"/>
        <v>0</v>
      </c>
    </row>
    <row r="65" spans="1:119" ht="17.25" customHeight="1">
      <c r="A65" s="2474"/>
      <c r="B65" s="98"/>
      <c r="C65" s="98"/>
      <c r="D65" s="2450"/>
      <c r="E65" s="250" t="s">
        <v>336</v>
      </c>
      <c r="F65" s="251" t="s">
        <v>61</v>
      </c>
      <c r="G65" s="252" t="s">
        <v>337</v>
      </c>
      <c r="H65" s="250" t="s">
        <v>322</v>
      </c>
      <c r="I65" s="251" t="s">
        <v>323</v>
      </c>
      <c r="J65" s="252" t="s">
        <v>338</v>
      </c>
      <c r="K65" s="244"/>
      <c r="L65" s="2454"/>
      <c r="M65" s="2455"/>
      <c r="N65" s="2455"/>
      <c r="O65" s="2455"/>
      <c r="P65" s="2455"/>
      <c r="Q65" s="2455"/>
      <c r="R65" s="2455"/>
      <c r="S65" s="2455"/>
      <c r="T65" s="2455"/>
      <c r="U65" s="2455"/>
      <c r="V65" s="2456"/>
      <c r="W65" s="66"/>
      <c r="X65" s="2457" t="s">
        <v>339</v>
      </c>
      <c r="Y65" s="2457"/>
      <c r="Z65" s="241" t="s">
        <v>340</v>
      </c>
      <c r="AA65" s="241" t="s">
        <v>322</v>
      </c>
      <c r="AB65" s="241" t="s">
        <v>323</v>
      </c>
      <c r="AC65" s="241" t="s">
        <v>341</v>
      </c>
      <c r="AD65" s="151"/>
      <c r="CC65" s="292"/>
      <c r="DF65" s="263" t="s">
        <v>498</v>
      </c>
      <c r="DG65" s="238">
        <f>IF((DH65=DI65),$Z$15,0)</f>
        <v>0</v>
      </c>
      <c r="DH65" s="238">
        <f>$DH$64</f>
        <v>0</v>
      </c>
      <c r="DI65" s="238">
        <f>DI64+1</f>
        <v>1</v>
      </c>
      <c r="DJ65" s="3">
        <v>15</v>
      </c>
      <c r="DK65" s="3">
        <v>0</v>
      </c>
      <c r="DL65" s="3">
        <v>0</v>
      </c>
      <c r="DM65" s="64">
        <f t="shared" si="40"/>
        <v>0</v>
      </c>
      <c r="DN65" s="64">
        <f t="shared" si="41"/>
        <v>0</v>
      </c>
      <c r="DO65" s="64">
        <f t="shared" si="42"/>
        <v>0</v>
      </c>
    </row>
    <row r="66" spans="1:119" ht="17.25" customHeight="1" thickBot="1">
      <c r="B66" s="627"/>
      <c r="C66" s="257" t="s">
        <v>42</v>
      </c>
      <c r="D66" s="258"/>
      <c r="E66" s="258"/>
      <c r="F66" s="258"/>
      <c r="G66" s="258"/>
      <c r="H66" s="2433" t="e">
        <f>SUM(AI159:AI163)</f>
        <v>#REF!</v>
      </c>
      <c r="I66" s="2434" t="e">
        <f>SUM(AJ159:AJ163)</f>
        <v>#REF!</v>
      </c>
      <c r="J66" s="2434" t="e">
        <f>SUM(AK159:AK163)</f>
        <v>#REF!</v>
      </c>
      <c r="K66" s="151"/>
      <c r="L66" s="259"/>
      <c r="M66" s="259"/>
      <c r="N66" s="44"/>
      <c r="O66" s="44"/>
      <c r="P66" s="44"/>
      <c r="Q66" s="44"/>
      <c r="R66" s="44"/>
      <c r="S66" s="259"/>
      <c r="T66" s="259"/>
      <c r="U66" s="259"/>
      <c r="V66" s="259"/>
      <c r="W66" s="25"/>
      <c r="X66" s="2438" t="s">
        <v>436</v>
      </c>
      <c r="Y66" s="2438"/>
      <c r="Z66" s="23">
        <v>0</v>
      </c>
      <c r="AA66" s="240">
        <f>SUM(DM174:DM187)</f>
        <v>0</v>
      </c>
      <c r="AB66" s="240">
        <f>SUM(DN174:DN187)</f>
        <v>0</v>
      </c>
      <c r="AC66" s="240">
        <f>SUM(DO174:DO187)</f>
        <v>0</v>
      </c>
      <c r="AD66" s="151"/>
      <c r="DF66" s="263" t="s">
        <v>499</v>
      </c>
      <c r="DG66" s="238">
        <f>IF((DH66=DI66),$Z$15,0)</f>
        <v>0</v>
      </c>
      <c r="DH66" s="238">
        <f>$DH$64</f>
        <v>0</v>
      </c>
      <c r="DI66" s="238">
        <f>DI65+1</f>
        <v>2</v>
      </c>
      <c r="DJ66" s="3">
        <v>22.5</v>
      </c>
      <c r="DK66" s="3">
        <v>0</v>
      </c>
      <c r="DL66" s="3">
        <v>0</v>
      </c>
      <c r="DM66" s="64">
        <f t="shared" si="40"/>
        <v>0</v>
      </c>
      <c r="DN66" s="64">
        <f t="shared" si="41"/>
        <v>0</v>
      </c>
      <c r="DO66" s="64">
        <f t="shared" si="42"/>
        <v>0</v>
      </c>
    </row>
    <row r="67" spans="1:119" ht="17.25" customHeight="1" thickBot="1">
      <c r="B67" s="628"/>
      <c r="C67" s="642"/>
      <c r="D67" s="81">
        <v>0</v>
      </c>
      <c r="E67" s="155"/>
      <c r="F67" s="29" t="s">
        <v>61</v>
      </c>
      <c r="G67" s="155"/>
      <c r="H67" s="2433"/>
      <c r="I67" s="2434"/>
      <c r="J67" s="2434"/>
      <c r="K67" s="264"/>
      <c r="L67" s="2463" t="s">
        <v>501</v>
      </c>
      <c r="M67" s="2464"/>
      <c r="N67" s="2464"/>
      <c r="O67" s="2464"/>
      <c r="P67" s="2464"/>
      <c r="Q67" s="2464"/>
      <c r="R67" s="2464"/>
      <c r="S67" s="84" t="s">
        <v>322</v>
      </c>
      <c r="T67" s="103" t="s">
        <v>323</v>
      </c>
      <c r="U67" s="103" t="s">
        <v>341</v>
      </c>
      <c r="V67" s="88" t="s">
        <v>357</v>
      </c>
      <c r="W67" s="105"/>
      <c r="X67" s="2442" t="s">
        <v>366</v>
      </c>
      <c r="Y67" s="2442"/>
      <c r="Z67" s="65">
        <v>0</v>
      </c>
      <c r="AA67" s="239">
        <f>SUM(DM194:DM198)</f>
        <v>0</v>
      </c>
      <c r="AB67" s="239">
        <f>SUM(DN194:DN198)</f>
        <v>0</v>
      </c>
      <c r="AC67" s="239">
        <f>SUM(DO194:DO198)</f>
        <v>0</v>
      </c>
      <c r="AD67" s="151"/>
      <c r="DF67" s="263" t="s">
        <v>382</v>
      </c>
      <c r="DG67" s="238">
        <f>IF((DH67=DI67),$Z$15,0)</f>
        <v>0</v>
      </c>
      <c r="DH67" s="238">
        <f>$DH$64</f>
        <v>0</v>
      </c>
      <c r="DI67" s="238">
        <f>DI66+1</f>
        <v>3</v>
      </c>
      <c r="DJ67" s="3">
        <v>30</v>
      </c>
      <c r="DK67" s="3">
        <v>0</v>
      </c>
      <c r="DL67" s="3">
        <v>0</v>
      </c>
      <c r="DM67" s="64">
        <f t="shared" si="40"/>
        <v>0</v>
      </c>
      <c r="DN67" s="64">
        <f t="shared" si="41"/>
        <v>0</v>
      </c>
      <c r="DO67" s="64">
        <f t="shared" si="42"/>
        <v>0</v>
      </c>
    </row>
    <row r="68" spans="1:119" ht="17.25" customHeight="1" thickBot="1">
      <c r="B68" s="629"/>
      <c r="C68" s="265" t="s">
        <v>43</v>
      </c>
      <c r="D68" s="266"/>
      <c r="E68" s="266"/>
      <c r="F68" s="266"/>
      <c r="G68" s="266"/>
      <c r="H68" s="2443" t="e">
        <f>SUM(AI164:AI167)</f>
        <v>#REF!</v>
      </c>
      <c r="I68" s="2444" t="e">
        <f>SUM(AJ164:AJ167)</f>
        <v>#REF!</v>
      </c>
      <c r="J68" s="2444" t="e">
        <f>SUM(AK164:AK167)</f>
        <v>#REF!</v>
      </c>
      <c r="K68" s="267"/>
      <c r="L68" s="4" t="s">
        <v>370</v>
      </c>
      <c r="M68" s="68" t="s">
        <v>371</v>
      </c>
      <c r="N68" s="18" t="s">
        <v>374</v>
      </c>
      <c r="O68" s="47" t="s">
        <v>373</v>
      </c>
      <c r="P68" s="18" t="s">
        <v>374</v>
      </c>
      <c r="Q68" s="47" t="s">
        <v>32</v>
      </c>
      <c r="R68" s="18" t="s">
        <v>372</v>
      </c>
      <c r="S68" s="240">
        <f>SUM(DB160:DB163)</f>
        <v>235000</v>
      </c>
      <c r="T68" s="70">
        <f>SUM(DC160:DC163)</f>
        <v>0</v>
      </c>
      <c r="U68" s="70">
        <f>SUM(DD160:DD163)</f>
        <v>0</v>
      </c>
      <c r="V68" s="42">
        <v>0</v>
      </c>
      <c r="W68" s="82"/>
      <c r="X68" s="2438" t="s">
        <v>502</v>
      </c>
      <c r="Y68" s="2438"/>
      <c r="Z68" s="23">
        <v>10</v>
      </c>
      <c r="AA68" s="240">
        <f>SUM(DM199:DM202)</f>
        <v>0</v>
      </c>
      <c r="AB68" s="240">
        <f>SUM(DN199:DN202)</f>
        <v>0</v>
      </c>
      <c r="AC68" s="240">
        <f>SUM(DO199:DO202)</f>
        <v>0</v>
      </c>
      <c r="AD68" s="151"/>
      <c r="DF68" s="263" t="s">
        <v>387</v>
      </c>
      <c r="DG68" s="238">
        <v>0</v>
      </c>
      <c r="DH68" s="238">
        <f>VLOOKUP(X16, DF68:DI71, 4, FALSE)</f>
        <v>0</v>
      </c>
      <c r="DI68" s="238">
        <v>0</v>
      </c>
      <c r="DJ68" s="3">
        <v>0</v>
      </c>
      <c r="DK68" s="3">
        <v>0</v>
      </c>
      <c r="DL68" s="3">
        <v>0</v>
      </c>
      <c r="DM68" s="64">
        <f t="shared" si="40"/>
        <v>0</v>
      </c>
      <c r="DN68" s="64">
        <f t="shared" si="41"/>
        <v>0</v>
      </c>
      <c r="DO68" s="64">
        <f t="shared" si="42"/>
        <v>0</v>
      </c>
    </row>
    <row r="69" spans="1:119" ht="17.25" customHeight="1" thickBot="1">
      <c r="B69" s="630"/>
      <c r="C69" s="643"/>
      <c r="D69" s="99">
        <v>0</v>
      </c>
      <c r="E69" s="155"/>
      <c r="F69" s="22" t="s">
        <v>61</v>
      </c>
      <c r="G69" s="155"/>
      <c r="H69" s="2443"/>
      <c r="I69" s="2444"/>
      <c r="J69" s="2444"/>
      <c r="K69" s="268"/>
      <c r="L69" s="2465" t="s">
        <v>381</v>
      </c>
      <c r="M69" s="2466"/>
      <c r="N69" s="2466"/>
      <c r="O69" s="2466"/>
      <c r="P69" s="2466"/>
      <c r="Q69" s="2466"/>
      <c r="R69" s="2465"/>
      <c r="S69" s="239" t="e">
        <f>SUM(H66:H78)</f>
        <v>#REF!</v>
      </c>
      <c r="T69" s="24" t="e">
        <f>SUM(I66:I78)</f>
        <v>#REF!</v>
      </c>
      <c r="U69" s="24">
        <v>0</v>
      </c>
      <c r="V69" s="48" t="e">
        <f>SUM(J66:J78)</f>
        <v>#REF!</v>
      </c>
      <c r="W69" s="7"/>
      <c r="X69" s="2442" t="s">
        <v>503</v>
      </c>
      <c r="Y69" s="2442"/>
      <c r="Z69" s="65">
        <v>0</v>
      </c>
      <c r="AA69" s="239">
        <f>SUM(DM203:DM206)</f>
        <v>0</v>
      </c>
      <c r="AB69" s="239">
        <f>SUM(DN203:DN206)</f>
        <v>0</v>
      </c>
      <c r="AC69" s="239">
        <f>SUM(DO203:DO206)</f>
        <v>0</v>
      </c>
      <c r="AD69" s="151"/>
      <c r="AL69" s="64"/>
      <c r="AM69" s="238"/>
      <c r="AN69" s="64"/>
      <c r="AO69" s="238"/>
      <c r="DF69" s="263" t="s">
        <v>504</v>
      </c>
      <c r="DG69" s="238">
        <f>IF((DH69=DI69),$Z$16,0)</f>
        <v>0</v>
      </c>
      <c r="DH69" s="238">
        <f>$DH$68</f>
        <v>0</v>
      </c>
      <c r="DI69" s="238">
        <f>DI68+1</f>
        <v>1</v>
      </c>
      <c r="DJ69" s="3">
        <v>0</v>
      </c>
      <c r="DK69" s="3">
        <v>100</v>
      </c>
      <c r="DL69" s="3">
        <v>0</v>
      </c>
      <c r="DM69" s="64">
        <f t="shared" si="40"/>
        <v>0</v>
      </c>
      <c r="DN69" s="64">
        <f t="shared" si="41"/>
        <v>0</v>
      </c>
      <c r="DO69" s="64">
        <f t="shared" si="42"/>
        <v>0</v>
      </c>
    </row>
    <row r="70" spans="1:119" ht="17.25" customHeight="1" thickBot="1">
      <c r="B70" s="627"/>
      <c r="C70" s="270" t="s">
        <v>226</v>
      </c>
      <c r="D70" s="271"/>
      <c r="E70" s="271"/>
      <c r="F70" s="271"/>
      <c r="G70" s="271"/>
      <c r="H70" s="2433" t="e">
        <f>SUM(AI168:AI174)</f>
        <v>#REF!</v>
      </c>
      <c r="I70" s="2434" t="e">
        <f>SUM(AJ168:AJ174)</f>
        <v>#REF!</v>
      </c>
      <c r="J70" s="2434" t="e">
        <f>SUM(AK168:AK174)</f>
        <v>#REF!</v>
      </c>
      <c r="K70" s="272"/>
      <c r="L70" s="2435" t="s">
        <v>386</v>
      </c>
      <c r="M70" s="2436"/>
      <c r="N70" s="2436"/>
      <c r="O70" s="2436"/>
      <c r="P70" s="2436"/>
      <c r="Q70" s="2436"/>
      <c r="R70" s="2437"/>
      <c r="S70" s="240">
        <f>SUM(AA66:AA74)</f>
        <v>0</v>
      </c>
      <c r="T70" s="70">
        <f>SUM(AB66:AB74)</f>
        <v>0</v>
      </c>
      <c r="U70" s="70">
        <f>SUM(AC66:AC74)</f>
        <v>0</v>
      </c>
      <c r="V70" s="71">
        <v>0</v>
      </c>
      <c r="W70" s="273"/>
      <c r="X70" s="2438" t="s">
        <v>393</v>
      </c>
      <c r="Y70" s="2438"/>
      <c r="Z70" s="23">
        <v>0</v>
      </c>
      <c r="AA70" s="240">
        <f>SUM(DM207:DM210)</f>
        <v>0</v>
      </c>
      <c r="AB70" s="240">
        <f>SUM(DN207:DN210)</f>
        <v>0</v>
      </c>
      <c r="AC70" s="240">
        <f>SUM(DO207:DO210)</f>
        <v>0</v>
      </c>
      <c r="AD70" s="151"/>
      <c r="DF70" s="263" t="s">
        <v>505</v>
      </c>
      <c r="DG70" s="238">
        <f>IF((DH70=DI70),$Z$16,0)</f>
        <v>0</v>
      </c>
      <c r="DH70" s="238">
        <f>$DH$68</f>
        <v>0</v>
      </c>
      <c r="DI70" s="238">
        <f>DI69+1</f>
        <v>2</v>
      </c>
      <c r="DJ70" s="3">
        <v>5</v>
      </c>
      <c r="DK70" s="3">
        <v>0</v>
      </c>
      <c r="DL70" s="3">
        <v>0</v>
      </c>
      <c r="DM70" s="64">
        <f t="shared" si="40"/>
        <v>0</v>
      </c>
      <c r="DN70" s="64">
        <f t="shared" si="41"/>
        <v>0</v>
      </c>
      <c r="DO70" s="64">
        <f t="shared" si="42"/>
        <v>0</v>
      </c>
    </row>
    <row r="71" spans="1:119" ht="17.25" customHeight="1" thickBot="1">
      <c r="B71" s="628"/>
      <c r="C71" s="642"/>
      <c r="D71" s="81">
        <v>0</v>
      </c>
      <c r="E71" s="155"/>
      <c r="F71" s="106" t="s">
        <v>61</v>
      </c>
      <c r="G71" s="155"/>
      <c r="H71" s="2433"/>
      <c r="I71" s="2434"/>
      <c r="J71" s="2434"/>
      <c r="K71" s="264"/>
      <c r="L71" s="2439" t="s">
        <v>313</v>
      </c>
      <c r="M71" s="2440"/>
      <c r="N71" s="2440"/>
      <c r="O71" s="2440"/>
      <c r="P71" s="2440"/>
      <c r="Q71" s="2440"/>
      <c r="R71" s="2441"/>
      <c r="S71" s="33" t="e">
        <f>SUM(S68:S70)</f>
        <v>#REF!</v>
      </c>
      <c r="T71" s="103" t="e">
        <f>SUM(T68:T70)</f>
        <v>#REF!</v>
      </c>
      <c r="U71" s="103">
        <f>SUM(U68:U70)</f>
        <v>0</v>
      </c>
      <c r="V71" s="88" t="e">
        <f>SUM(V68:V70)</f>
        <v>#REF!</v>
      </c>
      <c r="W71" s="102"/>
      <c r="X71" s="2442" t="s">
        <v>397</v>
      </c>
      <c r="Y71" s="2442"/>
      <c r="Z71" s="65">
        <v>0</v>
      </c>
      <c r="AA71" s="239">
        <f>SUM(DM211:DM217)</f>
        <v>0</v>
      </c>
      <c r="AB71" s="239">
        <f>SUM(DN211:DN217)</f>
        <v>0</v>
      </c>
      <c r="AC71" s="239">
        <f>SUM(DO211:DO217)</f>
        <v>0</v>
      </c>
      <c r="AD71" s="151"/>
      <c r="DF71" s="263" t="s">
        <v>506</v>
      </c>
      <c r="DG71" s="238">
        <f>IF((DH71=DI71),$Z$16,0)</f>
        <v>0</v>
      </c>
      <c r="DH71" s="238">
        <f>$DH$68</f>
        <v>0</v>
      </c>
      <c r="DI71" s="238">
        <f>DI70+1</f>
        <v>3</v>
      </c>
      <c r="DJ71" s="3">
        <v>20</v>
      </c>
      <c r="DK71" s="3">
        <v>0</v>
      </c>
      <c r="DL71" s="3">
        <v>0</v>
      </c>
      <c r="DM71" s="64">
        <f t="shared" si="40"/>
        <v>0</v>
      </c>
      <c r="DN71" s="64">
        <f t="shared" si="41"/>
        <v>0</v>
      </c>
      <c r="DO71" s="64">
        <f t="shared" si="42"/>
        <v>0</v>
      </c>
    </row>
    <row r="72" spans="1:119" ht="17.25" customHeight="1" thickBot="1">
      <c r="B72" s="631"/>
      <c r="C72" s="274" t="s">
        <v>186</v>
      </c>
      <c r="D72" s="275"/>
      <c r="E72" s="275"/>
      <c r="F72" s="275"/>
      <c r="G72" s="275"/>
      <c r="H72" s="2443" t="e">
        <f>SUM(AI175:AI181)</f>
        <v>#REF!</v>
      </c>
      <c r="I72" s="2444" t="e">
        <f>SUM(AJ175:AJ181)</f>
        <v>#REF!</v>
      </c>
      <c r="J72" s="2444" t="e">
        <f>SUM(AK175:AK181)</f>
        <v>#REF!</v>
      </c>
      <c r="K72" s="151"/>
      <c r="L72" s="276"/>
      <c r="M72" s="276"/>
      <c r="N72" s="85"/>
      <c r="O72" s="85"/>
      <c r="P72" s="85"/>
      <c r="Q72" s="85"/>
      <c r="R72" s="85"/>
      <c r="S72" s="76"/>
      <c r="T72" s="85"/>
      <c r="U72" s="85"/>
      <c r="V72" s="85"/>
      <c r="W72" s="89"/>
      <c r="X72" s="2438" t="s">
        <v>363</v>
      </c>
      <c r="Y72" s="2438"/>
      <c r="Z72" s="23">
        <v>0</v>
      </c>
      <c r="AA72" s="240">
        <f>SUM(DM160:DM172)</f>
        <v>0</v>
      </c>
      <c r="AB72" s="240">
        <f>SUM(DN160:DN172)</f>
        <v>0</v>
      </c>
      <c r="AC72" s="240">
        <f>SUM(DO160:DO172)</f>
        <v>0</v>
      </c>
      <c r="AD72" s="151"/>
      <c r="DF72" s="263" t="s">
        <v>393</v>
      </c>
      <c r="DG72" s="238">
        <v>0</v>
      </c>
      <c r="DH72" s="238">
        <f>VLOOKUP(X17, DF72:DI75, 4, FALSE)</f>
        <v>0</v>
      </c>
      <c r="DI72" s="238">
        <v>0</v>
      </c>
      <c r="DJ72" s="3">
        <v>0</v>
      </c>
      <c r="DK72" s="3">
        <v>0</v>
      </c>
      <c r="DL72" s="3">
        <v>0</v>
      </c>
      <c r="DM72" s="64">
        <f t="shared" si="40"/>
        <v>0</v>
      </c>
      <c r="DN72" s="64">
        <f t="shared" si="41"/>
        <v>0</v>
      </c>
      <c r="DO72" s="64">
        <f t="shared" si="42"/>
        <v>0</v>
      </c>
    </row>
    <row r="73" spans="1:119" ht="17.25" customHeight="1" thickBot="1">
      <c r="B73" s="632"/>
      <c r="C73" s="644"/>
      <c r="D73" s="99">
        <v>0</v>
      </c>
      <c r="E73" s="155"/>
      <c r="F73" s="22" t="s">
        <v>61</v>
      </c>
      <c r="G73" s="155"/>
      <c r="H73" s="2443"/>
      <c r="I73" s="2444"/>
      <c r="J73" s="2444"/>
      <c r="K73" s="151"/>
      <c r="W73" s="277"/>
      <c r="X73" s="2442" t="s">
        <v>508</v>
      </c>
      <c r="Y73" s="2442"/>
      <c r="Z73" s="65">
        <v>0</v>
      </c>
      <c r="AA73" s="239">
        <f>SUM(DV164:DV164)</f>
        <v>0</v>
      </c>
      <c r="AB73" s="239">
        <f>SUM(DW164:DW164)</f>
        <v>0</v>
      </c>
      <c r="AC73" s="239">
        <f>SUM(DX164:DX164)</f>
        <v>0</v>
      </c>
      <c r="AD73" s="151"/>
      <c r="DF73" s="263" t="s">
        <v>509</v>
      </c>
      <c r="DG73" s="238">
        <f>IF((DH73=DI73),$Z$17,0)</f>
        <v>0</v>
      </c>
      <c r="DH73" s="238">
        <f>$DH$72</f>
        <v>0</v>
      </c>
      <c r="DI73" s="238">
        <f>DI72+1</f>
        <v>1</v>
      </c>
      <c r="DJ73" s="3">
        <v>10</v>
      </c>
      <c r="DK73" s="3">
        <v>0</v>
      </c>
      <c r="DL73" s="3">
        <v>0</v>
      </c>
      <c r="DM73" s="64">
        <f t="shared" si="40"/>
        <v>0</v>
      </c>
      <c r="DN73" s="64">
        <f t="shared" si="41"/>
        <v>0</v>
      </c>
      <c r="DO73" s="64">
        <f t="shared" si="42"/>
        <v>0</v>
      </c>
    </row>
    <row r="74" spans="1:119" ht="17.25" customHeight="1" thickBot="1">
      <c r="B74" s="627"/>
      <c r="C74" s="270" t="s">
        <v>405</v>
      </c>
      <c r="D74" s="271"/>
      <c r="E74" s="271"/>
      <c r="F74" s="271"/>
      <c r="G74" s="271"/>
      <c r="H74" s="2433" t="e">
        <f>SUM(AI182:AI185)</f>
        <v>#REF!</v>
      </c>
      <c r="I74" s="2434" t="e">
        <f>SUM(AJ182:AJ185)</f>
        <v>#REF!</v>
      </c>
      <c r="J74" s="2434" t="e">
        <f>SUM(AK182:AK185)</f>
        <v>#REF!</v>
      </c>
      <c r="K74" s="151"/>
      <c r="W74" s="277"/>
      <c r="X74" s="2438" t="s">
        <v>510</v>
      </c>
      <c r="Y74" s="2438"/>
      <c r="Z74" s="23">
        <v>0</v>
      </c>
      <c r="AA74" s="240">
        <f>SUM(DV167:DV168)</f>
        <v>0</v>
      </c>
      <c r="AB74" s="240">
        <f>SUM(DW167:DW168)</f>
        <v>0</v>
      </c>
      <c r="AC74" s="240">
        <f>SUM(DX167:DX168)</f>
        <v>0</v>
      </c>
      <c r="AD74" s="151"/>
      <c r="DF74" s="263" t="s">
        <v>511</v>
      </c>
      <c r="DG74" s="238">
        <f>IF((DH74=DI74),$Z$17,0)</f>
        <v>0</v>
      </c>
      <c r="DH74" s="238">
        <f>$DH$72</f>
        <v>0</v>
      </c>
      <c r="DI74" s="238">
        <f>DI73+1</f>
        <v>2</v>
      </c>
      <c r="DJ74" s="3">
        <v>25</v>
      </c>
      <c r="DK74" s="3">
        <v>0</v>
      </c>
      <c r="DL74" s="3">
        <v>0</v>
      </c>
      <c r="DM74" s="64">
        <f t="shared" si="40"/>
        <v>0</v>
      </c>
      <c r="DN74" s="64">
        <f t="shared" si="41"/>
        <v>0</v>
      </c>
      <c r="DO74" s="64">
        <f t="shared" si="42"/>
        <v>0</v>
      </c>
    </row>
    <row r="75" spans="1:119" ht="17.25" customHeight="1" thickBot="1">
      <c r="B75" s="628"/>
      <c r="C75" s="642"/>
      <c r="D75" s="81">
        <v>0</v>
      </c>
      <c r="E75" s="155"/>
      <c r="F75" s="106" t="s">
        <v>512</v>
      </c>
      <c r="G75" s="155"/>
      <c r="H75" s="2433"/>
      <c r="I75" s="2434"/>
      <c r="J75" s="2434"/>
      <c r="K75" s="151"/>
      <c r="X75" s="26"/>
      <c r="Y75" s="26"/>
      <c r="Z75" s="77"/>
      <c r="AA75" s="63">
        <f>SUM(AA66:AA74)</f>
        <v>0</v>
      </c>
      <c r="AB75" s="63">
        <f>SUM(AB66:AB74)</f>
        <v>0</v>
      </c>
      <c r="AC75" s="63">
        <f>SUM(AC66:AC74)</f>
        <v>0</v>
      </c>
      <c r="AD75" s="285"/>
      <c r="DF75" s="263" t="s">
        <v>513</v>
      </c>
      <c r="DG75" s="238">
        <f>IF((DH75=DI75),$Z$17,0)</f>
        <v>0</v>
      </c>
      <c r="DH75" s="238">
        <f>$DH$72</f>
        <v>0</v>
      </c>
      <c r="DI75" s="238">
        <f>DI74+1</f>
        <v>3</v>
      </c>
      <c r="DJ75" s="3">
        <v>40</v>
      </c>
      <c r="DK75" s="3">
        <v>0</v>
      </c>
      <c r="DL75" s="3">
        <v>0</v>
      </c>
      <c r="DM75" s="64">
        <f t="shared" si="40"/>
        <v>0</v>
      </c>
      <c r="DN75" s="64">
        <f t="shared" si="41"/>
        <v>0</v>
      </c>
      <c r="DO75" s="64">
        <f t="shared" si="42"/>
        <v>0</v>
      </c>
    </row>
    <row r="76" spans="1:119" ht="17.25" customHeight="1" thickBot="1">
      <c r="B76" s="629"/>
      <c r="C76" s="274" t="s">
        <v>413</v>
      </c>
      <c r="D76" s="275"/>
      <c r="E76" s="275"/>
      <c r="F76" s="275"/>
      <c r="G76" s="275"/>
      <c r="H76" s="2443" t="e">
        <f>SUM(AI186:AI189)</f>
        <v>#REF!</v>
      </c>
      <c r="I76" s="2444" t="e">
        <f>SUM(AJ186:AJ189)</f>
        <v>#REF!</v>
      </c>
      <c r="J76" s="2444" t="e">
        <f>SUM(AK186:AK189)</f>
        <v>#REF!</v>
      </c>
      <c r="K76" s="151"/>
      <c r="X76" s="263"/>
      <c r="AA76" s="280"/>
      <c r="AB76" s="280"/>
      <c r="AC76" s="280"/>
      <c r="DF76" s="263" t="s">
        <v>397</v>
      </c>
      <c r="DG76" s="238">
        <v>0</v>
      </c>
      <c r="DH76" s="238">
        <f>VLOOKUP(X18, DF76:DI85, 4, FALSE)</f>
        <v>0</v>
      </c>
      <c r="DI76" s="238">
        <v>0</v>
      </c>
      <c r="DJ76" s="3">
        <v>0</v>
      </c>
      <c r="DK76" s="3">
        <v>0</v>
      </c>
      <c r="DL76" s="3">
        <v>0</v>
      </c>
      <c r="DM76" s="64">
        <f t="shared" si="40"/>
        <v>0</v>
      </c>
      <c r="DN76" s="64">
        <f t="shared" si="41"/>
        <v>0</v>
      </c>
      <c r="DO76" s="64">
        <f t="shared" si="42"/>
        <v>0</v>
      </c>
    </row>
    <row r="77" spans="1:119" ht="17.25" customHeight="1" thickBot="1">
      <c r="B77" s="630"/>
      <c r="C77" s="643"/>
      <c r="D77" s="99">
        <v>0</v>
      </c>
      <c r="E77" s="155"/>
      <c r="F77" s="22" t="s">
        <v>61</v>
      </c>
      <c r="G77" s="155"/>
      <c r="H77" s="2443"/>
      <c r="I77" s="2444"/>
      <c r="J77" s="2444"/>
      <c r="K77" s="151"/>
      <c r="DF77" s="263" t="s">
        <v>514</v>
      </c>
      <c r="DG77" s="238">
        <f t="shared" ref="DG77:DG85" si="55">IF((DH77=DI77),$Z$18,0)</f>
        <v>0</v>
      </c>
      <c r="DH77" s="238">
        <f t="shared" ref="DH77:DH85" si="56">$DH$76</f>
        <v>0</v>
      </c>
      <c r="DI77" s="238">
        <f t="shared" ref="DI77:DI81" si="57">DI76+1</f>
        <v>1</v>
      </c>
      <c r="DJ77" s="3">
        <v>0.1</v>
      </c>
      <c r="DK77" s="3">
        <v>0</v>
      </c>
      <c r="DL77" s="3">
        <v>0</v>
      </c>
      <c r="DM77" s="64">
        <f t="shared" si="40"/>
        <v>0</v>
      </c>
      <c r="DN77" s="64">
        <f t="shared" si="41"/>
        <v>0</v>
      </c>
      <c r="DO77" s="64">
        <f t="shared" si="42"/>
        <v>0</v>
      </c>
    </row>
    <row r="78" spans="1:119" ht="17.25" customHeight="1" thickBot="1">
      <c r="B78" s="633"/>
      <c r="C78" s="279" t="s">
        <v>421</v>
      </c>
      <c r="D78" s="279"/>
      <c r="E78" s="279"/>
      <c r="F78" s="279"/>
      <c r="G78" s="279"/>
      <c r="H78" s="2467" t="e">
        <f>SUM(AI190:AI194)</f>
        <v>#REF!</v>
      </c>
      <c r="I78" s="2468" t="e">
        <f>SUM(AJ190:AJ194)</f>
        <v>#REF!</v>
      </c>
      <c r="J78" s="2468" t="e">
        <f>SUM(AK190:AK194)</f>
        <v>#REF!</v>
      </c>
      <c r="K78" s="151"/>
      <c r="DF78" s="263" t="s">
        <v>515</v>
      </c>
      <c r="DG78" s="238">
        <f t="shared" si="55"/>
        <v>0</v>
      </c>
      <c r="DH78" s="238">
        <f t="shared" si="56"/>
        <v>0</v>
      </c>
      <c r="DI78" s="238">
        <f t="shared" si="57"/>
        <v>2</v>
      </c>
      <c r="DJ78" s="3">
        <v>0.1</v>
      </c>
      <c r="DK78" s="3">
        <v>0</v>
      </c>
      <c r="DL78" s="3">
        <v>0</v>
      </c>
      <c r="DM78" s="64">
        <f t="shared" si="40"/>
        <v>0</v>
      </c>
      <c r="DN78" s="64">
        <f t="shared" si="41"/>
        <v>0</v>
      </c>
      <c r="DO78" s="64">
        <f t="shared" si="42"/>
        <v>0</v>
      </c>
    </row>
    <row r="79" spans="1:119" ht="17.25" customHeight="1" thickBot="1">
      <c r="B79" s="635"/>
      <c r="C79" s="648"/>
      <c r="D79" s="79">
        <v>0</v>
      </c>
      <c r="E79" s="155"/>
      <c r="F79" s="37" t="s">
        <v>61</v>
      </c>
      <c r="G79" s="155"/>
      <c r="H79" s="2467"/>
      <c r="I79" s="2468"/>
      <c r="J79" s="2468"/>
      <c r="K79" s="151"/>
      <c r="DF79" s="263" t="s">
        <v>517</v>
      </c>
      <c r="DG79" s="238">
        <f t="shared" si="55"/>
        <v>0</v>
      </c>
      <c r="DH79" s="238">
        <f t="shared" si="56"/>
        <v>0</v>
      </c>
      <c r="DI79" s="238">
        <f t="shared" si="57"/>
        <v>3</v>
      </c>
      <c r="DJ79" s="3">
        <v>1000</v>
      </c>
      <c r="DK79" s="3">
        <v>0</v>
      </c>
      <c r="DL79" s="3">
        <v>0</v>
      </c>
      <c r="DM79" s="64">
        <f t="shared" si="40"/>
        <v>0</v>
      </c>
      <c r="DN79" s="64">
        <f t="shared" si="41"/>
        <v>0</v>
      </c>
      <c r="DO79" s="64">
        <f t="shared" si="42"/>
        <v>0</v>
      </c>
    </row>
    <row r="80" spans="1:119" ht="17.25" customHeight="1" thickBot="1">
      <c r="B80" s="281"/>
      <c r="C80" s="646"/>
      <c r="D80" s="283"/>
      <c r="E80" s="283"/>
      <c r="F80" s="283"/>
      <c r="G80" s="284"/>
      <c r="H80" s="63" t="e">
        <f>SUM(H66:H78)</f>
        <v>#REF!</v>
      </c>
      <c r="I80" s="63" t="e">
        <f>SUM(I66:I78)</f>
        <v>#REF!</v>
      </c>
      <c r="J80" s="63" t="e">
        <f>SUM(J66:J78)</f>
        <v>#REF!</v>
      </c>
      <c r="K80" s="285"/>
      <c r="AF80" s="238"/>
      <c r="AG80" s="238"/>
      <c r="AH80" s="238"/>
      <c r="DF80" s="263" t="s">
        <v>518</v>
      </c>
      <c r="DG80" s="238">
        <f t="shared" si="55"/>
        <v>0</v>
      </c>
      <c r="DH80" s="238">
        <f t="shared" si="56"/>
        <v>0</v>
      </c>
      <c r="DI80" s="238">
        <f t="shared" si="57"/>
        <v>4</v>
      </c>
      <c r="DJ80" s="3">
        <v>300</v>
      </c>
      <c r="DK80" s="3">
        <v>0</v>
      </c>
      <c r="DL80" s="3">
        <v>0</v>
      </c>
      <c r="DM80" s="64">
        <f t="shared" si="40"/>
        <v>0</v>
      </c>
      <c r="DN80" s="64">
        <f t="shared" si="41"/>
        <v>0</v>
      </c>
      <c r="DO80" s="64">
        <f t="shared" si="42"/>
        <v>0</v>
      </c>
    </row>
    <row r="81" spans="1:132" ht="17.25" customHeight="1">
      <c r="H81" s="282"/>
      <c r="I81" s="282"/>
      <c r="J81" s="282"/>
      <c r="AF81" s="238"/>
      <c r="AG81" s="238"/>
      <c r="AH81" s="238"/>
      <c r="DF81" s="263" t="s">
        <v>519</v>
      </c>
      <c r="DG81" s="238">
        <f t="shared" si="55"/>
        <v>0</v>
      </c>
      <c r="DH81" s="238">
        <f t="shared" si="56"/>
        <v>0</v>
      </c>
      <c r="DI81" s="238">
        <f t="shared" si="57"/>
        <v>5</v>
      </c>
      <c r="DJ81" s="3">
        <v>300</v>
      </c>
      <c r="DK81" s="3">
        <v>0</v>
      </c>
      <c r="DL81" s="3">
        <v>0</v>
      </c>
      <c r="DM81" s="64">
        <f t="shared" si="40"/>
        <v>0</v>
      </c>
      <c r="DN81" s="64">
        <f t="shared" si="41"/>
        <v>0</v>
      </c>
      <c r="DO81" s="64">
        <f t="shared" si="42"/>
        <v>0</v>
      </c>
    </row>
    <row r="82" spans="1:132" s="367" customFormat="1" ht="17.25" hidden="1" customHeight="1">
      <c r="A82" s="19"/>
      <c r="B82" s="19"/>
      <c r="C82" s="153"/>
      <c r="D82" s="152"/>
      <c r="E82" s="152"/>
      <c r="F82" s="152"/>
      <c r="G82" s="152"/>
      <c r="H82" s="721"/>
      <c r="I82" s="721"/>
      <c r="J82" s="721"/>
      <c r="K82" s="153"/>
      <c r="L82" s="153"/>
      <c r="M82" s="153"/>
      <c r="N82" s="153"/>
      <c r="O82" s="153"/>
      <c r="P82" s="153"/>
      <c r="Q82" s="153"/>
      <c r="R82" s="153"/>
      <c r="S82" s="153"/>
      <c r="T82" s="153"/>
      <c r="U82" s="153"/>
      <c r="V82" s="153"/>
      <c r="W82" s="153"/>
      <c r="X82" s="153"/>
      <c r="Y82" s="153"/>
      <c r="Z82" s="153"/>
      <c r="AA82" s="153"/>
      <c r="AB82" s="153"/>
      <c r="AC82" s="153"/>
      <c r="AD82" s="153"/>
      <c r="AE82" s="153"/>
      <c r="AF82" s="703"/>
      <c r="AG82" s="703"/>
      <c r="AH82" s="703"/>
      <c r="AI82" s="263"/>
      <c r="AJ82" s="263"/>
      <c r="AK82" s="263"/>
      <c r="AL82" s="153"/>
      <c r="AM82" s="153"/>
      <c r="AN82" s="153"/>
      <c r="AO82" s="153"/>
      <c r="AP82" s="153"/>
      <c r="AQ82" s="153"/>
      <c r="AR82" s="260"/>
      <c r="AS82" s="153"/>
      <c r="AT82" s="153"/>
      <c r="AU82" s="153"/>
      <c r="AV82" s="153"/>
      <c r="AW82" s="153"/>
      <c r="AX82" s="153"/>
      <c r="AY82" s="153"/>
      <c r="AZ82" s="153"/>
      <c r="BA82" s="153"/>
      <c r="BB82" s="153"/>
      <c r="BC82" s="153"/>
      <c r="BD82" s="153"/>
      <c r="BE82" s="153"/>
      <c r="BF82" s="153"/>
      <c r="BG82" s="153"/>
      <c r="BH82" s="153"/>
      <c r="BI82" s="153"/>
      <c r="BJ82" s="153"/>
      <c r="BK82" s="153"/>
      <c r="BL82" s="153"/>
      <c r="BM82" s="153"/>
      <c r="BN82" s="153"/>
      <c r="BO82" s="153"/>
      <c r="BP82" s="153"/>
      <c r="BQ82" s="153"/>
      <c r="BR82" s="153"/>
      <c r="BS82" s="153"/>
      <c r="BT82" s="153"/>
      <c r="BU82" s="153"/>
      <c r="BV82" s="153"/>
      <c r="BW82" s="153"/>
      <c r="BX82" s="153"/>
      <c r="BY82" s="153"/>
      <c r="BZ82" s="153"/>
      <c r="CA82" s="153"/>
      <c r="CB82" s="153"/>
      <c r="CC82" s="152"/>
      <c r="CD82" s="703"/>
      <c r="CE82" s="703"/>
      <c r="CF82" s="703"/>
      <c r="CG82" s="703"/>
      <c r="CH82" s="703"/>
      <c r="CI82" s="153"/>
      <c r="CJ82" s="703"/>
      <c r="CK82" s="703"/>
      <c r="CL82" s="703"/>
      <c r="CM82" s="153"/>
      <c r="CN82" s="703"/>
      <c r="CO82" s="703"/>
      <c r="CP82" s="703"/>
      <c r="CQ82" s="703"/>
      <c r="CR82" s="703"/>
      <c r="CS82" s="153"/>
      <c r="CT82" s="153"/>
      <c r="CU82" s="153"/>
      <c r="CV82" s="703"/>
      <c r="CW82" s="703"/>
      <c r="CX82" s="703"/>
      <c r="CY82" s="703"/>
      <c r="CZ82" s="703"/>
      <c r="DA82" s="703"/>
      <c r="DB82" s="703"/>
      <c r="DC82" s="703"/>
      <c r="DD82" s="703"/>
      <c r="DE82" s="153"/>
      <c r="DF82" s="263"/>
      <c r="DG82" s="703"/>
      <c r="DH82" s="703"/>
      <c r="DI82" s="703"/>
      <c r="DJ82" s="3"/>
      <c r="DK82" s="3"/>
      <c r="DL82" s="3"/>
      <c r="DM82" s="64"/>
      <c r="DN82" s="64"/>
      <c r="DO82" s="64"/>
      <c r="DP82" s="153"/>
      <c r="DQ82" s="153"/>
      <c r="DR82" s="153"/>
      <c r="DS82" s="153"/>
      <c r="DT82" s="153"/>
      <c r="DU82" s="153"/>
      <c r="DV82" s="153"/>
      <c r="DW82" s="153"/>
      <c r="DX82" s="153"/>
      <c r="DY82" s="153"/>
      <c r="DZ82" s="153"/>
      <c r="EA82" s="153"/>
      <c r="EB82" s="153"/>
    </row>
    <row r="83" spans="1:132" s="367" customFormat="1" ht="17.25" hidden="1" customHeight="1">
      <c r="A83" s="65"/>
      <c r="B83" s="65"/>
      <c r="C83" s="153"/>
      <c r="D83" s="152"/>
      <c r="E83" s="152"/>
      <c r="F83" s="152"/>
      <c r="G83" s="152"/>
      <c r="H83" s="721"/>
      <c r="I83" s="721"/>
      <c r="J83" s="721"/>
      <c r="K83" s="153"/>
      <c r="L83" s="153"/>
      <c r="M83" s="153"/>
      <c r="N83" s="153"/>
      <c r="O83" s="153"/>
      <c r="P83" s="153"/>
      <c r="Q83" s="153"/>
      <c r="R83" s="153"/>
      <c r="S83" s="153"/>
      <c r="T83" s="153"/>
      <c r="U83" s="153"/>
      <c r="V83" s="153"/>
      <c r="W83" s="153"/>
      <c r="X83" s="153"/>
      <c r="Y83" s="153"/>
      <c r="Z83" s="153"/>
      <c r="AA83" s="153"/>
      <c r="AB83" s="153"/>
      <c r="AC83" s="153"/>
      <c r="AD83" s="153"/>
      <c r="AE83" s="153"/>
      <c r="AF83" s="703"/>
      <c r="AG83" s="703"/>
      <c r="AH83" s="703"/>
      <c r="AI83" s="263"/>
      <c r="AJ83" s="263"/>
      <c r="AK83" s="263"/>
      <c r="AL83" s="153"/>
      <c r="AM83" s="153"/>
      <c r="AN83" s="153"/>
      <c r="AO83" s="153"/>
      <c r="AP83" s="153"/>
      <c r="AQ83" s="153"/>
      <c r="AR83" s="260"/>
      <c r="AS83" s="153"/>
      <c r="AT83" s="153"/>
      <c r="AU83" s="153"/>
      <c r="AV83" s="153"/>
      <c r="AW83" s="153"/>
      <c r="AX83" s="153"/>
      <c r="AY83" s="153"/>
      <c r="AZ83" s="153"/>
      <c r="BA83" s="153"/>
      <c r="BB83" s="153"/>
      <c r="BC83" s="153"/>
      <c r="BD83" s="153"/>
      <c r="BE83" s="153"/>
      <c r="BF83" s="153"/>
      <c r="BG83" s="153"/>
      <c r="BH83" s="153"/>
      <c r="BI83" s="153"/>
      <c r="BJ83" s="153"/>
      <c r="BK83" s="153"/>
      <c r="BL83" s="153"/>
      <c r="BM83" s="153"/>
      <c r="BN83" s="153"/>
      <c r="BO83" s="153"/>
      <c r="BP83" s="153"/>
      <c r="BQ83" s="153"/>
      <c r="BR83" s="153"/>
      <c r="BS83" s="153"/>
      <c r="BT83" s="153"/>
      <c r="BU83" s="153"/>
      <c r="BV83" s="153"/>
      <c r="BW83" s="153"/>
      <c r="BX83" s="153"/>
      <c r="BY83" s="153"/>
      <c r="BZ83" s="153"/>
      <c r="CA83" s="153"/>
      <c r="CB83" s="153"/>
      <c r="CC83" s="152"/>
      <c r="CD83" s="703"/>
      <c r="CE83" s="703"/>
      <c r="CF83" s="703"/>
      <c r="CG83" s="703"/>
      <c r="CH83" s="703"/>
      <c r="CI83" s="153"/>
      <c r="CJ83" s="703"/>
      <c r="CK83" s="703"/>
      <c r="CL83" s="703"/>
      <c r="CM83" s="153"/>
      <c r="CN83" s="703"/>
      <c r="CO83" s="703"/>
      <c r="CP83" s="703"/>
      <c r="CQ83" s="703"/>
      <c r="CR83" s="703"/>
      <c r="CS83" s="153"/>
      <c r="CT83" s="153"/>
      <c r="CU83" s="153"/>
      <c r="CV83" s="703"/>
      <c r="CW83" s="703"/>
      <c r="CX83" s="703"/>
      <c r="CY83" s="703"/>
      <c r="CZ83" s="703"/>
      <c r="DA83" s="703"/>
      <c r="DB83" s="703"/>
      <c r="DC83" s="703"/>
      <c r="DD83" s="703"/>
      <c r="DE83" s="153"/>
      <c r="DF83" s="263"/>
      <c r="DG83" s="703"/>
      <c r="DH83" s="703"/>
      <c r="DI83" s="703"/>
      <c r="DJ83" s="3"/>
      <c r="DK83" s="3"/>
      <c r="DL83" s="3"/>
      <c r="DM83" s="64"/>
      <c r="DN83" s="64"/>
      <c r="DO83" s="64"/>
      <c r="DP83" s="153"/>
      <c r="DQ83" s="153"/>
      <c r="DR83" s="153"/>
      <c r="DS83" s="153"/>
      <c r="DT83" s="153"/>
      <c r="DU83" s="153"/>
      <c r="DV83" s="153"/>
      <c r="DW83" s="153"/>
      <c r="DX83" s="153"/>
      <c r="DY83" s="153"/>
      <c r="DZ83" s="153"/>
      <c r="EA83" s="153"/>
      <c r="EB83" s="153"/>
    </row>
    <row r="84" spans="1:132" s="367" customFormat="1" ht="17.25" hidden="1" customHeight="1">
      <c r="A84" s="23"/>
      <c r="B84" s="23"/>
      <c r="C84" s="153"/>
      <c r="D84" s="152"/>
      <c r="E84" s="152"/>
      <c r="F84" s="152"/>
      <c r="G84" s="152"/>
      <c r="H84" s="721"/>
      <c r="I84" s="721"/>
      <c r="J84" s="721"/>
      <c r="K84" s="153"/>
      <c r="L84" s="153"/>
      <c r="M84" s="153"/>
      <c r="N84" s="153"/>
      <c r="O84" s="153"/>
      <c r="P84" s="153"/>
      <c r="Q84" s="153"/>
      <c r="R84" s="153"/>
      <c r="S84" s="153"/>
      <c r="T84" s="153"/>
      <c r="U84" s="153"/>
      <c r="V84" s="153"/>
      <c r="W84" s="153"/>
      <c r="X84" s="153"/>
      <c r="Y84" s="153"/>
      <c r="Z84" s="153"/>
      <c r="AA84" s="153"/>
      <c r="AB84" s="153"/>
      <c r="AC84" s="153"/>
      <c r="AD84" s="153"/>
      <c r="AE84" s="153"/>
      <c r="AF84" s="703"/>
      <c r="AG84" s="703"/>
      <c r="AH84" s="703"/>
      <c r="AI84" s="263"/>
      <c r="AJ84" s="263"/>
      <c r="AK84" s="263"/>
      <c r="AL84" s="153"/>
      <c r="AM84" s="153"/>
      <c r="AN84" s="153"/>
      <c r="AO84" s="153"/>
      <c r="AP84" s="153"/>
      <c r="AQ84" s="153"/>
      <c r="AR84" s="260"/>
      <c r="AS84" s="153"/>
      <c r="AT84" s="153"/>
      <c r="AU84" s="153"/>
      <c r="AV84" s="153"/>
      <c r="AW84" s="153"/>
      <c r="AX84" s="153"/>
      <c r="AY84" s="153"/>
      <c r="AZ84" s="153"/>
      <c r="BA84" s="153"/>
      <c r="BB84" s="153"/>
      <c r="BC84" s="153"/>
      <c r="BD84" s="153"/>
      <c r="BE84" s="153"/>
      <c r="BF84" s="153"/>
      <c r="BG84" s="153"/>
      <c r="BH84" s="153"/>
      <c r="BI84" s="153"/>
      <c r="BJ84" s="153"/>
      <c r="BK84" s="153"/>
      <c r="BL84" s="153"/>
      <c r="BM84" s="153"/>
      <c r="BN84" s="153"/>
      <c r="BO84" s="153"/>
      <c r="BP84" s="153"/>
      <c r="BQ84" s="153"/>
      <c r="BR84" s="153"/>
      <c r="BS84" s="153"/>
      <c r="BT84" s="153"/>
      <c r="BU84" s="153"/>
      <c r="BV84" s="153"/>
      <c r="BW84" s="153"/>
      <c r="BX84" s="153"/>
      <c r="BY84" s="153"/>
      <c r="BZ84" s="153"/>
      <c r="CA84" s="153"/>
      <c r="CB84" s="153"/>
      <c r="CC84" s="152"/>
      <c r="CD84" s="703"/>
      <c r="CE84" s="703"/>
      <c r="CF84" s="703"/>
      <c r="CG84" s="703"/>
      <c r="CH84" s="703"/>
      <c r="CI84" s="153"/>
      <c r="CJ84" s="703"/>
      <c r="CK84" s="703"/>
      <c r="CL84" s="703"/>
      <c r="CM84" s="153"/>
      <c r="CN84" s="703"/>
      <c r="CO84" s="703"/>
      <c r="CP84" s="703"/>
      <c r="CQ84" s="703"/>
      <c r="CR84" s="703"/>
      <c r="CS84" s="153"/>
      <c r="CT84" s="153"/>
      <c r="CU84" s="153"/>
      <c r="CV84" s="703"/>
      <c r="CW84" s="703"/>
      <c r="CX84" s="703"/>
      <c r="CY84" s="703"/>
      <c r="CZ84" s="703"/>
      <c r="DA84" s="703"/>
      <c r="DB84" s="703"/>
      <c r="DC84" s="703"/>
      <c r="DD84" s="703"/>
      <c r="DE84" s="153"/>
      <c r="DF84" s="263"/>
      <c r="DG84" s="703"/>
      <c r="DH84" s="703"/>
      <c r="DI84" s="703"/>
      <c r="DJ84" s="3"/>
      <c r="DK84" s="3"/>
      <c r="DL84" s="3"/>
      <c r="DM84" s="64"/>
      <c r="DN84" s="64"/>
      <c r="DO84" s="64"/>
      <c r="DP84" s="153"/>
      <c r="DQ84" s="153"/>
      <c r="DR84" s="153"/>
      <c r="DS84" s="153"/>
      <c r="DT84" s="153"/>
      <c r="DU84" s="153"/>
      <c r="DV84" s="153"/>
      <c r="DW84" s="153"/>
      <c r="DX84" s="153"/>
      <c r="DY84" s="153"/>
      <c r="DZ84" s="153"/>
      <c r="EA84" s="153"/>
      <c r="EB84" s="153"/>
    </row>
    <row r="85" spans="1:132" ht="17.25" hidden="1" customHeight="1">
      <c r="A85" s="154"/>
      <c r="B85" s="304"/>
      <c r="AF85" s="238"/>
      <c r="AG85" s="238"/>
      <c r="AH85" s="238"/>
      <c r="DF85" s="263" t="s">
        <v>520</v>
      </c>
      <c r="DG85" s="238">
        <f t="shared" si="55"/>
        <v>0</v>
      </c>
      <c r="DH85" s="238">
        <f t="shared" si="56"/>
        <v>0</v>
      </c>
      <c r="DI85" s="238">
        <f>DI81+1</f>
        <v>6</v>
      </c>
      <c r="DJ85" s="3">
        <v>500</v>
      </c>
      <c r="DK85" s="3">
        <v>0</v>
      </c>
      <c r="DL85" s="3">
        <v>0</v>
      </c>
      <c r="DM85" s="64">
        <f t="shared" si="40"/>
        <v>0</v>
      </c>
      <c r="DN85" s="64">
        <f t="shared" si="41"/>
        <v>0</v>
      </c>
      <c r="DO85" s="64">
        <f t="shared" si="42"/>
        <v>0</v>
      </c>
    </row>
    <row r="86" spans="1:132" ht="17.25" customHeight="1">
      <c r="B86" s="288"/>
      <c r="C86" s="647"/>
      <c r="D86" s="290"/>
      <c r="E86" s="290"/>
      <c r="F86" s="290"/>
      <c r="G86" s="290"/>
      <c r="H86" s="289"/>
      <c r="I86" s="289"/>
      <c r="J86" s="289"/>
      <c r="L86" s="288"/>
      <c r="M86" s="288"/>
      <c r="N86" s="288"/>
      <c r="O86" s="288"/>
      <c r="P86" s="288"/>
      <c r="Q86" s="288"/>
      <c r="R86" s="288"/>
      <c r="S86" s="288"/>
      <c r="T86" s="288"/>
      <c r="U86" s="288"/>
      <c r="V86" s="288"/>
      <c r="X86" s="288"/>
      <c r="Y86" s="288"/>
      <c r="Z86" s="288"/>
      <c r="AA86" s="288"/>
      <c r="AB86" s="288"/>
      <c r="AC86" s="288"/>
      <c r="AF86" s="152"/>
      <c r="AG86" s="152"/>
      <c r="AH86" s="152"/>
      <c r="DI86" s="3"/>
    </row>
    <row r="87" spans="1:132" ht="17.25" customHeight="1">
      <c r="A87" s="2474">
        <v>4</v>
      </c>
      <c r="B87" s="243"/>
      <c r="C87" s="243"/>
      <c r="D87" s="2450" t="s">
        <v>311</v>
      </c>
      <c r="E87" s="2459" t="s">
        <v>312</v>
      </c>
      <c r="F87" s="2460"/>
      <c r="G87" s="2461"/>
      <c r="H87" s="2451" t="s">
        <v>313</v>
      </c>
      <c r="I87" s="2452"/>
      <c r="J87" s="2453"/>
      <c r="K87" s="244"/>
      <c r="L87" s="2454" t="s">
        <v>521</v>
      </c>
      <c r="M87" s="2455"/>
      <c r="N87" s="2455"/>
      <c r="O87" s="2455"/>
      <c r="P87" s="2455"/>
      <c r="Q87" s="2455"/>
      <c r="R87" s="2455"/>
      <c r="S87" s="2455"/>
      <c r="T87" s="2455"/>
      <c r="U87" s="2455"/>
      <c r="V87" s="2456"/>
      <c r="W87" s="244"/>
      <c r="X87" s="2457" t="s">
        <v>315</v>
      </c>
      <c r="Y87" s="2457"/>
      <c r="Z87" s="2457"/>
      <c r="AA87" s="2457"/>
      <c r="AB87" s="2457"/>
      <c r="AC87" s="2457"/>
      <c r="AD87" s="151"/>
      <c r="AF87" s="152"/>
      <c r="AG87" s="152"/>
      <c r="AH87" s="152"/>
      <c r="DF87" s="287" t="s">
        <v>522</v>
      </c>
      <c r="DG87" s="238">
        <v>0</v>
      </c>
      <c r="DH87" s="238"/>
      <c r="DI87" s="238"/>
      <c r="DJ87" s="3">
        <v>1</v>
      </c>
      <c r="DK87" s="3">
        <v>10</v>
      </c>
      <c r="DL87" s="3">
        <v>0</v>
      </c>
      <c r="DM87" s="64">
        <v>0</v>
      </c>
      <c r="DN87" s="64">
        <v>0</v>
      </c>
      <c r="DO87" s="64">
        <v>0</v>
      </c>
    </row>
    <row r="88" spans="1:132" ht="17.25" customHeight="1">
      <c r="A88" s="2474"/>
      <c r="B88" s="98"/>
      <c r="C88" s="98"/>
      <c r="D88" s="2450"/>
      <c r="E88" s="250" t="s">
        <v>336</v>
      </c>
      <c r="F88" s="251" t="s">
        <v>61</v>
      </c>
      <c r="G88" s="252" t="s">
        <v>337</v>
      </c>
      <c r="H88" s="250" t="s">
        <v>322</v>
      </c>
      <c r="I88" s="251" t="s">
        <v>323</v>
      </c>
      <c r="J88" s="252" t="s">
        <v>338</v>
      </c>
      <c r="K88" s="244"/>
      <c r="L88" s="2454"/>
      <c r="M88" s="2455"/>
      <c r="N88" s="2455"/>
      <c r="O88" s="2455"/>
      <c r="P88" s="2455"/>
      <c r="Q88" s="2455"/>
      <c r="R88" s="2455"/>
      <c r="S88" s="2455"/>
      <c r="T88" s="2455"/>
      <c r="U88" s="2455"/>
      <c r="V88" s="2456"/>
      <c r="W88" s="66"/>
      <c r="X88" s="2457" t="s">
        <v>339</v>
      </c>
      <c r="Y88" s="2457"/>
      <c r="Z88" s="241" t="s">
        <v>340</v>
      </c>
      <c r="AA88" s="241" t="s">
        <v>322</v>
      </c>
      <c r="AB88" s="241" t="s">
        <v>323</v>
      </c>
      <c r="AC88" s="241" t="s">
        <v>341</v>
      </c>
      <c r="AD88" s="151"/>
      <c r="AF88" s="152"/>
      <c r="AG88" s="152"/>
      <c r="AH88" s="152"/>
      <c r="DF88" s="287" t="s">
        <v>523</v>
      </c>
      <c r="DG88" s="238">
        <v>0</v>
      </c>
      <c r="DH88" s="238"/>
      <c r="DI88" s="238"/>
      <c r="DJ88" s="3">
        <v>1</v>
      </c>
      <c r="DK88" s="3">
        <v>10</v>
      </c>
      <c r="DL88" s="3">
        <v>0</v>
      </c>
      <c r="DM88" s="64">
        <v>0</v>
      </c>
      <c r="DN88" s="64">
        <v>0</v>
      </c>
      <c r="DO88" s="64">
        <v>0</v>
      </c>
    </row>
    <row r="89" spans="1:132" ht="17.25" customHeight="1">
      <c r="B89" s="636"/>
      <c r="C89" s="293" t="s">
        <v>42</v>
      </c>
      <c r="D89" s="294"/>
      <c r="E89" s="294"/>
      <c r="F89" s="294"/>
      <c r="G89" s="294"/>
      <c r="H89" s="2433" t="e">
        <f>SUM(AI226:AI230)</f>
        <v>#REF!</v>
      </c>
      <c r="I89" s="2434" t="e">
        <f>SUM(AJ226:AJ230)</f>
        <v>#REF!</v>
      </c>
      <c r="J89" s="2434" t="e">
        <f>SUM(AK226:AK230)</f>
        <v>#REF!</v>
      </c>
      <c r="K89" s="151"/>
      <c r="L89" s="295"/>
      <c r="M89" s="295"/>
      <c r="N89" s="73"/>
      <c r="O89" s="73"/>
      <c r="P89" s="73"/>
      <c r="Q89" s="73"/>
      <c r="R89" s="73"/>
      <c r="S89" s="295"/>
      <c r="T89" s="295"/>
      <c r="U89" s="295"/>
      <c r="V89" s="295"/>
      <c r="W89" s="25"/>
      <c r="X89" s="2438" t="s">
        <v>433</v>
      </c>
      <c r="Y89" s="2438"/>
      <c r="Z89" s="23">
        <v>1000</v>
      </c>
      <c r="AA89" s="240">
        <f>SUM(DM241:DM260)</f>
        <v>0</v>
      </c>
      <c r="AB89" s="240">
        <f>SUM(DN241:DN260)</f>
        <v>0</v>
      </c>
      <c r="AC89" s="240">
        <f>SUM(DO241:DO260)</f>
        <v>0</v>
      </c>
      <c r="AD89" s="151"/>
      <c r="AF89" s="152"/>
      <c r="AG89" s="152"/>
      <c r="AH89" s="152"/>
      <c r="DF89" s="287" t="s">
        <v>524</v>
      </c>
      <c r="DG89" s="238">
        <v>0</v>
      </c>
      <c r="DH89" s="238"/>
      <c r="DI89" s="238"/>
      <c r="DJ89" s="3">
        <v>1</v>
      </c>
      <c r="DK89" s="3">
        <v>10</v>
      </c>
      <c r="DL89" s="3">
        <v>0</v>
      </c>
      <c r="DM89" s="64">
        <v>0</v>
      </c>
      <c r="DN89" s="64">
        <v>0</v>
      </c>
      <c r="DO89" s="64">
        <v>0</v>
      </c>
    </row>
    <row r="90" spans="1:132" ht="17.25" customHeight="1">
      <c r="B90" s="637"/>
      <c r="C90" s="637"/>
      <c r="D90" s="19">
        <v>0</v>
      </c>
      <c r="E90" s="155"/>
      <c r="F90" s="19" t="s">
        <v>61</v>
      </c>
      <c r="G90" s="155"/>
      <c r="H90" s="2434"/>
      <c r="I90" s="2434"/>
      <c r="J90" s="2434"/>
      <c r="K90" s="244"/>
      <c r="L90" s="2442" t="s">
        <v>526</v>
      </c>
      <c r="M90" s="2442"/>
      <c r="N90" s="2442"/>
      <c r="O90" s="2442"/>
      <c r="P90" s="2442"/>
      <c r="Q90" s="2442"/>
      <c r="R90" s="2442"/>
      <c r="S90" s="33" t="s">
        <v>322</v>
      </c>
      <c r="T90" s="33" t="s">
        <v>323</v>
      </c>
      <c r="U90" s="33" t="s">
        <v>341</v>
      </c>
      <c r="V90" s="33" t="s">
        <v>357</v>
      </c>
      <c r="W90" s="12"/>
      <c r="X90" s="2442" t="s">
        <v>366</v>
      </c>
      <c r="Y90" s="2442"/>
      <c r="Z90" s="65">
        <v>0</v>
      </c>
      <c r="AA90" s="239">
        <f>SUM(DM261:DM265)</f>
        <v>0</v>
      </c>
      <c r="AB90" s="239">
        <f>SUM(DN261:DN265)</f>
        <v>0</v>
      </c>
      <c r="AC90" s="239">
        <f>SUM(DO261:DO265)</f>
        <v>0</v>
      </c>
      <c r="AD90" s="151"/>
      <c r="AF90" s="152"/>
      <c r="AG90" s="152"/>
      <c r="AH90" s="152"/>
      <c r="DF90" s="287" t="s">
        <v>527</v>
      </c>
      <c r="DG90" s="238">
        <v>0</v>
      </c>
      <c r="DH90" s="238"/>
      <c r="DI90" s="238"/>
      <c r="DJ90" s="3">
        <v>1</v>
      </c>
      <c r="DK90" s="3">
        <v>10</v>
      </c>
      <c r="DL90" s="3">
        <v>0</v>
      </c>
      <c r="DM90" s="64">
        <v>0</v>
      </c>
      <c r="DN90" s="64">
        <v>0</v>
      </c>
      <c r="DO90" s="64">
        <v>0</v>
      </c>
    </row>
    <row r="91" spans="1:132" ht="17.25" customHeight="1">
      <c r="B91" s="638"/>
      <c r="C91" s="296" t="s">
        <v>43</v>
      </c>
      <c r="D91" s="297"/>
      <c r="E91" s="297"/>
      <c r="F91" s="297"/>
      <c r="G91" s="297"/>
      <c r="H91" s="2443" t="e">
        <f>SUM(AI231:AI234)</f>
        <v>#REF!</v>
      </c>
      <c r="I91" s="2444" t="e">
        <f>SUM(AJ231:AJ234)</f>
        <v>#REF!</v>
      </c>
      <c r="J91" s="2444" t="e">
        <f>SUM(AK231:AK234)</f>
        <v>#REF!</v>
      </c>
      <c r="K91" s="298"/>
      <c r="L91" s="55" t="s">
        <v>370</v>
      </c>
      <c r="M91" s="55" t="s">
        <v>371</v>
      </c>
      <c r="N91" s="23" t="s">
        <v>372</v>
      </c>
      <c r="O91" s="45" t="s">
        <v>373</v>
      </c>
      <c r="P91" s="23" t="s">
        <v>372</v>
      </c>
      <c r="Q91" s="45" t="s">
        <v>32</v>
      </c>
      <c r="R91" s="23" t="s">
        <v>372</v>
      </c>
      <c r="S91" s="240">
        <f>SUM(DB227)</f>
        <v>0</v>
      </c>
      <c r="T91" s="240">
        <f>SUM(DC227)</f>
        <v>0</v>
      </c>
      <c r="U91" s="240">
        <f>SUM(DD227)</f>
        <v>0</v>
      </c>
      <c r="V91" s="240">
        <v>0</v>
      </c>
      <c r="W91" s="51"/>
      <c r="X91" s="2438" t="s">
        <v>502</v>
      </c>
      <c r="Y91" s="2438"/>
      <c r="Z91" s="23">
        <v>0</v>
      </c>
      <c r="AA91" s="240">
        <f>SUM(DM266:DM269)</f>
        <v>0</v>
      </c>
      <c r="AB91" s="240">
        <f>SUM(DN266:DN269)</f>
        <v>0</v>
      </c>
      <c r="AC91" s="240">
        <f>SUM(DO266:DO269)</f>
        <v>0</v>
      </c>
      <c r="AD91" s="151"/>
      <c r="AF91" s="152"/>
      <c r="AG91" s="152"/>
      <c r="AH91" s="152"/>
    </row>
    <row r="92" spans="1:132" ht="17.25" customHeight="1">
      <c r="B92" s="639"/>
      <c r="C92" s="639"/>
      <c r="D92" s="43">
        <v>0</v>
      </c>
      <c r="E92" s="155"/>
      <c r="F92" s="65" t="s">
        <v>61</v>
      </c>
      <c r="G92" s="155"/>
      <c r="H92" s="2444"/>
      <c r="I92" s="2444"/>
      <c r="J92" s="2444"/>
      <c r="K92" s="299"/>
      <c r="L92" s="2469" t="s">
        <v>381</v>
      </c>
      <c r="M92" s="2469"/>
      <c r="N92" s="2469"/>
      <c r="O92" s="2469"/>
      <c r="P92" s="2469"/>
      <c r="Q92" s="2469"/>
      <c r="R92" s="2469"/>
      <c r="S92" s="239" t="e">
        <f>SUM(H89:H96)</f>
        <v>#REF!</v>
      </c>
      <c r="T92" s="239" t="e">
        <f>SUM(I89:I96)</f>
        <v>#REF!</v>
      </c>
      <c r="U92" s="239">
        <v>0</v>
      </c>
      <c r="V92" s="239" t="e">
        <f>SUM(J89:J96)</f>
        <v>#REF!</v>
      </c>
      <c r="W92" s="54"/>
      <c r="X92" s="2442" t="s">
        <v>460</v>
      </c>
      <c r="Y92" s="2442"/>
      <c r="Z92" s="65">
        <v>1000</v>
      </c>
      <c r="AA92" s="239">
        <f>SUM(DM270:DM273)</f>
        <v>0</v>
      </c>
      <c r="AB92" s="239">
        <f>SUM(DN270:DN273)</f>
        <v>0</v>
      </c>
      <c r="AC92" s="239">
        <f>SUM(DO270:DO273)</f>
        <v>0</v>
      </c>
      <c r="AD92" s="151"/>
      <c r="AE92" s="2262" t="s">
        <v>90</v>
      </c>
      <c r="AF92" s="2458" t="s">
        <v>316</v>
      </c>
      <c r="AG92" s="2449" t="s">
        <v>317</v>
      </c>
      <c r="AH92" s="2449"/>
      <c r="AI92" s="2262" t="s">
        <v>313</v>
      </c>
      <c r="AJ92" s="2262"/>
      <c r="AK92" s="2262"/>
      <c r="AL92" s="2449" t="s">
        <v>318</v>
      </c>
      <c r="AM92" s="2449"/>
      <c r="AN92" s="2449"/>
      <c r="AO92" s="2449"/>
      <c r="AP92" s="2449"/>
      <c r="AQ92" s="2449"/>
      <c r="AR92" s="245"/>
      <c r="AS92" s="2447" t="s">
        <v>529</v>
      </c>
      <c r="AT92" s="2263" t="s">
        <v>320</v>
      </c>
      <c r="AU92" s="2263" t="s">
        <v>321</v>
      </c>
      <c r="AV92" s="2448" t="s">
        <v>322</v>
      </c>
      <c r="AW92" s="2448"/>
      <c r="AX92" s="2448"/>
      <c r="AY92" s="2448"/>
      <c r="AZ92" s="2448"/>
      <c r="BA92" s="2448"/>
      <c r="BB92" s="2448"/>
      <c r="BC92" s="2448"/>
      <c r="BD92" s="2448"/>
      <c r="BE92" s="2448"/>
      <c r="BF92" s="2448" t="s">
        <v>323</v>
      </c>
      <c r="BG92" s="2448"/>
      <c r="BH92" s="2448"/>
      <c r="BI92" s="2448"/>
      <c r="BJ92" s="2448"/>
      <c r="BK92" s="2448"/>
      <c r="BL92" s="2448"/>
      <c r="BM92" s="2448"/>
      <c r="BN92" s="2448"/>
      <c r="BO92" s="2448"/>
      <c r="BP92" s="246" t="s">
        <v>73</v>
      </c>
      <c r="BQ92" s="246" t="s">
        <v>74</v>
      </c>
      <c r="BR92" s="246" t="s">
        <v>75</v>
      </c>
      <c r="BS92" s="246" t="s">
        <v>76</v>
      </c>
      <c r="BT92" s="246" t="s">
        <v>77</v>
      </c>
      <c r="BU92" s="247"/>
      <c r="BV92" s="2449" t="s">
        <v>324</v>
      </c>
      <c r="BW92" s="2449"/>
      <c r="BX92" s="2449"/>
      <c r="BY92" s="2449"/>
      <c r="BZ92" s="2449"/>
      <c r="CB92" s="2262" t="s">
        <v>325</v>
      </c>
      <c r="CC92" s="2262"/>
      <c r="CD92" s="2263" t="s">
        <v>326</v>
      </c>
      <c r="CE92" s="2263" t="s">
        <v>327</v>
      </c>
      <c r="CF92" s="2263"/>
      <c r="CG92" s="2263"/>
      <c r="CH92" s="2462" t="s">
        <v>328</v>
      </c>
      <c r="CI92" s="2462"/>
      <c r="CJ92" s="2462"/>
      <c r="CK92" s="2462"/>
      <c r="CL92" s="2462"/>
      <c r="CM92" s="2462"/>
      <c r="CN92" s="2462"/>
      <c r="CO92" s="2462"/>
      <c r="CP92" s="2262" t="s">
        <v>329</v>
      </c>
      <c r="CQ92" s="2262"/>
      <c r="CR92" s="2262"/>
      <c r="CS92" s="2262"/>
      <c r="CT92" s="2262"/>
      <c r="CU92" s="2262"/>
      <c r="CV92" s="2262" t="s">
        <v>330</v>
      </c>
      <c r="CW92" s="2262"/>
      <c r="CX92" s="2262"/>
      <c r="CY92" s="2262" t="s">
        <v>331</v>
      </c>
      <c r="CZ92" s="2262"/>
      <c r="DA92" s="2262"/>
      <c r="DB92" s="2262" t="s">
        <v>332</v>
      </c>
      <c r="DC92" s="2262"/>
      <c r="DD92" s="2262"/>
      <c r="DF92" s="2262" t="s">
        <v>321</v>
      </c>
      <c r="DG92" s="248"/>
      <c r="DH92" s="2263" t="s">
        <v>320</v>
      </c>
      <c r="DI92" s="2263" t="s">
        <v>321</v>
      </c>
      <c r="DJ92" s="2448" t="s">
        <v>328</v>
      </c>
      <c r="DK92" s="2448"/>
      <c r="DL92" s="2448"/>
      <c r="DM92" s="2262" t="s">
        <v>313</v>
      </c>
      <c r="DN92" s="2262"/>
      <c r="DO92" s="2262"/>
      <c r="DP92" s="249"/>
      <c r="DQ92" s="2263" t="s">
        <v>333</v>
      </c>
      <c r="DR92" s="2263" t="s">
        <v>334</v>
      </c>
      <c r="DS92" s="2448" t="s">
        <v>328</v>
      </c>
      <c r="DT92" s="2448"/>
      <c r="DU92" s="2448"/>
      <c r="DV92" s="2449" t="s">
        <v>335</v>
      </c>
      <c r="DW92" s="2449"/>
      <c r="DX92" s="2449"/>
    </row>
    <row r="93" spans="1:132" ht="17.25" customHeight="1">
      <c r="B93" s="636"/>
      <c r="C93" s="293" t="s">
        <v>226</v>
      </c>
      <c r="D93" s="294"/>
      <c r="E93" s="294"/>
      <c r="F93" s="294"/>
      <c r="G93" s="294"/>
      <c r="H93" s="2433" t="e">
        <f>SUM(AI235:AI237)</f>
        <v>#REF!</v>
      </c>
      <c r="I93" s="2434" t="e">
        <f>SUM(AJ235:AJ237)</f>
        <v>#REF!</v>
      </c>
      <c r="J93" s="2434" t="e">
        <f>SUM(AK235:AK237)</f>
        <v>#REF!</v>
      </c>
      <c r="K93" s="244"/>
      <c r="L93" s="2470" t="s">
        <v>386</v>
      </c>
      <c r="M93" s="2470"/>
      <c r="N93" s="2470"/>
      <c r="O93" s="2470"/>
      <c r="P93" s="2470"/>
      <c r="Q93" s="2470"/>
      <c r="R93" s="2470"/>
      <c r="S93" s="240">
        <f>SUM(AA89:AA95)</f>
        <v>0</v>
      </c>
      <c r="T93" s="240">
        <f>SUM(AB89:AB95)</f>
        <v>0</v>
      </c>
      <c r="U93" s="240">
        <f>SUM(AC89:AC95)</f>
        <v>0</v>
      </c>
      <c r="V93" s="15">
        <v>0</v>
      </c>
      <c r="W93" s="300"/>
      <c r="X93" s="2438" t="s">
        <v>393</v>
      </c>
      <c r="Y93" s="2438"/>
      <c r="Z93" s="23">
        <v>0</v>
      </c>
      <c r="AA93" s="240">
        <f>SUM(DM274:DM275)</f>
        <v>0</v>
      </c>
      <c r="AB93" s="240">
        <f>SUM(DN274:DN275)</f>
        <v>0</v>
      </c>
      <c r="AC93" s="240">
        <f>SUM(DO274:DO275)</f>
        <v>0</v>
      </c>
      <c r="AD93" s="151"/>
      <c r="AE93" s="2262"/>
      <c r="AF93" s="2458"/>
      <c r="AG93" s="249" t="s">
        <v>342</v>
      </c>
      <c r="AH93" s="249" t="s">
        <v>343</v>
      </c>
      <c r="AI93" s="253" t="s">
        <v>322</v>
      </c>
      <c r="AJ93" s="253" t="s">
        <v>323</v>
      </c>
      <c r="AK93" s="253" t="s">
        <v>338</v>
      </c>
      <c r="AL93" s="2449" t="s">
        <v>344</v>
      </c>
      <c r="AM93" s="2449"/>
      <c r="AN93" s="2449" t="s">
        <v>345</v>
      </c>
      <c r="AO93" s="2449"/>
      <c r="AP93" s="2449" t="s">
        <v>346</v>
      </c>
      <c r="AQ93" s="2449"/>
      <c r="AR93" s="254"/>
      <c r="AS93" s="2447"/>
      <c r="AT93" s="2263"/>
      <c r="AU93" s="2263"/>
      <c r="AV93" s="237" t="s">
        <v>347</v>
      </c>
      <c r="AW93" s="237" t="s">
        <v>348</v>
      </c>
      <c r="AX93" s="237" t="s">
        <v>349</v>
      </c>
      <c r="AY93" s="237" t="s">
        <v>350</v>
      </c>
      <c r="AZ93" s="237" t="s">
        <v>351</v>
      </c>
      <c r="BA93" s="237" t="s">
        <v>352</v>
      </c>
      <c r="BB93" s="237" t="s">
        <v>353</v>
      </c>
      <c r="BC93" s="237" t="s">
        <v>354</v>
      </c>
      <c r="BD93" s="237" t="s">
        <v>355</v>
      </c>
      <c r="BE93" s="237" t="s">
        <v>356</v>
      </c>
      <c r="BF93" s="237" t="s">
        <v>347</v>
      </c>
      <c r="BG93" s="237" t="s">
        <v>348</v>
      </c>
      <c r="BH93" s="237" t="s">
        <v>349</v>
      </c>
      <c r="BI93" s="237" t="s">
        <v>350</v>
      </c>
      <c r="BJ93" s="237" t="s">
        <v>351</v>
      </c>
      <c r="BK93" s="237" t="s">
        <v>352</v>
      </c>
      <c r="BL93" s="237" t="s">
        <v>353</v>
      </c>
      <c r="BM93" s="237" t="s">
        <v>354</v>
      </c>
      <c r="BN93" s="237" t="s">
        <v>355</v>
      </c>
      <c r="BO93" s="237" t="s">
        <v>356</v>
      </c>
      <c r="BP93" s="255" t="s">
        <v>357</v>
      </c>
      <c r="BQ93" s="255" t="s">
        <v>357</v>
      </c>
      <c r="BR93" s="255" t="s">
        <v>357</v>
      </c>
      <c r="BS93" s="255" t="s">
        <v>357</v>
      </c>
      <c r="BT93" s="255" t="s">
        <v>357</v>
      </c>
      <c r="BU93" s="256"/>
      <c r="BV93" s="246" t="s">
        <v>73</v>
      </c>
      <c r="BW93" s="246" t="s">
        <v>74</v>
      </c>
      <c r="BX93" s="246" t="s">
        <v>75</v>
      </c>
      <c r="BY93" s="246" t="s">
        <v>76</v>
      </c>
      <c r="BZ93" s="246" t="s">
        <v>77</v>
      </c>
      <c r="CB93" s="2262"/>
      <c r="CC93" s="2262"/>
      <c r="CD93" s="2263"/>
      <c r="CE93" s="2263"/>
      <c r="CF93" s="2263"/>
      <c r="CG93" s="2263"/>
      <c r="CH93" s="2262" t="s">
        <v>340</v>
      </c>
      <c r="CI93" s="2262"/>
      <c r="CJ93" s="2262"/>
      <c r="CK93" s="2262"/>
      <c r="CL93" s="2262" t="s">
        <v>358</v>
      </c>
      <c r="CM93" s="2262"/>
      <c r="CN93" s="2262"/>
      <c r="CO93" s="2262"/>
      <c r="CP93" s="237" t="s">
        <v>322</v>
      </c>
      <c r="CQ93" s="237" t="s">
        <v>323</v>
      </c>
      <c r="CR93" s="237" t="s">
        <v>341</v>
      </c>
      <c r="CS93" s="255" t="s">
        <v>322</v>
      </c>
      <c r="CT93" s="255" t="s">
        <v>323</v>
      </c>
      <c r="CU93" s="255" t="s">
        <v>341</v>
      </c>
      <c r="CV93" s="237" t="s">
        <v>322</v>
      </c>
      <c r="CW93" s="237" t="s">
        <v>323</v>
      </c>
      <c r="CX93" s="237" t="s">
        <v>341</v>
      </c>
      <c r="CY93" s="237" t="s">
        <v>322</v>
      </c>
      <c r="CZ93" s="237" t="s">
        <v>323</v>
      </c>
      <c r="DA93" s="237" t="s">
        <v>341</v>
      </c>
      <c r="DB93" s="237" t="s">
        <v>322</v>
      </c>
      <c r="DC93" s="237" t="s">
        <v>323</v>
      </c>
      <c r="DD93" s="237" t="s">
        <v>341</v>
      </c>
      <c r="DF93" s="2262"/>
      <c r="DG93" s="248" t="s">
        <v>340</v>
      </c>
      <c r="DH93" s="2263"/>
      <c r="DI93" s="2263"/>
      <c r="DJ93" s="255" t="s">
        <v>322</v>
      </c>
      <c r="DK93" s="255" t="s">
        <v>323</v>
      </c>
      <c r="DL93" s="255" t="s">
        <v>341</v>
      </c>
      <c r="DM93" s="255" t="s">
        <v>322</v>
      </c>
      <c r="DN93" s="255" t="s">
        <v>323</v>
      </c>
      <c r="DO93" s="255" t="s">
        <v>341</v>
      </c>
      <c r="DP93" s="236" t="s">
        <v>334</v>
      </c>
      <c r="DQ93" s="2263"/>
      <c r="DR93" s="2263"/>
      <c r="DS93" s="255" t="s">
        <v>322</v>
      </c>
      <c r="DT93" s="255" t="s">
        <v>323</v>
      </c>
      <c r="DU93" s="255" t="s">
        <v>341</v>
      </c>
      <c r="DV93" s="255" t="s">
        <v>322</v>
      </c>
      <c r="DW93" s="255" t="s">
        <v>323</v>
      </c>
      <c r="DX93" s="255" t="s">
        <v>341</v>
      </c>
    </row>
    <row r="94" spans="1:132" ht="17.25" customHeight="1">
      <c r="B94" s="637"/>
      <c r="C94" s="637"/>
      <c r="D94" s="19">
        <v>0</v>
      </c>
      <c r="E94" s="155"/>
      <c r="F94" s="23" t="s">
        <v>61</v>
      </c>
      <c r="G94" s="155"/>
      <c r="H94" s="2434"/>
      <c r="I94" s="2434"/>
      <c r="J94" s="2434"/>
      <c r="K94" s="244"/>
      <c r="L94" s="2471" t="s">
        <v>313</v>
      </c>
      <c r="M94" s="2471"/>
      <c r="N94" s="2471"/>
      <c r="O94" s="2471"/>
      <c r="P94" s="2471"/>
      <c r="Q94" s="2471"/>
      <c r="R94" s="2471"/>
      <c r="S94" s="33" t="e">
        <f>SUM(S91:S93)</f>
        <v>#REF!</v>
      </c>
      <c r="T94" s="33" t="e">
        <f>SUM(T91:T93)</f>
        <v>#REF!</v>
      </c>
      <c r="U94" s="33">
        <f>SUM(U91:U93)</f>
        <v>0</v>
      </c>
      <c r="V94" s="33" t="e">
        <f>SUM(V91:V93)</f>
        <v>#REF!</v>
      </c>
      <c r="W94" s="57"/>
      <c r="X94" s="2442" t="s">
        <v>397</v>
      </c>
      <c r="Y94" s="2442"/>
      <c r="Z94" s="65">
        <v>0</v>
      </c>
      <c r="AA94" s="239">
        <f>SUM(DM276:DM282)</f>
        <v>0</v>
      </c>
      <c r="AB94" s="239">
        <f>SUM(DN276:DN282)</f>
        <v>0</v>
      </c>
      <c r="AC94" s="239">
        <f>SUM(DO276:DO282)</f>
        <v>0</v>
      </c>
      <c r="AD94" s="151"/>
      <c r="AE94" s="238">
        <v>0</v>
      </c>
      <c r="AF94" s="238">
        <f>D40</f>
        <v>0</v>
      </c>
      <c r="AG94" s="238">
        <f>A28</f>
        <v>0</v>
      </c>
      <c r="AH94" s="238">
        <f>B28</f>
        <v>15</v>
      </c>
      <c r="AI94" s="64">
        <f t="shared" ref="AI94:AI128" si="58">IF(($AH94&lt;$AG94),0,IF(($AT94=$AU94),SUM(((AM94-AL94)*AF94)),0))</f>
        <v>0</v>
      </c>
      <c r="AJ94" s="64">
        <f t="shared" ref="AJ94:AJ128" si="59">IF(($AH94&lt;$AG94),0,IF(($AT94=$AU94),SUM(((AO94-AN94)*AF94)),0))</f>
        <v>0</v>
      </c>
      <c r="AK94" s="64">
        <f t="shared" ref="AK94:AK128" si="60">IF(($AH94&lt;$AG94),0,IF(($AT94=$AU94),SUM(((AQ94-AP94)*AF94)),0))</f>
        <v>0</v>
      </c>
      <c r="AL94" s="64">
        <f t="shared" ref="AL94:AL128" si="61">IF(($AG94&lt;1),0,IF(($AG94=1),AV94,IF(($AG94=2),AW94,IF(($AG94=3),AX94,IF(($AG94=4),AY94,IF(($AG94=5),AZ94,IF(($AG94=6),BA94,IF(($AG94=7),BB94,IF(($AG94=8),BC94,IF(($AG94=9),BD94,IF(($AG94&gt;9),BE94)))))))))))</f>
        <v>0</v>
      </c>
      <c r="AM94" s="238">
        <f t="shared" ref="AM94:AM128" si="62">IF(($AH94&lt;1),0,IF(($AH94=1),AV94,IF(($AH94=2),AW94,IF(($AH94=3),AX94,IF(($AH94=4),AY94,IF(($AH94=5),AZ94,IF(($AH94=6),BA94,IF(($AH94=7),BB94,IF(($AH94=8),BC94,IF(($AH94=9),BD94,IF(($AH94&gt;9),BE94)))))))))))</f>
        <v>114550</v>
      </c>
      <c r="AN94" s="64">
        <f t="shared" ref="AN94:AN128" si="63">IF(($AG94&lt;1),0,IF(($AG94=1),BF94,IF(($AG94=2),BG94,IF(($AG94=3),BH94,IF(($AG94=4),BI94,IF(($AG94=5),BJ94,IF(($AG94=6),BK94,IF(($AG94=7),BL94,IF(($AG94=8),BM94,IF(($AG94=9),BN94,IF(($AG94&gt;9),BO94)))))))))))</f>
        <v>0</v>
      </c>
      <c r="AO94" s="238">
        <f t="shared" ref="AO94:AO128" si="64">IF(($AH94&lt;1),0,IF(($AH94=1),BF94,IF(($AH94=2),BG94,IF(($AH94=3),BH94,IF(($AH94=4),BI94,IF(($AH94=5),BJ94,IF(($AH94=6),BK94,IF(($AH94=7),BL94,IF(($AH94=8),BM94,IF(($AH94=9),BN94,IF(($AH94&gt;9),BO94)))))))))))</f>
        <v>150000</v>
      </c>
      <c r="AP94" s="238">
        <f t="shared" ref="AP94:AP128" si="65">IF(($AG94&lt;11),0,IF(($AG94=11),$BP94,IF(($AG94=12),$BQ94,IF(($AG94=13),$BR94,IF(($AG94&gt;13),$BS94)))))</f>
        <v>0</v>
      </c>
      <c r="AQ94" s="238">
        <f t="shared" ref="AQ94:AQ128" si="66">IF(($AH94&lt;11),0,IF(($AH94=11),$BP94,IF(($AH94=12),$BQ94,IF(($AH94=13),$BR94,IF(($AH94=14),BS94,IF(($AH94&gt;14),$BT94))))))</f>
        <v>1031</v>
      </c>
      <c r="AS94" s="261" t="s">
        <v>452</v>
      </c>
      <c r="AT94" s="238">
        <v>1</v>
      </c>
      <c r="AU94" s="238">
        <v>0</v>
      </c>
      <c r="AV94" s="36">
        <v>0</v>
      </c>
      <c r="AW94" s="36">
        <v>0</v>
      </c>
      <c r="AX94" s="36">
        <v>450</v>
      </c>
      <c r="AY94" s="36">
        <v>2250</v>
      </c>
      <c r="AZ94" s="36">
        <v>6750</v>
      </c>
      <c r="BA94" s="36">
        <v>13550</v>
      </c>
      <c r="BB94" s="36">
        <v>24550</v>
      </c>
      <c r="BC94" s="36">
        <v>42550</v>
      </c>
      <c r="BD94" s="36">
        <v>69550</v>
      </c>
      <c r="BE94" s="36">
        <v>114550</v>
      </c>
      <c r="BF94" s="16">
        <v>15000</v>
      </c>
      <c r="BG94" s="16">
        <v>30000</v>
      </c>
      <c r="BH94" s="16">
        <v>45000</v>
      </c>
      <c r="BI94" s="16">
        <v>60000</v>
      </c>
      <c r="BJ94" s="16">
        <v>75000</v>
      </c>
      <c r="BK94" s="16">
        <v>90000</v>
      </c>
      <c r="BL94" s="16">
        <v>105000</v>
      </c>
      <c r="BM94" s="16">
        <v>120000</v>
      </c>
      <c r="BN94" s="16">
        <v>135000</v>
      </c>
      <c r="BO94" s="16">
        <v>150000</v>
      </c>
      <c r="BP94" s="36">
        <f t="shared" ref="BP94:BP128" si="67">SUM(ROUNDUP(BV94,0))</f>
        <v>172</v>
      </c>
      <c r="BQ94" s="16">
        <f t="shared" ref="BQ94:BQ128" si="68">SUM(ROUNDUP(BW94,0))</f>
        <v>430</v>
      </c>
      <c r="BR94" s="36">
        <f t="shared" ref="BR94:BR128" si="69">SUM(ROUNDUP(BX94,0))</f>
        <v>554</v>
      </c>
      <c r="BS94" s="16">
        <f t="shared" ref="BS94:BS128" si="70">SUM(ROUNDUP(BY94,0))</f>
        <v>745</v>
      </c>
      <c r="BT94" s="36">
        <f t="shared" ref="BT94:BT128" si="71">SUM(ROUNDUP(BZ94,0))</f>
        <v>1031</v>
      </c>
      <c r="BV94" s="153">
        <f t="shared" ref="BV94:BV128" si="72">SUM(((BE94*1.5)/1000))</f>
        <v>171.82499999999999</v>
      </c>
      <c r="BW94" s="153">
        <f t="shared" ref="BW94:BW128" si="73">SUM((((BE94*2.25)/1000)+(BV94)))</f>
        <v>429.5625</v>
      </c>
      <c r="BX94" s="153">
        <f t="shared" ref="BX94:BX128" si="74">SUM(((BE94*3.333333)/1000))+(BV94:BV95)</f>
        <v>553.65829514999996</v>
      </c>
      <c r="BY94" s="153">
        <f t="shared" ref="BY94:BY128" si="75">SUM(((BE94*5)/1000))+(BV94:BV96)</f>
        <v>744.57500000000005</v>
      </c>
      <c r="BZ94" s="153">
        <f t="shared" ref="BZ94:BZ128" si="76">SUM(((BE94*7.5)/1000))+(BV94:BV97)</f>
        <v>1030.95</v>
      </c>
      <c r="CB94" s="262" t="s">
        <v>531</v>
      </c>
      <c r="CC94" s="256">
        <f>VLOOKUP(L40, CB94:CD98, 3, FALSE)</f>
        <v>4</v>
      </c>
      <c r="CD94" s="238">
        <v>0</v>
      </c>
      <c r="CE94" s="236" t="s">
        <v>30</v>
      </c>
      <c r="CF94" s="236" t="s">
        <v>31</v>
      </c>
      <c r="CG94" s="236" t="s">
        <v>362</v>
      </c>
      <c r="CH94" s="2462" t="s">
        <v>30</v>
      </c>
      <c r="CI94" s="2462"/>
      <c r="CJ94" s="237" t="s">
        <v>31</v>
      </c>
      <c r="CK94" s="236" t="s">
        <v>362</v>
      </c>
      <c r="CL94" s="2462" t="s">
        <v>30</v>
      </c>
      <c r="CM94" s="2462"/>
      <c r="CN94" s="237" t="s">
        <v>31</v>
      </c>
      <c r="CO94" s="236" t="s">
        <v>362</v>
      </c>
      <c r="CP94" s="237"/>
      <c r="CQ94" s="237"/>
      <c r="CR94" s="237"/>
      <c r="CS94" s="255"/>
      <c r="CT94" s="255"/>
      <c r="CU94" s="255"/>
      <c r="CV94" s="237"/>
      <c r="CW94" s="237"/>
      <c r="CX94" s="237"/>
      <c r="CY94" s="237"/>
      <c r="CZ94" s="237"/>
      <c r="DA94" s="237"/>
      <c r="DB94" s="91"/>
      <c r="DC94" s="91"/>
      <c r="DD94" s="91"/>
      <c r="DF94" s="236" t="s">
        <v>363</v>
      </c>
      <c r="DG94" s="238"/>
      <c r="DH94" s="238"/>
      <c r="DI94" s="238"/>
      <c r="DJ94" s="238"/>
      <c r="DK94" s="238"/>
      <c r="DL94" s="238"/>
      <c r="DM94" s="238"/>
      <c r="DN94" s="238"/>
      <c r="DO94" s="238"/>
      <c r="DP94" s="263" t="s">
        <v>471</v>
      </c>
      <c r="DQ94" s="238">
        <f>VLOOKUP(X47, DP94:DR97, 3, FALSE)</f>
        <v>0</v>
      </c>
      <c r="DR94" s="238">
        <v>0</v>
      </c>
      <c r="DS94" s="64">
        <v>0</v>
      </c>
      <c r="DT94" s="64">
        <v>0</v>
      </c>
      <c r="DU94" s="64">
        <v>0</v>
      </c>
      <c r="DV94" s="64">
        <f t="shared" ref="DV94:DX97" si="77">IF(($DR94=$DQ94),DS94,0)</f>
        <v>0</v>
      </c>
      <c r="DW94" s="64">
        <f t="shared" si="77"/>
        <v>0</v>
      </c>
      <c r="DX94" s="64">
        <f t="shared" si="77"/>
        <v>0</v>
      </c>
    </row>
    <row r="95" spans="1:132" ht="17.25" customHeight="1">
      <c r="B95" s="640"/>
      <c r="C95" s="301" t="s">
        <v>186</v>
      </c>
      <c r="D95" s="302"/>
      <c r="E95" s="302"/>
      <c r="F95" s="302"/>
      <c r="G95" s="302"/>
      <c r="H95" s="2443" t="e">
        <f>SUM(AI238:AI241)</f>
        <v>#REF!</v>
      </c>
      <c r="I95" s="2444" t="e">
        <f>SUM(AJ238:AJ241)</f>
        <v>#REF!</v>
      </c>
      <c r="J95" s="2444" t="e">
        <f>SUM(AK238:AK241)</f>
        <v>#REF!</v>
      </c>
      <c r="K95" s="151"/>
      <c r="L95" s="303"/>
      <c r="M95" s="303"/>
      <c r="N95" s="76"/>
      <c r="O95" s="76"/>
      <c r="P95" s="76"/>
      <c r="Q95" s="76"/>
      <c r="R95" s="76"/>
      <c r="S95" s="76"/>
      <c r="T95" s="76"/>
      <c r="U95" s="76"/>
      <c r="V95" s="76"/>
      <c r="W95" s="89"/>
      <c r="X95" s="2438" t="s">
        <v>363</v>
      </c>
      <c r="Y95" s="2438"/>
      <c r="Z95" s="23">
        <v>0</v>
      </c>
      <c r="AA95" s="240">
        <f>SUM(DM227:DM239)</f>
        <v>0</v>
      </c>
      <c r="AB95" s="240">
        <f>SUM(DN227:DN239)</f>
        <v>0</v>
      </c>
      <c r="AC95" s="240">
        <f>SUM(DO227:DO239)</f>
        <v>0</v>
      </c>
      <c r="AD95" s="151"/>
      <c r="AE95" s="238">
        <v>1</v>
      </c>
      <c r="AF95" s="238">
        <f t="shared" ref="AF95:AH96" si="78">AF$94</f>
        <v>0</v>
      </c>
      <c r="AG95" s="238">
        <f t="shared" si="78"/>
        <v>0</v>
      </c>
      <c r="AH95" s="238">
        <f t="shared" si="78"/>
        <v>15</v>
      </c>
      <c r="AI95" s="64">
        <f t="shared" si="58"/>
        <v>0</v>
      </c>
      <c r="AJ95" s="64">
        <f t="shared" si="59"/>
        <v>0</v>
      </c>
      <c r="AK95" s="64">
        <f t="shared" si="60"/>
        <v>0</v>
      </c>
      <c r="AL95" s="64">
        <f t="shared" si="61"/>
        <v>0</v>
      </c>
      <c r="AM95" s="238">
        <f t="shared" si="62"/>
        <v>114550</v>
      </c>
      <c r="AN95" s="64">
        <f t="shared" si="63"/>
        <v>0</v>
      </c>
      <c r="AO95" s="238">
        <f t="shared" si="64"/>
        <v>75000</v>
      </c>
      <c r="AP95" s="238">
        <f t="shared" si="65"/>
        <v>0</v>
      </c>
      <c r="AQ95" s="238">
        <f t="shared" si="66"/>
        <v>1031</v>
      </c>
      <c r="AS95" s="261" t="s">
        <v>532</v>
      </c>
      <c r="AT95" s="238">
        <v>2</v>
      </c>
      <c r="AU95" s="238">
        <f>AU94+1</f>
        <v>1</v>
      </c>
      <c r="AV95" s="36">
        <v>0</v>
      </c>
      <c r="AW95" s="36">
        <v>0</v>
      </c>
      <c r="AX95" s="36">
        <v>450</v>
      </c>
      <c r="AY95" s="36">
        <v>2250</v>
      </c>
      <c r="AZ95" s="36">
        <v>6750</v>
      </c>
      <c r="BA95" s="36">
        <v>13550</v>
      </c>
      <c r="BB95" s="36">
        <v>24550</v>
      </c>
      <c r="BC95" s="36">
        <v>42550</v>
      </c>
      <c r="BD95" s="36">
        <v>69550</v>
      </c>
      <c r="BE95" s="36">
        <v>114550</v>
      </c>
      <c r="BF95" s="16">
        <v>7500</v>
      </c>
      <c r="BG95" s="16">
        <v>15000</v>
      </c>
      <c r="BH95" s="16">
        <v>22500</v>
      </c>
      <c r="BI95" s="16">
        <v>30000</v>
      </c>
      <c r="BJ95" s="16">
        <v>37500</v>
      </c>
      <c r="BK95" s="16">
        <v>45000</v>
      </c>
      <c r="BL95" s="16">
        <v>52500</v>
      </c>
      <c r="BM95" s="16">
        <v>60000</v>
      </c>
      <c r="BN95" s="16">
        <v>67500</v>
      </c>
      <c r="BO95" s="16">
        <v>75000</v>
      </c>
      <c r="BP95" s="36">
        <f t="shared" si="67"/>
        <v>172</v>
      </c>
      <c r="BQ95" s="16">
        <f t="shared" si="68"/>
        <v>430</v>
      </c>
      <c r="BR95" s="36">
        <f t="shared" si="69"/>
        <v>554</v>
      </c>
      <c r="BS95" s="16">
        <f t="shared" si="70"/>
        <v>745</v>
      </c>
      <c r="BT95" s="36">
        <f t="shared" si="71"/>
        <v>1031</v>
      </c>
      <c r="BV95" s="153">
        <f t="shared" si="72"/>
        <v>171.82499999999999</v>
      </c>
      <c r="BW95" s="153">
        <f t="shared" si="73"/>
        <v>429.5625</v>
      </c>
      <c r="BX95" s="153">
        <f t="shared" si="74"/>
        <v>553.65829514999996</v>
      </c>
      <c r="BY95" s="153">
        <f t="shared" si="75"/>
        <v>744.57500000000005</v>
      </c>
      <c r="BZ95" s="153">
        <f t="shared" si="76"/>
        <v>1030.95</v>
      </c>
      <c r="CB95" s="153" t="s">
        <v>533</v>
      </c>
      <c r="CC95" s="256">
        <f>$CC$94</f>
        <v>4</v>
      </c>
      <c r="CD95" s="238">
        <f>CD94+1</f>
        <v>1</v>
      </c>
      <c r="CE95" s="238" t="str">
        <f>N41</f>
        <v>No</v>
      </c>
      <c r="CF95" s="238" t="str">
        <f>P41</f>
        <v>No</v>
      </c>
      <c r="CG95" s="238" t="str">
        <f>R41</f>
        <v>No</v>
      </c>
      <c r="CH95" s="247">
        <v>600000</v>
      </c>
      <c r="CJ95" s="247">
        <v>45000</v>
      </c>
      <c r="CK95" s="247"/>
      <c r="CL95" s="256" t="s">
        <v>323</v>
      </c>
      <c r="CN95" s="256" t="s">
        <v>322</v>
      </c>
      <c r="CO95" s="256"/>
      <c r="CP95" s="64">
        <f>IF((CD95&lt;&gt;CC95),0,IF((CE95&lt;&gt;"Yes"),0,IF((CL95="Cubits"),CH95,0)))</f>
        <v>0</v>
      </c>
      <c r="CQ95" s="64">
        <f>IF((CD95&lt;&gt;CC95),0,IF((CE95&lt;&gt;"Yes"),0,IF((CL95="Tylium"),CH95,0)))</f>
        <v>0</v>
      </c>
      <c r="CR95" s="64">
        <f>IF((CD95&lt;&gt;CC95),0,IF((CE95&lt;&gt;"Yes"),0,IF((CL95="Merits"),CH95,0)))</f>
        <v>0</v>
      </c>
      <c r="CS95" s="64">
        <f>IF((CD95&lt;&gt;CC95),0,IF((CE95&lt;&gt;"Yes"),0,IF((CM95="Cubits"),CI95,0)))</f>
        <v>0</v>
      </c>
      <c r="CT95" s="64">
        <f>IF((CD95&lt;&gt;CC95),0,IF((CE95&lt;&gt;"Yes"),0,IF((CM95="Tylium"),CI95,0)))</f>
        <v>0</v>
      </c>
      <c r="CU95" s="64">
        <f>IF((CD95&lt;&gt;CC95),0,IF((CE95&lt;&gt;"Yes"),0,IF((CM95="Merits"),CI95,0)))</f>
        <v>0</v>
      </c>
      <c r="CV95" s="64">
        <f>IF((CD95&lt;&gt;CC95),0,IF((CF95&lt;&gt;"Yes"),0,IF((CN95="Cubits"),CJ95,0)))</f>
        <v>0</v>
      </c>
      <c r="CW95" s="64">
        <f>IF((CD95&lt;&gt;CC95),0,IF((CF95&lt;&gt;"Yes"),0,IF((CN95="Tylium"),CJ95,0)))</f>
        <v>0</v>
      </c>
      <c r="CX95" s="64">
        <f>IF((CD95&lt;&gt;CC95),0,IF((CF95&lt;&gt;"Yes"),0,IF((CN95="Merits"),CJ95,0)))</f>
        <v>0</v>
      </c>
      <c r="CY95" s="64">
        <f>IF((CD95&lt;&gt;CC95),0,IF((CG95&lt;&gt;"Yes"),0,IF((CO95="Cubits"),CK95,0)))</f>
        <v>0</v>
      </c>
      <c r="CZ95" s="64">
        <f>IF((CD95&lt;&gt;CC95),0,IF((CG95&lt;&gt;"Yes"),0,IF((CO95="Tylium"),CK95,0)))</f>
        <v>0</v>
      </c>
      <c r="DA95" s="64">
        <f>IF((CD95&lt;&gt;CC95),0,IF((CG95&lt;&gt;"Yes"),0,IF((CO95="Merits"),CK95,0)))</f>
        <v>0</v>
      </c>
      <c r="DB95" s="64">
        <f t="shared" ref="DB95:DD98" si="79">SUM((((CP95+CS95)+CV95)+CY95))</f>
        <v>0</v>
      </c>
      <c r="DC95" s="64">
        <f t="shared" si="79"/>
        <v>0</v>
      </c>
      <c r="DD95" s="64">
        <f t="shared" si="79"/>
        <v>0</v>
      </c>
      <c r="DF95" s="263" t="s">
        <v>363</v>
      </c>
      <c r="DG95" s="238">
        <f t="shared" ref="DG95:DG107" si="80">IF((DH95=DI95),$Z$46,0)</f>
        <v>0</v>
      </c>
      <c r="DH95" s="238">
        <f>VLOOKUP(X46, DF95:DI107, 4, FALSE)</f>
        <v>0</v>
      </c>
      <c r="DI95" s="238">
        <v>0</v>
      </c>
      <c r="DJ95" s="64">
        <v>0</v>
      </c>
      <c r="DK95" s="64">
        <v>0</v>
      </c>
      <c r="DL95" s="64">
        <v>0</v>
      </c>
      <c r="DM95" s="64">
        <f t="shared" ref="DM95:DM107" si="81">ROUNDUP((DJ95*$DG95),0)</f>
        <v>0</v>
      </c>
      <c r="DN95" s="64">
        <f t="shared" ref="DN95:DN107" si="82">ROUNDUP((DK95*$DG95),0)</f>
        <v>0</v>
      </c>
      <c r="DO95" s="64">
        <f t="shared" ref="DO95:DO107" si="83">ROUNDUP((DL95*$DG95),0)</f>
        <v>0</v>
      </c>
      <c r="DP95" s="263" t="s">
        <v>534</v>
      </c>
      <c r="DQ95" s="238">
        <f>$DQ$12</f>
        <v>0</v>
      </c>
      <c r="DR95" s="238">
        <f>DR94+1</f>
        <v>1</v>
      </c>
      <c r="DS95" s="64">
        <v>6000</v>
      </c>
      <c r="DT95" s="64">
        <v>0</v>
      </c>
      <c r="DU95" s="64">
        <v>0</v>
      </c>
      <c r="DV95" s="64">
        <f t="shared" si="77"/>
        <v>0</v>
      </c>
      <c r="DW95" s="64">
        <f t="shared" si="77"/>
        <v>0</v>
      </c>
      <c r="DX95" s="64">
        <f t="shared" si="77"/>
        <v>0</v>
      </c>
    </row>
    <row r="96" spans="1:132" ht="17.25" customHeight="1" thickBot="1">
      <c r="B96" s="641"/>
      <c r="C96" s="641"/>
      <c r="D96" s="43">
        <v>0</v>
      </c>
      <c r="E96" s="155"/>
      <c r="F96" s="65" t="s">
        <v>61</v>
      </c>
      <c r="G96" s="155"/>
      <c r="H96" s="2444"/>
      <c r="I96" s="2444"/>
      <c r="J96" s="2444"/>
      <c r="K96" s="151"/>
      <c r="X96" s="26"/>
      <c r="Y96" s="26"/>
      <c r="Z96" s="77"/>
      <c r="AA96" s="63">
        <f>SUM(AA89:AA95)</f>
        <v>0</v>
      </c>
      <c r="AB96" s="63">
        <f>SUM(AB89:AB95)</f>
        <v>0</v>
      </c>
      <c r="AC96" s="63">
        <f>SUM(AC89:AC95)</f>
        <v>0</v>
      </c>
      <c r="AD96" s="21"/>
      <c r="AE96" s="238">
        <v>2</v>
      </c>
      <c r="AF96" s="238">
        <f t="shared" si="78"/>
        <v>0</v>
      </c>
      <c r="AG96" s="238">
        <f t="shared" si="78"/>
        <v>0</v>
      </c>
      <c r="AH96" s="238">
        <f t="shared" si="78"/>
        <v>15</v>
      </c>
      <c r="AI96" s="64">
        <f t="shared" si="58"/>
        <v>0</v>
      </c>
      <c r="AJ96" s="64">
        <f t="shared" si="59"/>
        <v>0</v>
      </c>
      <c r="AK96" s="64">
        <f t="shared" si="60"/>
        <v>0</v>
      </c>
      <c r="AL96" s="64">
        <f t="shared" si="61"/>
        <v>0</v>
      </c>
      <c r="AM96" s="238">
        <f t="shared" si="62"/>
        <v>114550</v>
      </c>
      <c r="AN96" s="64">
        <f t="shared" si="63"/>
        <v>0</v>
      </c>
      <c r="AO96" s="238">
        <f t="shared" si="64"/>
        <v>150000</v>
      </c>
      <c r="AP96" s="238">
        <f t="shared" si="65"/>
        <v>0</v>
      </c>
      <c r="AQ96" s="238">
        <f t="shared" si="66"/>
        <v>1031</v>
      </c>
      <c r="AS96" s="261" t="s">
        <v>535</v>
      </c>
      <c r="AT96" s="238">
        <v>3</v>
      </c>
      <c r="AU96" s="238">
        <f>AU95+1</f>
        <v>2</v>
      </c>
      <c r="AV96" s="36">
        <v>0</v>
      </c>
      <c r="AW96" s="36">
        <v>0</v>
      </c>
      <c r="AX96" s="36">
        <v>450</v>
      </c>
      <c r="AY96" s="36">
        <v>2250</v>
      </c>
      <c r="AZ96" s="36">
        <v>6750</v>
      </c>
      <c r="BA96" s="36">
        <v>13550</v>
      </c>
      <c r="BB96" s="36">
        <v>24550</v>
      </c>
      <c r="BC96" s="36">
        <v>42550</v>
      </c>
      <c r="BD96" s="36">
        <v>69550</v>
      </c>
      <c r="BE96" s="36">
        <v>114550</v>
      </c>
      <c r="BF96" s="16">
        <v>15000</v>
      </c>
      <c r="BG96" s="16">
        <v>30000</v>
      </c>
      <c r="BH96" s="16">
        <v>45000</v>
      </c>
      <c r="BI96" s="16">
        <v>60000</v>
      </c>
      <c r="BJ96" s="16">
        <v>75000</v>
      </c>
      <c r="BK96" s="16">
        <v>90000</v>
      </c>
      <c r="BL96" s="16">
        <v>105000</v>
      </c>
      <c r="BM96" s="16">
        <v>120000</v>
      </c>
      <c r="BN96" s="16">
        <v>135000</v>
      </c>
      <c r="BO96" s="16">
        <v>150000</v>
      </c>
      <c r="BP96" s="36">
        <f t="shared" si="67"/>
        <v>172</v>
      </c>
      <c r="BQ96" s="16">
        <f t="shared" si="68"/>
        <v>430</v>
      </c>
      <c r="BR96" s="36">
        <f t="shared" si="69"/>
        <v>554</v>
      </c>
      <c r="BS96" s="16">
        <f t="shared" si="70"/>
        <v>745</v>
      </c>
      <c r="BT96" s="36">
        <f t="shared" si="71"/>
        <v>1031</v>
      </c>
      <c r="BV96" s="153">
        <f t="shared" si="72"/>
        <v>171.82499999999999</v>
      </c>
      <c r="BW96" s="153">
        <f t="shared" si="73"/>
        <v>429.5625</v>
      </c>
      <c r="BX96" s="153">
        <f t="shared" si="74"/>
        <v>553.65829514999996</v>
      </c>
      <c r="BY96" s="153">
        <f t="shared" si="75"/>
        <v>744.57500000000005</v>
      </c>
      <c r="BZ96" s="153">
        <f t="shared" si="76"/>
        <v>1030.95</v>
      </c>
      <c r="CB96" s="153" t="s">
        <v>536</v>
      </c>
      <c r="CC96" s="256">
        <f>$CC$94</f>
        <v>4</v>
      </c>
      <c r="CD96" s="238">
        <f>CD95+1</f>
        <v>2</v>
      </c>
      <c r="CE96" s="152" t="str">
        <f>$CE$95</f>
        <v>No</v>
      </c>
      <c r="CF96" s="152" t="str">
        <f>$CF$95</f>
        <v>No</v>
      </c>
      <c r="CG96" s="152" t="str">
        <f>$CG$95</f>
        <v>No</v>
      </c>
      <c r="CH96" s="247">
        <v>600000</v>
      </c>
      <c r="CJ96" s="247">
        <v>45000</v>
      </c>
      <c r="CK96" s="247"/>
      <c r="CL96" s="256" t="s">
        <v>323</v>
      </c>
      <c r="CN96" s="256" t="s">
        <v>322</v>
      </c>
      <c r="CO96" s="256"/>
      <c r="CP96" s="64">
        <f>IF((CD96&lt;&gt;CC96),0,IF((CE96&lt;&gt;"Yes"),0,IF((CL96="Cubits"),CH96,0)))</f>
        <v>0</v>
      </c>
      <c r="CQ96" s="64">
        <f>IF((CD96&lt;&gt;CC96),0,IF((CE96&lt;&gt;"Yes"),0,IF((CL96="Tylium"),CH96,0)))</f>
        <v>0</v>
      </c>
      <c r="CR96" s="64">
        <f>IF((CD96&lt;&gt;CC96),0,IF((CE96&lt;&gt;"Yes"),0,IF((CL96="Merits"),CH96,0)))</f>
        <v>0</v>
      </c>
      <c r="CS96" s="64">
        <f>IF((CD96&lt;&gt;CC96),0,IF((CE96&lt;&gt;"Yes"),0,IF((CM96="Cubits"),CI96,0)))</f>
        <v>0</v>
      </c>
      <c r="CT96" s="64">
        <f>IF((CD96&lt;&gt;CC96),0,IF((CE96&lt;&gt;"Yes"),0,IF((CM96="Tylium"),CI96,0)))</f>
        <v>0</v>
      </c>
      <c r="CU96" s="64">
        <f>IF((CD96&lt;&gt;CC96),0,IF((CE96&lt;&gt;"Yes"),0,IF((CM96="Merits"),CI96,0)))</f>
        <v>0</v>
      </c>
      <c r="CV96" s="64">
        <f>IF((CD96&lt;&gt;CC96),0,IF((CF96&lt;&gt;"Yes"),0,IF((CN96="Cubits"),CJ96,0)))</f>
        <v>0</v>
      </c>
      <c r="CW96" s="64">
        <f>IF((CD96&lt;&gt;CC96),0,IF((CF96&lt;&gt;"Yes"),0,IF((CN96="Tylium"),CJ96,0)))</f>
        <v>0</v>
      </c>
      <c r="CX96" s="64">
        <f>IF((CD96&lt;&gt;CC96),0,IF((CF96&lt;&gt;"Yes"),0,IF((CN96="Merits"),CJ96,0)))</f>
        <v>0</v>
      </c>
      <c r="CY96" s="64">
        <f>IF((CD96&lt;&gt;CC96),0,IF((CG96&lt;&gt;"Yes"),0,IF((CO96="Cubits"),CK96,0)))</f>
        <v>0</v>
      </c>
      <c r="CZ96" s="64">
        <f>IF((CD96&lt;&gt;CC96),0,IF((CG96&lt;&gt;"Yes"),0,IF((CO96="Tylium"),CK96,0)))</f>
        <v>0</v>
      </c>
      <c r="DA96" s="64">
        <f>IF((CD96&lt;&gt;CC96),0,IF((CG96&lt;&gt;"Yes"),0,IF((CO96="Merits"),CK96,0)))</f>
        <v>0</v>
      </c>
      <c r="DB96" s="64">
        <f t="shared" si="79"/>
        <v>0</v>
      </c>
      <c r="DC96" s="64">
        <f t="shared" si="79"/>
        <v>0</v>
      </c>
      <c r="DD96" s="64">
        <f t="shared" si="79"/>
        <v>0</v>
      </c>
      <c r="DF96" s="263" t="s">
        <v>378</v>
      </c>
      <c r="DG96" s="238">
        <f t="shared" si="80"/>
        <v>0</v>
      </c>
      <c r="DH96" s="238">
        <f t="shared" ref="DH96:DH107" si="84">$DH$95</f>
        <v>0</v>
      </c>
      <c r="DI96" s="238">
        <f t="shared" ref="DI96:DI107" si="85">DI95+1</f>
        <v>1</v>
      </c>
      <c r="DJ96" s="64">
        <v>1500</v>
      </c>
      <c r="DK96" s="64">
        <v>0</v>
      </c>
      <c r="DL96" s="64">
        <v>0</v>
      </c>
      <c r="DM96" s="64">
        <f t="shared" si="81"/>
        <v>0</v>
      </c>
      <c r="DN96" s="64">
        <f t="shared" si="82"/>
        <v>0</v>
      </c>
      <c r="DO96" s="64">
        <f t="shared" si="83"/>
        <v>0</v>
      </c>
      <c r="DP96" s="263" t="s">
        <v>537</v>
      </c>
      <c r="DQ96" s="238">
        <f>$DQ$12</f>
        <v>0</v>
      </c>
      <c r="DR96" s="238">
        <f>DR95+1</f>
        <v>2</v>
      </c>
      <c r="DS96" s="64">
        <v>12000</v>
      </c>
      <c r="DT96" s="64">
        <v>0</v>
      </c>
      <c r="DU96" s="64">
        <v>0</v>
      </c>
      <c r="DV96" s="64">
        <f t="shared" si="77"/>
        <v>0</v>
      </c>
      <c r="DW96" s="64">
        <f t="shared" si="77"/>
        <v>0</v>
      </c>
      <c r="DX96" s="64">
        <f t="shared" si="77"/>
        <v>0</v>
      </c>
    </row>
    <row r="97" spans="2:132" ht="17.25" customHeight="1" thickBot="1">
      <c r="B97" s="281"/>
      <c r="C97" s="649"/>
      <c r="D97" s="154"/>
      <c r="F97" s="154"/>
      <c r="H97" s="63" t="e">
        <f>SUM(H89:H96)</f>
        <v>#REF!</v>
      </c>
      <c r="I97" s="63" t="e">
        <f>SUM(I89:I96)</f>
        <v>#REF!</v>
      </c>
      <c r="J97" s="63" t="e">
        <f>SUM(J89:J96)</f>
        <v>#REF!</v>
      </c>
      <c r="K97" s="285"/>
      <c r="X97" s="263"/>
      <c r="AA97" s="280"/>
      <c r="AB97" s="280"/>
      <c r="AC97" s="280"/>
      <c r="AD97" s="64"/>
      <c r="AE97" s="238">
        <v>3</v>
      </c>
      <c r="AF97" s="238">
        <f>D42</f>
        <v>0</v>
      </c>
      <c r="AG97" s="238">
        <f>A29</f>
        <v>0</v>
      </c>
      <c r="AH97" s="238">
        <f>B29</f>
        <v>15</v>
      </c>
      <c r="AI97" s="64">
        <f t="shared" si="58"/>
        <v>0</v>
      </c>
      <c r="AJ97" s="64">
        <f t="shared" si="59"/>
        <v>0</v>
      </c>
      <c r="AK97" s="64">
        <f t="shared" si="60"/>
        <v>0</v>
      </c>
      <c r="AL97" s="64">
        <f t="shared" si="61"/>
        <v>0</v>
      </c>
      <c r="AM97" s="238">
        <f t="shared" si="62"/>
        <v>74150</v>
      </c>
      <c r="AN97" s="64">
        <f t="shared" si="63"/>
        <v>0</v>
      </c>
      <c r="AO97" s="238">
        <f t="shared" si="64"/>
        <v>120000</v>
      </c>
      <c r="AP97" s="238">
        <f t="shared" si="65"/>
        <v>0</v>
      </c>
      <c r="AQ97" s="238">
        <f t="shared" si="66"/>
        <v>668</v>
      </c>
      <c r="AS97" s="269" t="s">
        <v>380</v>
      </c>
      <c r="AT97" s="238">
        <v>1</v>
      </c>
      <c r="AU97" s="238">
        <v>0</v>
      </c>
      <c r="AV97" s="36">
        <v>0</v>
      </c>
      <c r="AW97" s="36">
        <v>0</v>
      </c>
      <c r="AX97" s="36">
        <v>450</v>
      </c>
      <c r="AY97" s="36">
        <v>2250</v>
      </c>
      <c r="AZ97" s="36">
        <v>5450</v>
      </c>
      <c r="BA97" s="36">
        <v>10450</v>
      </c>
      <c r="BB97" s="36">
        <v>18150</v>
      </c>
      <c r="BC97" s="36">
        <v>29150</v>
      </c>
      <c r="BD97" s="36">
        <v>47150</v>
      </c>
      <c r="BE97" s="36">
        <v>74150</v>
      </c>
      <c r="BF97" s="16">
        <v>12000</v>
      </c>
      <c r="BG97" s="16">
        <v>24000</v>
      </c>
      <c r="BH97" s="16">
        <v>36000</v>
      </c>
      <c r="BI97" s="16">
        <v>48000</v>
      </c>
      <c r="BJ97" s="16">
        <v>60000</v>
      </c>
      <c r="BK97" s="16">
        <v>72000</v>
      </c>
      <c r="BL97" s="16">
        <v>84000</v>
      </c>
      <c r="BM97" s="16">
        <v>96000</v>
      </c>
      <c r="BN97" s="16">
        <v>108000</v>
      </c>
      <c r="BO97" s="16">
        <v>120000</v>
      </c>
      <c r="BP97" s="36">
        <f t="shared" si="67"/>
        <v>112</v>
      </c>
      <c r="BQ97" s="16">
        <f t="shared" si="68"/>
        <v>279</v>
      </c>
      <c r="BR97" s="36">
        <f t="shared" si="69"/>
        <v>359</v>
      </c>
      <c r="BS97" s="16">
        <f t="shared" si="70"/>
        <v>482</v>
      </c>
      <c r="BT97" s="36">
        <f t="shared" si="71"/>
        <v>668</v>
      </c>
      <c r="BV97" s="153">
        <f t="shared" si="72"/>
        <v>111.22499999999999</v>
      </c>
      <c r="BW97" s="153">
        <f t="shared" si="73"/>
        <v>278.0625</v>
      </c>
      <c r="BX97" s="153">
        <f t="shared" si="74"/>
        <v>358.39164195000001</v>
      </c>
      <c r="BY97" s="153">
        <f t="shared" si="75"/>
        <v>481.97500000000002</v>
      </c>
      <c r="BZ97" s="153">
        <f t="shared" si="76"/>
        <v>667.35</v>
      </c>
      <c r="CB97" s="153" t="s">
        <v>538</v>
      </c>
      <c r="CC97" s="256">
        <f>$CC$94</f>
        <v>4</v>
      </c>
      <c r="CD97" s="238">
        <f>CD96+1</f>
        <v>3</v>
      </c>
      <c r="CE97" s="152" t="str">
        <f>$CE$95</f>
        <v>No</v>
      </c>
      <c r="CF97" s="152" t="str">
        <f>$CF$95</f>
        <v>No</v>
      </c>
      <c r="CG97" s="152" t="str">
        <f>$CG$95</f>
        <v>No</v>
      </c>
      <c r="CH97" s="247">
        <v>60000</v>
      </c>
      <c r="CJ97" s="247">
        <v>50000</v>
      </c>
      <c r="CK97" s="247"/>
      <c r="CL97" s="256" t="s">
        <v>322</v>
      </c>
      <c r="CN97" s="256" t="s">
        <v>322</v>
      </c>
      <c r="CO97" s="256"/>
      <c r="CP97" s="64">
        <f>IF((CD97&lt;&gt;CC97),0,IF((CE97&lt;&gt;"Yes"),0,IF((CL97="Cubits"),CH97,0)))</f>
        <v>0</v>
      </c>
      <c r="CQ97" s="64">
        <f>IF((CD97&lt;&gt;CC97),0,IF((CE97&lt;&gt;"Yes"),0,IF((CL97="Tylium"),CH97,0)))</f>
        <v>0</v>
      </c>
      <c r="CR97" s="64">
        <f>IF((CD97&lt;&gt;CC97),0,IF((CE97&lt;&gt;"Yes"),0,IF((CL97="Merits"),CH97,0)))</f>
        <v>0</v>
      </c>
      <c r="CS97" s="64">
        <f>IF((CD97&lt;&gt;CC97),0,IF((CE97&lt;&gt;"Yes"),0,IF((CM97="Cubits"),CI97,0)))</f>
        <v>0</v>
      </c>
      <c r="CT97" s="64">
        <f>IF((CD97&lt;&gt;CC97),0,IF((CE97&lt;&gt;"Yes"),0,IF((CM97="Tylium"),CI97,0)))</f>
        <v>0</v>
      </c>
      <c r="CU97" s="64">
        <f>IF((CD97&lt;&gt;CC97),0,IF((CE97&lt;&gt;"Yes"),0,IF((CM97="Merits"),CI97,0)))</f>
        <v>0</v>
      </c>
      <c r="CV97" s="64">
        <f>IF((CD97&lt;&gt;CC97),0,IF((CF97&lt;&gt;"Yes"),0,IF((CN97="Cubits"),CJ97,0)))</f>
        <v>0</v>
      </c>
      <c r="CW97" s="64">
        <f>IF((CD97&lt;&gt;CC97),0,IF((CF97&lt;&gt;"Yes"),0,IF((CN97="Tylium"),CJ97,0)))</f>
        <v>0</v>
      </c>
      <c r="CX97" s="64">
        <f>IF((CD97&lt;&gt;CC97),0,IF((CF97&lt;&gt;"Yes"),0,IF((CN97="Merits"),CJ97,0)))</f>
        <v>0</v>
      </c>
      <c r="CY97" s="64">
        <f>IF((CD97&lt;&gt;CC97),0,IF((CG97&lt;&gt;"Yes"),0,IF((CO97="Cubits"),CK97,0)))</f>
        <v>0</v>
      </c>
      <c r="CZ97" s="64">
        <f>IF((CD97&lt;&gt;CC97),0,IF((CG97&lt;&gt;"Yes"),0,IF((CO97="Tylium"),CK97,0)))</f>
        <v>0</v>
      </c>
      <c r="DA97" s="64">
        <f>IF((CD97&lt;&gt;CC97),0,IF((CG97&lt;&gt;"Yes"),0,IF((CO97="Merits"),CK97,0)))</f>
        <v>0</v>
      </c>
      <c r="DB97" s="64">
        <f t="shared" si="79"/>
        <v>0</v>
      </c>
      <c r="DC97" s="64">
        <f t="shared" si="79"/>
        <v>0</v>
      </c>
      <c r="DD97" s="64">
        <f t="shared" si="79"/>
        <v>0</v>
      </c>
      <c r="DF97" s="263" t="s">
        <v>384</v>
      </c>
      <c r="DG97" s="238">
        <f t="shared" si="80"/>
        <v>0</v>
      </c>
      <c r="DH97" s="238">
        <f t="shared" si="84"/>
        <v>0</v>
      </c>
      <c r="DI97" s="238">
        <f t="shared" si="85"/>
        <v>2</v>
      </c>
      <c r="DJ97" s="64">
        <v>2000</v>
      </c>
      <c r="DK97" s="64">
        <v>0</v>
      </c>
      <c r="DL97" s="64">
        <v>0</v>
      </c>
      <c r="DM97" s="64">
        <f t="shared" si="81"/>
        <v>0</v>
      </c>
      <c r="DN97" s="64">
        <f t="shared" si="82"/>
        <v>0</v>
      </c>
      <c r="DO97" s="64">
        <f t="shared" si="83"/>
        <v>0</v>
      </c>
      <c r="DP97" s="263" t="s">
        <v>539</v>
      </c>
      <c r="DQ97" s="238">
        <f>$DQ$12</f>
        <v>0</v>
      </c>
      <c r="DR97" s="238">
        <f>DR96+1</f>
        <v>3</v>
      </c>
      <c r="DS97" s="64">
        <v>12000</v>
      </c>
      <c r="DT97" s="64">
        <v>0</v>
      </c>
      <c r="DU97" s="64">
        <v>0</v>
      </c>
      <c r="DV97" s="64">
        <f t="shared" si="77"/>
        <v>0</v>
      </c>
      <c r="DW97" s="64">
        <f t="shared" si="77"/>
        <v>0</v>
      </c>
      <c r="DX97" s="64">
        <f t="shared" si="77"/>
        <v>0</v>
      </c>
    </row>
    <row r="98" spans="2:132" ht="17.25" customHeight="1">
      <c r="H98" s="282"/>
      <c r="I98" s="282"/>
      <c r="J98" s="282"/>
      <c r="AD98" s="64"/>
      <c r="AE98" s="238">
        <v>4</v>
      </c>
      <c r="AF98" s="238">
        <f t="shared" ref="AF98:AH101" si="86">AF$97</f>
        <v>0</v>
      </c>
      <c r="AG98" s="238">
        <f t="shared" si="86"/>
        <v>0</v>
      </c>
      <c r="AH98" s="238">
        <f t="shared" si="86"/>
        <v>15</v>
      </c>
      <c r="AI98" s="64">
        <f t="shared" si="58"/>
        <v>0</v>
      </c>
      <c r="AJ98" s="64">
        <f t="shared" si="59"/>
        <v>0</v>
      </c>
      <c r="AK98" s="64">
        <f t="shared" si="60"/>
        <v>0</v>
      </c>
      <c r="AL98" s="64">
        <f t="shared" si="61"/>
        <v>0</v>
      </c>
      <c r="AM98" s="238">
        <f t="shared" si="62"/>
        <v>61450</v>
      </c>
      <c r="AN98" s="64">
        <f t="shared" si="63"/>
        <v>0</v>
      </c>
      <c r="AO98" s="238">
        <f t="shared" si="64"/>
        <v>75000</v>
      </c>
      <c r="AP98" s="238">
        <f t="shared" si="65"/>
        <v>0</v>
      </c>
      <c r="AQ98" s="238">
        <f t="shared" si="66"/>
        <v>554</v>
      </c>
      <c r="AS98" s="269" t="s">
        <v>388</v>
      </c>
      <c r="AT98" s="238">
        <v>2</v>
      </c>
      <c r="AU98" s="238">
        <f>AU97+1</f>
        <v>1</v>
      </c>
      <c r="AV98" s="36">
        <v>0</v>
      </c>
      <c r="AW98" s="36">
        <v>0</v>
      </c>
      <c r="AX98" s="36">
        <v>450</v>
      </c>
      <c r="AY98" s="36">
        <v>1850</v>
      </c>
      <c r="AZ98" s="36">
        <v>4150</v>
      </c>
      <c r="BA98" s="36">
        <v>7550</v>
      </c>
      <c r="BB98" s="36">
        <v>15450</v>
      </c>
      <c r="BC98" s="36">
        <v>24450</v>
      </c>
      <c r="BD98" s="36">
        <v>38450</v>
      </c>
      <c r="BE98" s="36">
        <v>61450</v>
      </c>
      <c r="BF98" s="16">
        <v>7500</v>
      </c>
      <c r="BG98" s="16">
        <v>15000</v>
      </c>
      <c r="BH98" s="16">
        <v>22500</v>
      </c>
      <c r="BI98" s="16">
        <v>30000</v>
      </c>
      <c r="BJ98" s="16">
        <v>37500</v>
      </c>
      <c r="BK98" s="16">
        <v>45000</v>
      </c>
      <c r="BL98" s="16">
        <v>52500</v>
      </c>
      <c r="BM98" s="16">
        <v>60000</v>
      </c>
      <c r="BN98" s="16">
        <v>67500</v>
      </c>
      <c r="BO98" s="16">
        <v>75000</v>
      </c>
      <c r="BP98" s="36">
        <f t="shared" si="67"/>
        <v>93</v>
      </c>
      <c r="BQ98" s="16">
        <f t="shared" si="68"/>
        <v>231</v>
      </c>
      <c r="BR98" s="36">
        <f t="shared" si="69"/>
        <v>298</v>
      </c>
      <c r="BS98" s="16">
        <f t="shared" si="70"/>
        <v>400</v>
      </c>
      <c r="BT98" s="36">
        <f t="shared" si="71"/>
        <v>554</v>
      </c>
      <c r="BV98" s="153">
        <f t="shared" si="72"/>
        <v>92.174999999999997</v>
      </c>
      <c r="BW98" s="153">
        <f t="shared" si="73"/>
        <v>230.4375</v>
      </c>
      <c r="BX98" s="153">
        <f t="shared" si="74"/>
        <v>297.00831285000004</v>
      </c>
      <c r="BY98" s="153">
        <f t="shared" si="75"/>
        <v>399.42500000000001</v>
      </c>
      <c r="BZ98" s="153">
        <f t="shared" si="76"/>
        <v>553.04999999999995</v>
      </c>
      <c r="CB98" s="153" t="s">
        <v>453</v>
      </c>
      <c r="CC98" s="256">
        <f>$CC$94</f>
        <v>4</v>
      </c>
      <c r="CD98" s="238">
        <f>CD97+1</f>
        <v>4</v>
      </c>
      <c r="CE98" s="152" t="str">
        <f>$CE$95</f>
        <v>No</v>
      </c>
      <c r="CF98" s="152" t="str">
        <f>$CF$95</f>
        <v>No</v>
      </c>
      <c r="CG98" s="152" t="str">
        <f>$CG$95</f>
        <v>No</v>
      </c>
      <c r="CH98" s="247">
        <v>75000</v>
      </c>
      <c r="CJ98" s="247">
        <v>45000</v>
      </c>
      <c r="CK98" s="247"/>
      <c r="CL98" s="256" t="s">
        <v>322</v>
      </c>
      <c r="CN98" s="256" t="s">
        <v>341</v>
      </c>
      <c r="CO98" s="256"/>
      <c r="CP98" s="64">
        <f>IF((CD98&lt;&gt;CC98),0,IF((CE98&lt;&gt;"Yes"),0,IF((CL98="Cubits"),CH98,0)))</f>
        <v>0</v>
      </c>
      <c r="CQ98" s="64">
        <f>IF((CD98&lt;&gt;CC98),0,IF((CE98&lt;&gt;"Yes"),0,IF((CL98="Tylium"),CH98,0)))</f>
        <v>0</v>
      </c>
      <c r="CR98" s="64">
        <f>IF((CD98&lt;&gt;CC98),0,IF((CE98&lt;&gt;"Yes"),0,IF((CL98="Merits"),CH98,0)))</f>
        <v>0</v>
      </c>
      <c r="CS98" s="64">
        <f>IF((CD98&lt;&gt;CC98),0,IF((CE98&lt;&gt;"Yes"),0,IF((CM98="Cubits"),CI98,0)))</f>
        <v>0</v>
      </c>
      <c r="CT98" s="64">
        <f>IF((CD98&lt;&gt;CC98),0,IF((CE98&lt;&gt;"Yes"),0,IF((CM98="Tylium"),CI98,0)))</f>
        <v>0</v>
      </c>
      <c r="CU98" s="64">
        <f>IF((CD98&lt;&gt;CC98),0,IF((CE98&lt;&gt;"Yes"),0,IF((CM98="Merits"),CI98,0)))</f>
        <v>0</v>
      </c>
      <c r="CV98" s="64">
        <f>IF((CD98&lt;&gt;CC98),0,IF((CF98&lt;&gt;"Yes"),0,IF((CN98="Cubits"),CJ98,0)))</f>
        <v>0</v>
      </c>
      <c r="CW98" s="64">
        <f>IF((CD98&lt;&gt;CC98),0,IF((CF98&lt;&gt;"Yes"),0,IF((CN98="Tylium"),CJ98,0)))</f>
        <v>0</v>
      </c>
      <c r="CX98" s="64">
        <f>IF((CD98&lt;&gt;CC98),0,IF((CF98&lt;&gt;"Yes"),0,IF((CN98="Merits"),CJ98,0)))</f>
        <v>0</v>
      </c>
      <c r="CY98" s="64">
        <f>IF((CD98&lt;&gt;CC98),0,IF((CG98&lt;&gt;"Yes"),0,IF((CO98="Cubits"),CK98,0)))</f>
        <v>0</v>
      </c>
      <c r="CZ98" s="64">
        <f>IF((CD98&lt;&gt;CC98),0,IF((CG98&lt;&gt;"Yes"),0,IF((CO98="Tylium"),CK98,0)))</f>
        <v>0</v>
      </c>
      <c r="DA98" s="64">
        <f>IF((CD98&lt;&gt;CC98),0,IF((CG98&lt;&gt;"Yes"),0,IF((CO98="Merits"),CK98,0)))</f>
        <v>0</v>
      </c>
      <c r="DB98" s="64">
        <f t="shared" si="79"/>
        <v>0</v>
      </c>
      <c r="DC98" s="64">
        <f t="shared" si="79"/>
        <v>0</v>
      </c>
      <c r="DD98" s="64">
        <f t="shared" si="79"/>
        <v>0</v>
      </c>
      <c r="DF98" s="263" t="s">
        <v>390</v>
      </c>
      <c r="DG98" s="238">
        <f t="shared" si="80"/>
        <v>0</v>
      </c>
      <c r="DH98" s="238">
        <f t="shared" si="84"/>
        <v>0</v>
      </c>
      <c r="DI98" s="238">
        <f t="shared" si="85"/>
        <v>3</v>
      </c>
      <c r="DJ98" s="64">
        <v>8000</v>
      </c>
      <c r="DK98" s="64">
        <v>0</v>
      </c>
      <c r="DL98" s="64">
        <v>0</v>
      </c>
      <c r="DM98" s="64">
        <f t="shared" si="81"/>
        <v>0</v>
      </c>
      <c r="DN98" s="64">
        <f t="shared" si="82"/>
        <v>0</v>
      </c>
      <c r="DO98" s="64">
        <f t="shared" si="83"/>
        <v>0</v>
      </c>
      <c r="DP98" s="263"/>
      <c r="DQ98" s="238"/>
      <c r="DR98" s="238"/>
      <c r="DS98" s="64"/>
      <c r="DT98" s="64"/>
      <c r="DU98" s="64"/>
      <c r="DV98" s="64"/>
      <c r="DW98" s="64"/>
      <c r="DX98" s="64"/>
    </row>
    <row r="99" spans="2:132" ht="17.25" customHeight="1">
      <c r="AD99" s="64"/>
      <c r="AE99" s="238">
        <v>5</v>
      </c>
      <c r="AF99" s="238">
        <f t="shared" si="86"/>
        <v>0</v>
      </c>
      <c r="AG99" s="238">
        <f t="shared" si="86"/>
        <v>0</v>
      </c>
      <c r="AH99" s="238">
        <f t="shared" si="86"/>
        <v>15</v>
      </c>
      <c r="AI99" s="64">
        <f t="shared" si="58"/>
        <v>0</v>
      </c>
      <c r="AJ99" s="64">
        <f t="shared" si="59"/>
        <v>0</v>
      </c>
      <c r="AK99" s="64">
        <f t="shared" si="60"/>
        <v>0</v>
      </c>
      <c r="AL99" s="64">
        <f t="shared" si="61"/>
        <v>0</v>
      </c>
      <c r="AM99" s="238">
        <f t="shared" si="62"/>
        <v>74150</v>
      </c>
      <c r="AN99" s="64">
        <f t="shared" si="63"/>
        <v>0</v>
      </c>
      <c r="AO99" s="238">
        <f t="shared" si="64"/>
        <v>120000</v>
      </c>
      <c r="AP99" s="238">
        <f t="shared" si="65"/>
        <v>0</v>
      </c>
      <c r="AQ99" s="238">
        <f t="shared" si="66"/>
        <v>668</v>
      </c>
      <c r="AS99" s="269" t="s">
        <v>394</v>
      </c>
      <c r="AT99" s="703">
        <v>3</v>
      </c>
      <c r="AU99" s="238">
        <f>AU98+1</f>
        <v>2</v>
      </c>
      <c r="AV99" s="36">
        <v>0</v>
      </c>
      <c r="AW99" s="36">
        <v>0</v>
      </c>
      <c r="AX99" s="36">
        <v>450</v>
      </c>
      <c r="AY99" s="36">
        <v>2250</v>
      </c>
      <c r="AZ99" s="36">
        <v>5450</v>
      </c>
      <c r="BA99" s="36">
        <v>10450</v>
      </c>
      <c r="BB99" s="36">
        <v>18150</v>
      </c>
      <c r="BC99" s="36">
        <v>29150</v>
      </c>
      <c r="BD99" s="36">
        <v>47150</v>
      </c>
      <c r="BE99" s="36">
        <v>74150</v>
      </c>
      <c r="BF99" s="16">
        <v>12000</v>
      </c>
      <c r="BG99" s="16">
        <v>24000</v>
      </c>
      <c r="BH99" s="16">
        <v>36000</v>
      </c>
      <c r="BI99" s="16">
        <v>48000</v>
      </c>
      <c r="BJ99" s="16">
        <v>60000</v>
      </c>
      <c r="BK99" s="16">
        <v>72000</v>
      </c>
      <c r="BL99" s="16">
        <v>84000</v>
      </c>
      <c r="BM99" s="16">
        <v>96000</v>
      </c>
      <c r="BN99" s="16">
        <v>108000</v>
      </c>
      <c r="BO99" s="16">
        <v>120000</v>
      </c>
      <c r="BP99" s="36">
        <f t="shared" si="67"/>
        <v>112</v>
      </c>
      <c r="BQ99" s="16">
        <f t="shared" si="68"/>
        <v>279</v>
      </c>
      <c r="BR99" s="36">
        <f t="shared" si="69"/>
        <v>359</v>
      </c>
      <c r="BS99" s="16">
        <f t="shared" si="70"/>
        <v>482</v>
      </c>
      <c r="BT99" s="36">
        <f t="shared" si="71"/>
        <v>668</v>
      </c>
      <c r="BV99" s="153">
        <f t="shared" si="72"/>
        <v>111.22499999999999</v>
      </c>
      <c r="BW99" s="153">
        <f t="shared" si="73"/>
        <v>278.0625</v>
      </c>
      <c r="BX99" s="153">
        <f t="shared" si="74"/>
        <v>358.39164195000001</v>
      </c>
      <c r="BY99" s="153">
        <f t="shared" si="75"/>
        <v>481.97500000000002</v>
      </c>
      <c r="BZ99" s="153">
        <f t="shared" si="76"/>
        <v>667.35</v>
      </c>
      <c r="CB99" s="262"/>
      <c r="CC99" s="256"/>
      <c r="CF99" s="236"/>
      <c r="CG99" s="236"/>
      <c r="DF99" s="263" t="s">
        <v>395</v>
      </c>
      <c r="DG99" s="238">
        <f t="shared" si="80"/>
        <v>0</v>
      </c>
      <c r="DH99" s="238">
        <f t="shared" si="84"/>
        <v>0</v>
      </c>
      <c r="DI99" s="238">
        <f t="shared" si="85"/>
        <v>4</v>
      </c>
      <c r="DJ99" s="64">
        <v>32000</v>
      </c>
      <c r="DK99" s="64">
        <v>0</v>
      </c>
      <c r="DL99" s="64">
        <v>0</v>
      </c>
      <c r="DM99" s="64">
        <f t="shared" si="81"/>
        <v>0</v>
      </c>
      <c r="DN99" s="64">
        <f t="shared" si="82"/>
        <v>0</v>
      </c>
      <c r="DO99" s="64">
        <f t="shared" si="83"/>
        <v>0</v>
      </c>
      <c r="DP99" s="263" t="s">
        <v>474</v>
      </c>
      <c r="DQ99" s="238">
        <f>VLOOKUP(X48, DP99:DR101, 3, FALSE)</f>
        <v>0</v>
      </c>
      <c r="DR99" s="238">
        <v>0</v>
      </c>
      <c r="DS99" s="64">
        <v>0</v>
      </c>
      <c r="DT99" s="64">
        <v>0</v>
      </c>
      <c r="DU99" s="64">
        <v>0</v>
      </c>
      <c r="DV99" s="64">
        <f t="shared" ref="DV99:DX101" si="87">IF(($DR99=$DQ99),DS99,0)</f>
        <v>0</v>
      </c>
      <c r="DW99" s="64">
        <f t="shared" si="87"/>
        <v>0</v>
      </c>
      <c r="DX99" s="64">
        <f t="shared" si="87"/>
        <v>0</v>
      </c>
    </row>
    <row r="100" spans="2:132" ht="17.25" customHeight="1">
      <c r="AD100" s="64"/>
      <c r="AE100" s="238">
        <v>6</v>
      </c>
      <c r="AF100" s="238">
        <f t="shared" si="86"/>
        <v>0</v>
      </c>
      <c r="AG100" s="238">
        <f t="shared" si="86"/>
        <v>0</v>
      </c>
      <c r="AH100" s="238">
        <f t="shared" si="86"/>
        <v>15</v>
      </c>
      <c r="AI100" s="64">
        <f t="shared" si="58"/>
        <v>0</v>
      </c>
      <c r="AJ100" s="64">
        <f t="shared" si="59"/>
        <v>0</v>
      </c>
      <c r="AK100" s="64">
        <f t="shared" si="60"/>
        <v>0</v>
      </c>
      <c r="AL100" s="64">
        <f t="shared" si="61"/>
        <v>0</v>
      </c>
      <c r="AM100" s="238">
        <f t="shared" si="62"/>
        <v>115450</v>
      </c>
      <c r="AN100" s="64">
        <f t="shared" si="63"/>
        <v>0</v>
      </c>
      <c r="AO100" s="238">
        <f t="shared" si="64"/>
        <v>150000</v>
      </c>
      <c r="AP100" s="238">
        <f t="shared" si="65"/>
        <v>0</v>
      </c>
      <c r="AQ100" s="238">
        <f t="shared" si="66"/>
        <v>1040</v>
      </c>
      <c r="AS100" s="269" t="s">
        <v>398</v>
      </c>
      <c r="AT100" s="703">
        <v>4</v>
      </c>
      <c r="AU100" s="238">
        <f>AU99+1</f>
        <v>3</v>
      </c>
      <c r="AV100" s="36">
        <v>0</v>
      </c>
      <c r="AW100" s="36">
        <v>0</v>
      </c>
      <c r="AX100" s="36">
        <v>450</v>
      </c>
      <c r="AY100" s="36">
        <v>3150</v>
      </c>
      <c r="AZ100" s="36">
        <v>7650</v>
      </c>
      <c r="BA100" s="36">
        <v>14450</v>
      </c>
      <c r="BB100" s="36">
        <v>25450</v>
      </c>
      <c r="BC100" s="36">
        <v>43450</v>
      </c>
      <c r="BD100" s="36">
        <v>70450</v>
      </c>
      <c r="BE100" s="36">
        <v>115450</v>
      </c>
      <c r="BF100" s="16">
        <v>15000</v>
      </c>
      <c r="BG100" s="16">
        <v>30000</v>
      </c>
      <c r="BH100" s="16">
        <v>45000</v>
      </c>
      <c r="BI100" s="16">
        <v>60000</v>
      </c>
      <c r="BJ100" s="16">
        <v>75000</v>
      </c>
      <c r="BK100" s="16">
        <v>90000</v>
      </c>
      <c r="BL100" s="16">
        <v>105000</v>
      </c>
      <c r="BM100" s="16">
        <v>120000</v>
      </c>
      <c r="BN100" s="16">
        <v>135000</v>
      </c>
      <c r="BO100" s="16">
        <v>150000</v>
      </c>
      <c r="BP100" s="36">
        <f t="shared" si="67"/>
        <v>174</v>
      </c>
      <c r="BQ100" s="16">
        <f t="shared" si="68"/>
        <v>433</v>
      </c>
      <c r="BR100" s="36">
        <f t="shared" si="69"/>
        <v>559</v>
      </c>
      <c r="BS100" s="16">
        <f t="shared" si="70"/>
        <v>751</v>
      </c>
      <c r="BT100" s="36">
        <f t="shared" si="71"/>
        <v>1040</v>
      </c>
      <c r="BV100" s="153">
        <f t="shared" si="72"/>
        <v>173.17500000000001</v>
      </c>
      <c r="BW100" s="153">
        <f t="shared" si="73"/>
        <v>432.9375</v>
      </c>
      <c r="BX100" s="153">
        <f t="shared" si="74"/>
        <v>558.00829485000008</v>
      </c>
      <c r="BY100" s="153">
        <f t="shared" si="75"/>
        <v>750.42499999999995</v>
      </c>
      <c r="BZ100" s="153">
        <f t="shared" si="76"/>
        <v>1039.05</v>
      </c>
      <c r="CH100" s="64"/>
      <c r="CJ100" s="64"/>
      <c r="CK100" s="64"/>
      <c r="CL100" s="64"/>
      <c r="CN100" s="64"/>
      <c r="CO100" s="64"/>
      <c r="DF100" s="263" t="s">
        <v>399</v>
      </c>
      <c r="DG100" s="238">
        <f t="shared" si="80"/>
        <v>0</v>
      </c>
      <c r="DH100" s="238">
        <f t="shared" si="84"/>
        <v>0</v>
      </c>
      <c r="DI100" s="238">
        <f t="shared" si="85"/>
        <v>5</v>
      </c>
      <c r="DJ100" s="64">
        <v>1000</v>
      </c>
      <c r="DK100" s="64">
        <v>0</v>
      </c>
      <c r="DL100" s="64">
        <v>0</v>
      </c>
      <c r="DM100" s="64">
        <f t="shared" si="81"/>
        <v>0</v>
      </c>
      <c r="DN100" s="64">
        <f t="shared" si="82"/>
        <v>0</v>
      </c>
      <c r="DO100" s="64">
        <f t="shared" si="83"/>
        <v>0</v>
      </c>
      <c r="DP100" s="263" t="s">
        <v>540</v>
      </c>
      <c r="DQ100" s="238">
        <f>$DQ$17</f>
        <v>0</v>
      </c>
      <c r="DR100" s="238">
        <f>DR99+1</f>
        <v>1</v>
      </c>
      <c r="DS100" s="64">
        <v>6000</v>
      </c>
      <c r="DT100" s="64">
        <v>0</v>
      </c>
      <c r="DU100" s="64">
        <v>0</v>
      </c>
      <c r="DV100" s="64">
        <f t="shared" si="87"/>
        <v>0</v>
      </c>
      <c r="DW100" s="64">
        <f t="shared" si="87"/>
        <v>0</v>
      </c>
      <c r="DX100" s="64">
        <f t="shared" si="87"/>
        <v>0</v>
      </c>
    </row>
    <row r="101" spans="2:132" ht="17.25" customHeight="1">
      <c r="AD101" s="64"/>
      <c r="AE101" s="238">
        <v>7</v>
      </c>
      <c r="AF101" s="238">
        <f t="shared" si="86"/>
        <v>0</v>
      </c>
      <c r="AG101" s="238">
        <f t="shared" si="86"/>
        <v>0</v>
      </c>
      <c r="AH101" s="238">
        <f t="shared" si="86"/>
        <v>15</v>
      </c>
      <c r="AI101" s="64">
        <f t="shared" si="58"/>
        <v>0</v>
      </c>
      <c r="AJ101" s="64">
        <f t="shared" si="59"/>
        <v>0</v>
      </c>
      <c r="AK101" s="64">
        <f t="shared" si="60"/>
        <v>0</v>
      </c>
      <c r="AL101" s="64">
        <f t="shared" si="61"/>
        <v>0</v>
      </c>
      <c r="AM101" s="238">
        <f t="shared" si="62"/>
        <v>111000</v>
      </c>
      <c r="AN101" s="64">
        <f t="shared" si="63"/>
        <v>0</v>
      </c>
      <c r="AO101" s="238">
        <f t="shared" si="64"/>
        <v>150000</v>
      </c>
      <c r="AP101" s="238">
        <f t="shared" si="65"/>
        <v>0</v>
      </c>
      <c r="AQ101" s="238">
        <f t="shared" si="66"/>
        <v>999</v>
      </c>
      <c r="AS101" s="269" t="s">
        <v>541</v>
      </c>
      <c r="AT101" s="703">
        <v>5</v>
      </c>
      <c r="AU101" s="238">
        <f>AU100+1</f>
        <v>4</v>
      </c>
      <c r="AV101" s="36">
        <v>0</v>
      </c>
      <c r="AW101" s="36">
        <v>0</v>
      </c>
      <c r="AX101" s="36">
        <v>450</v>
      </c>
      <c r="AY101" s="36">
        <v>2700</v>
      </c>
      <c r="AZ101" s="36">
        <v>7500</v>
      </c>
      <c r="BA101" s="36">
        <v>16500</v>
      </c>
      <c r="BB101" s="36">
        <v>30000</v>
      </c>
      <c r="BC101" s="36">
        <v>50250</v>
      </c>
      <c r="BD101" s="36">
        <v>77250</v>
      </c>
      <c r="BE101" s="36">
        <v>111000</v>
      </c>
      <c r="BF101" s="16">
        <v>15000</v>
      </c>
      <c r="BG101" s="16">
        <v>30000</v>
      </c>
      <c r="BH101" s="16">
        <v>45000</v>
      </c>
      <c r="BI101" s="16">
        <v>60000</v>
      </c>
      <c r="BJ101" s="16">
        <v>75000</v>
      </c>
      <c r="BK101" s="16">
        <v>90000</v>
      </c>
      <c r="BL101" s="16">
        <v>105000</v>
      </c>
      <c r="BM101" s="16">
        <v>120000</v>
      </c>
      <c r="BN101" s="16">
        <v>135000</v>
      </c>
      <c r="BO101" s="16">
        <v>150000</v>
      </c>
      <c r="BP101" s="36">
        <f t="shared" si="67"/>
        <v>167</v>
      </c>
      <c r="BQ101" s="16">
        <f t="shared" si="68"/>
        <v>417</v>
      </c>
      <c r="BR101" s="36">
        <f t="shared" si="69"/>
        <v>537</v>
      </c>
      <c r="BS101" s="16">
        <f t="shared" si="70"/>
        <v>722</v>
      </c>
      <c r="BT101" s="36">
        <f t="shared" si="71"/>
        <v>999</v>
      </c>
      <c r="BV101" s="153">
        <f t="shared" si="72"/>
        <v>166.5</v>
      </c>
      <c r="BW101" s="153">
        <f t="shared" si="73"/>
        <v>416.25</v>
      </c>
      <c r="BX101" s="153">
        <f t="shared" si="74"/>
        <v>536.49996299999998</v>
      </c>
      <c r="BY101" s="153">
        <f t="shared" si="75"/>
        <v>721.5</v>
      </c>
      <c r="BZ101" s="153">
        <f t="shared" si="76"/>
        <v>999</v>
      </c>
      <c r="CF101" s="95"/>
      <c r="CG101" s="95"/>
      <c r="CH101" s="64"/>
      <c r="CJ101" s="64"/>
      <c r="CK101" s="64"/>
      <c r="CL101" s="64"/>
      <c r="CN101" s="64"/>
      <c r="CO101" s="64"/>
      <c r="DF101" s="263" t="s">
        <v>403</v>
      </c>
      <c r="DG101" s="238">
        <f t="shared" si="80"/>
        <v>0</v>
      </c>
      <c r="DH101" s="238">
        <f t="shared" si="84"/>
        <v>0</v>
      </c>
      <c r="DI101" s="238">
        <f t="shared" si="85"/>
        <v>6</v>
      </c>
      <c r="DJ101" s="64">
        <v>15000</v>
      </c>
      <c r="DK101" s="64">
        <v>0</v>
      </c>
      <c r="DL101" s="64">
        <v>0</v>
      </c>
      <c r="DM101" s="64">
        <f t="shared" si="81"/>
        <v>0</v>
      </c>
      <c r="DN101" s="64">
        <f t="shared" si="82"/>
        <v>0</v>
      </c>
      <c r="DO101" s="64">
        <f t="shared" si="83"/>
        <v>0</v>
      </c>
      <c r="DP101" s="263" t="s">
        <v>542</v>
      </c>
      <c r="DQ101" s="238">
        <f>$DQ$17</f>
        <v>0</v>
      </c>
      <c r="DR101" s="238">
        <f>DR100+1</f>
        <v>2</v>
      </c>
      <c r="DS101" s="64">
        <v>12000</v>
      </c>
      <c r="DT101" s="64">
        <v>0</v>
      </c>
      <c r="DU101" s="64">
        <v>0</v>
      </c>
      <c r="DV101" s="64">
        <f t="shared" si="87"/>
        <v>0</v>
      </c>
      <c r="DW101" s="64">
        <f t="shared" si="87"/>
        <v>0</v>
      </c>
      <c r="DX101" s="64">
        <f t="shared" si="87"/>
        <v>0</v>
      </c>
    </row>
    <row r="102" spans="2:132" ht="17.25" customHeight="1">
      <c r="AD102" s="64"/>
      <c r="AE102" s="238">
        <v>8</v>
      </c>
      <c r="AF102" s="238">
        <f>D44</f>
        <v>0</v>
      </c>
      <c r="AG102" s="238">
        <f>A30</f>
        <v>0</v>
      </c>
      <c r="AH102" s="238">
        <f>B30</f>
        <v>15</v>
      </c>
      <c r="AI102" s="64">
        <f t="shared" si="58"/>
        <v>0</v>
      </c>
      <c r="AJ102" s="64">
        <f t="shared" si="59"/>
        <v>0</v>
      </c>
      <c r="AK102" s="64">
        <f t="shared" si="60"/>
        <v>0</v>
      </c>
      <c r="AL102" s="64">
        <f t="shared" si="61"/>
        <v>0</v>
      </c>
      <c r="AM102" s="238">
        <f t="shared" si="62"/>
        <v>61450</v>
      </c>
      <c r="AN102" s="64">
        <f t="shared" si="63"/>
        <v>0</v>
      </c>
      <c r="AO102" s="238">
        <f t="shared" si="64"/>
        <v>75000</v>
      </c>
      <c r="AP102" s="238">
        <f t="shared" si="65"/>
        <v>0</v>
      </c>
      <c r="AQ102" s="238">
        <f t="shared" si="66"/>
        <v>554</v>
      </c>
      <c r="AS102" s="278" t="s">
        <v>406</v>
      </c>
      <c r="AT102" s="238">
        <v>1</v>
      </c>
      <c r="AU102" s="238">
        <v>0</v>
      </c>
      <c r="AV102" s="36">
        <v>0</v>
      </c>
      <c r="AW102" s="36">
        <v>0</v>
      </c>
      <c r="AX102" s="36">
        <v>450</v>
      </c>
      <c r="AY102" s="36">
        <v>1850</v>
      </c>
      <c r="AZ102" s="36">
        <v>4150</v>
      </c>
      <c r="BA102" s="36">
        <v>7550</v>
      </c>
      <c r="BB102" s="36">
        <v>15450</v>
      </c>
      <c r="BC102" s="36">
        <v>24450</v>
      </c>
      <c r="BD102" s="36">
        <v>38450</v>
      </c>
      <c r="BE102" s="36">
        <v>61450</v>
      </c>
      <c r="BF102" s="16">
        <v>7500</v>
      </c>
      <c r="BG102" s="16">
        <v>15000</v>
      </c>
      <c r="BH102" s="16">
        <v>22500</v>
      </c>
      <c r="BI102" s="16">
        <v>30000</v>
      </c>
      <c r="BJ102" s="16">
        <v>37500</v>
      </c>
      <c r="BK102" s="16">
        <v>45000</v>
      </c>
      <c r="BL102" s="16">
        <v>52500</v>
      </c>
      <c r="BM102" s="16">
        <v>60000</v>
      </c>
      <c r="BN102" s="16">
        <v>67500</v>
      </c>
      <c r="BO102" s="16">
        <v>75000</v>
      </c>
      <c r="BP102" s="36">
        <f t="shared" si="67"/>
        <v>93</v>
      </c>
      <c r="BQ102" s="16">
        <f t="shared" si="68"/>
        <v>231</v>
      </c>
      <c r="BR102" s="36">
        <f t="shared" si="69"/>
        <v>298</v>
      </c>
      <c r="BS102" s="16">
        <f t="shared" si="70"/>
        <v>400</v>
      </c>
      <c r="BT102" s="36">
        <f t="shared" si="71"/>
        <v>554</v>
      </c>
      <c r="BV102" s="153">
        <f t="shared" si="72"/>
        <v>92.174999999999997</v>
      </c>
      <c r="BW102" s="153">
        <f t="shared" si="73"/>
        <v>230.4375</v>
      </c>
      <c r="BX102" s="153">
        <f t="shared" si="74"/>
        <v>297.00831285000004</v>
      </c>
      <c r="BY102" s="153">
        <f t="shared" si="75"/>
        <v>399.42500000000001</v>
      </c>
      <c r="BZ102" s="153">
        <f t="shared" si="76"/>
        <v>553.04999999999995</v>
      </c>
      <c r="CF102" s="95"/>
      <c r="CG102" s="95"/>
      <c r="CH102" s="64"/>
      <c r="CL102" s="64"/>
      <c r="CN102" s="64"/>
      <c r="CO102" s="64"/>
      <c r="DF102" s="263" t="s">
        <v>407</v>
      </c>
      <c r="DG102" s="238">
        <f t="shared" si="80"/>
        <v>0</v>
      </c>
      <c r="DH102" s="238">
        <f t="shared" si="84"/>
        <v>0</v>
      </c>
      <c r="DI102" s="238">
        <f t="shared" si="85"/>
        <v>7</v>
      </c>
      <c r="DJ102" s="64">
        <v>40000</v>
      </c>
      <c r="DK102" s="64">
        <v>0</v>
      </c>
      <c r="DL102" s="64">
        <v>0</v>
      </c>
      <c r="DM102" s="64">
        <f t="shared" si="81"/>
        <v>0</v>
      </c>
      <c r="DN102" s="64">
        <f t="shared" si="82"/>
        <v>0</v>
      </c>
      <c r="DO102" s="64">
        <f t="shared" si="83"/>
        <v>0</v>
      </c>
      <c r="DP102" s="263"/>
      <c r="DQ102" s="238"/>
      <c r="DR102" s="238"/>
      <c r="DS102" s="64"/>
      <c r="DT102" s="64"/>
      <c r="DU102" s="64"/>
      <c r="DV102" s="64"/>
      <c r="DW102" s="64"/>
      <c r="DX102" s="64"/>
    </row>
    <row r="103" spans="2:132" ht="17.25" customHeight="1">
      <c r="AD103" s="64"/>
      <c r="AE103" s="238">
        <v>9</v>
      </c>
      <c r="AF103" s="238">
        <f t="shared" ref="AF103:AH108" si="88">AF$102</f>
        <v>0</v>
      </c>
      <c r="AG103" s="238">
        <f t="shared" si="88"/>
        <v>0</v>
      </c>
      <c r="AH103" s="238">
        <f t="shared" si="88"/>
        <v>15</v>
      </c>
      <c r="AI103" s="64">
        <f t="shared" si="58"/>
        <v>0</v>
      </c>
      <c r="AJ103" s="64">
        <f t="shared" si="59"/>
        <v>0</v>
      </c>
      <c r="AK103" s="64">
        <f t="shared" si="60"/>
        <v>0</v>
      </c>
      <c r="AL103" s="64">
        <f t="shared" si="61"/>
        <v>0</v>
      </c>
      <c r="AM103" s="238">
        <f t="shared" si="62"/>
        <v>61450</v>
      </c>
      <c r="AN103" s="64">
        <f t="shared" si="63"/>
        <v>0</v>
      </c>
      <c r="AO103" s="238">
        <f t="shared" si="64"/>
        <v>75000</v>
      </c>
      <c r="AP103" s="238">
        <f t="shared" si="65"/>
        <v>0</v>
      </c>
      <c r="AQ103" s="238">
        <f t="shared" si="66"/>
        <v>554</v>
      </c>
      <c r="AS103" s="278" t="s">
        <v>411</v>
      </c>
      <c r="AT103" s="238">
        <v>2</v>
      </c>
      <c r="AU103" s="238">
        <f t="shared" ref="AU103:AU108" si="89">AU102+1</f>
        <v>1</v>
      </c>
      <c r="AV103" s="36">
        <v>0</v>
      </c>
      <c r="AW103" s="36">
        <v>0</v>
      </c>
      <c r="AX103" s="36">
        <v>450</v>
      </c>
      <c r="AY103" s="36">
        <v>1850</v>
      </c>
      <c r="AZ103" s="36">
        <v>4150</v>
      </c>
      <c r="BA103" s="36">
        <v>7550</v>
      </c>
      <c r="BB103" s="36">
        <v>15450</v>
      </c>
      <c r="BC103" s="36">
        <v>24450</v>
      </c>
      <c r="BD103" s="36">
        <v>38450</v>
      </c>
      <c r="BE103" s="36">
        <v>61450</v>
      </c>
      <c r="BF103" s="16">
        <v>7500</v>
      </c>
      <c r="BG103" s="16">
        <v>15000</v>
      </c>
      <c r="BH103" s="16">
        <v>22500</v>
      </c>
      <c r="BI103" s="16">
        <v>30000</v>
      </c>
      <c r="BJ103" s="16">
        <v>37500</v>
      </c>
      <c r="BK103" s="16">
        <v>45000</v>
      </c>
      <c r="BL103" s="16">
        <v>52500</v>
      </c>
      <c r="BM103" s="16">
        <v>60000</v>
      </c>
      <c r="BN103" s="16">
        <v>67500</v>
      </c>
      <c r="BO103" s="16">
        <v>75000</v>
      </c>
      <c r="BP103" s="36">
        <f t="shared" si="67"/>
        <v>93</v>
      </c>
      <c r="BQ103" s="16">
        <f t="shared" si="68"/>
        <v>231</v>
      </c>
      <c r="BR103" s="36">
        <f t="shared" si="69"/>
        <v>298</v>
      </c>
      <c r="BS103" s="16">
        <f t="shared" si="70"/>
        <v>400</v>
      </c>
      <c r="BT103" s="36">
        <f t="shared" si="71"/>
        <v>554</v>
      </c>
      <c r="BV103" s="153">
        <f t="shared" si="72"/>
        <v>92.174999999999997</v>
      </c>
      <c r="BW103" s="153">
        <f t="shared" si="73"/>
        <v>230.4375</v>
      </c>
      <c r="BX103" s="153">
        <f t="shared" si="74"/>
        <v>297.00831285000004</v>
      </c>
      <c r="BY103" s="153">
        <f t="shared" si="75"/>
        <v>399.42500000000001</v>
      </c>
      <c r="BZ103" s="153">
        <f t="shared" si="76"/>
        <v>553.04999999999995</v>
      </c>
      <c r="CF103" s="95"/>
      <c r="CG103" s="95"/>
      <c r="CH103" s="64"/>
      <c r="CJ103" s="64"/>
      <c r="CK103" s="64"/>
      <c r="CL103" s="64"/>
      <c r="CN103" s="64"/>
      <c r="CO103" s="64"/>
      <c r="DF103" s="263" t="s">
        <v>412</v>
      </c>
      <c r="DG103" s="238">
        <f t="shared" si="80"/>
        <v>0</v>
      </c>
      <c r="DH103" s="238">
        <f t="shared" si="84"/>
        <v>0</v>
      </c>
      <c r="DI103" s="238">
        <f t="shared" si="85"/>
        <v>8</v>
      </c>
      <c r="DJ103" s="64">
        <v>3000</v>
      </c>
      <c r="DK103" s="64">
        <v>0</v>
      </c>
      <c r="DL103" s="64">
        <v>0</v>
      </c>
      <c r="DM103" s="64">
        <f t="shared" si="81"/>
        <v>0</v>
      </c>
      <c r="DN103" s="64">
        <f t="shared" si="82"/>
        <v>0</v>
      </c>
      <c r="DO103" s="64">
        <f t="shared" si="83"/>
        <v>0</v>
      </c>
      <c r="DP103" s="263" t="s">
        <v>477</v>
      </c>
      <c r="DQ103" s="238">
        <f>VLOOKUP(X49, DP103:DR107, 3, FALSE)</f>
        <v>0</v>
      </c>
      <c r="DR103" s="238">
        <v>0</v>
      </c>
      <c r="DS103" s="64">
        <v>0</v>
      </c>
      <c r="DT103" s="64">
        <v>0</v>
      </c>
      <c r="DU103" s="64">
        <v>0</v>
      </c>
      <c r="DV103" s="64">
        <f t="shared" ref="DV103:DX107" si="90">IF(($DR103=$DQ103),DS103,0)</f>
        <v>0</v>
      </c>
      <c r="DW103" s="64">
        <f t="shared" si="90"/>
        <v>0</v>
      </c>
      <c r="DX103" s="64">
        <f t="shared" si="90"/>
        <v>0</v>
      </c>
    </row>
    <row r="104" spans="2:132" ht="17.25" customHeight="1">
      <c r="B104" s="155"/>
      <c r="C104" s="155"/>
      <c r="AD104" s="64"/>
      <c r="AE104" s="238">
        <v>10</v>
      </c>
      <c r="AF104" s="238">
        <f t="shared" si="88"/>
        <v>0</v>
      </c>
      <c r="AG104" s="238">
        <f t="shared" si="88"/>
        <v>0</v>
      </c>
      <c r="AH104" s="238">
        <f t="shared" si="88"/>
        <v>15</v>
      </c>
      <c r="AI104" s="64">
        <f t="shared" si="58"/>
        <v>0</v>
      </c>
      <c r="AJ104" s="64">
        <f t="shared" si="59"/>
        <v>0</v>
      </c>
      <c r="AK104" s="64">
        <f t="shared" si="60"/>
        <v>0</v>
      </c>
      <c r="AL104" s="64">
        <f t="shared" si="61"/>
        <v>0</v>
      </c>
      <c r="AM104" s="238">
        <f t="shared" si="62"/>
        <v>77700</v>
      </c>
      <c r="AN104" s="64">
        <f t="shared" si="63"/>
        <v>0</v>
      </c>
      <c r="AO104" s="238">
        <f t="shared" si="64"/>
        <v>100000</v>
      </c>
      <c r="AP104" s="238">
        <f t="shared" si="65"/>
        <v>0</v>
      </c>
      <c r="AQ104" s="238">
        <f t="shared" si="66"/>
        <v>700</v>
      </c>
      <c r="AS104" s="278" t="s">
        <v>415</v>
      </c>
      <c r="AT104" s="703">
        <v>3</v>
      </c>
      <c r="AU104" s="238">
        <f t="shared" si="89"/>
        <v>2</v>
      </c>
      <c r="AV104" s="36">
        <v>0</v>
      </c>
      <c r="AW104" s="36">
        <v>0</v>
      </c>
      <c r="AX104" s="36">
        <v>900</v>
      </c>
      <c r="AY104" s="36">
        <v>2700</v>
      </c>
      <c r="AZ104" s="36">
        <v>5700</v>
      </c>
      <c r="BA104" s="36">
        <v>10200</v>
      </c>
      <c r="BB104" s="36">
        <v>17700</v>
      </c>
      <c r="BC104" s="36">
        <v>29700</v>
      </c>
      <c r="BD104" s="36">
        <v>47700</v>
      </c>
      <c r="BE104" s="36">
        <v>77700</v>
      </c>
      <c r="BF104" s="16">
        <v>10000</v>
      </c>
      <c r="BG104" s="16">
        <v>20000</v>
      </c>
      <c r="BH104" s="16">
        <v>30000</v>
      </c>
      <c r="BI104" s="16">
        <v>40000</v>
      </c>
      <c r="BJ104" s="16">
        <v>50000</v>
      </c>
      <c r="BK104" s="16">
        <v>60000</v>
      </c>
      <c r="BL104" s="16">
        <v>70000</v>
      </c>
      <c r="BM104" s="16">
        <v>80000</v>
      </c>
      <c r="BN104" s="16">
        <v>90000</v>
      </c>
      <c r="BO104" s="16">
        <v>100000</v>
      </c>
      <c r="BP104" s="36">
        <f t="shared" si="67"/>
        <v>117</v>
      </c>
      <c r="BQ104" s="16">
        <f t="shared" si="68"/>
        <v>292</v>
      </c>
      <c r="BR104" s="36">
        <f t="shared" si="69"/>
        <v>376</v>
      </c>
      <c r="BS104" s="16">
        <f t="shared" si="70"/>
        <v>506</v>
      </c>
      <c r="BT104" s="36">
        <f t="shared" si="71"/>
        <v>700</v>
      </c>
      <c r="BV104" s="153">
        <f t="shared" si="72"/>
        <v>116.55</v>
      </c>
      <c r="BW104" s="153">
        <f t="shared" si="73"/>
        <v>291.375</v>
      </c>
      <c r="BX104" s="153">
        <f t="shared" si="74"/>
        <v>375.54997410000004</v>
      </c>
      <c r="BY104" s="153">
        <f t="shared" si="75"/>
        <v>505.05</v>
      </c>
      <c r="BZ104" s="153">
        <f t="shared" si="76"/>
        <v>699.3</v>
      </c>
      <c r="CB104" s="262"/>
      <c r="CC104" s="256"/>
      <c r="CF104" s="236"/>
      <c r="CG104" s="236"/>
      <c r="DF104" s="263" t="s">
        <v>416</v>
      </c>
      <c r="DG104" s="238">
        <f t="shared" si="80"/>
        <v>0</v>
      </c>
      <c r="DH104" s="238">
        <f t="shared" si="84"/>
        <v>0</v>
      </c>
      <c r="DI104" s="238">
        <f t="shared" si="85"/>
        <v>9</v>
      </c>
      <c r="DJ104" s="64">
        <v>22000</v>
      </c>
      <c r="DK104" s="64">
        <v>0</v>
      </c>
      <c r="DL104" s="64">
        <v>0</v>
      </c>
      <c r="DM104" s="64">
        <f t="shared" si="81"/>
        <v>0</v>
      </c>
      <c r="DN104" s="64">
        <f t="shared" si="82"/>
        <v>0</v>
      </c>
      <c r="DO104" s="64">
        <f t="shared" si="83"/>
        <v>0</v>
      </c>
      <c r="DP104" s="263" t="s">
        <v>543</v>
      </c>
      <c r="DQ104" s="238">
        <f>$DQ$21</f>
        <v>0</v>
      </c>
      <c r="DR104" s="238">
        <f>DR103+1</f>
        <v>1</v>
      </c>
      <c r="DS104" s="64">
        <v>6000</v>
      </c>
      <c r="DT104" s="64">
        <v>0</v>
      </c>
      <c r="DU104" s="64">
        <v>0</v>
      </c>
      <c r="DV104" s="64">
        <f t="shared" si="90"/>
        <v>0</v>
      </c>
      <c r="DW104" s="64">
        <f t="shared" si="90"/>
        <v>0</v>
      </c>
      <c r="DX104" s="64">
        <f t="shared" si="90"/>
        <v>0</v>
      </c>
    </row>
    <row r="105" spans="2:132" ht="17.25" customHeight="1">
      <c r="B105" s="155"/>
      <c r="C105" s="155"/>
      <c r="AD105" s="64"/>
      <c r="AE105" s="238">
        <v>11</v>
      </c>
      <c r="AF105" s="238">
        <f t="shared" si="88"/>
        <v>0</v>
      </c>
      <c r="AG105" s="238">
        <f t="shared" si="88"/>
        <v>0</v>
      </c>
      <c r="AH105" s="238">
        <f t="shared" si="88"/>
        <v>15</v>
      </c>
      <c r="AI105" s="64">
        <f t="shared" si="58"/>
        <v>0</v>
      </c>
      <c r="AJ105" s="64">
        <f t="shared" si="59"/>
        <v>0</v>
      </c>
      <c r="AK105" s="64">
        <f t="shared" si="60"/>
        <v>0</v>
      </c>
      <c r="AL105" s="64">
        <f t="shared" si="61"/>
        <v>0</v>
      </c>
      <c r="AM105" s="238">
        <f t="shared" si="62"/>
        <v>77700</v>
      </c>
      <c r="AN105" s="64">
        <f t="shared" si="63"/>
        <v>0</v>
      </c>
      <c r="AO105" s="238">
        <f t="shared" si="64"/>
        <v>100000</v>
      </c>
      <c r="AP105" s="238">
        <f t="shared" si="65"/>
        <v>0</v>
      </c>
      <c r="AQ105" s="238">
        <f t="shared" si="66"/>
        <v>700</v>
      </c>
      <c r="AS105" s="278" t="s">
        <v>392</v>
      </c>
      <c r="AT105" s="703">
        <v>4</v>
      </c>
      <c r="AU105" s="238">
        <f t="shared" si="89"/>
        <v>3</v>
      </c>
      <c r="AV105" s="36">
        <v>0</v>
      </c>
      <c r="AW105" s="36">
        <v>0</v>
      </c>
      <c r="AX105" s="36">
        <v>900</v>
      </c>
      <c r="AY105" s="36">
        <v>2700</v>
      </c>
      <c r="AZ105" s="36">
        <v>5700</v>
      </c>
      <c r="BA105" s="36">
        <v>10200</v>
      </c>
      <c r="BB105" s="36">
        <v>17700</v>
      </c>
      <c r="BC105" s="36">
        <v>29700</v>
      </c>
      <c r="BD105" s="36">
        <v>47700</v>
      </c>
      <c r="BE105" s="36">
        <v>77700</v>
      </c>
      <c r="BF105" s="16">
        <v>10000</v>
      </c>
      <c r="BG105" s="16">
        <v>20000</v>
      </c>
      <c r="BH105" s="16">
        <v>30000</v>
      </c>
      <c r="BI105" s="16">
        <v>40000</v>
      </c>
      <c r="BJ105" s="16">
        <v>50000</v>
      </c>
      <c r="BK105" s="16">
        <v>60000</v>
      </c>
      <c r="BL105" s="16">
        <v>70000</v>
      </c>
      <c r="BM105" s="16">
        <v>80000</v>
      </c>
      <c r="BN105" s="16">
        <v>90000</v>
      </c>
      <c r="BO105" s="16">
        <v>100000</v>
      </c>
      <c r="BP105" s="36">
        <f t="shared" si="67"/>
        <v>117</v>
      </c>
      <c r="BQ105" s="16">
        <f t="shared" si="68"/>
        <v>292</v>
      </c>
      <c r="BR105" s="36">
        <f t="shared" si="69"/>
        <v>376</v>
      </c>
      <c r="BS105" s="16">
        <f t="shared" si="70"/>
        <v>506</v>
      </c>
      <c r="BT105" s="36">
        <f t="shared" si="71"/>
        <v>700</v>
      </c>
      <c r="BV105" s="153">
        <f t="shared" si="72"/>
        <v>116.55</v>
      </c>
      <c r="BW105" s="153">
        <f t="shared" si="73"/>
        <v>291.375</v>
      </c>
      <c r="BX105" s="153">
        <f t="shared" si="74"/>
        <v>375.54997410000004</v>
      </c>
      <c r="BY105" s="153">
        <f t="shared" si="75"/>
        <v>505.05</v>
      </c>
      <c r="BZ105" s="153">
        <f t="shared" si="76"/>
        <v>699.3</v>
      </c>
      <c r="CH105" s="64"/>
      <c r="CL105" s="64"/>
      <c r="CN105" s="64"/>
      <c r="CO105" s="64"/>
      <c r="DF105" s="263" t="s">
        <v>419</v>
      </c>
      <c r="DG105" s="238">
        <f t="shared" si="80"/>
        <v>0</v>
      </c>
      <c r="DH105" s="238">
        <f t="shared" si="84"/>
        <v>0</v>
      </c>
      <c r="DI105" s="238">
        <f t="shared" si="85"/>
        <v>10</v>
      </c>
      <c r="DJ105" s="64">
        <v>3000</v>
      </c>
      <c r="DK105" s="64">
        <v>0</v>
      </c>
      <c r="DL105" s="64">
        <v>0</v>
      </c>
      <c r="DM105" s="64">
        <f t="shared" si="81"/>
        <v>0</v>
      </c>
      <c r="DN105" s="64">
        <f t="shared" si="82"/>
        <v>0</v>
      </c>
      <c r="DO105" s="64">
        <f t="shared" si="83"/>
        <v>0</v>
      </c>
      <c r="DP105" s="263" t="s">
        <v>544</v>
      </c>
      <c r="DQ105" s="238">
        <f>$DQ$21</f>
        <v>0</v>
      </c>
      <c r="DR105" s="238">
        <f>DR104+1</f>
        <v>2</v>
      </c>
      <c r="DS105" s="64">
        <v>7500</v>
      </c>
      <c r="DT105" s="64">
        <v>0</v>
      </c>
      <c r="DU105" s="64">
        <v>0</v>
      </c>
      <c r="DV105" s="64">
        <f t="shared" si="90"/>
        <v>0</v>
      </c>
      <c r="DW105" s="64">
        <f t="shared" si="90"/>
        <v>0</v>
      </c>
      <c r="DX105" s="64">
        <f t="shared" si="90"/>
        <v>0</v>
      </c>
    </row>
    <row r="106" spans="2:132" ht="17.25" customHeight="1">
      <c r="AD106" s="64"/>
      <c r="AE106" s="238">
        <v>12</v>
      </c>
      <c r="AF106" s="238">
        <f t="shared" si="88"/>
        <v>0</v>
      </c>
      <c r="AG106" s="238">
        <f t="shared" si="88"/>
        <v>0</v>
      </c>
      <c r="AH106" s="238">
        <f t="shared" si="88"/>
        <v>15</v>
      </c>
      <c r="AI106" s="64">
        <f t="shared" si="58"/>
        <v>0</v>
      </c>
      <c r="AJ106" s="64">
        <f t="shared" si="59"/>
        <v>0</v>
      </c>
      <c r="AK106" s="64">
        <f t="shared" si="60"/>
        <v>0</v>
      </c>
      <c r="AL106" s="64">
        <f t="shared" si="61"/>
        <v>0</v>
      </c>
      <c r="AM106" s="238">
        <f t="shared" si="62"/>
        <v>61680</v>
      </c>
      <c r="AN106" s="64">
        <f t="shared" si="63"/>
        <v>0</v>
      </c>
      <c r="AO106" s="238">
        <f t="shared" si="64"/>
        <v>75000</v>
      </c>
      <c r="AP106" s="238">
        <f t="shared" si="65"/>
        <v>0</v>
      </c>
      <c r="AQ106" s="238">
        <f t="shared" si="66"/>
        <v>556</v>
      </c>
      <c r="AS106" s="278" t="s">
        <v>422</v>
      </c>
      <c r="AT106" s="703">
        <v>5</v>
      </c>
      <c r="AU106" s="238">
        <f t="shared" si="89"/>
        <v>4</v>
      </c>
      <c r="AV106" s="36">
        <v>0</v>
      </c>
      <c r="AW106" s="36">
        <v>0</v>
      </c>
      <c r="AX106" s="36">
        <v>680</v>
      </c>
      <c r="AY106" s="36">
        <v>2080</v>
      </c>
      <c r="AZ106" s="36">
        <v>4380</v>
      </c>
      <c r="BA106" s="36">
        <v>7780</v>
      </c>
      <c r="BB106" s="36">
        <v>15680</v>
      </c>
      <c r="BC106" s="36">
        <v>24680</v>
      </c>
      <c r="BD106" s="36">
        <v>38680</v>
      </c>
      <c r="BE106" s="36">
        <v>61680</v>
      </c>
      <c r="BF106" s="16">
        <v>7500</v>
      </c>
      <c r="BG106" s="16">
        <v>15000</v>
      </c>
      <c r="BH106" s="16">
        <v>22500</v>
      </c>
      <c r="BI106" s="16">
        <v>30000</v>
      </c>
      <c r="BJ106" s="16">
        <v>37500</v>
      </c>
      <c r="BK106" s="16">
        <v>45000</v>
      </c>
      <c r="BL106" s="16">
        <v>52500</v>
      </c>
      <c r="BM106" s="16">
        <v>60000</v>
      </c>
      <c r="BN106" s="16">
        <v>67500</v>
      </c>
      <c r="BO106" s="16">
        <v>75000</v>
      </c>
      <c r="BP106" s="36">
        <f t="shared" si="67"/>
        <v>93</v>
      </c>
      <c r="BQ106" s="16">
        <f t="shared" si="68"/>
        <v>232</v>
      </c>
      <c r="BR106" s="36">
        <f t="shared" si="69"/>
        <v>299</v>
      </c>
      <c r="BS106" s="16">
        <f t="shared" si="70"/>
        <v>401</v>
      </c>
      <c r="BT106" s="36">
        <f t="shared" si="71"/>
        <v>556</v>
      </c>
      <c r="BV106" s="153">
        <f t="shared" si="72"/>
        <v>92.52</v>
      </c>
      <c r="BW106" s="153">
        <f t="shared" si="73"/>
        <v>231.3</v>
      </c>
      <c r="BX106" s="153">
        <f t="shared" si="74"/>
        <v>298.11997944000001</v>
      </c>
      <c r="BY106" s="153">
        <f t="shared" si="75"/>
        <v>400.91999999999996</v>
      </c>
      <c r="BZ106" s="153">
        <f t="shared" si="76"/>
        <v>555.12</v>
      </c>
      <c r="CF106" s="95"/>
      <c r="CG106" s="95"/>
      <c r="CH106" s="64"/>
      <c r="CJ106" s="64"/>
      <c r="CK106" s="64"/>
      <c r="CL106" s="64"/>
      <c r="CN106" s="64"/>
      <c r="CO106" s="64"/>
      <c r="DF106" s="263" t="s">
        <v>423</v>
      </c>
      <c r="DG106" s="238">
        <f t="shared" si="80"/>
        <v>0</v>
      </c>
      <c r="DH106" s="238">
        <f t="shared" si="84"/>
        <v>0</v>
      </c>
      <c r="DI106" s="238">
        <f t="shared" si="85"/>
        <v>11</v>
      </c>
      <c r="DJ106" s="64">
        <v>15000</v>
      </c>
      <c r="DK106" s="64">
        <v>0</v>
      </c>
      <c r="DL106" s="64">
        <v>0</v>
      </c>
      <c r="DM106" s="64">
        <f t="shared" si="81"/>
        <v>0</v>
      </c>
      <c r="DN106" s="64">
        <f t="shared" si="82"/>
        <v>0</v>
      </c>
      <c r="DO106" s="64">
        <f t="shared" si="83"/>
        <v>0</v>
      </c>
      <c r="DP106" s="263" t="s">
        <v>545</v>
      </c>
      <c r="DQ106" s="238">
        <f>$DQ$21</f>
        <v>0</v>
      </c>
      <c r="DR106" s="238">
        <f>DR105+1</f>
        <v>3</v>
      </c>
      <c r="DS106" s="64">
        <v>12000</v>
      </c>
      <c r="DT106" s="64">
        <v>0</v>
      </c>
      <c r="DU106" s="64">
        <v>0</v>
      </c>
      <c r="DV106" s="64">
        <f t="shared" si="90"/>
        <v>0</v>
      </c>
      <c r="DW106" s="64">
        <f t="shared" si="90"/>
        <v>0</v>
      </c>
      <c r="DX106" s="64">
        <f t="shared" si="90"/>
        <v>0</v>
      </c>
    </row>
    <row r="107" spans="2:132" ht="17.25" customHeight="1">
      <c r="AD107" s="64"/>
      <c r="AE107" s="238">
        <v>13</v>
      </c>
      <c r="AF107" s="238">
        <f t="shared" si="88"/>
        <v>0</v>
      </c>
      <c r="AG107" s="238">
        <f t="shared" si="88"/>
        <v>0</v>
      </c>
      <c r="AH107" s="238">
        <f t="shared" si="88"/>
        <v>15</v>
      </c>
      <c r="AI107" s="64">
        <f t="shared" si="58"/>
        <v>0</v>
      </c>
      <c r="AJ107" s="64">
        <f t="shared" si="59"/>
        <v>0</v>
      </c>
      <c r="AK107" s="64">
        <f t="shared" si="60"/>
        <v>0</v>
      </c>
      <c r="AL107" s="64">
        <f t="shared" si="61"/>
        <v>0</v>
      </c>
      <c r="AM107" s="238">
        <f t="shared" si="62"/>
        <v>61680</v>
      </c>
      <c r="AN107" s="64">
        <f t="shared" si="63"/>
        <v>0</v>
      </c>
      <c r="AO107" s="238">
        <f t="shared" si="64"/>
        <v>75000</v>
      </c>
      <c r="AP107" s="238">
        <f t="shared" si="65"/>
        <v>0</v>
      </c>
      <c r="AQ107" s="238">
        <f t="shared" si="66"/>
        <v>556</v>
      </c>
      <c r="AS107" s="278" t="s">
        <v>426</v>
      </c>
      <c r="AT107" s="703">
        <v>6</v>
      </c>
      <c r="AU107" s="238">
        <f t="shared" si="89"/>
        <v>5</v>
      </c>
      <c r="AV107" s="36">
        <v>0</v>
      </c>
      <c r="AW107" s="36">
        <v>0</v>
      </c>
      <c r="AX107" s="36">
        <v>680</v>
      </c>
      <c r="AY107" s="36">
        <v>2080</v>
      </c>
      <c r="AZ107" s="36">
        <v>4380</v>
      </c>
      <c r="BA107" s="36">
        <v>7780</v>
      </c>
      <c r="BB107" s="36">
        <v>15680</v>
      </c>
      <c r="BC107" s="36">
        <v>24680</v>
      </c>
      <c r="BD107" s="36">
        <v>38680</v>
      </c>
      <c r="BE107" s="36">
        <v>61680</v>
      </c>
      <c r="BF107" s="16">
        <v>7500</v>
      </c>
      <c r="BG107" s="16">
        <v>15000</v>
      </c>
      <c r="BH107" s="16">
        <v>22500</v>
      </c>
      <c r="BI107" s="16">
        <v>30000</v>
      </c>
      <c r="BJ107" s="16">
        <v>37500</v>
      </c>
      <c r="BK107" s="16">
        <v>45000</v>
      </c>
      <c r="BL107" s="16">
        <v>52500</v>
      </c>
      <c r="BM107" s="16">
        <v>60000</v>
      </c>
      <c r="BN107" s="16">
        <v>67500</v>
      </c>
      <c r="BO107" s="16">
        <v>75000</v>
      </c>
      <c r="BP107" s="36">
        <f t="shared" si="67"/>
        <v>93</v>
      </c>
      <c r="BQ107" s="16">
        <f t="shared" si="68"/>
        <v>232</v>
      </c>
      <c r="BR107" s="36">
        <f t="shared" si="69"/>
        <v>299</v>
      </c>
      <c r="BS107" s="16">
        <f t="shared" si="70"/>
        <v>401</v>
      </c>
      <c r="BT107" s="36">
        <f t="shared" si="71"/>
        <v>556</v>
      </c>
      <c r="BV107" s="153">
        <f t="shared" si="72"/>
        <v>92.52</v>
      </c>
      <c r="BW107" s="153">
        <f t="shared" si="73"/>
        <v>231.3</v>
      </c>
      <c r="BX107" s="153">
        <f t="shared" si="74"/>
        <v>298.11997944000001</v>
      </c>
      <c r="BY107" s="153">
        <f t="shared" si="75"/>
        <v>400.91999999999996</v>
      </c>
      <c r="BZ107" s="153">
        <f t="shared" si="76"/>
        <v>555.12</v>
      </c>
      <c r="CF107" s="95"/>
      <c r="CG107" s="95"/>
      <c r="CH107" s="64"/>
      <c r="CJ107" s="64"/>
      <c r="CK107" s="64"/>
      <c r="CL107" s="64"/>
      <c r="CN107" s="64"/>
      <c r="CO107" s="64"/>
      <c r="DF107" s="263" t="s">
        <v>427</v>
      </c>
      <c r="DG107" s="238">
        <f t="shared" si="80"/>
        <v>0</v>
      </c>
      <c r="DH107" s="238">
        <f t="shared" si="84"/>
        <v>0</v>
      </c>
      <c r="DI107" s="238">
        <f t="shared" si="85"/>
        <v>12</v>
      </c>
      <c r="DJ107" s="64">
        <v>12000</v>
      </c>
      <c r="DK107" s="64">
        <v>0</v>
      </c>
      <c r="DL107" s="64">
        <v>0</v>
      </c>
      <c r="DM107" s="64">
        <f t="shared" si="81"/>
        <v>0</v>
      </c>
      <c r="DN107" s="64">
        <f t="shared" si="82"/>
        <v>0</v>
      </c>
      <c r="DO107" s="64">
        <f t="shared" si="83"/>
        <v>0</v>
      </c>
      <c r="DP107" s="263" t="s">
        <v>546</v>
      </c>
      <c r="DQ107" s="238">
        <f>$DQ$21</f>
        <v>0</v>
      </c>
      <c r="DR107" s="238">
        <f>DR106+1</f>
        <v>4</v>
      </c>
      <c r="DS107" s="64">
        <v>12000</v>
      </c>
      <c r="DT107" s="64">
        <v>0</v>
      </c>
      <c r="DU107" s="64">
        <v>0</v>
      </c>
      <c r="DV107" s="64">
        <f t="shared" si="90"/>
        <v>0</v>
      </c>
      <c r="DW107" s="64">
        <f t="shared" si="90"/>
        <v>0</v>
      </c>
      <c r="DX107" s="64">
        <f t="shared" si="90"/>
        <v>0</v>
      </c>
    </row>
    <row r="108" spans="2:132" ht="17.25" customHeight="1">
      <c r="L108" s="288"/>
      <c r="M108" s="288"/>
      <c r="N108" s="288"/>
      <c r="O108" s="288"/>
      <c r="P108" s="288"/>
      <c r="Q108" s="288"/>
      <c r="R108" s="288"/>
      <c r="S108" s="288"/>
      <c r="T108" s="288"/>
      <c r="U108" s="288"/>
      <c r="V108" s="288"/>
      <c r="AD108" s="64"/>
      <c r="AE108" s="238">
        <v>14</v>
      </c>
      <c r="AF108" s="238">
        <f t="shared" si="88"/>
        <v>0</v>
      </c>
      <c r="AG108" s="238">
        <f t="shared" si="88"/>
        <v>0</v>
      </c>
      <c r="AH108" s="238">
        <f t="shared" si="88"/>
        <v>15</v>
      </c>
      <c r="AI108" s="64">
        <f t="shared" si="58"/>
        <v>0</v>
      </c>
      <c r="AJ108" s="64">
        <f t="shared" si="59"/>
        <v>0</v>
      </c>
      <c r="AK108" s="64">
        <f t="shared" si="60"/>
        <v>0</v>
      </c>
      <c r="AL108" s="64">
        <f t="shared" si="61"/>
        <v>0</v>
      </c>
      <c r="AM108" s="238">
        <f t="shared" si="62"/>
        <v>114550</v>
      </c>
      <c r="AN108" s="64">
        <f t="shared" si="63"/>
        <v>0</v>
      </c>
      <c r="AO108" s="238">
        <f t="shared" si="64"/>
        <v>150000</v>
      </c>
      <c r="AP108" s="238">
        <f t="shared" si="65"/>
        <v>0</v>
      </c>
      <c r="AQ108" s="238">
        <f t="shared" si="66"/>
        <v>1031</v>
      </c>
      <c r="AS108" s="278" t="s">
        <v>429</v>
      </c>
      <c r="AT108" s="703">
        <v>7</v>
      </c>
      <c r="AU108" s="238">
        <f t="shared" si="89"/>
        <v>6</v>
      </c>
      <c r="AV108" s="36">
        <v>0</v>
      </c>
      <c r="AW108" s="36">
        <v>0</v>
      </c>
      <c r="AX108" s="36">
        <v>450</v>
      </c>
      <c r="AY108" s="36">
        <v>2250</v>
      </c>
      <c r="AZ108" s="36">
        <v>6750</v>
      </c>
      <c r="BA108" s="36">
        <v>13550</v>
      </c>
      <c r="BB108" s="36">
        <v>24550</v>
      </c>
      <c r="BC108" s="36">
        <v>42550</v>
      </c>
      <c r="BD108" s="36">
        <v>69550</v>
      </c>
      <c r="BE108" s="36">
        <v>114550</v>
      </c>
      <c r="BF108" s="16">
        <v>15000</v>
      </c>
      <c r="BG108" s="16">
        <v>30000</v>
      </c>
      <c r="BH108" s="16">
        <v>45000</v>
      </c>
      <c r="BI108" s="16">
        <v>60000</v>
      </c>
      <c r="BJ108" s="16">
        <v>75000</v>
      </c>
      <c r="BK108" s="16">
        <v>90000</v>
      </c>
      <c r="BL108" s="16">
        <v>105000</v>
      </c>
      <c r="BM108" s="16">
        <v>120000</v>
      </c>
      <c r="BN108" s="16">
        <v>135000</v>
      </c>
      <c r="BO108" s="16">
        <v>150000</v>
      </c>
      <c r="BP108" s="36">
        <f t="shared" si="67"/>
        <v>172</v>
      </c>
      <c r="BQ108" s="16">
        <f t="shared" si="68"/>
        <v>430</v>
      </c>
      <c r="BR108" s="36">
        <f t="shared" si="69"/>
        <v>554</v>
      </c>
      <c r="BS108" s="16">
        <f t="shared" si="70"/>
        <v>745</v>
      </c>
      <c r="BT108" s="36">
        <f t="shared" si="71"/>
        <v>1031</v>
      </c>
      <c r="BV108" s="153">
        <f t="shared" si="72"/>
        <v>171.82499999999999</v>
      </c>
      <c r="BW108" s="153">
        <f t="shared" si="73"/>
        <v>429.5625</v>
      </c>
      <c r="BX108" s="153">
        <f t="shared" si="74"/>
        <v>553.65829514999996</v>
      </c>
      <c r="BY108" s="153">
        <f t="shared" si="75"/>
        <v>744.57500000000005</v>
      </c>
      <c r="BZ108" s="153">
        <f t="shared" si="76"/>
        <v>1030.95</v>
      </c>
      <c r="CB108" s="236"/>
      <c r="CD108" s="236"/>
      <c r="CF108" s="95"/>
      <c r="CG108" s="95"/>
      <c r="CH108" s="2462"/>
      <c r="CI108" s="2462"/>
      <c r="CJ108" s="2462"/>
      <c r="CK108" s="2462"/>
      <c r="CL108" s="64"/>
      <c r="CM108" s="64"/>
      <c r="CN108" s="64"/>
      <c r="CO108" s="64"/>
      <c r="CY108" s="236"/>
      <c r="CZ108" s="236"/>
      <c r="DA108" s="236"/>
      <c r="DF108" s="236" t="s">
        <v>430</v>
      </c>
      <c r="DG108" s="236"/>
      <c r="DH108" s="235"/>
      <c r="DI108" s="235"/>
      <c r="DJ108" s="237"/>
      <c r="DK108" s="237"/>
      <c r="DL108" s="237"/>
      <c r="DM108" s="237"/>
      <c r="DN108" s="237"/>
      <c r="DO108" s="237"/>
      <c r="DP108" s="263"/>
      <c r="DQ108" s="238"/>
      <c r="DR108" s="238"/>
      <c r="DS108" s="64"/>
      <c r="DT108" s="64"/>
      <c r="DU108" s="64"/>
      <c r="DV108" s="64"/>
      <c r="DW108" s="64"/>
      <c r="DX108" s="64"/>
    </row>
    <row r="109" spans="2:132" s="263" customFormat="1" ht="17.25" customHeight="1">
      <c r="B109" s="153"/>
      <c r="C109" s="153"/>
      <c r="D109" s="152"/>
      <c r="E109" s="152"/>
      <c r="F109" s="152"/>
      <c r="G109" s="152"/>
      <c r="K109" s="277"/>
      <c r="L109" s="2454" t="s">
        <v>547</v>
      </c>
      <c r="M109" s="2454"/>
      <c r="N109" s="2454"/>
      <c r="O109" s="2454"/>
      <c r="P109" s="2454"/>
      <c r="Q109" s="2454"/>
      <c r="R109" s="2454"/>
      <c r="S109" s="2454"/>
      <c r="T109" s="2454"/>
      <c r="U109" s="2454"/>
      <c r="V109" s="2454"/>
      <c r="W109" s="151"/>
      <c r="X109" s="153"/>
      <c r="Y109" s="153"/>
      <c r="Z109" s="153"/>
      <c r="AA109" s="153"/>
      <c r="AB109" s="153"/>
      <c r="AC109" s="153"/>
      <c r="AD109" s="64"/>
      <c r="AE109" s="238">
        <v>15</v>
      </c>
      <c r="AF109" s="238">
        <f>D46</f>
        <v>0</v>
      </c>
      <c r="AG109" s="238">
        <f>A31</f>
        <v>0</v>
      </c>
      <c r="AH109" s="238">
        <f>B31</f>
        <v>10</v>
      </c>
      <c r="AI109" s="64">
        <f t="shared" si="58"/>
        <v>0</v>
      </c>
      <c r="AJ109" s="64">
        <f t="shared" si="59"/>
        <v>0</v>
      </c>
      <c r="AK109" s="64">
        <f t="shared" si="60"/>
        <v>0</v>
      </c>
      <c r="AL109" s="64">
        <f t="shared" si="61"/>
        <v>0</v>
      </c>
      <c r="AM109" s="238">
        <f t="shared" si="62"/>
        <v>38630</v>
      </c>
      <c r="AN109" s="64">
        <f t="shared" si="63"/>
        <v>0</v>
      </c>
      <c r="AO109" s="238">
        <f t="shared" si="64"/>
        <v>30000</v>
      </c>
      <c r="AP109" s="238">
        <f t="shared" si="65"/>
        <v>0</v>
      </c>
      <c r="AQ109" s="238">
        <f t="shared" si="66"/>
        <v>0</v>
      </c>
      <c r="AR109" s="260"/>
      <c r="AS109" s="286" t="s">
        <v>548</v>
      </c>
      <c r="AT109" s="238">
        <v>1</v>
      </c>
      <c r="AU109" s="238">
        <v>0</v>
      </c>
      <c r="AV109" s="36">
        <v>0</v>
      </c>
      <c r="AW109" s="36">
        <v>0</v>
      </c>
      <c r="AX109" s="36">
        <v>380</v>
      </c>
      <c r="AY109" s="36">
        <v>1130</v>
      </c>
      <c r="AZ109" s="36">
        <v>2530</v>
      </c>
      <c r="BA109" s="36">
        <v>4830</v>
      </c>
      <c r="BB109" s="36">
        <v>8630</v>
      </c>
      <c r="BC109" s="36">
        <v>14630</v>
      </c>
      <c r="BD109" s="36">
        <v>23630</v>
      </c>
      <c r="BE109" s="36">
        <v>38630</v>
      </c>
      <c r="BF109" s="16">
        <v>3000</v>
      </c>
      <c r="BG109" s="16">
        <v>6000</v>
      </c>
      <c r="BH109" s="16">
        <v>9000</v>
      </c>
      <c r="BI109" s="16">
        <v>12000</v>
      </c>
      <c r="BJ109" s="16">
        <v>15000</v>
      </c>
      <c r="BK109" s="16">
        <v>18000</v>
      </c>
      <c r="BL109" s="16">
        <v>21000</v>
      </c>
      <c r="BM109" s="16">
        <v>24000</v>
      </c>
      <c r="BN109" s="16">
        <v>27000</v>
      </c>
      <c r="BO109" s="16">
        <v>30000</v>
      </c>
      <c r="BP109" s="36">
        <f t="shared" si="67"/>
        <v>58</v>
      </c>
      <c r="BQ109" s="16">
        <f t="shared" si="68"/>
        <v>145</v>
      </c>
      <c r="BR109" s="36">
        <f t="shared" si="69"/>
        <v>187</v>
      </c>
      <c r="BS109" s="16">
        <f t="shared" si="70"/>
        <v>252</v>
      </c>
      <c r="BT109" s="36">
        <f t="shared" si="71"/>
        <v>348</v>
      </c>
      <c r="BU109" s="153"/>
      <c r="BV109" s="153">
        <f t="shared" si="72"/>
        <v>57.945</v>
      </c>
      <c r="BW109" s="153">
        <f t="shared" si="73"/>
        <v>144.86250000000001</v>
      </c>
      <c r="BX109" s="153">
        <f t="shared" si="74"/>
        <v>186.71165378999999</v>
      </c>
      <c r="BY109" s="153">
        <f t="shared" si="75"/>
        <v>251.095</v>
      </c>
      <c r="BZ109" s="153">
        <f t="shared" si="76"/>
        <v>347.67</v>
      </c>
      <c r="CA109" s="153"/>
      <c r="CB109" s="249"/>
      <c r="CC109" s="152"/>
      <c r="CD109" s="236"/>
      <c r="CE109" s="238"/>
      <c r="CF109" s="238"/>
      <c r="CG109" s="238"/>
      <c r="CH109" s="237"/>
      <c r="CI109" s="153"/>
      <c r="CJ109" s="237"/>
      <c r="CK109" s="237"/>
      <c r="CL109" s="237"/>
      <c r="CM109" s="153"/>
      <c r="CN109" s="237"/>
      <c r="CO109" s="237"/>
      <c r="CP109" s="238"/>
      <c r="CQ109" s="238"/>
      <c r="CR109" s="238"/>
      <c r="CS109" s="153"/>
      <c r="CT109" s="153"/>
      <c r="CU109" s="153"/>
      <c r="CV109" s="238"/>
      <c r="CW109" s="238"/>
      <c r="CX109" s="238"/>
      <c r="CY109" s="237"/>
      <c r="CZ109" s="237"/>
      <c r="DA109" s="237"/>
      <c r="DB109" s="238"/>
      <c r="DC109" s="238"/>
      <c r="DD109" s="238"/>
      <c r="DE109" s="153"/>
      <c r="DF109" s="287" t="s">
        <v>433</v>
      </c>
      <c r="DG109" s="238">
        <f t="shared" ref="DG109:DG122" si="91">IF((DH109=DI109),$Z$39,0)</f>
        <v>0</v>
      </c>
      <c r="DH109" s="238">
        <f>VLOOKUP(X39, DF109:DI122, 4, FALSE)</f>
        <v>1</v>
      </c>
      <c r="DI109" s="238">
        <v>0</v>
      </c>
      <c r="DJ109" s="3">
        <v>0</v>
      </c>
      <c r="DK109" s="3">
        <v>0</v>
      </c>
      <c r="DL109" s="3">
        <v>0</v>
      </c>
      <c r="DM109" s="64">
        <f t="shared" ref="DM109:DM150" si="92">ROUNDUP((DJ109*$DG109),0)</f>
        <v>0</v>
      </c>
      <c r="DN109" s="64">
        <f t="shared" ref="DN109:DN150" si="93">ROUNDUP((DK109*$DG109),0)</f>
        <v>0</v>
      </c>
      <c r="DO109" s="64">
        <f t="shared" ref="DO109:DO150" si="94">ROUNDUP((DL109*$DG109),0)</f>
        <v>0</v>
      </c>
      <c r="DP109" s="263" t="s">
        <v>549</v>
      </c>
      <c r="DQ109" s="238">
        <f>VLOOKUP(DZ109, DP109:DR110, 3, FALSE)</f>
        <v>0</v>
      </c>
      <c r="DR109" s="238">
        <v>0</v>
      </c>
      <c r="DS109" s="64">
        <v>0</v>
      </c>
      <c r="DT109" s="64">
        <v>0</v>
      </c>
      <c r="DU109" s="64">
        <v>0</v>
      </c>
      <c r="DV109" s="64">
        <f t="shared" ref="DV109:DX110" si="95">IF(($DR109=$DQ109),DS109,0)</f>
        <v>0</v>
      </c>
      <c r="DW109" s="64">
        <f t="shared" si="95"/>
        <v>0</v>
      </c>
      <c r="DX109" s="64">
        <f t="shared" si="95"/>
        <v>0</v>
      </c>
      <c r="DY109" s="153"/>
      <c r="DZ109" s="153" t="s">
        <v>549</v>
      </c>
      <c r="EA109" s="153"/>
      <c r="EB109" s="153"/>
    </row>
    <row r="110" spans="2:132" s="263" customFormat="1" ht="17.25" customHeight="1">
      <c r="B110" s="153"/>
      <c r="C110" s="153"/>
      <c r="D110" s="152"/>
      <c r="E110" s="152"/>
      <c r="F110" s="152"/>
      <c r="G110" s="152"/>
      <c r="K110" s="277"/>
      <c r="L110" s="2454"/>
      <c r="M110" s="2454"/>
      <c r="N110" s="2454"/>
      <c r="O110" s="2454"/>
      <c r="P110" s="2454"/>
      <c r="Q110" s="2454"/>
      <c r="R110" s="2454"/>
      <c r="S110" s="2454"/>
      <c r="T110" s="2454"/>
      <c r="U110" s="2454"/>
      <c r="V110" s="2454"/>
      <c r="W110" s="151"/>
      <c r="X110" s="153"/>
      <c r="Y110" s="153"/>
      <c r="Z110" s="153"/>
      <c r="AA110" s="153"/>
      <c r="AB110" s="153"/>
      <c r="AC110" s="153"/>
      <c r="AD110" s="64"/>
      <c r="AE110" s="238"/>
      <c r="AF110" s="238">
        <f t="shared" ref="AF110:AH115" si="96">AF$109</f>
        <v>0</v>
      </c>
      <c r="AG110" s="238">
        <f t="shared" si="96"/>
        <v>0</v>
      </c>
      <c r="AH110" s="238">
        <f t="shared" si="96"/>
        <v>10</v>
      </c>
      <c r="AI110" s="64">
        <f t="shared" si="58"/>
        <v>0</v>
      </c>
      <c r="AJ110" s="64">
        <f t="shared" si="59"/>
        <v>0</v>
      </c>
      <c r="AK110" s="64">
        <f t="shared" si="60"/>
        <v>0</v>
      </c>
      <c r="AL110" s="64">
        <f t="shared" si="61"/>
        <v>0</v>
      </c>
      <c r="AM110" s="238">
        <f t="shared" si="62"/>
        <v>28460</v>
      </c>
      <c r="AN110" s="64">
        <f t="shared" si="63"/>
        <v>0</v>
      </c>
      <c r="AO110" s="238">
        <f t="shared" si="64"/>
        <v>30000</v>
      </c>
      <c r="AP110" s="238">
        <f t="shared" si="65"/>
        <v>0</v>
      </c>
      <c r="AQ110" s="238">
        <f t="shared" si="66"/>
        <v>0</v>
      </c>
      <c r="AR110" s="260"/>
      <c r="AS110" s="286" t="s">
        <v>469</v>
      </c>
      <c r="AT110" s="238">
        <v>2</v>
      </c>
      <c r="AU110" s="238">
        <f t="shared" ref="AU110:AU115" si="97">AU109+1</f>
        <v>1</v>
      </c>
      <c r="AV110" s="36">
        <v>0</v>
      </c>
      <c r="AW110" s="36">
        <v>0</v>
      </c>
      <c r="AX110" s="36">
        <v>110</v>
      </c>
      <c r="AY110" s="36">
        <v>560</v>
      </c>
      <c r="AZ110" s="36">
        <v>1660</v>
      </c>
      <c r="BA110" s="36">
        <v>3360</v>
      </c>
      <c r="BB110" s="36">
        <v>6160</v>
      </c>
      <c r="BC110" s="36">
        <v>10660</v>
      </c>
      <c r="BD110" s="36">
        <v>17460</v>
      </c>
      <c r="BE110" s="36">
        <v>28460</v>
      </c>
      <c r="BF110" s="16">
        <v>3000</v>
      </c>
      <c r="BG110" s="16">
        <v>6000</v>
      </c>
      <c r="BH110" s="16">
        <v>9000</v>
      </c>
      <c r="BI110" s="16">
        <v>12000</v>
      </c>
      <c r="BJ110" s="16">
        <v>15000</v>
      </c>
      <c r="BK110" s="16">
        <v>18000</v>
      </c>
      <c r="BL110" s="16">
        <v>21000</v>
      </c>
      <c r="BM110" s="16">
        <v>24000</v>
      </c>
      <c r="BN110" s="16">
        <v>27000</v>
      </c>
      <c r="BO110" s="16">
        <v>30000</v>
      </c>
      <c r="BP110" s="36">
        <f t="shared" si="67"/>
        <v>43</v>
      </c>
      <c r="BQ110" s="16">
        <f t="shared" si="68"/>
        <v>107</v>
      </c>
      <c r="BR110" s="36">
        <f t="shared" si="69"/>
        <v>138</v>
      </c>
      <c r="BS110" s="16">
        <f t="shared" si="70"/>
        <v>185</v>
      </c>
      <c r="BT110" s="36">
        <f t="shared" si="71"/>
        <v>257</v>
      </c>
      <c r="BU110" s="153"/>
      <c r="BV110" s="153">
        <f t="shared" si="72"/>
        <v>42.69</v>
      </c>
      <c r="BW110" s="153">
        <f t="shared" si="73"/>
        <v>106.72499999999999</v>
      </c>
      <c r="BX110" s="153">
        <f t="shared" si="74"/>
        <v>137.55665718</v>
      </c>
      <c r="BY110" s="153">
        <f t="shared" si="75"/>
        <v>184.99</v>
      </c>
      <c r="BZ110" s="153">
        <f t="shared" si="76"/>
        <v>256.14</v>
      </c>
      <c r="CA110" s="153"/>
      <c r="CB110" s="262"/>
      <c r="CC110" s="152"/>
      <c r="CD110" s="238"/>
      <c r="CE110" s="238"/>
      <c r="CF110" s="238"/>
      <c r="CG110" s="238"/>
      <c r="CH110" s="238"/>
      <c r="CI110" s="153"/>
      <c r="CJ110" s="238"/>
      <c r="CK110" s="238"/>
      <c r="CL110" s="238"/>
      <c r="CM110" s="153"/>
      <c r="CN110" s="238"/>
      <c r="CO110" s="238"/>
      <c r="CP110" s="238"/>
      <c r="CQ110" s="238"/>
      <c r="CR110" s="238"/>
      <c r="CS110" s="153"/>
      <c r="CT110" s="153"/>
      <c r="CU110" s="153"/>
      <c r="CV110" s="238"/>
      <c r="CW110" s="238"/>
      <c r="CX110" s="238"/>
      <c r="CY110" s="238"/>
      <c r="CZ110" s="238"/>
      <c r="DA110" s="238"/>
      <c r="DB110" s="238"/>
      <c r="DC110" s="238"/>
      <c r="DD110" s="238"/>
      <c r="DE110" s="153"/>
      <c r="DF110" s="287" t="s">
        <v>448</v>
      </c>
      <c r="DG110" s="238">
        <f t="shared" si="91"/>
        <v>0</v>
      </c>
      <c r="DH110" s="238">
        <f t="shared" ref="DH110:DH122" si="98">$DH$109</f>
        <v>1</v>
      </c>
      <c r="DI110" s="238">
        <f t="shared" ref="DI110:DI122" si="99">DI109+1</f>
        <v>1</v>
      </c>
      <c r="DJ110" s="3">
        <v>0</v>
      </c>
      <c r="DK110" s="3">
        <v>7</v>
      </c>
      <c r="DL110" s="3">
        <v>0</v>
      </c>
      <c r="DM110" s="64">
        <f t="shared" si="92"/>
        <v>0</v>
      </c>
      <c r="DN110" s="64">
        <f t="shared" si="93"/>
        <v>0</v>
      </c>
      <c r="DO110" s="64">
        <f t="shared" si="94"/>
        <v>0</v>
      </c>
      <c r="DP110" s="153"/>
      <c r="DQ110" s="238">
        <f>$DQ$27</f>
        <v>0</v>
      </c>
      <c r="DR110" s="238">
        <f>DR109+1</f>
        <v>1</v>
      </c>
      <c r="DS110" s="64">
        <v>0</v>
      </c>
      <c r="DT110" s="64">
        <v>0</v>
      </c>
      <c r="DU110" s="64">
        <v>0</v>
      </c>
      <c r="DV110" s="64">
        <f t="shared" si="95"/>
        <v>0</v>
      </c>
      <c r="DW110" s="64">
        <f t="shared" si="95"/>
        <v>0</v>
      </c>
      <c r="DX110" s="64">
        <f t="shared" si="95"/>
        <v>0</v>
      </c>
      <c r="DY110" s="153"/>
      <c r="DZ110" s="153"/>
      <c r="EA110" s="153"/>
      <c r="EB110" s="153"/>
    </row>
    <row r="111" spans="2:132" s="263" customFormat="1" ht="17.25" customHeight="1">
      <c r="B111" s="153"/>
      <c r="C111" s="153"/>
      <c r="D111" s="152"/>
      <c r="E111" s="152"/>
      <c r="F111" s="152"/>
      <c r="G111" s="152"/>
      <c r="K111" s="277"/>
      <c r="L111" s="2472"/>
      <c r="M111" s="2472"/>
      <c r="N111" s="2472"/>
      <c r="O111" s="2472"/>
      <c r="P111" s="2472"/>
      <c r="Q111" s="2472"/>
      <c r="R111" s="2472"/>
      <c r="S111" s="33" t="s">
        <v>322</v>
      </c>
      <c r="T111" s="33" t="s">
        <v>323</v>
      </c>
      <c r="U111" s="33" t="s">
        <v>341</v>
      </c>
      <c r="V111" s="33" t="s">
        <v>357</v>
      </c>
      <c r="W111" s="151"/>
      <c r="X111" s="153"/>
      <c r="Y111" s="153"/>
      <c r="Z111" s="153"/>
      <c r="AA111" s="153"/>
      <c r="AB111" s="153"/>
      <c r="AC111" s="153"/>
      <c r="AD111" s="64"/>
      <c r="AE111" s="238"/>
      <c r="AF111" s="238">
        <f t="shared" si="96"/>
        <v>0</v>
      </c>
      <c r="AG111" s="238">
        <f t="shared" si="96"/>
        <v>0</v>
      </c>
      <c r="AH111" s="238">
        <f t="shared" si="96"/>
        <v>10</v>
      </c>
      <c r="AI111" s="64">
        <f t="shared" si="58"/>
        <v>0</v>
      </c>
      <c r="AJ111" s="64">
        <f t="shared" si="59"/>
        <v>0</v>
      </c>
      <c r="AK111" s="64">
        <f t="shared" si="60"/>
        <v>0</v>
      </c>
      <c r="AL111" s="64">
        <f t="shared" si="61"/>
        <v>0</v>
      </c>
      <c r="AM111" s="238">
        <f t="shared" si="62"/>
        <v>170200</v>
      </c>
      <c r="AN111" s="64">
        <f t="shared" si="63"/>
        <v>0</v>
      </c>
      <c r="AO111" s="238">
        <f t="shared" si="64"/>
        <v>87000</v>
      </c>
      <c r="AP111" s="238">
        <f t="shared" si="65"/>
        <v>0</v>
      </c>
      <c r="AQ111" s="238">
        <f t="shared" si="66"/>
        <v>0</v>
      </c>
      <c r="AR111" s="260"/>
      <c r="AS111" s="286" t="s">
        <v>298</v>
      </c>
      <c r="AT111" s="703">
        <v>3</v>
      </c>
      <c r="AU111" s="238">
        <f t="shared" si="97"/>
        <v>2</v>
      </c>
      <c r="AV111" s="36">
        <v>6000</v>
      </c>
      <c r="AW111" s="36">
        <v>6200</v>
      </c>
      <c r="AX111" s="36">
        <v>6600</v>
      </c>
      <c r="AY111" s="36">
        <v>8200</v>
      </c>
      <c r="AZ111" s="36">
        <v>12200</v>
      </c>
      <c r="BA111" s="36">
        <v>20200</v>
      </c>
      <c r="BB111" s="36">
        <v>36200</v>
      </c>
      <c r="BC111" s="36">
        <v>70200</v>
      </c>
      <c r="BD111" s="36">
        <v>115200</v>
      </c>
      <c r="BE111" s="36">
        <v>170200</v>
      </c>
      <c r="BF111" s="16">
        <v>6000</v>
      </c>
      <c r="BG111" s="16">
        <v>15000</v>
      </c>
      <c r="BH111" s="16">
        <v>24000</v>
      </c>
      <c r="BI111" s="16">
        <v>33000</v>
      </c>
      <c r="BJ111" s="16">
        <v>42000</v>
      </c>
      <c r="BK111" s="16">
        <v>51000</v>
      </c>
      <c r="BL111" s="16">
        <v>60000</v>
      </c>
      <c r="BM111" s="16">
        <v>69000</v>
      </c>
      <c r="BN111" s="16">
        <v>78000</v>
      </c>
      <c r="BO111" s="16">
        <v>87000</v>
      </c>
      <c r="BP111" s="36">
        <f t="shared" si="67"/>
        <v>256</v>
      </c>
      <c r="BQ111" s="16">
        <f t="shared" si="68"/>
        <v>639</v>
      </c>
      <c r="BR111" s="36">
        <f t="shared" si="69"/>
        <v>823</v>
      </c>
      <c r="BS111" s="16">
        <f t="shared" si="70"/>
        <v>1107</v>
      </c>
      <c r="BT111" s="36">
        <f t="shared" si="71"/>
        <v>1532</v>
      </c>
      <c r="BU111" s="153"/>
      <c r="BV111" s="153">
        <f t="shared" si="72"/>
        <v>255.3</v>
      </c>
      <c r="BW111" s="153">
        <f t="shared" si="73"/>
        <v>638.25</v>
      </c>
      <c r="BX111" s="153">
        <f t="shared" si="74"/>
        <v>822.63327660000004</v>
      </c>
      <c r="BY111" s="153">
        <f t="shared" si="75"/>
        <v>1106.3</v>
      </c>
      <c r="BZ111" s="153">
        <f t="shared" si="76"/>
        <v>1531.8</v>
      </c>
      <c r="CA111" s="153"/>
      <c r="CB111" s="153"/>
      <c r="CC111" s="152"/>
      <c r="CD111" s="238"/>
      <c r="CE111" s="236"/>
      <c r="CF111" s="236"/>
      <c r="CG111" s="236"/>
      <c r="CH111" s="64"/>
      <c r="CI111" s="153"/>
      <c r="CJ111" s="64"/>
      <c r="CK111" s="64"/>
      <c r="CL111" s="64"/>
      <c r="CM111" s="153"/>
      <c r="CN111" s="64"/>
      <c r="CO111" s="64"/>
      <c r="CP111" s="238"/>
      <c r="CQ111" s="238"/>
      <c r="CR111" s="238"/>
      <c r="CS111" s="153"/>
      <c r="CT111" s="153"/>
      <c r="CU111" s="153"/>
      <c r="CV111" s="238"/>
      <c r="CW111" s="238"/>
      <c r="CX111" s="238"/>
      <c r="CY111" s="238"/>
      <c r="CZ111" s="238"/>
      <c r="DA111" s="238"/>
      <c r="DB111" s="238"/>
      <c r="DC111" s="238"/>
      <c r="DD111" s="238"/>
      <c r="DE111" s="153"/>
      <c r="DF111" s="287" t="s">
        <v>439</v>
      </c>
      <c r="DG111" s="238">
        <f t="shared" si="91"/>
        <v>0</v>
      </c>
      <c r="DH111" s="238">
        <f t="shared" si="98"/>
        <v>1</v>
      </c>
      <c r="DI111" s="238">
        <f t="shared" si="99"/>
        <v>2</v>
      </c>
      <c r="DJ111" s="3">
        <v>0</v>
      </c>
      <c r="DK111" s="3">
        <v>30</v>
      </c>
      <c r="DL111" s="3">
        <v>0</v>
      </c>
      <c r="DM111" s="64">
        <f t="shared" si="92"/>
        <v>0</v>
      </c>
      <c r="DN111" s="64">
        <f t="shared" si="93"/>
        <v>0</v>
      </c>
      <c r="DO111" s="64">
        <f t="shared" si="94"/>
        <v>0</v>
      </c>
      <c r="DP111" s="153"/>
      <c r="DQ111" s="153"/>
      <c r="DR111" s="153"/>
      <c r="DS111" s="153"/>
      <c r="DT111" s="153"/>
      <c r="DU111" s="153"/>
      <c r="DV111" s="153"/>
      <c r="DW111" s="153"/>
      <c r="DX111" s="153"/>
      <c r="DY111" s="153"/>
      <c r="DZ111" s="153"/>
      <c r="EA111" s="153"/>
      <c r="EB111" s="153"/>
    </row>
    <row r="112" spans="2:132" s="263" customFormat="1" ht="17.25" customHeight="1">
      <c r="B112" s="153"/>
      <c r="C112" s="153"/>
      <c r="D112" s="152"/>
      <c r="E112" s="152"/>
      <c r="F112" s="152"/>
      <c r="G112" s="152"/>
      <c r="K112" s="277"/>
      <c r="L112" s="2473" t="s">
        <v>550</v>
      </c>
      <c r="M112" s="2470"/>
      <c r="N112" s="2470"/>
      <c r="O112" s="2470"/>
      <c r="P112" s="2470"/>
      <c r="Q112" s="2470"/>
      <c r="R112" s="2470"/>
      <c r="S112" s="240">
        <f t="shared" ref="S112:V114" si="100">((S14+S41)+S68)+S91</f>
        <v>235000</v>
      </c>
      <c r="T112" s="240">
        <f t="shared" si="100"/>
        <v>0</v>
      </c>
      <c r="U112" s="240">
        <f t="shared" si="100"/>
        <v>0</v>
      </c>
      <c r="V112" s="240">
        <f t="shared" si="100"/>
        <v>0</v>
      </c>
      <c r="W112" s="151"/>
      <c r="X112" s="153"/>
      <c r="Y112" s="153"/>
      <c r="Z112" s="153"/>
      <c r="AA112" s="153"/>
      <c r="AB112" s="153"/>
      <c r="AC112" s="153"/>
      <c r="AD112" s="64"/>
      <c r="AE112" s="238"/>
      <c r="AF112" s="238">
        <f t="shared" si="96"/>
        <v>0</v>
      </c>
      <c r="AG112" s="238">
        <f t="shared" si="96"/>
        <v>0</v>
      </c>
      <c r="AH112" s="238">
        <f t="shared" si="96"/>
        <v>10</v>
      </c>
      <c r="AI112" s="64">
        <f t="shared" si="58"/>
        <v>0</v>
      </c>
      <c r="AJ112" s="64">
        <f t="shared" si="59"/>
        <v>0</v>
      </c>
      <c r="AK112" s="64">
        <f t="shared" si="60"/>
        <v>0</v>
      </c>
      <c r="AL112" s="64">
        <f t="shared" si="61"/>
        <v>0</v>
      </c>
      <c r="AM112" s="238">
        <f t="shared" si="62"/>
        <v>38630</v>
      </c>
      <c r="AN112" s="64">
        <f t="shared" si="63"/>
        <v>0</v>
      </c>
      <c r="AO112" s="238">
        <f t="shared" si="64"/>
        <v>45000</v>
      </c>
      <c r="AP112" s="238">
        <f t="shared" si="65"/>
        <v>0</v>
      </c>
      <c r="AQ112" s="238">
        <f t="shared" si="66"/>
        <v>0</v>
      </c>
      <c r="AR112" s="260"/>
      <c r="AS112" s="286" t="s">
        <v>299</v>
      </c>
      <c r="AT112" s="703">
        <v>4</v>
      </c>
      <c r="AU112" s="238">
        <f t="shared" si="97"/>
        <v>3</v>
      </c>
      <c r="AV112" s="36">
        <v>0</v>
      </c>
      <c r="AW112" s="36">
        <v>0</v>
      </c>
      <c r="AX112" s="36">
        <v>380</v>
      </c>
      <c r="AY112" s="36">
        <v>1130</v>
      </c>
      <c r="AZ112" s="36">
        <v>2530</v>
      </c>
      <c r="BA112" s="36">
        <v>4830</v>
      </c>
      <c r="BB112" s="36">
        <v>8630</v>
      </c>
      <c r="BC112" s="36">
        <v>14630</v>
      </c>
      <c r="BD112" s="36">
        <v>23630</v>
      </c>
      <c r="BE112" s="36">
        <v>38630</v>
      </c>
      <c r="BF112" s="16">
        <v>4500</v>
      </c>
      <c r="BG112" s="16">
        <v>9000</v>
      </c>
      <c r="BH112" s="16">
        <v>13500</v>
      </c>
      <c r="BI112" s="16">
        <v>18000</v>
      </c>
      <c r="BJ112" s="16">
        <v>22500</v>
      </c>
      <c r="BK112" s="16">
        <v>27000</v>
      </c>
      <c r="BL112" s="16">
        <v>31500</v>
      </c>
      <c r="BM112" s="16">
        <v>36000</v>
      </c>
      <c r="BN112" s="16">
        <v>40500</v>
      </c>
      <c r="BO112" s="16">
        <v>45000</v>
      </c>
      <c r="BP112" s="36">
        <f t="shared" si="67"/>
        <v>58</v>
      </c>
      <c r="BQ112" s="16">
        <f t="shared" si="68"/>
        <v>145</v>
      </c>
      <c r="BR112" s="36">
        <f t="shared" si="69"/>
        <v>187</v>
      </c>
      <c r="BS112" s="16">
        <f t="shared" si="70"/>
        <v>252</v>
      </c>
      <c r="BT112" s="36">
        <f t="shared" si="71"/>
        <v>348</v>
      </c>
      <c r="BU112" s="153"/>
      <c r="BV112" s="153">
        <f t="shared" si="72"/>
        <v>57.945</v>
      </c>
      <c r="BW112" s="153">
        <f t="shared" si="73"/>
        <v>144.86250000000001</v>
      </c>
      <c r="BX112" s="153">
        <f t="shared" si="74"/>
        <v>186.71165378999999</v>
      </c>
      <c r="BY112" s="153">
        <f t="shared" si="75"/>
        <v>251.095</v>
      </c>
      <c r="BZ112" s="153">
        <f t="shared" si="76"/>
        <v>347.67</v>
      </c>
      <c r="CA112" s="153"/>
      <c r="CB112" s="153"/>
      <c r="CC112" s="152"/>
      <c r="CD112" s="238"/>
      <c r="CE112" s="95"/>
      <c r="CF112" s="95"/>
      <c r="CG112" s="95"/>
      <c r="CH112" s="64"/>
      <c r="CI112" s="153"/>
      <c r="CJ112" s="64"/>
      <c r="CK112" s="64"/>
      <c r="CL112" s="64"/>
      <c r="CM112" s="153"/>
      <c r="CN112" s="64"/>
      <c r="CO112" s="64"/>
      <c r="CP112" s="238"/>
      <c r="CQ112" s="238"/>
      <c r="CR112" s="238"/>
      <c r="CS112" s="153"/>
      <c r="CT112" s="153"/>
      <c r="CU112" s="153"/>
      <c r="CV112" s="238"/>
      <c r="CW112" s="238"/>
      <c r="CX112" s="238"/>
      <c r="CY112" s="238"/>
      <c r="CZ112" s="238"/>
      <c r="DA112" s="238"/>
      <c r="DB112" s="238"/>
      <c r="DC112" s="238"/>
      <c r="DD112" s="238"/>
      <c r="DE112" s="153"/>
      <c r="DF112" s="287" t="s">
        <v>443</v>
      </c>
      <c r="DG112" s="238">
        <f t="shared" si="91"/>
        <v>0</v>
      </c>
      <c r="DH112" s="238">
        <f t="shared" si="98"/>
        <v>1</v>
      </c>
      <c r="DI112" s="238">
        <f t="shared" si="99"/>
        <v>3</v>
      </c>
      <c r="DJ112" s="3">
        <v>1.5</v>
      </c>
      <c r="DK112" s="3">
        <v>15</v>
      </c>
      <c r="DL112" s="3">
        <v>0</v>
      </c>
      <c r="DM112" s="64">
        <f t="shared" si="92"/>
        <v>0</v>
      </c>
      <c r="DN112" s="64">
        <f t="shared" si="93"/>
        <v>0</v>
      </c>
      <c r="DO112" s="64">
        <f t="shared" si="94"/>
        <v>0</v>
      </c>
      <c r="DP112" s="153"/>
      <c r="DQ112" s="153"/>
      <c r="DR112" s="153"/>
      <c r="DS112" s="153"/>
      <c r="DT112" s="153"/>
      <c r="DU112" s="153"/>
      <c r="DV112" s="153"/>
      <c r="DW112" s="153"/>
      <c r="DX112" s="153"/>
      <c r="DY112" s="153"/>
      <c r="DZ112" s="153"/>
      <c r="EA112" s="153"/>
      <c r="EB112" s="153"/>
    </row>
    <row r="113" spans="2:132" s="263" customFormat="1" ht="17.25" customHeight="1">
      <c r="B113" s="153"/>
      <c r="C113" s="153"/>
      <c r="D113" s="152"/>
      <c r="E113" s="152"/>
      <c r="F113" s="152"/>
      <c r="G113" s="152"/>
      <c r="K113" s="277"/>
      <c r="L113" s="2469" t="s">
        <v>381</v>
      </c>
      <c r="M113" s="2469"/>
      <c r="N113" s="2469"/>
      <c r="O113" s="2469"/>
      <c r="P113" s="2469"/>
      <c r="Q113" s="2469"/>
      <c r="R113" s="2469"/>
      <c r="S113" s="239" t="e">
        <f t="shared" si="100"/>
        <v>#REF!</v>
      </c>
      <c r="T113" s="239" t="e">
        <f t="shared" si="100"/>
        <v>#REF!</v>
      </c>
      <c r="U113" s="239">
        <f t="shared" si="100"/>
        <v>0</v>
      </c>
      <c r="V113" s="239" t="e">
        <f t="shared" si="100"/>
        <v>#REF!</v>
      </c>
      <c r="W113" s="151"/>
      <c r="X113" s="153"/>
      <c r="Y113" s="153"/>
      <c r="Z113" s="153"/>
      <c r="AA113" s="153"/>
      <c r="AB113" s="153"/>
      <c r="AC113" s="153"/>
      <c r="AD113" s="64"/>
      <c r="AE113" s="238"/>
      <c r="AF113" s="238">
        <f t="shared" si="96"/>
        <v>0</v>
      </c>
      <c r="AG113" s="238">
        <f t="shared" si="96"/>
        <v>0</v>
      </c>
      <c r="AH113" s="238">
        <f t="shared" si="96"/>
        <v>10</v>
      </c>
      <c r="AI113" s="64">
        <f t="shared" si="58"/>
        <v>0</v>
      </c>
      <c r="AJ113" s="64">
        <f t="shared" si="59"/>
        <v>0</v>
      </c>
      <c r="AK113" s="64">
        <f t="shared" si="60"/>
        <v>0</v>
      </c>
      <c r="AL113" s="64">
        <f t="shared" si="61"/>
        <v>0</v>
      </c>
      <c r="AM113" s="238">
        <f t="shared" si="62"/>
        <v>111000</v>
      </c>
      <c r="AN113" s="64">
        <f t="shared" si="63"/>
        <v>0</v>
      </c>
      <c r="AO113" s="238">
        <f t="shared" si="64"/>
        <v>150000</v>
      </c>
      <c r="AP113" s="238">
        <f t="shared" si="65"/>
        <v>0</v>
      </c>
      <c r="AQ113" s="238">
        <f t="shared" si="66"/>
        <v>0</v>
      </c>
      <c r="AR113" s="260"/>
      <c r="AS113" s="286" t="s">
        <v>551</v>
      </c>
      <c r="AT113" s="703">
        <v>5</v>
      </c>
      <c r="AU113" s="238">
        <f t="shared" si="97"/>
        <v>4</v>
      </c>
      <c r="AV113" s="36">
        <v>0</v>
      </c>
      <c r="AW113" s="36">
        <v>0</v>
      </c>
      <c r="AX113" s="36">
        <v>450</v>
      </c>
      <c r="AY113" s="36">
        <v>2700</v>
      </c>
      <c r="AZ113" s="36">
        <v>7500</v>
      </c>
      <c r="BA113" s="36">
        <v>16500</v>
      </c>
      <c r="BB113" s="36">
        <v>30000</v>
      </c>
      <c r="BC113" s="36">
        <v>50250</v>
      </c>
      <c r="BD113" s="36">
        <v>77250</v>
      </c>
      <c r="BE113" s="36">
        <v>111000</v>
      </c>
      <c r="BF113" s="16">
        <v>15000</v>
      </c>
      <c r="BG113" s="16">
        <v>30000</v>
      </c>
      <c r="BH113" s="16">
        <v>45000</v>
      </c>
      <c r="BI113" s="16">
        <v>60000</v>
      </c>
      <c r="BJ113" s="16">
        <v>75000</v>
      </c>
      <c r="BK113" s="16">
        <v>90000</v>
      </c>
      <c r="BL113" s="16">
        <v>105000</v>
      </c>
      <c r="BM113" s="16">
        <v>120000</v>
      </c>
      <c r="BN113" s="16">
        <v>135000</v>
      </c>
      <c r="BO113" s="16">
        <v>150000</v>
      </c>
      <c r="BP113" s="36">
        <f t="shared" si="67"/>
        <v>167</v>
      </c>
      <c r="BQ113" s="16">
        <f t="shared" si="68"/>
        <v>417</v>
      </c>
      <c r="BR113" s="36">
        <f t="shared" si="69"/>
        <v>537</v>
      </c>
      <c r="BS113" s="16">
        <f t="shared" si="70"/>
        <v>722</v>
      </c>
      <c r="BT113" s="36">
        <f t="shared" si="71"/>
        <v>999</v>
      </c>
      <c r="BU113" s="153"/>
      <c r="BV113" s="153">
        <f t="shared" si="72"/>
        <v>166.5</v>
      </c>
      <c r="BW113" s="153">
        <f t="shared" si="73"/>
        <v>416.25</v>
      </c>
      <c r="BX113" s="153">
        <f t="shared" si="74"/>
        <v>536.49996299999998</v>
      </c>
      <c r="BY113" s="153">
        <f t="shared" si="75"/>
        <v>721.5</v>
      </c>
      <c r="BZ113" s="153">
        <f t="shared" si="76"/>
        <v>999</v>
      </c>
      <c r="CA113" s="153"/>
      <c r="CB113" s="153"/>
      <c r="CC113" s="152"/>
      <c r="CD113" s="238"/>
      <c r="CE113" s="236"/>
      <c r="CF113" s="236"/>
      <c r="CG113" s="236"/>
      <c r="CH113" s="64"/>
      <c r="CI113" s="153"/>
      <c r="CJ113" s="64"/>
      <c r="CK113" s="64"/>
      <c r="CL113" s="64"/>
      <c r="CM113" s="153"/>
      <c r="CN113" s="64"/>
      <c r="CO113" s="64"/>
      <c r="CP113" s="238"/>
      <c r="CQ113" s="238"/>
      <c r="CR113" s="238"/>
      <c r="CS113" s="153"/>
      <c r="CT113" s="153"/>
      <c r="CU113" s="153"/>
      <c r="CV113" s="238"/>
      <c r="CW113" s="238"/>
      <c r="CX113" s="238"/>
      <c r="CY113" s="238"/>
      <c r="CZ113" s="238"/>
      <c r="DA113" s="238"/>
      <c r="DB113" s="238"/>
      <c r="DC113" s="238"/>
      <c r="DD113" s="238"/>
      <c r="DE113" s="153"/>
      <c r="DF113" s="287" t="s">
        <v>446</v>
      </c>
      <c r="DG113" s="238">
        <f t="shared" si="91"/>
        <v>0</v>
      </c>
      <c r="DH113" s="238">
        <f t="shared" si="98"/>
        <v>1</v>
      </c>
      <c r="DI113" s="238">
        <f t="shared" si="99"/>
        <v>4</v>
      </c>
      <c r="DJ113" s="3">
        <v>6</v>
      </c>
      <c r="DK113" s="3">
        <v>0</v>
      </c>
      <c r="DL113" s="3">
        <v>0</v>
      </c>
      <c r="DM113" s="64">
        <f t="shared" si="92"/>
        <v>0</v>
      </c>
      <c r="DN113" s="64">
        <f t="shared" si="93"/>
        <v>0</v>
      </c>
      <c r="DO113" s="64">
        <f t="shared" si="94"/>
        <v>0</v>
      </c>
      <c r="DP113" s="153"/>
      <c r="DQ113" s="153"/>
      <c r="DR113" s="153"/>
      <c r="DS113" s="153"/>
      <c r="DT113" s="153"/>
      <c r="DU113" s="153"/>
      <c r="DV113" s="153"/>
      <c r="DW113" s="153"/>
      <c r="DX113" s="153"/>
      <c r="DY113" s="153"/>
      <c r="DZ113" s="153"/>
      <c r="EA113" s="153"/>
      <c r="EB113" s="153"/>
    </row>
    <row r="114" spans="2:132" s="263" customFormat="1" ht="17.25" customHeight="1">
      <c r="B114" s="153"/>
      <c r="C114" s="153"/>
      <c r="D114" s="152"/>
      <c r="E114" s="152"/>
      <c r="F114" s="152"/>
      <c r="G114" s="152"/>
      <c r="K114" s="277"/>
      <c r="L114" s="2470" t="s">
        <v>386</v>
      </c>
      <c r="M114" s="2470"/>
      <c r="N114" s="2470"/>
      <c r="O114" s="2470"/>
      <c r="P114" s="2470"/>
      <c r="Q114" s="2470"/>
      <c r="R114" s="2470"/>
      <c r="S114" s="240">
        <f t="shared" si="100"/>
        <v>0</v>
      </c>
      <c r="T114" s="240">
        <f t="shared" si="100"/>
        <v>72500</v>
      </c>
      <c r="U114" s="240">
        <f t="shared" si="100"/>
        <v>0</v>
      </c>
      <c r="V114" s="240">
        <f t="shared" si="100"/>
        <v>0</v>
      </c>
      <c r="W114" s="151"/>
      <c r="X114" s="153"/>
      <c r="Y114" s="153"/>
      <c r="Z114" s="153"/>
      <c r="AA114" s="153"/>
      <c r="AB114" s="153"/>
      <c r="AC114" s="153"/>
      <c r="AD114" s="64"/>
      <c r="AE114" s="238"/>
      <c r="AF114" s="238">
        <f t="shared" si="96"/>
        <v>0</v>
      </c>
      <c r="AG114" s="238">
        <f t="shared" si="96"/>
        <v>0</v>
      </c>
      <c r="AH114" s="238">
        <f t="shared" si="96"/>
        <v>10</v>
      </c>
      <c r="AI114" s="64">
        <f t="shared" si="58"/>
        <v>0</v>
      </c>
      <c r="AJ114" s="64">
        <f t="shared" si="59"/>
        <v>0</v>
      </c>
      <c r="AK114" s="64">
        <f t="shared" si="60"/>
        <v>0</v>
      </c>
      <c r="AL114" s="64">
        <f t="shared" si="61"/>
        <v>0</v>
      </c>
      <c r="AM114" s="238">
        <f t="shared" si="62"/>
        <v>111000</v>
      </c>
      <c r="AN114" s="64">
        <f t="shared" si="63"/>
        <v>0</v>
      </c>
      <c r="AO114" s="238">
        <f t="shared" si="64"/>
        <v>150000</v>
      </c>
      <c r="AP114" s="238">
        <f t="shared" si="65"/>
        <v>0</v>
      </c>
      <c r="AQ114" s="238">
        <f t="shared" si="66"/>
        <v>0</v>
      </c>
      <c r="AR114" s="260"/>
      <c r="AS114" s="286" t="s">
        <v>300</v>
      </c>
      <c r="AT114" s="703">
        <v>6</v>
      </c>
      <c r="AU114" s="238">
        <f t="shared" si="97"/>
        <v>5</v>
      </c>
      <c r="AV114" s="36">
        <v>0</v>
      </c>
      <c r="AW114" s="36">
        <v>0</v>
      </c>
      <c r="AX114" s="36">
        <v>450</v>
      </c>
      <c r="AY114" s="36">
        <v>2700</v>
      </c>
      <c r="AZ114" s="36">
        <v>7500</v>
      </c>
      <c r="BA114" s="36">
        <v>16500</v>
      </c>
      <c r="BB114" s="36">
        <v>30000</v>
      </c>
      <c r="BC114" s="36">
        <v>50250</v>
      </c>
      <c r="BD114" s="36">
        <v>77250</v>
      </c>
      <c r="BE114" s="36">
        <v>111000</v>
      </c>
      <c r="BF114" s="16">
        <v>15000</v>
      </c>
      <c r="BG114" s="16">
        <v>30000</v>
      </c>
      <c r="BH114" s="16">
        <v>45000</v>
      </c>
      <c r="BI114" s="16">
        <v>60000</v>
      </c>
      <c r="BJ114" s="16">
        <v>75000</v>
      </c>
      <c r="BK114" s="16">
        <v>90000</v>
      </c>
      <c r="BL114" s="16">
        <v>105000</v>
      </c>
      <c r="BM114" s="16">
        <v>120000</v>
      </c>
      <c r="BN114" s="16">
        <v>135000</v>
      </c>
      <c r="BO114" s="16">
        <v>150000</v>
      </c>
      <c r="BP114" s="36">
        <f t="shared" si="67"/>
        <v>167</v>
      </c>
      <c r="BQ114" s="16">
        <f t="shared" si="68"/>
        <v>417</v>
      </c>
      <c r="BR114" s="36">
        <f t="shared" si="69"/>
        <v>537</v>
      </c>
      <c r="BS114" s="16">
        <f t="shared" si="70"/>
        <v>722</v>
      </c>
      <c r="BT114" s="36">
        <f t="shared" si="71"/>
        <v>999</v>
      </c>
      <c r="BU114" s="153"/>
      <c r="BV114" s="153">
        <f t="shared" si="72"/>
        <v>166.5</v>
      </c>
      <c r="BW114" s="153">
        <f t="shared" si="73"/>
        <v>416.25</v>
      </c>
      <c r="BX114" s="153">
        <f t="shared" si="74"/>
        <v>536.49996299999998</v>
      </c>
      <c r="BY114" s="153">
        <f t="shared" si="75"/>
        <v>721.5</v>
      </c>
      <c r="BZ114" s="153">
        <f t="shared" si="76"/>
        <v>999</v>
      </c>
      <c r="CA114" s="153"/>
      <c r="CB114" s="153"/>
      <c r="CC114" s="152"/>
      <c r="CD114" s="238"/>
      <c r="CE114" s="238"/>
      <c r="CF114" s="238"/>
      <c r="CG114" s="238"/>
      <c r="CH114" s="64"/>
      <c r="CI114" s="153"/>
      <c r="CJ114" s="64"/>
      <c r="CK114" s="64"/>
      <c r="CL114" s="64"/>
      <c r="CM114" s="153"/>
      <c r="CN114" s="64"/>
      <c r="CO114" s="64"/>
      <c r="CP114" s="238"/>
      <c r="CQ114" s="238"/>
      <c r="CR114" s="238"/>
      <c r="CS114" s="153"/>
      <c r="CT114" s="153"/>
      <c r="CU114" s="153"/>
      <c r="CV114" s="238"/>
      <c r="CW114" s="238"/>
      <c r="CX114" s="238"/>
      <c r="CY114" s="238"/>
      <c r="CZ114" s="238"/>
      <c r="DA114" s="238"/>
      <c r="DB114" s="238"/>
      <c r="DC114" s="238"/>
      <c r="DD114" s="238"/>
      <c r="DE114" s="153"/>
      <c r="DF114" s="287" t="s">
        <v>450</v>
      </c>
      <c r="DG114" s="238">
        <f t="shared" si="91"/>
        <v>0</v>
      </c>
      <c r="DH114" s="238">
        <f t="shared" si="98"/>
        <v>1</v>
      </c>
      <c r="DI114" s="238">
        <f t="shared" si="99"/>
        <v>5</v>
      </c>
      <c r="DJ114" s="3">
        <v>0</v>
      </c>
      <c r="DK114" s="3">
        <v>30</v>
      </c>
      <c r="DL114" s="3">
        <v>0</v>
      </c>
      <c r="DM114" s="64">
        <f t="shared" si="92"/>
        <v>0</v>
      </c>
      <c r="DN114" s="64">
        <f t="shared" si="93"/>
        <v>0</v>
      </c>
      <c r="DO114" s="64">
        <f t="shared" si="94"/>
        <v>0</v>
      </c>
      <c r="DP114" s="153"/>
      <c r="DQ114" s="153"/>
      <c r="DR114" s="153"/>
      <c r="DS114" s="153"/>
      <c r="DT114" s="153"/>
      <c r="DU114" s="153"/>
      <c r="DV114" s="153"/>
      <c r="DW114" s="153"/>
      <c r="DX114" s="153"/>
      <c r="DY114" s="153"/>
      <c r="DZ114" s="153"/>
      <c r="EA114" s="153"/>
      <c r="EB114" s="153"/>
    </row>
    <row r="115" spans="2:132" s="263" customFormat="1" ht="17.25" customHeight="1">
      <c r="B115" s="153"/>
      <c r="C115" s="153"/>
      <c r="D115" s="152"/>
      <c r="E115" s="152"/>
      <c r="F115" s="152"/>
      <c r="G115" s="152"/>
      <c r="K115" s="277"/>
      <c r="L115" s="2471" t="s">
        <v>552</v>
      </c>
      <c r="M115" s="2471"/>
      <c r="N115" s="2471"/>
      <c r="O115" s="2471"/>
      <c r="P115" s="2471"/>
      <c r="Q115" s="2471"/>
      <c r="R115" s="2471"/>
      <c r="S115" s="33" t="e">
        <f>SUM(S112:S114)</f>
        <v>#REF!</v>
      </c>
      <c r="T115" s="33" t="e">
        <f>SUM(T112:T114)</f>
        <v>#REF!</v>
      </c>
      <c r="U115" s="33">
        <f>SUM(U112:U114)</f>
        <v>0</v>
      </c>
      <c r="V115" s="33" t="e">
        <f>SUM(V112:V114)</f>
        <v>#REF!</v>
      </c>
      <c r="W115" s="151"/>
      <c r="X115" s="153"/>
      <c r="Y115" s="153"/>
      <c r="Z115" s="153"/>
      <c r="AA115" s="153"/>
      <c r="AB115" s="153"/>
      <c r="AC115" s="153"/>
      <c r="AD115" s="64"/>
      <c r="AE115" s="238"/>
      <c r="AF115" s="238">
        <f t="shared" si="96"/>
        <v>0</v>
      </c>
      <c r="AG115" s="238">
        <f t="shared" si="96"/>
        <v>0</v>
      </c>
      <c r="AH115" s="238">
        <f t="shared" si="96"/>
        <v>10</v>
      </c>
      <c r="AI115" s="64">
        <f t="shared" si="58"/>
        <v>0</v>
      </c>
      <c r="AJ115" s="64">
        <f t="shared" si="59"/>
        <v>0</v>
      </c>
      <c r="AK115" s="64">
        <f t="shared" si="60"/>
        <v>0</v>
      </c>
      <c r="AL115" s="64">
        <f t="shared" si="61"/>
        <v>0</v>
      </c>
      <c r="AM115" s="238">
        <f t="shared" si="62"/>
        <v>48150</v>
      </c>
      <c r="AN115" s="64">
        <f t="shared" si="63"/>
        <v>0</v>
      </c>
      <c r="AO115" s="238">
        <f t="shared" si="64"/>
        <v>45000</v>
      </c>
      <c r="AP115" s="238">
        <f t="shared" si="65"/>
        <v>0</v>
      </c>
      <c r="AQ115" s="238">
        <f t="shared" si="66"/>
        <v>0</v>
      </c>
      <c r="AR115" s="260"/>
      <c r="AS115" s="286" t="s">
        <v>553</v>
      </c>
      <c r="AT115" s="703">
        <v>7</v>
      </c>
      <c r="AU115" s="238">
        <f t="shared" si="97"/>
        <v>6</v>
      </c>
      <c r="AV115" s="36">
        <v>0</v>
      </c>
      <c r="AW115" s="36">
        <v>0</v>
      </c>
      <c r="AX115" s="36">
        <v>450</v>
      </c>
      <c r="AY115" s="36">
        <v>1350</v>
      </c>
      <c r="AZ115" s="36">
        <v>3150</v>
      </c>
      <c r="BA115" s="36">
        <v>6150</v>
      </c>
      <c r="BB115" s="36">
        <v>10650</v>
      </c>
      <c r="BC115" s="36">
        <v>18150</v>
      </c>
      <c r="BD115" s="36">
        <v>30150</v>
      </c>
      <c r="BE115" s="36">
        <v>48150</v>
      </c>
      <c r="BF115" s="16">
        <v>4500</v>
      </c>
      <c r="BG115" s="16">
        <v>9000</v>
      </c>
      <c r="BH115" s="16">
        <v>13500</v>
      </c>
      <c r="BI115" s="16">
        <v>18000</v>
      </c>
      <c r="BJ115" s="16">
        <v>22500</v>
      </c>
      <c r="BK115" s="16">
        <v>27000</v>
      </c>
      <c r="BL115" s="16">
        <v>31500</v>
      </c>
      <c r="BM115" s="16">
        <v>36000</v>
      </c>
      <c r="BN115" s="16">
        <v>40500</v>
      </c>
      <c r="BO115" s="16">
        <v>45000</v>
      </c>
      <c r="BP115" s="36">
        <f t="shared" si="67"/>
        <v>73</v>
      </c>
      <c r="BQ115" s="16">
        <f t="shared" si="68"/>
        <v>181</v>
      </c>
      <c r="BR115" s="36">
        <f t="shared" si="69"/>
        <v>233</v>
      </c>
      <c r="BS115" s="16">
        <f t="shared" si="70"/>
        <v>313</v>
      </c>
      <c r="BT115" s="36">
        <f t="shared" si="71"/>
        <v>434</v>
      </c>
      <c r="BU115" s="153"/>
      <c r="BV115" s="153">
        <f t="shared" si="72"/>
        <v>72.224999999999994</v>
      </c>
      <c r="BW115" s="153">
        <f t="shared" si="73"/>
        <v>180.5625</v>
      </c>
      <c r="BX115" s="153">
        <f t="shared" si="74"/>
        <v>232.72498395</v>
      </c>
      <c r="BY115" s="153">
        <f t="shared" si="75"/>
        <v>312.97500000000002</v>
      </c>
      <c r="BZ115" s="153">
        <f t="shared" si="76"/>
        <v>433.35</v>
      </c>
      <c r="CA115" s="153"/>
      <c r="CB115" s="153"/>
      <c r="CC115" s="152"/>
      <c r="CD115" s="238"/>
      <c r="CE115" s="238"/>
      <c r="CF115" s="238"/>
      <c r="CG115" s="238"/>
      <c r="CH115" s="64"/>
      <c r="CI115" s="153"/>
      <c r="CJ115" s="64"/>
      <c r="CK115" s="64"/>
      <c r="CL115" s="64"/>
      <c r="CM115" s="153"/>
      <c r="CN115" s="64"/>
      <c r="CO115" s="64"/>
      <c r="CP115" s="238"/>
      <c r="CQ115" s="238"/>
      <c r="CR115" s="238"/>
      <c r="CS115" s="153"/>
      <c r="CT115" s="153"/>
      <c r="CU115" s="153"/>
      <c r="CV115" s="238"/>
      <c r="CW115" s="238"/>
      <c r="CX115" s="238"/>
      <c r="CY115" s="238"/>
      <c r="CZ115" s="238"/>
      <c r="DA115" s="238"/>
      <c r="DB115" s="238"/>
      <c r="DC115" s="238"/>
      <c r="DD115" s="238"/>
      <c r="DE115" s="153"/>
      <c r="DF115" s="287" t="s">
        <v>456</v>
      </c>
      <c r="DG115" s="238">
        <f t="shared" si="91"/>
        <v>0</v>
      </c>
      <c r="DH115" s="238">
        <f t="shared" si="98"/>
        <v>1</v>
      </c>
      <c r="DI115" s="238">
        <f t="shared" si="99"/>
        <v>6</v>
      </c>
      <c r="DJ115" s="3">
        <v>1.5</v>
      </c>
      <c r="DK115" s="3">
        <v>15</v>
      </c>
      <c r="DL115" s="3">
        <v>0</v>
      </c>
      <c r="DM115" s="64">
        <f t="shared" si="92"/>
        <v>0</v>
      </c>
      <c r="DN115" s="64">
        <f t="shared" si="93"/>
        <v>0</v>
      </c>
      <c r="DO115" s="64">
        <f t="shared" si="94"/>
        <v>0</v>
      </c>
      <c r="DP115" s="153"/>
      <c r="DQ115" s="153"/>
      <c r="DR115" s="153"/>
      <c r="DS115" s="153"/>
      <c r="DT115" s="153"/>
      <c r="DU115" s="153"/>
      <c r="DV115" s="153"/>
      <c r="DW115" s="153"/>
      <c r="DX115" s="153"/>
      <c r="DY115" s="153"/>
      <c r="DZ115" s="153"/>
      <c r="EA115" s="153"/>
      <c r="EB115" s="153"/>
    </row>
    <row r="116" spans="2:132" s="263" customFormat="1" ht="17.25" customHeight="1">
      <c r="B116" s="153"/>
      <c r="C116" s="153"/>
      <c r="D116" s="152"/>
      <c r="E116" s="152"/>
      <c r="F116" s="152"/>
      <c r="G116" s="152"/>
      <c r="K116" s="153"/>
      <c r="L116" s="281"/>
      <c r="M116" s="281"/>
      <c r="N116" s="281"/>
      <c r="O116" s="281"/>
      <c r="P116" s="281"/>
      <c r="Q116" s="281"/>
      <c r="R116" s="281"/>
      <c r="S116" s="281"/>
      <c r="T116" s="281"/>
      <c r="U116" s="281"/>
      <c r="V116" s="281"/>
      <c r="W116" s="153"/>
      <c r="X116" s="153"/>
      <c r="Y116" s="153"/>
      <c r="Z116" s="153"/>
      <c r="AA116" s="153"/>
      <c r="AB116" s="153"/>
      <c r="AC116" s="153"/>
      <c r="AD116" s="64"/>
      <c r="AE116" s="238"/>
      <c r="AF116" s="238">
        <f>D48</f>
        <v>0</v>
      </c>
      <c r="AG116" s="238">
        <f>A32</f>
        <v>0</v>
      </c>
      <c r="AH116" s="238">
        <f>B32</f>
        <v>11</v>
      </c>
      <c r="AI116" s="64">
        <f t="shared" si="58"/>
        <v>0</v>
      </c>
      <c r="AJ116" s="64">
        <f t="shared" si="59"/>
        <v>0</v>
      </c>
      <c r="AK116" s="64">
        <f t="shared" si="60"/>
        <v>0</v>
      </c>
      <c r="AL116" s="64">
        <f t="shared" si="61"/>
        <v>0</v>
      </c>
      <c r="AM116" s="238">
        <f t="shared" si="62"/>
        <v>61450</v>
      </c>
      <c r="AN116" s="64">
        <f t="shared" si="63"/>
        <v>0</v>
      </c>
      <c r="AO116" s="238">
        <f t="shared" si="64"/>
        <v>75000</v>
      </c>
      <c r="AP116" s="238">
        <f t="shared" si="65"/>
        <v>0</v>
      </c>
      <c r="AQ116" s="238">
        <f t="shared" si="66"/>
        <v>93</v>
      </c>
      <c r="AR116" s="260"/>
      <c r="AS116" s="269" t="s">
        <v>409</v>
      </c>
      <c r="AT116" s="238">
        <v>1</v>
      </c>
      <c r="AU116" s="238">
        <v>0</v>
      </c>
      <c r="AV116" s="36">
        <v>0</v>
      </c>
      <c r="AW116" s="36">
        <v>0</v>
      </c>
      <c r="AX116" s="36">
        <v>450</v>
      </c>
      <c r="AY116" s="36">
        <v>1850</v>
      </c>
      <c r="AZ116" s="36">
        <v>4150</v>
      </c>
      <c r="BA116" s="36">
        <v>7550</v>
      </c>
      <c r="BB116" s="36">
        <v>15450</v>
      </c>
      <c r="BC116" s="36">
        <v>24450</v>
      </c>
      <c r="BD116" s="36">
        <v>38450</v>
      </c>
      <c r="BE116" s="36">
        <v>61450</v>
      </c>
      <c r="BF116" s="16">
        <v>7500</v>
      </c>
      <c r="BG116" s="16">
        <v>15000</v>
      </c>
      <c r="BH116" s="16">
        <v>22500</v>
      </c>
      <c r="BI116" s="16">
        <v>30000</v>
      </c>
      <c r="BJ116" s="16">
        <v>37500</v>
      </c>
      <c r="BK116" s="16">
        <v>45000</v>
      </c>
      <c r="BL116" s="16">
        <v>52500</v>
      </c>
      <c r="BM116" s="16">
        <v>60000</v>
      </c>
      <c r="BN116" s="16">
        <v>67500</v>
      </c>
      <c r="BO116" s="16">
        <v>75000</v>
      </c>
      <c r="BP116" s="36">
        <f t="shared" si="67"/>
        <v>93</v>
      </c>
      <c r="BQ116" s="16">
        <f t="shared" si="68"/>
        <v>231</v>
      </c>
      <c r="BR116" s="36">
        <f t="shared" si="69"/>
        <v>298</v>
      </c>
      <c r="BS116" s="16">
        <f t="shared" si="70"/>
        <v>400</v>
      </c>
      <c r="BT116" s="36">
        <f t="shared" si="71"/>
        <v>554</v>
      </c>
      <c r="BU116" s="153"/>
      <c r="BV116" s="153">
        <f t="shared" si="72"/>
        <v>92.174999999999997</v>
      </c>
      <c r="BW116" s="153">
        <f t="shared" si="73"/>
        <v>230.4375</v>
      </c>
      <c r="BX116" s="153">
        <f t="shared" si="74"/>
        <v>297.00831285000004</v>
      </c>
      <c r="BY116" s="153">
        <f t="shared" si="75"/>
        <v>399.42500000000001</v>
      </c>
      <c r="BZ116" s="153">
        <f t="shared" si="76"/>
        <v>553.04999999999995</v>
      </c>
      <c r="CA116" s="153"/>
      <c r="CB116" s="262"/>
      <c r="CC116" s="152"/>
      <c r="CD116" s="238"/>
      <c r="CE116" s="236"/>
      <c r="CF116" s="236"/>
      <c r="CG116" s="236"/>
      <c r="CH116" s="238"/>
      <c r="CI116" s="153"/>
      <c r="CJ116" s="238"/>
      <c r="CK116" s="238"/>
      <c r="CL116" s="238"/>
      <c r="CM116" s="153"/>
      <c r="CN116" s="238"/>
      <c r="CO116" s="238"/>
      <c r="CP116" s="238"/>
      <c r="CQ116" s="238"/>
      <c r="CR116" s="238"/>
      <c r="CS116" s="153"/>
      <c r="CT116" s="153"/>
      <c r="CU116" s="153"/>
      <c r="CV116" s="238"/>
      <c r="CW116" s="238"/>
      <c r="CX116" s="238"/>
      <c r="CY116" s="238"/>
      <c r="CZ116" s="238"/>
      <c r="DA116" s="238"/>
      <c r="DB116" s="238"/>
      <c r="DC116" s="238"/>
      <c r="DD116" s="238"/>
      <c r="DE116" s="153"/>
      <c r="DF116" s="287" t="s">
        <v>458</v>
      </c>
      <c r="DG116" s="238">
        <f t="shared" si="91"/>
        <v>0</v>
      </c>
      <c r="DH116" s="238">
        <f t="shared" si="98"/>
        <v>1</v>
      </c>
      <c r="DI116" s="238">
        <f t="shared" si="99"/>
        <v>7</v>
      </c>
      <c r="DJ116" s="3">
        <v>6</v>
      </c>
      <c r="DK116" s="3">
        <v>0</v>
      </c>
      <c r="DL116" s="3">
        <v>0</v>
      </c>
      <c r="DM116" s="64">
        <f t="shared" si="92"/>
        <v>0</v>
      </c>
      <c r="DN116" s="64">
        <f t="shared" si="93"/>
        <v>0</v>
      </c>
      <c r="DO116" s="64">
        <f t="shared" si="94"/>
        <v>0</v>
      </c>
      <c r="DP116" s="153"/>
      <c r="DQ116" s="153"/>
      <c r="DR116" s="153"/>
      <c r="DS116" s="153"/>
      <c r="DT116" s="153"/>
      <c r="DU116" s="153"/>
      <c r="DV116" s="153"/>
      <c r="DW116" s="153"/>
      <c r="DX116" s="153"/>
      <c r="DY116" s="153"/>
      <c r="DZ116" s="153"/>
      <c r="EA116" s="153"/>
      <c r="EB116" s="153"/>
    </row>
    <row r="117" spans="2:132" s="263" customFormat="1" ht="17.25" customHeight="1">
      <c r="B117" s="153"/>
      <c r="C117" s="153"/>
      <c r="D117" s="152"/>
      <c r="E117" s="152"/>
      <c r="F117" s="152"/>
      <c r="G117" s="152"/>
      <c r="K117" s="153"/>
      <c r="L117" s="153"/>
      <c r="M117" s="153"/>
      <c r="N117" s="153"/>
      <c r="O117" s="153"/>
      <c r="P117" s="153"/>
      <c r="Q117" s="153"/>
      <c r="R117" s="153"/>
      <c r="S117" s="153"/>
      <c r="T117" s="153"/>
      <c r="U117" s="153"/>
      <c r="V117" s="153"/>
      <c r="W117" s="153"/>
      <c r="X117" s="153"/>
      <c r="Y117" s="153"/>
      <c r="Z117" s="153"/>
      <c r="AA117" s="153"/>
      <c r="AB117" s="153"/>
      <c r="AC117" s="153"/>
      <c r="AD117" s="64"/>
      <c r="AE117" s="238"/>
      <c r="AF117" s="238">
        <f t="shared" ref="AF117:AH119" si="101">AF$116</f>
        <v>0</v>
      </c>
      <c r="AG117" s="238">
        <f t="shared" si="101"/>
        <v>0</v>
      </c>
      <c r="AH117" s="238">
        <f t="shared" si="101"/>
        <v>11</v>
      </c>
      <c r="AI117" s="64">
        <f t="shared" si="58"/>
        <v>0</v>
      </c>
      <c r="AJ117" s="64">
        <f t="shared" si="59"/>
        <v>0</v>
      </c>
      <c r="AK117" s="64">
        <f t="shared" si="60"/>
        <v>0</v>
      </c>
      <c r="AL117" s="64">
        <f t="shared" si="61"/>
        <v>0</v>
      </c>
      <c r="AM117" s="238">
        <f t="shared" si="62"/>
        <v>59850</v>
      </c>
      <c r="AN117" s="64">
        <f t="shared" si="63"/>
        <v>0</v>
      </c>
      <c r="AO117" s="238">
        <f t="shared" si="64"/>
        <v>75000</v>
      </c>
      <c r="AP117" s="238">
        <f t="shared" si="65"/>
        <v>0</v>
      </c>
      <c r="AQ117" s="238">
        <f t="shared" si="66"/>
        <v>90</v>
      </c>
      <c r="AR117" s="260"/>
      <c r="AS117" s="269" t="s">
        <v>461</v>
      </c>
      <c r="AT117" s="238">
        <v>2</v>
      </c>
      <c r="AU117" s="238">
        <f>AU116+1</f>
        <v>1</v>
      </c>
      <c r="AV117" s="36">
        <v>0</v>
      </c>
      <c r="AW117" s="36">
        <v>0</v>
      </c>
      <c r="AX117" s="36">
        <v>450</v>
      </c>
      <c r="AY117" s="36">
        <v>1800</v>
      </c>
      <c r="AZ117" s="36">
        <v>4050</v>
      </c>
      <c r="BA117" s="36">
        <v>7800</v>
      </c>
      <c r="BB117" s="36">
        <v>15300</v>
      </c>
      <c r="BC117" s="36">
        <v>25200</v>
      </c>
      <c r="BD117" s="36">
        <v>39600</v>
      </c>
      <c r="BE117" s="36">
        <v>59850</v>
      </c>
      <c r="BF117" s="16">
        <v>7500</v>
      </c>
      <c r="BG117" s="16">
        <v>15000</v>
      </c>
      <c r="BH117" s="16">
        <v>22500</v>
      </c>
      <c r="BI117" s="16">
        <v>30000</v>
      </c>
      <c r="BJ117" s="16">
        <v>37500</v>
      </c>
      <c r="BK117" s="16">
        <v>45000</v>
      </c>
      <c r="BL117" s="16">
        <v>52500</v>
      </c>
      <c r="BM117" s="16">
        <v>60000</v>
      </c>
      <c r="BN117" s="16">
        <v>67500</v>
      </c>
      <c r="BO117" s="16">
        <v>75000</v>
      </c>
      <c r="BP117" s="36">
        <f t="shared" si="67"/>
        <v>90</v>
      </c>
      <c r="BQ117" s="16">
        <f t="shared" si="68"/>
        <v>225</v>
      </c>
      <c r="BR117" s="36">
        <f t="shared" si="69"/>
        <v>290</v>
      </c>
      <c r="BS117" s="16">
        <f t="shared" si="70"/>
        <v>390</v>
      </c>
      <c r="BT117" s="36">
        <f t="shared" si="71"/>
        <v>539</v>
      </c>
      <c r="BU117" s="153"/>
      <c r="BV117" s="153">
        <f t="shared" si="72"/>
        <v>89.775000000000006</v>
      </c>
      <c r="BW117" s="153">
        <f t="shared" si="73"/>
        <v>224.4375</v>
      </c>
      <c r="BX117" s="153">
        <f t="shared" si="74"/>
        <v>289.27498005000001</v>
      </c>
      <c r="BY117" s="153">
        <f t="shared" si="75"/>
        <v>389.02499999999998</v>
      </c>
      <c r="BZ117" s="153">
        <f t="shared" si="76"/>
        <v>538.65</v>
      </c>
      <c r="CA117" s="153"/>
      <c r="CB117" s="153"/>
      <c r="CC117" s="152"/>
      <c r="CD117" s="238"/>
      <c r="CE117" s="238"/>
      <c r="CF117" s="238"/>
      <c r="CG117" s="238"/>
      <c r="CH117" s="64"/>
      <c r="CI117" s="153"/>
      <c r="CJ117" s="64"/>
      <c r="CK117" s="64"/>
      <c r="CL117" s="64"/>
      <c r="CM117" s="153"/>
      <c r="CN117" s="64"/>
      <c r="CO117" s="64"/>
      <c r="CP117" s="238"/>
      <c r="CQ117" s="238"/>
      <c r="CR117" s="238"/>
      <c r="CS117" s="153"/>
      <c r="CT117" s="153"/>
      <c r="CU117" s="153"/>
      <c r="CV117" s="238"/>
      <c r="CW117" s="238"/>
      <c r="CX117" s="238"/>
      <c r="CY117" s="238"/>
      <c r="CZ117" s="238"/>
      <c r="DA117" s="238"/>
      <c r="DB117" s="238"/>
      <c r="DC117" s="238"/>
      <c r="DD117" s="238"/>
      <c r="DE117" s="153"/>
      <c r="DF117" s="287" t="s">
        <v>359</v>
      </c>
      <c r="DG117" s="238">
        <f t="shared" si="91"/>
        <v>0</v>
      </c>
      <c r="DH117" s="238">
        <f t="shared" si="98"/>
        <v>1</v>
      </c>
      <c r="DI117" s="238">
        <f t="shared" si="99"/>
        <v>8</v>
      </c>
      <c r="DJ117" s="3">
        <v>0</v>
      </c>
      <c r="DK117" s="3">
        <v>30</v>
      </c>
      <c r="DL117" s="3">
        <v>0</v>
      </c>
      <c r="DM117" s="64">
        <f t="shared" si="92"/>
        <v>0</v>
      </c>
      <c r="DN117" s="64">
        <f t="shared" si="93"/>
        <v>0</v>
      </c>
      <c r="DO117" s="64">
        <f t="shared" si="94"/>
        <v>0</v>
      </c>
      <c r="DP117" s="153"/>
      <c r="DQ117" s="152"/>
      <c r="DR117" s="152"/>
      <c r="DS117" s="152"/>
      <c r="DT117" s="152"/>
      <c r="DU117" s="64"/>
      <c r="DV117" s="64"/>
      <c r="DW117" s="64"/>
      <c r="DX117" s="64"/>
      <c r="DY117" s="153"/>
      <c r="DZ117" s="153"/>
      <c r="EA117" s="153"/>
      <c r="EB117" s="153"/>
    </row>
    <row r="118" spans="2:132" s="263" customFormat="1" ht="17.25" customHeight="1">
      <c r="B118" s="153"/>
      <c r="C118" s="153"/>
      <c r="D118" s="152"/>
      <c r="E118" s="152"/>
      <c r="F118" s="152"/>
      <c r="G118" s="152"/>
      <c r="K118" s="153"/>
      <c r="L118" s="153"/>
      <c r="M118" s="153"/>
      <c r="N118" s="153"/>
      <c r="O118" s="153"/>
      <c r="P118" s="153"/>
      <c r="Q118" s="153"/>
      <c r="R118" s="153"/>
      <c r="S118" s="153"/>
      <c r="T118" s="153"/>
      <c r="U118" s="153"/>
      <c r="V118" s="153"/>
      <c r="W118" s="153"/>
      <c r="X118" s="153"/>
      <c r="Y118" s="153"/>
      <c r="Z118" s="153"/>
      <c r="AA118" s="153"/>
      <c r="AB118" s="153"/>
      <c r="AC118" s="153"/>
      <c r="AD118" s="64"/>
      <c r="AE118" s="238"/>
      <c r="AF118" s="238">
        <f t="shared" si="101"/>
        <v>0</v>
      </c>
      <c r="AG118" s="238">
        <f t="shared" si="101"/>
        <v>0</v>
      </c>
      <c r="AH118" s="238">
        <f t="shared" si="101"/>
        <v>11</v>
      </c>
      <c r="AI118" s="64">
        <f t="shared" si="58"/>
        <v>0</v>
      </c>
      <c r="AJ118" s="64">
        <f t="shared" si="59"/>
        <v>0</v>
      </c>
      <c r="AK118" s="64">
        <f t="shared" si="60"/>
        <v>0</v>
      </c>
      <c r="AL118" s="64">
        <f t="shared" si="61"/>
        <v>0</v>
      </c>
      <c r="AM118" s="238">
        <f t="shared" si="62"/>
        <v>61450</v>
      </c>
      <c r="AN118" s="64">
        <f t="shared" si="63"/>
        <v>0</v>
      </c>
      <c r="AO118" s="238">
        <f t="shared" si="64"/>
        <v>75000</v>
      </c>
      <c r="AP118" s="238">
        <f t="shared" si="65"/>
        <v>0</v>
      </c>
      <c r="AQ118" s="238">
        <f t="shared" si="66"/>
        <v>93</v>
      </c>
      <c r="AR118" s="260"/>
      <c r="AS118" s="269" t="s">
        <v>463</v>
      </c>
      <c r="AT118" s="238">
        <v>3</v>
      </c>
      <c r="AU118" s="238">
        <f>AU117+1</f>
        <v>2</v>
      </c>
      <c r="AV118" s="36">
        <v>0</v>
      </c>
      <c r="AW118" s="36">
        <v>0</v>
      </c>
      <c r="AX118" s="36">
        <v>450</v>
      </c>
      <c r="AY118" s="36">
        <v>1850</v>
      </c>
      <c r="AZ118" s="36">
        <v>4150</v>
      </c>
      <c r="BA118" s="36">
        <v>7550</v>
      </c>
      <c r="BB118" s="36">
        <v>15450</v>
      </c>
      <c r="BC118" s="36">
        <v>24450</v>
      </c>
      <c r="BD118" s="36">
        <v>38450</v>
      </c>
      <c r="BE118" s="36">
        <v>61450</v>
      </c>
      <c r="BF118" s="16">
        <v>7500</v>
      </c>
      <c r="BG118" s="16">
        <v>15000</v>
      </c>
      <c r="BH118" s="16">
        <v>22500</v>
      </c>
      <c r="BI118" s="16">
        <v>30000</v>
      </c>
      <c r="BJ118" s="16">
        <v>37500</v>
      </c>
      <c r="BK118" s="16">
        <v>45000</v>
      </c>
      <c r="BL118" s="16">
        <v>52500</v>
      </c>
      <c r="BM118" s="16">
        <v>60000</v>
      </c>
      <c r="BN118" s="16">
        <v>67500</v>
      </c>
      <c r="BO118" s="16">
        <v>75000</v>
      </c>
      <c r="BP118" s="36">
        <f t="shared" si="67"/>
        <v>93</v>
      </c>
      <c r="BQ118" s="16">
        <f t="shared" si="68"/>
        <v>231</v>
      </c>
      <c r="BR118" s="36">
        <f t="shared" si="69"/>
        <v>298</v>
      </c>
      <c r="BS118" s="16">
        <f t="shared" si="70"/>
        <v>400</v>
      </c>
      <c r="BT118" s="36">
        <f t="shared" si="71"/>
        <v>554</v>
      </c>
      <c r="BU118" s="153"/>
      <c r="BV118" s="153">
        <f t="shared" si="72"/>
        <v>92.174999999999997</v>
      </c>
      <c r="BW118" s="153">
        <f t="shared" si="73"/>
        <v>230.4375</v>
      </c>
      <c r="BX118" s="153">
        <f t="shared" si="74"/>
        <v>297.00831285000004</v>
      </c>
      <c r="BY118" s="153">
        <f t="shared" si="75"/>
        <v>399.42500000000001</v>
      </c>
      <c r="BZ118" s="153">
        <f t="shared" si="76"/>
        <v>553.04999999999995</v>
      </c>
      <c r="CA118" s="153"/>
      <c r="CB118" s="153"/>
      <c r="CC118" s="152"/>
      <c r="CD118" s="238"/>
      <c r="CE118" s="238"/>
      <c r="CF118" s="238"/>
      <c r="CG118" s="238"/>
      <c r="CH118" s="238"/>
      <c r="CI118" s="153"/>
      <c r="CJ118" s="238"/>
      <c r="CK118" s="238"/>
      <c r="CL118" s="238"/>
      <c r="CM118" s="153"/>
      <c r="CN118" s="238"/>
      <c r="CO118" s="238"/>
      <c r="CP118" s="238"/>
      <c r="CQ118" s="238"/>
      <c r="CR118" s="238"/>
      <c r="CS118" s="153"/>
      <c r="CT118" s="153"/>
      <c r="CU118" s="153"/>
      <c r="CV118" s="238"/>
      <c r="CW118" s="238"/>
      <c r="CX118" s="238"/>
      <c r="CY118" s="238"/>
      <c r="CZ118" s="238"/>
      <c r="DA118" s="238"/>
      <c r="DB118" s="238"/>
      <c r="DC118" s="238"/>
      <c r="DD118" s="238"/>
      <c r="DE118" s="153"/>
      <c r="DF118" s="287" t="s">
        <v>462</v>
      </c>
      <c r="DG118" s="238">
        <f t="shared" si="91"/>
        <v>0</v>
      </c>
      <c r="DH118" s="238">
        <f t="shared" si="98"/>
        <v>1</v>
      </c>
      <c r="DI118" s="238">
        <f t="shared" si="99"/>
        <v>9</v>
      </c>
      <c r="DJ118" s="3">
        <v>1.5</v>
      </c>
      <c r="DK118" s="3">
        <v>15</v>
      </c>
      <c r="DL118" s="3">
        <v>0</v>
      </c>
      <c r="DM118" s="64">
        <f t="shared" si="92"/>
        <v>0</v>
      </c>
      <c r="DN118" s="64">
        <f t="shared" si="93"/>
        <v>0</v>
      </c>
      <c r="DO118" s="64">
        <f t="shared" si="94"/>
        <v>0</v>
      </c>
      <c r="DP118" s="153"/>
      <c r="DQ118" s="153"/>
      <c r="DR118" s="153"/>
      <c r="DS118" s="153"/>
      <c r="DT118" s="153"/>
      <c r="DU118" s="153"/>
      <c r="DV118" s="153"/>
      <c r="DW118" s="153"/>
      <c r="DX118" s="153"/>
      <c r="DY118" s="153"/>
      <c r="DZ118" s="153"/>
      <c r="EA118" s="153"/>
      <c r="EB118" s="153"/>
    </row>
    <row r="119" spans="2:132" s="263" customFormat="1" ht="17.25" customHeight="1">
      <c r="B119" s="153"/>
      <c r="C119" s="153"/>
      <c r="D119" s="152"/>
      <c r="E119" s="152"/>
      <c r="F119" s="152"/>
      <c r="G119" s="152"/>
      <c r="K119" s="153"/>
      <c r="L119" s="153"/>
      <c r="M119" s="153"/>
      <c r="N119" s="153"/>
      <c r="O119" s="153"/>
      <c r="P119" s="153"/>
      <c r="Q119" s="153"/>
      <c r="R119" s="153"/>
      <c r="S119" s="153"/>
      <c r="T119" s="153"/>
      <c r="U119" s="153"/>
      <c r="V119" s="153"/>
      <c r="W119" s="153"/>
      <c r="X119" s="153"/>
      <c r="Y119" s="153"/>
      <c r="Z119" s="153"/>
      <c r="AA119" s="153"/>
      <c r="AB119" s="153"/>
      <c r="AC119" s="153"/>
      <c r="AD119" s="64"/>
      <c r="AE119" s="238"/>
      <c r="AF119" s="238">
        <f t="shared" si="101"/>
        <v>0</v>
      </c>
      <c r="AG119" s="238">
        <f t="shared" si="101"/>
        <v>0</v>
      </c>
      <c r="AH119" s="238">
        <f t="shared" si="101"/>
        <v>11</v>
      </c>
      <c r="AI119" s="64">
        <f t="shared" si="58"/>
        <v>0</v>
      </c>
      <c r="AJ119" s="64">
        <f t="shared" si="59"/>
        <v>0</v>
      </c>
      <c r="AK119" s="64">
        <f t="shared" si="60"/>
        <v>0</v>
      </c>
      <c r="AL119" s="64">
        <f t="shared" si="61"/>
        <v>0</v>
      </c>
      <c r="AM119" s="238">
        <f t="shared" si="62"/>
        <v>48150</v>
      </c>
      <c r="AN119" s="64">
        <f t="shared" si="63"/>
        <v>0</v>
      </c>
      <c r="AO119" s="238">
        <f t="shared" si="64"/>
        <v>35000</v>
      </c>
      <c r="AP119" s="238">
        <f t="shared" si="65"/>
        <v>0</v>
      </c>
      <c r="AQ119" s="238">
        <f t="shared" si="66"/>
        <v>73</v>
      </c>
      <c r="AR119" s="260"/>
      <c r="AS119" s="269" t="s">
        <v>466</v>
      </c>
      <c r="AT119" s="238">
        <v>4</v>
      </c>
      <c r="AU119" s="238">
        <f>AU118+1</f>
        <v>3</v>
      </c>
      <c r="AV119" s="36">
        <v>0</v>
      </c>
      <c r="AW119" s="36">
        <v>0</v>
      </c>
      <c r="AX119" s="36">
        <v>450</v>
      </c>
      <c r="AY119" s="36">
        <v>1350</v>
      </c>
      <c r="AZ119" s="36">
        <v>3150</v>
      </c>
      <c r="BA119" s="36">
        <v>6150</v>
      </c>
      <c r="BB119" s="36">
        <v>10650</v>
      </c>
      <c r="BC119" s="36">
        <v>18150</v>
      </c>
      <c r="BD119" s="36">
        <v>30150</v>
      </c>
      <c r="BE119" s="36">
        <v>48150</v>
      </c>
      <c r="BF119" s="16">
        <v>3500</v>
      </c>
      <c r="BG119" s="16">
        <v>7000</v>
      </c>
      <c r="BH119" s="16">
        <v>10500</v>
      </c>
      <c r="BI119" s="16">
        <v>14000</v>
      </c>
      <c r="BJ119" s="16">
        <v>17500</v>
      </c>
      <c r="BK119" s="16">
        <v>21000</v>
      </c>
      <c r="BL119" s="16">
        <v>24500</v>
      </c>
      <c r="BM119" s="16">
        <v>28000</v>
      </c>
      <c r="BN119" s="16">
        <v>31500</v>
      </c>
      <c r="BO119" s="16">
        <v>35000</v>
      </c>
      <c r="BP119" s="36">
        <f t="shared" si="67"/>
        <v>73</v>
      </c>
      <c r="BQ119" s="16">
        <f t="shared" si="68"/>
        <v>181</v>
      </c>
      <c r="BR119" s="36">
        <f t="shared" si="69"/>
        <v>233</v>
      </c>
      <c r="BS119" s="16">
        <f t="shared" si="70"/>
        <v>313</v>
      </c>
      <c r="BT119" s="36">
        <f t="shared" si="71"/>
        <v>434</v>
      </c>
      <c r="BU119" s="153"/>
      <c r="BV119" s="153">
        <f t="shared" si="72"/>
        <v>72.224999999999994</v>
      </c>
      <c r="BW119" s="153">
        <f t="shared" si="73"/>
        <v>180.5625</v>
      </c>
      <c r="BX119" s="153">
        <f t="shared" si="74"/>
        <v>232.72498395</v>
      </c>
      <c r="BY119" s="153">
        <f t="shared" si="75"/>
        <v>312.97500000000002</v>
      </c>
      <c r="BZ119" s="153">
        <f t="shared" si="76"/>
        <v>433.35</v>
      </c>
      <c r="CA119" s="153"/>
      <c r="CB119" s="153"/>
      <c r="CC119" s="152"/>
      <c r="CD119" s="238"/>
      <c r="CE119" s="238"/>
      <c r="CF119" s="238"/>
      <c r="CG119" s="238"/>
      <c r="CH119" s="238"/>
      <c r="CI119" s="153"/>
      <c r="CJ119" s="238"/>
      <c r="CK119" s="238"/>
      <c r="CL119" s="238"/>
      <c r="CM119" s="153"/>
      <c r="CN119" s="238"/>
      <c r="CO119" s="238"/>
      <c r="CP119" s="238"/>
      <c r="CQ119" s="238"/>
      <c r="CR119" s="238"/>
      <c r="CS119" s="153"/>
      <c r="CT119" s="153"/>
      <c r="CU119" s="153"/>
      <c r="CV119" s="238"/>
      <c r="CW119" s="238"/>
      <c r="CX119" s="238"/>
      <c r="CY119" s="238"/>
      <c r="CZ119" s="238"/>
      <c r="DA119" s="238"/>
      <c r="DB119" s="238"/>
      <c r="DC119" s="238"/>
      <c r="DD119" s="238"/>
      <c r="DE119" s="153"/>
      <c r="DF119" s="287" t="s">
        <v>464</v>
      </c>
      <c r="DG119" s="238">
        <f t="shared" si="91"/>
        <v>0</v>
      </c>
      <c r="DH119" s="238">
        <f t="shared" si="98"/>
        <v>1</v>
      </c>
      <c r="DI119" s="238">
        <f t="shared" si="99"/>
        <v>10</v>
      </c>
      <c r="DJ119" s="3">
        <v>6</v>
      </c>
      <c r="DK119" s="3">
        <v>0</v>
      </c>
      <c r="DL119" s="3">
        <v>0</v>
      </c>
      <c r="DM119" s="64">
        <f t="shared" si="92"/>
        <v>0</v>
      </c>
      <c r="DN119" s="64">
        <f t="shared" si="93"/>
        <v>0</v>
      </c>
      <c r="DO119" s="64">
        <f t="shared" si="94"/>
        <v>0</v>
      </c>
      <c r="DP119" s="153"/>
      <c r="DQ119" s="153"/>
      <c r="DR119" s="153"/>
      <c r="DS119" s="153"/>
      <c r="DT119" s="153"/>
      <c r="DU119" s="153"/>
      <c r="DV119" s="153"/>
      <c r="DW119" s="153"/>
      <c r="DX119" s="153"/>
      <c r="DY119" s="153"/>
      <c r="DZ119" s="153"/>
      <c r="EA119" s="153"/>
      <c r="EB119" s="153"/>
    </row>
    <row r="120" spans="2:132" s="263" customFormat="1" ht="17.25" customHeight="1">
      <c r="B120" s="153"/>
      <c r="C120" s="153"/>
      <c r="D120" s="152"/>
      <c r="E120" s="152"/>
      <c r="F120" s="152"/>
      <c r="G120" s="152"/>
      <c r="K120" s="153"/>
      <c r="L120" s="153"/>
      <c r="M120" s="153"/>
      <c r="N120" s="153"/>
      <c r="O120" s="153"/>
      <c r="P120" s="153"/>
      <c r="Q120" s="153"/>
      <c r="R120" s="153"/>
      <c r="S120" s="153"/>
      <c r="T120" s="153"/>
      <c r="U120" s="153"/>
      <c r="V120" s="153"/>
      <c r="W120" s="153"/>
      <c r="X120" s="153"/>
      <c r="Y120" s="153"/>
      <c r="Z120" s="153"/>
      <c r="AA120" s="153"/>
      <c r="AB120" s="153"/>
      <c r="AC120" s="153"/>
      <c r="AD120" s="64"/>
      <c r="AE120" s="238"/>
      <c r="AF120" s="238">
        <f>D50</f>
        <v>0</v>
      </c>
      <c r="AG120" s="238">
        <f>A33</f>
        <v>0</v>
      </c>
      <c r="AH120" s="238">
        <f>B33</f>
        <v>5</v>
      </c>
      <c r="AI120" s="64">
        <f t="shared" si="58"/>
        <v>0</v>
      </c>
      <c r="AJ120" s="64">
        <f t="shared" si="59"/>
        <v>0</v>
      </c>
      <c r="AK120" s="64">
        <f t="shared" si="60"/>
        <v>0</v>
      </c>
      <c r="AL120" s="64">
        <f t="shared" si="61"/>
        <v>0</v>
      </c>
      <c r="AM120" s="238">
        <f t="shared" si="62"/>
        <v>4150</v>
      </c>
      <c r="AN120" s="64">
        <f t="shared" si="63"/>
        <v>0</v>
      </c>
      <c r="AO120" s="238">
        <f t="shared" si="64"/>
        <v>37500</v>
      </c>
      <c r="AP120" s="238">
        <f t="shared" si="65"/>
        <v>0</v>
      </c>
      <c r="AQ120" s="238">
        <f t="shared" si="66"/>
        <v>0</v>
      </c>
      <c r="AR120" s="260"/>
      <c r="AS120" s="278" t="s">
        <v>417</v>
      </c>
      <c r="AT120" s="238">
        <v>1</v>
      </c>
      <c r="AU120" s="238">
        <v>0</v>
      </c>
      <c r="AV120" s="36">
        <v>0</v>
      </c>
      <c r="AW120" s="36">
        <v>0</v>
      </c>
      <c r="AX120" s="36">
        <v>450</v>
      </c>
      <c r="AY120" s="36">
        <v>1850</v>
      </c>
      <c r="AZ120" s="36">
        <v>4150</v>
      </c>
      <c r="BA120" s="36">
        <v>7550</v>
      </c>
      <c r="BB120" s="36">
        <v>15450</v>
      </c>
      <c r="BC120" s="36">
        <v>24450</v>
      </c>
      <c r="BD120" s="36">
        <v>38450</v>
      </c>
      <c r="BE120" s="36">
        <v>61450</v>
      </c>
      <c r="BF120" s="16">
        <v>7500</v>
      </c>
      <c r="BG120" s="16">
        <v>15000</v>
      </c>
      <c r="BH120" s="16">
        <v>22500</v>
      </c>
      <c r="BI120" s="16">
        <v>30000</v>
      </c>
      <c r="BJ120" s="16">
        <v>37500</v>
      </c>
      <c r="BK120" s="16">
        <v>45000</v>
      </c>
      <c r="BL120" s="16">
        <v>52500</v>
      </c>
      <c r="BM120" s="16">
        <v>60000</v>
      </c>
      <c r="BN120" s="16">
        <v>67500</v>
      </c>
      <c r="BO120" s="16">
        <v>75000</v>
      </c>
      <c r="BP120" s="36">
        <f t="shared" si="67"/>
        <v>93</v>
      </c>
      <c r="BQ120" s="16">
        <f t="shared" si="68"/>
        <v>231</v>
      </c>
      <c r="BR120" s="36">
        <f t="shared" si="69"/>
        <v>298</v>
      </c>
      <c r="BS120" s="16">
        <f t="shared" si="70"/>
        <v>400</v>
      </c>
      <c r="BT120" s="36">
        <f t="shared" si="71"/>
        <v>554</v>
      </c>
      <c r="BU120" s="153"/>
      <c r="BV120" s="153">
        <f t="shared" si="72"/>
        <v>92.174999999999997</v>
      </c>
      <c r="BW120" s="153">
        <f t="shared" si="73"/>
        <v>230.4375</v>
      </c>
      <c r="BX120" s="153">
        <f t="shared" si="74"/>
        <v>297.00831285000004</v>
      </c>
      <c r="BY120" s="153">
        <f t="shared" si="75"/>
        <v>399.42500000000001</v>
      </c>
      <c r="BZ120" s="153">
        <f t="shared" si="76"/>
        <v>553.04999999999995</v>
      </c>
      <c r="CA120" s="153"/>
      <c r="CB120" s="153"/>
      <c r="CC120" s="152"/>
      <c r="CD120" s="238"/>
      <c r="CE120" s="238"/>
      <c r="CF120" s="238"/>
      <c r="CG120" s="238"/>
      <c r="CH120" s="238"/>
      <c r="CI120" s="153"/>
      <c r="CJ120" s="238"/>
      <c r="CK120" s="238"/>
      <c r="CL120" s="238"/>
      <c r="CM120" s="153"/>
      <c r="CN120" s="238"/>
      <c r="CO120" s="238"/>
      <c r="CP120" s="238"/>
      <c r="CQ120" s="238"/>
      <c r="CR120" s="238"/>
      <c r="CS120" s="153"/>
      <c r="CT120" s="153"/>
      <c r="CU120" s="153"/>
      <c r="CV120" s="238"/>
      <c r="CW120" s="238"/>
      <c r="CX120" s="238"/>
      <c r="CY120" s="238"/>
      <c r="CZ120" s="238"/>
      <c r="DA120" s="238"/>
      <c r="DB120" s="238"/>
      <c r="DC120" s="238"/>
      <c r="DD120" s="238"/>
      <c r="DE120" s="153"/>
      <c r="DF120" s="287" t="s">
        <v>467</v>
      </c>
      <c r="DG120" s="238">
        <f t="shared" si="91"/>
        <v>0</v>
      </c>
      <c r="DH120" s="238">
        <f t="shared" si="98"/>
        <v>1</v>
      </c>
      <c r="DI120" s="238">
        <f t="shared" si="99"/>
        <v>11</v>
      </c>
      <c r="DJ120" s="3">
        <v>0</v>
      </c>
      <c r="DK120" s="3">
        <v>30</v>
      </c>
      <c r="DL120" s="3">
        <v>0</v>
      </c>
      <c r="DM120" s="64">
        <f t="shared" si="92"/>
        <v>0</v>
      </c>
      <c r="DN120" s="64">
        <f t="shared" si="93"/>
        <v>0</v>
      </c>
      <c r="DO120" s="64">
        <f t="shared" si="94"/>
        <v>0</v>
      </c>
      <c r="DP120" s="153"/>
      <c r="DQ120" s="153"/>
      <c r="DR120" s="153"/>
      <c r="DS120" s="153"/>
      <c r="DT120" s="153"/>
      <c r="DU120" s="153"/>
      <c r="DV120" s="153"/>
      <c r="DW120" s="153"/>
      <c r="DX120" s="153"/>
      <c r="DY120" s="153"/>
      <c r="DZ120" s="153"/>
      <c r="EA120" s="153"/>
      <c r="EB120" s="153"/>
    </row>
    <row r="121" spans="2:132" s="263" customFormat="1" ht="17.25" customHeight="1">
      <c r="B121" s="153"/>
      <c r="C121" s="153"/>
      <c r="D121" s="152"/>
      <c r="E121" s="152"/>
      <c r="F121" s="152"/>
      <c r="G121" s="152"/>
      <c r="K121" s="153"/>
      <c r="L121" s="153"/>
      <c r="M121" s="153"/>
      <c r="N121" s="153"/>
      <c r="O121" s="153"/>
      <c r="P121" s="153"/>
      <c r="Q121" s="153"/>
      <c r="R121" s="153"/>
      <c r="S121" s="153"/>
      <c r="T121" s="153"/>
      <c r="U121" s="153"/>
      <c r="V121" s="153"/>
      <c r="W121" s="153"/>
      <c r="X121" s="153"/>
      <c r="Y121" s="153"/>
      <c r="Z121" s="153"/>
      <c r="AA121" s="153"/>
      <c r="AB121" s="153"/>
      <c r="AC121" s="153"/>
      <c r="AD121" s="64"/>
      <c r="AE121" s="238"/>
      <c r="AF121" s="238">
        <f t="shared" ref="AF121:AH123" si="102">AF$120</f>
        <v>0</v>
      </c>
      <c r="AG121" s="238">
        <f t="shared" si="102"/>
        <v>0</v>
      </c>
      <c r="AH121" s="238">
        <f t="shared" si="102"/>
        <v>5</v>
      </c>
      <c r="AI121" s="64">
        <f t="shared" si="58"/>
        <v>0</v>
      </c>
      <c r="AJ121" s="64">
        <f t="shared" si="59"/>
        <v>0</v>
      </c>
      <c r="AK121" s="64">
        <f t="shared" si="60"/>
        <v>0</v>
      </c>
      <c r="AL121" s="64">
        <f t="shared" si="61"/>
        <v>0</v>
      </c>
      <c r="AM121" s="238">
        <f t="shared" si="62"/>
        <v>4050</v>
      </c>
      <c r="AN121" s="64">
        <f t="shared" si="63"/>
        <v>0</v>
      </c>
      <c r="AO121" s="238">
        <f t="shared" si="64"/>
        <v>37500</v>
      </c>
      <c r="AP121" s="238">
        <f t="shared" si="65"/>
        <v>0</v>
      </c>
      <c r="AQ121" s="238">
        <f t="shared" si="66"/>
        <v>0</v>
      </c>
      <c r="AR121" s="260"/>
      <c r="AS121" s="278" t="s">
        <v>472</v>
      </c>
      <c r="AT121" s="703">
        <v>2</v>
      </c>
      <c r="AU121" s="238">
        <f>AU120+1</f>
        <v>1</v>
      </c>
      <c r="AV121" s="36">
        <v>0</v>
      </c>
      <c r="AW121" s="36">
        <v>0</v>
      </c>
      <c r="AX121" s="36">
        <v>450</v>
      </c>
      <c r="AY121" s="36">
        <v>1800</v>
      </c>
      <c r="AZ121" s="36">
        <v>4050</v>
      </c>
      <c r="BA121" s="36">
        <v>7800</v>
      </c>
      <c r="BB121" s="36">
        <v>15300</v>
      </c>
      <c r="BC121" s="36">
        <v>25200</v>
      </c>
      <c r="BD121" s="36">
        <v>39600</v>
      </c>
      <c r="BE121" s="36">
        <v>59850</v>
      </c>
      <c r="BF121" s="16">
        <v>7500</v>
      </c>
      <c r="BG121" s="16">
        <v>15000</v>
      </c>
      <c r="BH121" s="16">
        <v>22500</v>
      </c>
      <c r="BI121" s="16">
        <v>30000</v>
      </c>
      <c r="BJ121" s="16">
        <v>37500</v>
      </c>
      <c r="BK121" s="16">
        <v>45000</v>
      </c>
      <c r="BL121" s="16">
        <v>52500</v>
      </c>
      <c r="BM121" s="16">
        <v>60000</v>
      </c>
      <c r="BN121" s="16">
        <v>67500</v>
      </c>
      <c r="BO121" s="16">
        <v>75000</v>
      </c>
      <c r="BP121" s="36">
        <f t="shared" si="67"/>
        <v>90</v>
      </c>
      <c r="BQ121" s="16">
        <f t="shared" si="68"/>
        <v>225</v>
      </c>
      <c r="BR121" s="36">
        <f t="shared" si="69"/>
        <v>290</v>
      </c>
      <c r="BS121" s="16">
        <f t="shared" si="70"/>
        <v>390</v>
      </c>
      <c r="BT121" s="36">
        <f t="shared" si="71"/>
        <v>539</v>
      </c>
      <c r="BU121" s="153"/>
      <c r="BV121" s="153">
        <f t="shared" si="72"/>
        <v>89.775000000000006</v>
      </c>
      <c r="BW121" s="153">
        <f t="shared" si="73"/>
        <v>224.4375</v>
      </c>
      <c r="BX121" s="153">
        <f t="shared" si="74"/>
        <v>289.27498005000001</v>
      </c>
      <c r="BY121" s="153">
        <f t="shared" si="75"/>
        <v>389.02499999999998</v>
      </c>
      <c r="BZ121" s="153">
        <f t="shared" si="76"/>
        <v>538.65</v>
      </c>
      <c r="CA121" s="153"/>
      <c r="CB121" s="153"/>
      <c r="CC121" s="152"/>
      <c r="CD121" s="238"/>
      <c r="CE121" s="238"/>
      <c r="CF121" s="238"/>
      <c r="CG121" s="238"/>
      <c r="CH121" s="238"/>
      <c r="CI121" s="153"/>
      <c r="CJ121" s="238"/>
      <c r="CK121" s="238"/>
      <c r="CL121" s="238"/>
      <c r="CM121" s="153"/>
      <c r="CN121" s="238"/>
      <c r="CO121" s="238"/>
      <c r="CP121" s="238"/>
      <c r="CQ121" s="238"/>
      <c r="CR121" s="238"/>
      <c r="CS121" s="153"/>
      <c r="CT121" s="153"/>
      <c r="CU121" s="153"/>
      <c r="CV121" s="238"/>
      <c r="CW121" s="238"/>
      <c r="CX121" s="238"/>
      <c r="CY121" s="238"/>
      <c r="CZ121" s="238"/>
      <c r="DA121" s="238"/>
      <c r="DB121" s="238"/>
      <c r="DC121" s="238"/>
      <c r="DD121" s="238"/>
      <c r="DE121" s="153"/>
      <c r="DF121" s="287" t="s">
        <v>470</v>
      </c>
      <c r="DG121" s="238">
        <f t="shared" si="91"/>
        <v>0</v>
      </c>
      <c r="DH121" s="238">
        <f t="shared" si="98"/>
        <v>1</v>
      </c>
      <c r="DI121" s="238">
        <f t="shared" si="99"/>
        <v>12</v>
      </c>
      <c r="DJ121" s="3">
        <v>1.5</v>
      </c>
      <c r="DK121" s="3">
        <v>15</v>
      </c>
      <c r="DL121" s="3">
        <v>0</v>
      </c>
      <c r="DM121" s="64">
        <f t="shared" si="92"/>
        <v>0</v>
      </c>
      <c r="DN121" s="64">
        <f t="shared" si="93"/>
        <v>0</v>
      </c>
      <c r="DO121" s="64">
        <f t="shared" si="94"/>
        <v>0</v>
      </c>
      <c r="DP121" s="153"/>
      <c r="DQ121" s="153"/>
      <c r="DR121" s="153"/>
      <c r="DS121" s="153"/>
      <c r="DT121" s="153"/>
      <c r="DU121" s="153"/>
      <c r="DV121" s="153"/>
      <c r="DW121" s="153"/>
      <c r="DX121" s="153"/>
      <c r="DY121" s="153"/>
      <c r="DZ121" s="153"/>
      <c r="EA121" s="153"/>
      <c r="EB121" s="153"/>
    </row>
    <row r="122" spans="2:132" s="263" customFormat="1" ht="17.25" customHeight="1">
      <c r="B122" s="153"/>
      <c r="C122" s="153"/>
      <c r="D122" s="152"/>
      <c r="E122" s="152"/>
      <c r="F122" s="152"/>
      <c r="G122" s="152"/>
      <c r="K122" s="153"/>
      <c r="L122" s="153"/>
      <c r="M122" s="153"/>
      <c r="N122" s="153"/>
      <c r="O122" s="153"/>
      <c r="P122" s="153"/>
      <c r="Q122" s="153"/>
      <c r="R122" s="153"/>
      <c r="S122" s="153"/>
      <c r="T122" s="153"/>
      <c r="U122" s="153"/>
      <c r="V122" s="153"/>
      <c r="W122" s="153"/>
      <c r="X122" s="153"/>
      <c r="Y122" s="153"/>
      <c r="Z122" s="153"/>
      <c r="AA122" s="153"/>
      <c r="AB122" s="153"/>
      <c r="AC122" s="153"/>
      <c r="AD122" s="83"/>
      <c r="AE122" s="238"/>
      <c r="AF122" s="238">
        <f t="shared" si="102"/>
        <v>0</v>
      </c>
      <c r="AG122" s="238">
        <f t="shared" si="102"/>
        <v>0</v>
      </c>
      <c r="AH122" s="238">
        <f t="shared" si="102"/>
        <v>5</v>
      </c>
      <c r="AI122" s="64">
        <f t="shared" si="58"/>
        <v>0</v>
      </c>
      <c r="AJ122" s="64">
        <f t="shared" si="59"/>
        <v>0</v>
      </c>
      <c r="AK122" s="64">
        <f t="shared" si="60"/>
        <v>0</v>
      </c>
      <c r="AL122" s="64">
        <f t="shared" si="61"/>
        <v>0</v>
      </c>
      <c r="AM122" s="238">
        <f t="shared" si="62"/>
        <v>4150</v>
      </c>
      <c r="AN122" s="64">
        <f t="shared" si="63"/>
        <v>0</v>
      </c>
      <c r="AO122" s="238">
        <f t="shared" si="64"/>
        <v>37500</v>
      </c>
      <c r="AP122" s="238">
        <f t="shared" si="65"/>
        <v>0</v>
      </c>
      <c r="AQ122" s="238">
        <f t="shared" si="66"/>
        <v>0</v>
      </c>
      <c r="AR122" s="260"/>
      <c r="AS122" s="278" t="s">
        <v>475</v>
      </c>
      <c r="AT122" s="703">
        <v>3</v>
      </c>
      <c r="AU122" s="238">
        <f>AU121+1</f>
        <v>2</v>
      </c>
      <c r="AV122" s="36">
        <v>0</v>
      </c>
      <c r="AW122" s="36">
        <v>0</v>
      </c>
      <c r="AX122" s="36">
        <v>450</v>
      </c>
      <c r="AY122" s="36">
        <v>1850</v>
      </c>
      <c r="AZ122" s="36">
        <v>4150</v>
      </c>
      <c r="BA122" s="36">
        <v>7550</v>
      </c>
      <c r="BB122" s="36">
        <v>15450</v>
      </c>
      <c r="BC122" s="36">
        <v>24450</v>
      </c>
      <c r="BD122" s="36">
        <v>38450</v>
      </c>
      <c r="BE122" s="36">
        <v>61450</v>
      </c>
      <c r="BF122" s="16">
        <v>7500</v>
      </c>
      <c r="BG122" s="16">
        <v>15000</v>
      </c>
      <c r="BH122" s="16">
        <v>22500</v>
      </c>
      <c r="BI122" s="16">
        <v>30000</v>
      </c>
      <c r="BJ122" s="16">
        <v>37500</v>
      </c>
      <c r="BK122" s="16">
        <v>45000</v>
      </c>
      <c r="BL122" s="16">
        <v>52500</v>
      </c>
      <c r="BM122" s="16">
        <v>60000</v>
      </c>
      <c r="BN122" s="16">
        <v>67500</v>
      </c>
      <c r="BO122" s="16">
        <v>75000</v>
      </c>
      <c r="BP122" s="36">
        <f t="shared" si="67"/>
        <v>93</v>
      </c>
      <c r="BQ122" s="16">
        <f t="shared" si="68"/>
        <v>231</v>
      </c>
      <c r="BR122" s="36">
        <f t="shared" si="69"/>
        <v>298</v>
      </c>
      <c r="BS122" s="16">
        <f t="shared" si="70"/>
        <v>400</v>
      </c>
      <c r="BT122" s="36">
        <f t="shared" si="71"/>
        <v>554</v>
      </c>
      <c r="BU122" s="153"/>
      <c r="BV122" s="153">
        <f t="shared" si="72"/>
        <v>92.174999999999997</v>
      </c>
      <c r="BW122" s="153">
        <f t="shared" si="73"/>
        <v>230.4375</v>
      </c>
      <c r="BX122" s="153">
        <f t="shared" si="74"/>
        <v>297.00831285000004</v>
      </c>
      <c r="BY122" s="153">
        <f t="shared" si="75"/>
        <v>399.42500000000001</v>
      </c>
      <c r="BZ122" s="153">
        <f t="shared" si="76"/>
        <v>553.04999999999995</v>
      </c>
      <c r="CA122" s="153"/>
      <c r="CB122" s="153"/>
      <c r="CC122" s="152"/>
      <c r="CD122" s="238"/>
      <c r="CE122" s="238"/>
      <c r="CF122" s="238"/>
      <c r="CG122" s="238"/>
      <c r="CH122" s="238"/>
      <c r="CI122" s="153"/>
      <c r="CJ122" s="238"/>
      <c r="CK122" s="238"/>
      <c r="CL122" s="238"/>
      <c r="CM122" s="153"/>
      <c r="CN122" s="238"/>
      <c r="CO122" s="238"/>
      <c r="CP122" s="238"/>
      <c r="CQ122" s="238"/>
      <c r="CR122" s="238"/>
      <c r="CS122" s="153"/>
      <c r="CT122" s="153"/>
      <c r="CU122" s="153"/>
      <c r="CV122" s="238"/>
      <c r="CW122" s="238"/>
      <c r="CX122" s="238"/>
      <c r="CY122" s="238"/>
      <c r="CZ122" s="238"/>
      <c r="DA122" s="238"/>
      <c r="DB122" s="238"/>
      <c r="DC122" s="238"/>
      <c r="DD122" s="238"/>
      <c r="DE122" s="153"/>
      <c r="DF122" s="287" t="s">
        <v>473</v>
      </c>
      <c r="DG122" s="238">
        <f t="shared" si="91"/>
        <v>0</v>
      </c>
      <c r="DH122" s="238">
        <f t="shared" si="98"/>
        <v>1</v>
      </c>
      <c r="DI122" s="238">
        <f t="shared" si="99"/>
        <v>13</v>
      </c>
      <c r="DJ122" s="3">
        <v>6</v>
      </c>
      <c r="DK122" s="3">
        <v>0</v>
      </c>
      <c r="DL122" s="3">
        <v>0</v>
      </c>
      <c r="DM122" s="64">
        <f t="shared" si="92"/>
        <v>0</v>
      </c>
      <c r="DN122" s="64">
        <f t="shared" si="93"/>
        <v>0</v>
      </c>
      <c r="DO122" s="64">
        <f t="shared" si="94"/>
        <v>0</v>
      </c>
      <c r="DP122" s="153"/>
      <c r="DQ122" s="153"/>
      <c r="DR122" s="153"/>
      <c r="DS122" s="153"/>
      <c r="DT122" s="153"/>
      <c r="DU122" s="153"/>
      <c r="DV122" s="153"/>
      <c r="DW122" s="153"/>
      <c r="DX122" s="153"/>
      <c r="DY122" s="153"/>
      <c r="DZ122" s="153"/>
      <c r="EA122" s="153"/>
      <c r="EB122" s="153"/>
    </row>
    <row r="123" spans="2:132" s="263" customFormat="1" ht="17.25" customHeight="1">
      <c r="B123" s="153"/>
      <c r="C123" s="153"/>
      <c r="D123" s="152"/>
      <c r="E123" s="152"/>
      <c r="F123" s="152"/>
      <c r="G123" s="152"/>
      <c r="K123" s="153"/>
      <c r="L123" s="153"/>
      <c r="M123" s="153"/>
      <c r="N123" s="153"/>
      <c r="O123" s="153"/>
      <c r="P123" s="153"/>
      <c r="Q123" s="153"/>
      <c r="R123" s="153"/>
      <c r="S123" s="153"/>
      <c r="T123" s="153"/>
      <c r="U123" s="153"/>
      <c r="V123" s="153"/>
      <c r="W123" s="153"/>
      <c r="X123" s="153"/>
      <c r="Y123" s="153"/>
      <c r="Z123" s="153"/>
      <c r="AA123" s="153"/>
      <c r="AB123" s="153"/>
      <c r="AC123" s="153"/>
      <c r="AD123" s="83"/>
      <c r="AE123" s="238"/>
      <c r="AF123" s="238">
        <f t="shared" si="102"/>
        <v>0</v>
      </c>
      <c r="AG123" s="238">
        <f t="shared" si="102"/>
        <v>0</v>
      </c>
      <c r="AH123" s="238">
        <f t="shared" si="102"/>
        <v>5</v>
      </c>
      <c r="AI123" s="64">
        <f t="shared" si="58"/>
        <v>0</v>
      </c>
      <c r="AJ123" s="64">
        <f t="shared" si="59"/>
        <v>0</v>
      </c>
      <c r="AK123" s="64">
        <f t="shared" si="60"/>
        <v>0</v>
      </c>
      <c r="AL123" s="64">
        <f t="shared" si="61"/>
        <v>0</v>
      </c>
      <c r="AM123" s="238">
        <f t="shared" si="62"/>
        <v>3150</v>
      </c>
      <c r="AN123" s="64">
        <f t="shared" si="63"/>
        <v>0</v>
      </c>
      <c r="AO123" s="238">
        <f t="shared" si="64"/>
        <v>17500</v>
      </c>
      <c r="AP123" s="238">
        <f t="shared" si="65"/>
        <v>0</v>
      </c>
      <c r="AQ123" s="238">
        <f t="shared" si="66"/>
        <v>0</v>
      </c>
      <c r="AR123" s="260"/>
      <c r="AS123" s="278" t="s">
        <v>478</v>
      </c>
      <c r="AT123" s="703">
        <v>4</v>
      </c>
      <c r="AU123" s="238">
        <f>AU122+1</f>
        <v>3</v>
      </c>
      <c r="AV123" s="36">
        <v>0</v>
      </c>
      <c r="AW123" s="36">
        <v>0</v>
      </c>
      <c r="AX123" s="36">
        <v>450</v>
      </c>
      <c r="AY123" s="36">
        <v>1350</v>
      </c>
      <c r="AZ123" s="36">
        <v>3150</v>
      </c>
      <c r="BA123" s="36">
        <v>6150</v>
      </c>
      <c r="BB123" s="36">
        <v>10650</v>
      </c>
      <c r="BC123" s="36">
        <v>18150</v>
      </c>
      <c r="BD123" s="36">
        <v>30150</v>
      </c>
      <c r="BE123" s="36">
        <v>48150</v>
      </c>
      <c r="BF123" s="16">
        <v>3500</v>
      </c>
      <c r="BG123" s="16">
        <v>7000</v>
      </c>
      <c r="BH123" s="16">
        <v>10500</v>
      </c>
      <c r="BI123" s="16">
        <v>14000</v>
      </c>
      <c r="BJ123" s="16">
        <v>17500</v>
      </c>
      <c r="BK123" s="16">
        <v>21000</v>
      </c>
      <c r="BL123" s="16">
        <v>24500</v>
      </c>
      <c r="BM123" s="16">
        <v>28000</v>
      </c>
      <c r="BN123" s="16">
        <v>31500</v>
      </c>
      <c r="BO123" s="16">
        <v>35000</v>
      </c>
      <c r="BP123" s="36">
        <f t="shared" si="67"/>
        <v>73</v>
      </c>
      <c r="BQ123" s="16">
        <f t="shared" si="68"/>
        <v>181</v>
      </c>
      <c r="BR123" s="36">
        <f t="shared" si="69"/>
        <v>233</v>
      </c>
      <c r="BS123" s="16">
        <f t="shared" si="70"/>
        <v>313</v>
      </c>
      <c r="BT123" s="36">
        <f t="shared" si="71"/>
        <v>434</v>
      </c>
      <c r="BU123" s="153"/>
      <c r="BV123" s="153">
        <f t="shared" si="72"/>
        <v>72.224999999999994</v>
      </c>
      <c r="BW123" s="153">
        <f t="shared" si="73"/>
        <v>180.5625</v>
      </c>
      <c r="BX123" s="153">
        <f t="shared" si="74"/>
        <v>232.72498395</v>
      </c>
      <c r="BY123" s="153">
        <f t="shared" si="75"/>
        <v>312.97500000000002</v>
      </c>
      <c r="BZ123" s="153">
        <f t="shared" si="76"/>
        <v>433.35</v>
      </c>
      <c r="CA123" s="153"/>
      <c r="CB123" s="153"/>
      <c r="CC123" s="152"/>
      <c r="CD123" s="238"/>
      <c r="CE123" s="238"/>
      <c r="CF123" s="238"/>
      <c r="CG123" s="238"/>
      <c r="CH123" s="238"/>
      <c r="CI123" s="153"/>
      <c r="CJ123" s="238"/>
      <c r="CK123" s="238"/>
      <c r="CL123" s="238"/>
      <c r="CM123" s="153"/>
      <c r="CN123" s="238"/>
      <c r="CO123" s="238"/>
      <c r="CP123" s="238"/>
      <c r="CQ123" s="238"/>
      <c r="CR123" s="238"/>
      <c r="CS123" s="153"/>
      <c r="CT123" s="153"/>
      <c r="CU123" s="153"/>
      <c r="CV123" s="238"/>
      <c r="CW123" s="238"/>
      <c r="CX123" s="238"/>
      <c r="CY123" s="238"/>
      <c r="CZ123" s="238"/>
      <c r="DA123" s="238"/>
      <c r="DB123" s="238"/>
      <c r="DC123" s="238"/>
      <c r="DD123" s="238"/>
      <c r="DE123" s="153"/>
      <c r="DF123" s="287" t="s">
        <v>366</v>
      </c>
      <c r="DG123" s="238">
        <f>IF((DH123=DI123),$Z$40,0)</f>
        <v>0</v>
      </c>
      <c r="DH123" s="238">
        <f>VLOOKUP(X40, DF123:DI127, 4, FALSE)</f>
        <v>1</v>
      </c>
      <c r="DI123" s="238">
        <v>0</v>
      </c>
      <c r="DJ123" s="3">
        <v>0</v>
      </c>
      <c r="DK123" s="3">
        <v>0</v>
      </c>
      <c r="DL123" s="3">
        <v>0</v>
      </c>
      <c r="DM123" s="64">
        <f t="shared" si="92"/>
        <v>0</v>
      </c>
      <c r="DN123" s="64">
        <f t="shared" si="93"/>
        <v>0</v>
      </c>
      <c r="DO123" s="64">
        <f t="shared" si="94"/>
        <v>0</v>
      </c>
      <c r="DP123" s="153"/>
      <c r="DQ123" s="153"/>
      <c r="DR123" s="153"/>
      <c r="DS123" s="153"/>
      <c r="DT123" s="153"/>
      <c r="DU123" s="153"/>
      <c r="DV123" s="153"/>
      <c r="DW123" s="153"/>
      <c r="DX123" s="153"/>
      <c r="DY123" s="153"/>
      <c r="DZ123" s="153"/>
      <c r="EA123" s="153"/>
      <c r="EB123" s="153"/>
    </row>
    <row r="124" spans="2:132" s="263" customFormat="1" ht="17.25" customHeight="1">
      <c r="B124" s="153"/>
      <c r="C124" s="153"/>
      <c r="D124" s="152"/>
      <c r="E124" s="152"/>
      <c r="F124" s="152"/>
      <c r="G124" s="152"/>
      <c r="K124" s="153"/>
      <c r="L124" s="153"/>
      <c r="M124" s="153"/>
      <c r="N124" s="153"/>
      <c r="O124" s="153"/>
      <c r="P124" s="153"/>
      <c r="Q124" s="153"/>
      <c r="R124" s="153"/>
      <c r="S124" s="153"/>
      <c r="T124" s="153"/>
      <c r="U124" s="153"/>
      <c r="V124" s="153"/>
      <c r="W124" s="153"/>
      <c r="X124" s="153"/>
      <c r="Y124" s="153"/>
      <c r="Z124" s="153"/>
      <c r="AA124" s="153"/>
      <c r="AB124" s="153"/>
      <c r="AC124" s="153"/>
      <c r="AD124" s="83"/>
      <c r="AE124" s="238"/>
      <c r="AF124" s="238">
        <f>D52</f>
        <v>0</v>
      </c>
      <c r="AG124" s="238">
        <f>A34</f>
        <v>0</v>
      </c>
      <c r="AH124" s="238">
        <f>B34</f>
        <v>15</v>
      </c>
      <c r="AI124" s="64">
        <f t="shared" si="58"/>
        <v>0</v>
      </c>
      <c r="AJ124" s="64">
        <f t="shared" si="59"/>
        <v>0</v>
      </c>
      <c r="AK124" s="64">
        <f t="shared" si="60"/>
        <v>0</v>
      </c>
      <c r="AL124" s="64">
        <f t="shared" si="61"/>
        <v>0</v>
      </c>
      <c r="AM124" s="238">
        <f t="shared" si="62"/>
        <v>115900</v>
      </c>
      <c r="AN124" s="64">
        <f t="shared" si="63"/>
        <v>0</v>
      </c>
      <c r="AO124" s="238">
        <f t="shared" si="64"/>
        <v>150000</v>
      </c>
      <c r="AP124" s="238">
        <f t="shared" si="65"/>
        <v>0</v>
      </c>
      <c r="AQ124" s="238">
        <f t="shared" si="66"/>
        <v>1044</v>
      </c>
      <c r="AR124" s="260"/>
      <c r="AS124" s="261" t="s">
        <v>554</v>
      </c>
      <c r="AT124" s="238">
        <v>1</v>
      </c>
      <c r="AU124" s="238">
        <v>0</v>
      </c>
      <c r="AV124" s="36">
        <v>450</v>
      </c>
      <c r="AW124" s="36">
        <v>900</v>
      </c>
      <c r="AX124" s="36">
        <v>1800</v>
      </c>
      <c r="AY124" s="36">
        <v>3600</v>
      </c>
      <c r="AZ124" s="36">
        <v>8100</v>
      </c>
      <c r="BA124" s="36">
        <v>14900</v>
      </c>
      <c r="BB124" s="36">
        <v>25900</v>
      </c>
      <c r="BC124" s="36">
        <v>43900</v>
      </c>
      <c r="BD124" s="36">
        <v>70900</v>
      </c>
      <c r="BE124" s="36">
        <v>115900</v>
      </c>
      <c r="BF124" s="16">
        <v>15000</v>
      </c>
      <c r="BG124" s="16">
        <v>30000</v>
      </c>
      <c r="BH124" s="16">
        <v>45000</v>
      </c>
      <c r="BI124" s="16">
        <v>60000</v>
      </c>
      <c r="BJ124" s="16">
        <v>75000</v>
      </c>
      <c r="BK124" s="16">
        <v>90000</v>
      </c>
      <c r="BL124" s="16">
        <v>105000</v>
      </c>
      <c r="BM124" s="16">
        <v>120000</v>
      </c>
      <c r="BN124" s="16">
        <v>135000</v>
      </c>
      <c r="BO124" s="16">
        <v>150000</v>
      </c>
      <c r="BP124" s="36">
        <f t="shared" si="67"/>
        <v>174</v>
      </c>
      <c r="BQ124" s="16">
        <f t="shared" si="68"/>
        <v>435</v>
      </c>
      <c r="BR124" s="36">
        <f t="shared" si="69"/>
        <v>561</v>
      </c>
      <c r="BS124" s="16">
        <f t="shared" si="70"/>
        <v>754</v>
      </c>
      <c r="BT124" s="36">
        <f t="shared" si="71"/>
        <v>1044</v>
      </c>
      <c r="BU124" s="153"/>
      <c r="BV124" s="153">
        <f t="shared" si="72"/>
        <v>173.85</v>
      </c>
      <c r="BW124" s="153">
        <f t="shared" si="73"/>
        <v>434.625</v>
      </c>
      <c r="BX124" s="153">
        <f t="shared" si="74"/>
        <v>560.18329470000003</v>
      </c>
      <c r="BY124" s="153">
        <f t="shared" si="75"/>
        <v>753.35</v>
      </c>
      <c r="BZ124" s="153">
        <f t="shared" si="76"/>
        <v>1043.0999999999999</v>
      </c>
      <c r="CA124" s="153"/>
      <c r="CB124" s="153"/>
      <c r="CC124" s="152"/>
      <c r="CD124" s="238"/>
      <c r="CE124" s="238"/>
      <c r="CF124" s="238"/>
      <c r="CG124" s="238"/>
      <c r="CH124" s="238"/>
      <c r="CI124" s="153"/>
      <c r="CJ124" s="238"/>
      <c r="CK124" s="238"/>
      <c r="CL124" s="238"/>
      <c r="CM124" s="153"/>
      <c r="CN124" s="238"/>
      <c r="CO124" s="238"/>
      <c r="CP124" s="238"/>
      <c r="CQ124" s="238"/>
      <c r="CR124" s="238"/>
      <c r="CS124" s="153"/>
      <c r="CT124" s="153"/>
      <c r="CU124" s="153"/>
      <c r="CV124" s="238"/>
      <c r="CW124" s="238"/>
      <c r="CX124" s="238"/>
      <c r="CY124" s="238"/>
      <c r="CZ124" s="238"/>
      <c r="DA124" s="238"/>
      <c r="DB124" s="238"/>
      <c r="DC124" s="238"/>
      <c r="DD124" s="238"/>
      <c r="DE124" s="153"/>
      <c r="DF124" s="263" t="s">
        <v>454</v>
      </c>
      <c r="DG124" s="238">
        <f>IF((DH124=DI124),$Z$40,0)</f>
        <v>1000</v>
      </c>
      <c r="DH124" s="238">
        <f>$DH$123</f>
        <v>1</v>
      </c>
      <c r="DI124" s="238">
        <f>DI123+1</f>
        <v>1</v>
      </c>
      <c r="DJ124" s="3">
        <v>0</v>
      </c>
      <c r="DK124" s="3">
        <v>65</v>
      </c>
      <c r="DL124" s="3">
        <v>0</v>
      </c>
      <c r="DM124" s="64">
        <f t="shared" si="92"/>
        <v>0</v>
      </c>
      <c r="DN124" s="64">
        <f t="shared" si="93"/>
        <v>65000</v>
      </c>
      <c r="DO124" s="64">
        <f t="shared" si="94"/>
        <v>0</v>
      </c>
      <c r="DP124" s="153"/>
      <c r="DQ124" s="153"/>
      <c r="DR124" s="153"/>
      <c r="DS124" s="153"/>
      <c r="DT124" s="153"/>
      <c r="DU124" s="153"/>
      <c r="DV124" s="153"/>
      <c r="DW124" s="153"/>
      <c r="DX124" s="153"/>
      <c r="DY124" s="153"/>
      <c r="DZ124" s="153"/>
      <c r="EA124" s="153"/>
      <c r="EB124" s="153"/>
    </row>
    <row r="125" spans="2:132" ht="17.25" customHeight="1">
      <c r="AD125" s="152"/>
      <c r="AE125" s="238"/>
      <c r="AF125" s="238">
        <f t="shared" ref="AF125:AH128" si="103">AF$124</f>
        <v>0</v>
      </c>
      <c r="AG125" s="238">
        <f t="shared" si="103"/>
        <v>0</v>
      </c>
      <c r="AH125" s="238">
        <f t="shared" si="103"/>
        <v>15</v>
      </c>
      <c r="AI125" s="64">
        <f t="shared" si="58"/>
        <v>0</v>
      </c>
      <c r="AJ125" s="64">
        <f t="shared" si="59"/>
        <v>0</v>
      </c>
      <c r="AK125" s="64">
        <f t="shared" si="60"/>
        <v>0</v>
      </c>
      <c r="AL125" s="64">
        <f t="shared" si="61"/>
        <v>0</v>
      </c>
      <c r="AM125" s="238">
        <f t="shared" si="62"/>
        <v>172050</v>
      </c>
      <c r="AN125" s="64">
        <f t="shared" si="63"/>
        <v>0</v>
      </c>
      <c r="AO125" s="238">
        <f t="shared" si="64"/>
        <v>112500</v>
      </c>
      <c r="AP125" s="238">
        <f t="shared" si="65"/>
        <v>0</v>
      </c>
      <c r="AQ125" s="238">
        <f t="shared" si="66"/>
        <v>1549</v>
      </c>
      <c r="AR125" s="291"/>
      <c r="AS125" s="261" t="s">
        <v>486</v>
      </c>
      <c r="AT125" s="238">
        <v>2</v>
      </c>
      <c r="AU125" s="238">
        <f>AU124+1</f>
        <v>1</v>
      </c>
      <c r="AV125" s="36">
        <v>225</v>
      </c>
      <c r="AW125" s="36">
        <v>225</v>
      </c>
      <c r="AX125" s="36">
        <v>900</v>
      </c>
      <c r="AY125" s="36">
        <v>3600</v>
      </c>
      <c r="AZ125" s="36">
        <v>10350</v>
      </c>
      <c r="BA125" s="36">
        <v>20550</v>
      </c>
      <c r="BB125" s="36">
        <v>37050</v>
      </c>
      <c r="BC125" s="36">
        <v>64050</v>
      </c>
      <c r="BD125" s="36">
        <v>104550</v>
      </c>
      <c r="BE125" s="36">
        <v>172050</v>
      </c>
      <c r="BF125" s="16">
        <v>11250</v>
      </c>
      <c r="BG125" s="16">
        <v>22500</v>
      </c>
      <c r="BH125" s="16">
        <v>33750</v>
      </c>
      <c r="BI125" s="16">
        <v>45000</v>
      </c>
      <c r="BJ125" s="16">
        <v>56250</v>
      </c>
      <c r="BK125" s="16">
        <v>67500</v>
      </c>
      <c r="BL125" s="16">
        <v>78750</v>
      </c>
      <c r="BM125" s="16">
        <v>90000</v>
      </c>
      <c r="BN125" s="16">
        <v>101250</v>
      </c>
      <c r="BO125" s="16">
        <v>112500</v>
      </c>
      <c r="BP125" s="36">
        <f t="shared" si="67"/>
        <v>259</v>
      </c>
      <c r="BQ125" s="16">
        <f t="shared" si="68"/>
        <v>646</v>
      </c>
      <c r="BR125" s="36">
        <f t="shared" si="69"/>
        <v>832</v>
      </c>
      <c r="BS125" s="16">
        <f t="shared" si="70"/>
        <v>1119</v>
      </c>
      <c r="BT125" s="36">
        <f t="shared" si="71"/>
        <v>1549</v>
      </c>
      <c r="BV125" s="153">
        <f t="shared" si="72"/>
        <v>258.07499999999999</v>
      </c>
      <c r="BW125" s="153">
        <f t="shared" si="73"/>
        <v>645.1875</v>
      </c>
      <c r="BX125" s="153">
        <f t="shared" si="74"/>
        <v>831.57494264999991</v>
      </c>
      <c r="BY125" s="153">
        <f t="shared" si="75"/>
        <v>1118.325</v>
      </c>
      <c r="BZ125" s="153">
        <f t="shared" si="76"/>
        <v>1548.45</v>
      </c>
      <c r="DE125" s="238"/>
      <c r="DF125" s="263" t="s">
        <v>555</v>
      </c>
      <c r="DG125" s="238">
        <f>IF((DH125=DI125),$Z$40,0)</f>
        <v>0</v>
      </c>
      <c r="DH125" s="238">
        <f>$DH$123</f>
        <v>1</v>
      </c>
      <c r="DI125" s="238">
        <f>DI124+1</f>
        <v>2</v>
      </c>
      <c r="DJ125" s="3">
        <v>20</v>
      </c>
      <c r="DK125" s="3">
        <v>65</v>
      </c>
      <c r="DL125" s="3">
        <v>0</v>
      </c>
      <c r="DM125" s="64">
        <f t="shared" si="92"/>
        <v>0</v>
      </c>
      <c r="DN125" s="64">
        <f t="shared" si="93"/>
        <v>0</v>
      </c>
      <c r="DO125" s="64">
        <f t="shared" si="94"/>
        <v>0</v>
      </c>
    </row>
    <row r="126" spans="2:132" ht="17.25" customHeight="1">
      <c r="AD126" s="152"/>
      <c r="AE126" s="238"/>
      <c r="AF126" s="238">
        <f t="shared" si="103"/>
        <v>0</v>
      </c>
      <c r="AG126" s="238">
        <f t="shared" si="103"/>
        <v>0</v>
      </c>
      <c r="AH126" s="238">
        <f t="shared" si="103"/>
        <v>15</v>
      </c>
      <c r="AI126" s="64">
        <f t="shared" si="58"/>
        <v>0</v>
      </c>
      <c r="AJ126" s="64">
        <f t="shared" si="59"/>
        <v>0</v>
      </c>
      <c r="AK126" s="64">
        <f t="shared" si="60"/>
        <v>0</v>
      </c>
      <c r="AL126" s="64">
        <f t="shared" si="61"/>
        <v>0</v>
      </c>
      <c r="AM126" s="238">
        <f t="shared" si="62"/>
        <v>115200</v>
      </c>
      <c r="AN126" s="64">
        <f t="shared" si="63"/>
        <v>0</v>
      </c>
      <c r="AO126" s="238">
        <f t="shared" si="64"/>
        <v>150000</v>
      </c>
      <c r="AP126" s="238">
        <f t="shared" si="65"/>
        <v>0</v>
      </c>
      <c r="AQ126" s="238">
        <f t="shared" si="66"/>
        <v>1037</v>
      </c>
      <c r="AR126" s="291"/>
      <c r="AS126" s="261" t="s">
        <v>556</v>
      </c>
      <c r="AT126" s="238">
        <v>3</v>
      </c>
      <c r="AU126" s="238">
        <f>AU125+1</f>
        <v>2</v>
      </c>
      <c r="AV126" s="36">
        <v>450</v>
      </c>
      <c r="AW126" s="36">
        <v>650</v>
      </c>
      <c r="AX126" s="36">
        <v>1100</v>
      </c>
      <c r="AY126" s="36">
        <v>2900</v>
      </c>
      <c r="AZ126" s="36">
        <v>7400</v>
      </c>
      <c r="BA126" s="36">
        <v>14200</v>
      </c>
      <c r="BB126" s="36">
        <v>25200</v>
      </c>
      <c r="BC126" s="36">
        <v>43200</v>
      </c>
      <c r="BD126" s="36">
        <v>70200</v>
      </c>
      <c r="BE126" s="36">
        <v>115200</v>
      </c>
      <c r="BF126" s="16">
        <v>15000</v>
      </c>
      <c r="BG126" s="16">
        <v>30000</v>
      </c>
      <c r="BH126" s="16">
        <v>45000</v>
      </c>
      <c r="BI126" s="16">
        <v>60000</v>
      </c>
      <c r="BJ126" s="16">
        <v>75000</v>
      </c>
      <c r="BK126" s="16">
        <v>90000</v>
      </c>
      <c r="BL126" s="16">
        <v>105000</v>
      </c>
      <c r="BM126" s="16">
        <v>120000</v>
      </c>
      <c r="BN126" s="16">
        <v>135000</v>
      </c>
      <c r="BO126" s="16">
        <v>150000</v>
      </c>
      <c r="BP126" s="36">
        <f t="shared" si="67"/>
        <v>173</v>
      </c>
      <c r="BQ126" s="16">
        <f t="shared" si="68"/>
        <v>432</v>
      </c>
      <c r="BR126" s="36">
        <f t="shared" si="69"/>
        <v>557</v>
      </c>
      <c r="BS126" s="16">
        <f t="shared" si="70"/>
        <v>749</v>
      </c>
      <c r="BT126" s="36">
        <f t="shared" si="71"/>
        <v>1037</v>
      </c>
      <c r="BV126" s="153">
        <f t="shared" si="72"/>
        <v>172.8</v>
      </c>
      <c r="BW126" s="153">
        <f t="shared" si="73"/>
        <v>432</v>
      </c>
      <c r="BX126" s="153">
        <f t="shared" si="74"/>
        <v>556.79996160000007</v>
      </c>
      <c r="BY126" s="153">
        <f t="shared" si="75"/>
        <v>748.8</v>
      </c>
      <c r="BZ126" s="153">
        <f t="shared" si="76"/>
        <v>1036.8</v>
      </c>
      <c r="DF126" s="263" t="s">
        <v>557</v>
      </c>
      <c r="DG126" s="238">
        <f>IF((DH126=DI126),$Z$40,0)</f>
        <v>0</v>
      </c>
      <c r="DH126" s="238">
        <f>$DH$123</f>
        <v>1</v>
      </c>
      <c r="DI126" s="238">
        <f>DI125+1</f>
        <v>3</v>
      </c>
      <c r="DJ126" s="3">
        <v>40</v>
      </c>
      <c r="DK126" s="3">
        <v>0</v>
      </c>
      <c r="DL126" s="3">
        <v>0</v>
      </c>
      <c r="DM126" s="64">
        <f t="shared" si="92"/>
        <v>0</v>
      </c>
      <c r="DN126" s="64">
        <f t="shared" si="93"/>
        <v>0</v>
      </c>
      <c r="DO126" s="64">
        <f t="shared" si="94"/>
        <v>0</v>
      </c>
    </row>
    <row r="127" spans="2:132" ht="17.25" customHeight="1">
      <c r="AD127" s="152"/>
      <c r="AE127" s="238"/>
      <c r="AF127" s="238">
        <f t="shared" si="103"/>
        <v>0</v>
      </c>
      <c r="AG127" s="238">
        <f t="shared" si="103"/>
        <v>0</v>
      </c>
      <c r="AH127" s="238">
        <f t="shared" si="103"/>
        <v>15</v>
      </c>
      <c r="AI127" s="64">
        <f t="shared" si="58"/>
        <v>0</v>
      </c>
      <c r="AJ127" s="64">
        <f t="shared" si="59"/>
        <v>0</v>
      </c>
      <c r="AK127" s="64">
        <f t="shared" si="60"/>
        <v>0</v>
      </c>
      <c r="AL127" s="64">
        <f t="shared" si="61"/>
        <v>0</v>
      </c>
      <c r="AM127" s="238">
        <f t="shared" si="62"/>
        <v>96700</v>
      </c>
      <c r="AN127" s="64">
        <f t="shared" si="63"/>
        <v>0</v>
      </c>
      <c r="AO127" s="238">
        <f t="shared" si="64"/>
        <v>514020</v>
      </c>
      <c r="AP127" s="238">
        <f t="shared" si="65"/>
        <v>0</v>
      </c>
      <c r="AQ127" s="238">
        <f t="shared" si="66"/>
        <v>871</v>
      </c>
      <c r="AS127" s="278" t="s">
        <v>490</v>
      </c>
      <c r="AT127" s="238">
        <f>$AT$124</f>
        <v>1</v>
      </c>
      <c r="AU127" s="238">
        <f>AU126+1</f>
        <v>3</v>
      </c>
      <c r="AV127" s="36">
        <v>0</v>
      </c>
      <c r="AW127" s="36">
        <v>150</v>
      </c>
      <c r="AX127" s="36">
        <v>500</v>
      </c>
      <c r="AY127" s="36">
        <v>1200</v>
      </c>
      <c r="AZ127" s="36">
        <v>3300</v>
      </c>
      <c r="BA127" s="36">
        <v>7700</v>
      </c>
      <c r="BB127" s="36">
        <v>15700</v>
      </c>
      <c r="BC127" s="36">
        <v>31700</v>
      </c>
      <c r="BD127" s="36">
        <v>56700</v>
      </c>
      <c r="BE127" s="36">
        <v>96700</v>
      </c>
      <c r="BF127" s="16">
        <v>7500</v>
      </c>
      <c r="BG127" s="16">
        <v>18750</v>
      </c>
      <c r="BH127" s="16">
        <v>41250</v>
      </c>
      <c r="BI127" s="16">
        <v>75000</v>
      </c>
      <c r="BJ127" s="16">
        <v>120000</v>
      </c>
      <c r="BK127" s="16">
        <v>176520</v>
      </c>
      <c r="BL127" s="16">
        <v>244020</v>
      </c>
      <c r="BM127" s="16">
        <v>322770</v>
      </c>
      <c r="BN127" s="16">
        <v>412770</v>
      </c>
      <c r="BO127" s="16">
        <v>514020</v>
      </c>
      <c r="BP127" s="36">
        <f t="shared" si="67"/>
        <v>146</v>
      </c>
      <c r="BQ127" s="16">
        <f t="shared" si="68"/>
        <v>363</v>
      </c>
      <c r="BR127" s="36">
        <f t="shared" si="69"/>
        <v>468</v>
      </c>
      <c r="BS127" s="16">
        <f t="shared" si="70"/>
        <v>629</v>
      </c>
      <c r="BT127" s="36">
        <f t="shared" si="71"/>
        <v>871</v>
      </c>
      <c r="BV127" s="153">
        <f t="shared" si="72"/>
        <v>145.05000000000001</v>
      </c>
      <c r="BW127" s="153">
        <f t="shared" si="73"/>
        <v>362.625</v>
      </c>
      <c r="BX127" s="153">
        <f t="shared" si="74"/>
        <v>467.38330109999998</v>
      </c>
      <c r="BY127" s="153">
        <f t="shared" si="75"/>
        <v>628.54999999999995</v>
      </c>
      <c r="BZ127" s="153">
        <f t="shared" si="76"/>
        <v>870.3</v>
      </c>
      <c r="CC127" s="292"/>
      <c r="DF127" s="263" t="s">
        <v>558</v>
      </c>
      <c r="DG127" s="238">
        <f>IF((DH127=DI127),$Z$40,0)</f>
        <v>0</v>
      </c>
      <c r="DH127" s="238">
        <f>$DH$123</f>
        <v>1</v>
      </c>
      <c r="DI127" s="238">
        <f>DI126+1</f>
        <v>4</v>
      </c>
      <c r="DJ127" s="3">
        <v>0</v>
      </c>
      <c r="DK127" s="3">
        <v>0</v>
      </c>
      <c r="DL127" s="3">
        <v>750</v>
      </c>
      <c r="DM127" s="64">
        <f t="shared" si="92"/>
        <v>0</v>
      </c>
      <c r="DN127" s="64">
        <f t="shared" si="93"/>
        <v>0</v>
      </c>
      <c r="DO127" s="64">
        <f t="shared" si="94"/>
        <v>0</v>
      </c>
    </row>
    <row r="128" spans="2:132" ht="17.25" customHeight="1">
      <c r="AD128" s="152"/>
      <c r="AE128" s="238"/>
      <c r="AF128" s="238">
        <f t="shared" si="103"/>
        <v>0</v>
      </c>
      <c r="AG128" s="238">
        <f t="shared" si="103"/>
        <v>0</v>
      </c>
      <c r="AH128" s="238">
        <f t="shared" si="103"/>
        <v>15</v>
      </c>
      <c r="AI128" s="64">
        <f t="shared" si="58"/>
        <v>0</v>
      </c>
      <c r="AJ128" s="64">
        <f t="shared" si="59"/>
        <v>0</v>
      </c>
      <c r="AK128" s="64">
        <f t="shared" si="60"/>
        <v>0</v>
      </c>
      <c r="AL128" s="64">
        <f t="shared" si="61"/>
        <v>0</v>
      </c>
      <c r="AM128" s="238">
        <f t="shared" si="62"/>
        <v>64000</v>
      </c>
      <c r="AN128" s="64">
        <f t="shared" si="63"/>
        <v>0</v>
      </c>
      <c r="AO128" s="238">
        <f t="shared" si="64"/>
        <v>75000</v>
      </c>
      <c r="AP128" s="238">
        <f t="shared" si="65"/>
        <v>0</v>
      </c>
      <c r="AQ128" s="238">
        <f t="shared" si="66"/>
        <v>576</v>
      </c>
      <c r="AS128" s="286" t="s">
        <v>492</v>
      </c>
      <c r="AT128" s="238">
        <f>$AT$124</f>
        <v>1</v>
      </c>
      <c r="AU128" s="238">
        <f>AU127+1</f>
        <v>4</v>
      </c>
      <c r="AV128" s="36">
        <v>1500</v>
      </c>
      <c r="AW128" s="36">
        <v>2000</v>
      </c>
      <c r="AX128" s="36">
        <v>3000</v>
      </c>
      <c r="AY128" s="36">
        <v>4400</v>
      </c>
      <c r="AZ128" s="36">
        <v>6700</v>
      </c>
      <c r="BA128" s="36">
        <v>10100</v>
      </c>
      <c r="BB128" s="36">
        <v>18000</v>
      </c>
      <c r="BC128" s="36">
        <v>27000</v>
      </c>
      <c r="BD128" s="36">
        <v>41000</v>
      </c>
      <c r="BE128" s="36">
        <v>64000</v>
      </c>
      <c r="BF128" s="16">
        <v>7500</v>
      </c>
      <c r="BG128" s="16">
        <v>15000</v>
      </c>
      <c r="BH128" s="16">
        <v>22500</v>
      </c>
      <c r="BI128" s="16">
        <v>30000</v>
      </c>
      <c r="BJ128" s="16">
        <v>37500</v>
      </c>
      <c r="BK128" s="16">
        <v>45000</v>
      </c>
      <c r="BL128" s="16">
        <v>52500</v>
      </c>
      <c r="BM128" s="16">
        <v>60000</v>
      </c>
      <c r="BN128" s="16">
        <v>67500</v>
      </c>
      <c r="BO128" s="16">
        <v>75000</v>
      </c>
      <c r="BP128" s="36">
        <f t="shared" si="67"/>
        <v>96</v>
      </c>
      <c r="BQ128" s="16">
        <f t="shared" si="68"/>
        <v>240</v>
      </c>
      <c r="BR128" s="36">
        <f t="shared" si="69"/>
        <v>310</v>
      </c>
      <c r="BS128" s="16">
        <f t="shared" si="70"/>
        <v>416</v>
      </c>
      <c r="BT128" s="36">
        <f t="shared" si="71"/>
        <v>576</v>
      </c>
      <c r="BV128" s="153">
        <f t="shared" si="72"/>
        <v>96</v>
      </c>
      <c r="BW128" s="153">
        <f t="shared" si="73"/>
        <v>240</v>
      </c>
      <c r="BX128" s="153">
        <f t="shared" si="74"/>
        <v>309.33331199999998</v>
      </c>
      <c r="BY128" s="153">
        <f t="shared" si="75"/>
        <v>416</v>
      </c>
      <c r="BZ128" s="153">
        <f t="shared" si="76"/>
        <v>576</v>
      </c>
      <c r="CC128" s="292"/>
      <c r="DF128" s="263" t="s">
        <v>375</v>
      </c>
      <c r="DG128" s="238">
        <f>IF((DH128=DI128),$Z$41,0)</f>
        <v>0</v>
      </c>
      <c r="DH128" s="238">
        <f>VLOOKUP(X41, DF128:DI131, 4, FALSE)</f>
        <v>1</v>
      </c>
      <c r="DI128" s="238">
        <v>0</v>
      </c>
      <c r="DJ128" s="3">
        <v>0</v>
      </c>
      <c r="DK128" s="3">
        <v>0</v>
      </c>
      <c r="DL128" s="3">
        <v>0</v>
      </c>
      <c r="DM128" s="64">
        <f t="shared" si="92"/>
        <v>0</v>
      </c>
      <c r="DN128" s="64">
        <f t="shared" si="93"/>
        <v>0</v>
      </c>
      <c r="DO128" s="64">
        <f t="shared" si="94"/>
        <v>0</v>
      </c>
    </row>
    <row r="129" spans="2:119" ht="17.25" customHeight="1">
      <c r="AD129" s="152"/>
      <c r="AE129" s="238"/>
      <c r="CC129" s="292"/>
      <c r="DF129" s="263" t="s">
        <v>457</v>
      </c>
      <c r="DG129" s="238">
        <f>IF((DH129=DI129),$Z$41,0)</f>
        <v>50</v>
      </c>
      <c r="DH129" s="238">
        <f>$DH$128</f>
        <v>1</v>
      </c>
      <c r="DI129" s="238">
        <f>DI128+1</f>
        <v>1</v>
      </c>
      <c r="DJ129" s="3">
        <v>0</v>
      </c>
      <c r="DK129" s="3">
        <v>150</v>
      </c>
      <c r="DL129" s="3">
        <v>0</v>
      </c>
      <c r="DM129" s="64">
        <f t="shared" si="92"/>
        <v>0</v>
      </c>
      <c r="DN129" s="64">
        <f t="shared" si="93"/>
        <v>7500</v>
      </c>
      <c r="DO129" s="64">
        <f t="shared" si="94"/>
        <v>0</v>
      </c>
    </row>
    <row r="130" spans="2:119" ht="17.25" customHeight="1">
      <c r="B130" s="263"/>
      <c r="C130" s="263"/>
      <c r="AD130" s="152"/>
      <c r="AE130" s="238"/>
      <c r="CC130" s="292"/>
      <c r="DF130" s="263" t="s">
        <v>559</v>
      </c>
      <c r="DG130" s="238">
        <f>IF((DH130=DI130),$Z$41,0)</f>
        <v>0</v>
      </c>
      <c r="DH130" s="238">
        <f>$DH$128</f>
        <v>1</v>
      </c>
      <c r="DI130" s="238">
        <f>DI129+1</f>
        <v>2</v>
      </c>
      <c r="DJ130" s="3">
        <v>45</v>
      </c>
      <c r="DK130" s="3">
        <v>0</v>
      </c>
      <c r="DL130" s="3">
        <v>0</v>
      </c>
      <c r="DM130" s="64">
        <f t="shared" si="92"/>
        <v>0</v>
      </c>
      <c r="DN130" s="64">
        <f t="shared" si="93"/>
        <v>0</v>
      </c>
      <c r="DO130" s="64">
        <f t="shared" si="94"/>
        <v>0</v>
      </c>
    </row>
    <row r="131" spans="2:119" ht="17.25" customHeight="1">
      <c r="B131" s="263"/>
      <c r="C131" s="263"/>
      <c r="CC131" s="292"/>
      <c r="DF131" s="263" t="s">
        <v>560</v>
      </c>
      <c r="DG131" s="238">
        <f>IF((DH131=DI131),$Z$41,0)</f>
        <v>0</v>
      </c>
      <c r="DH131" s="238">
        <f>$DH$128</f>
        <v>1</v>
      </c>
      <c r="DI131" s="238">
        <f>DI130+1</f>
        <v>3</v>
      </c>
      <c r="DJ131" s="3">
        <v>0</v>
      </c>
      <c r="DK131" s="3">
        <v>0</v>
      </c>
      <c r="DL131" s="3">
        <v>60</v>
      </c>
      <c r="DM131" s="64">
        <f t="shared" si="92"/>
        <v>0</v>
      </c>
      <c r="DN131" s="64">
        <f t="shared" si="93"/>
        <v>0</v>
      </c>
      <c r="DO131" s="64">
        <f t="shared" si="94"/>
        <v>0</v>
      </c>
    </row>
    <row r="132" spans="2:119" ht="17.25" customHeight="1">
      <c r="B132" s="263"/>
      <c r="C132" s="263"/>
      <c r="CC132" s="292"/>
      <c r="DF132" s="263" t="s">
        <v>460</v>
      </c>
      <c r="DG132" s="238">
        <f>IF((DH132=DI132),$Z$42,0)</f>
        <v>0</v>
      </c>
      <c r="DH132" s="238">
        <f>VLOOKUP(X42, DF132:DI135, 4, FALSE)</f>
        <v>0</v>
      </c>
      <c r="DI132" s="238">
        <v>0</v>
      </c>
      <c r="DJ132" s="3">
        <v>0</v>
      </c>
      <c r="DK132" s="3">
        <v>0</v>
      </c>
      <c r="DL132" s="3">
        <v>0</v>
      </c>
      <c r="DM132" s="64">
        <f t="shared" si="92"/>
        <v>0</v>
      </c>
      <c r="DN132" s="64">
        <f t="shared" si="93"/>
        <v>0</v>
      </c>
      <c r="DO132" s="64">
        <f t="shared" si="94"/>
        <v>0</v>
      </c>
    </row>
    <row r="133" spans="2:119" ht="17.25" customHeight="1">
      <c r="B133" s="263"/>
      <c r="C133" s="263"/>
      <c r="DF133" s="263" t="s">
        <v>561</v>
      </c>
      <c r="DG133" s="238">
        <f>IF((DH133=DI133),$Z$42,0)</f>
        <v>0</v>
      </c>
      <c r="DH133" s="238">
        <f>$DH$132</f>
        <v>0</v>
      </c>
      <c r="DI133" s="238">
        <f>DI132+1</f>
        <v>1</v>
      </c>
      <c r="DJ133" s="3">
        <v>30</v>
      </c>
      <c r="DK133" s="3">
        <v>0</v>
      </c>
      <c r="DL133" s="3">
        <v>0</v>
      </c>
      <c r="DM133" s="64">
        <f t="shared" si="92"/>
        <v>0</v>
      </c>
      <c r="DN133" s="64">
        <f t="shared" si="93"/>
        <v>0</v>
      </c>
      <c r="DO133" s="64">
        <f t="shared" si="94"/>
        <v>0</v>
      </c>
    </row>
    <row r="134" spans="2:119" ht="17.25" customHeight="1">
      <c r="B134" s="263"/>
      <c r="C134" s="263"/>
      <c r="DF134" s="263" t="s">
        <v>562</v>
      </c>
      <c r="DG134" s="238">
        <f>IF((DH134=DI134),$Z$42,0)</f>
        <v>0</v>
      </c>
      <c r="DH134" s="238">
        <f>$DH$132</f>
        <v>0</v>
      </c>
      <c r="DI134" s="238">
        <f>DI133+1</f>
        <v>2</v>
      </c>
      <c r="DJ134" s="3">
        <v>45</v>
      </c>
      <c r="DK134" s="3">
        <v>0</v>
      </c>
      <c r="DL134" s="3">
        <v>0</v>
      </c>
      <c r="DM134" s="64">
        <f t="shared" si="92"/>
        <v>0</v>
      </c>
      <c r="DN134" s="64">
        <f t="shared" si="93"/>
        <v>0</v>
      </c>
      <c r="DO134" s="64">
        <f t="shared" si="94"/>
        <v>0</v>
      </c>
    </row>
    <row r="135" spans="2:119" ht="17.25" customHeight="1">
      <c r="DF135" s="263" t="s">
        <v>563</v>
      </c>
      <c r="DG135" s="238">
        <f>IF((DH135=DI135),$Z$42,0)</f>
        <v>0</v>
      </c>
      <c r="DH135" s="238">
        <f>$DH$132</f>
        <v>0</v>
      </c>
      <c r="DI135" s="238">
        <f>DI134+1</f>
        <v>3</v>
      </c>
      <c r="DJ135" s="3">
        <v>60</v>
      </c>
      <c r="DK135" s="3">
        <v>0</v>
      </c>
      <c r="DL135" s="3">
        <v>0</v>
      </c>
      <c r="DM135" s="64">
        <f t="shared" si="92"/>
        <v>0</v>
      </c>
      <c r="DN135" s="64">
        <f t="shared" si="93"/>
        <v>0</v>
      </c>
      <c r="DO135" s="64">
        <f t="shared" si="94"/>
        <v>0</v>
      </c>
    </row>
    <row r="136" spans="2:119" ht="17.25" customHeight="1">
      <c r="DF136" s="263" t="s">
        <v>387</v>
      </c>
      <c r="DG136" s="238">
        <f>IF((DH136=DI136),$Z$43,0)</f>
        <v>0</v>
      </c>
      <c r="DH136" s="238">
        <f>VLOOKUP(X43, DF136:DI139, 4, FALSE)</f>
        <v>0</v>
      </c>
      <c r="DI136" s="238">
        <v>0</v>
      </c>
      <c r="DJ136" s="3">
        <v>0</v>
      </c>
      <c r="DK136" s="3">
        <v>0</v>
      </c>
      <c r="DL136" s="3">
        <v>0</v>
      </c>
      <c r="DM136" s="64">
        <f t="shared" si="92"/>
        <v>0</v>
      </c>
      <c r="DN136" s="64">
        <f t="shared" si="93"/>
        <v>0</v>
      </c>
      <c r="DO136" s="64">
        <f t="shared" si="94"/>
        <v>0</v>
      </c>
    </row>
    <row r="137" spans="2:119" ht="17.25" customHeight="1">
      <c r="DF137" s="263" t="s">
        <v>564</v>
      </c>
      <c r="DG137" s="238">
        <f>IF((DH137=DI137),$Z$43,0)</f>
        <v>0</v>
      </c>
      <c r="DH137" s="238">
        <f>$DH$136</f>
        <v>0</v>
      </c>
      <c r="DI137" s="238">
        <f>DI136+1</f>
        <v>1</v>
      </c>
      <c r="DJ137" s="3">
        <v>0</v>
      </c>
      <c r="DK137" s="3">
        <v>150</v>
      </c>
      <c r="DL137" s="3">
        <v>0</v>
      </c>
      <c r="DM137" s="64">
        <f t="shared" si="92"/>
        <v>0</v>
      </c>
      <c r="DN137" s="64">
        <f t="shared" si="93"/>
        <v>0</v>
      </c>
      <c r="DO137" s="64">
        <f t="shared" si="94"/>
        <v>0</v>
      </c>
    </row>
    <row r="138" spans="2:119" ht="17.25" customHeight="1">
      <c r="DF138" s="263" t="s">
        <v>565</v>
      </c>
      <c r="DG138" s="238">
        <f>IF((DH138=DI138),$Z$43,0)</f>
        <v>0</v>
      </c>
      <c r="DH138" s="238">
        <f>$DH$136</f>
        <v>0</v>
      </c>
      <c r="DI138" s="238">
        <f>DI137+1</f>
        <v>2</v>
      </c>
      <c r="DJ138" s="3">
        <v>8</v>
      </c>
      <c r="DK138" s="3">
        <v>0</v>
      </c>
      <c r="DL138" s="3">
        <v>0</v>
      </c>
      <c r="DM138" s="64">
        <f t="shared" si="92"/>
        <v>0</v>
      </c>
      <c r="DN138" s="64">
        <f t="shared" si="93"/>
        <v>0</v>
      </c>
      <c r="DO138" s="64">
        <f t="shared" si="94"/>
        <v>0</v>
      </c>
    </row>
    <row r="139" spans="2:119" ht="17.25" customHeight="1">
      <c r="DF139" s="263" t="s">
        <v>566</v>
      </c>
      <c r="DG139" s="238">
        <f>IF((DH139=DI139),$Z$43,0)</f>
        <v>0</v>
      </c>
      <c r="DH139" s="238">
        <f>$DH$136</f>
        <v>0</v>
      </c>
      <c r="DI139" s="238">
        <f>DI138+1</f>
        <v>3</v>
      </c>
      <c r="DJ139" s="3">
        <v>30</v>
      </c>
      <c r="DK139" s="3">
        <v>0</v>
      </c>
      <c r="DL139" s="3">
        <v>0</v>
      </c>
      <c r="DM139" s="64">
        <f t="shared" si="92"/>
        <v>0</v>
      </c>
      <c r="DN139" s="64">
        <f t="shared" si="93"/>
        <v>0</v>
      </c>
      <c r="DO139" s="64">
        <f t="shared" si="94"/>
        <v>0</v>
      </c>
    </row>
    <row r="140" spans="2:119" ht="17.25" customHeight="1">
      <c r="DF140" s="263" t="s">
        <v>393</v>
      </c>
      <c r="DG140" s="238">
        <f>IF((DH140=DI140),$Z$44,0)</f>
        <v>0</v>
      </c>
      <c r="DH140" s="238">
        <f>VLOOKUP(X44, DF140:DI143, 4, FALSE)</f>
        <v>0</v>
      </c>
      <c r="DI140" s="238">
        <v>0</v>
      </c>
      <c r="DJ140" s="3">
        <v>0</v>
      </c>
      <c r="DK140" s="3">
        <v>0</v>
      </c>
      <c r="DL140" s="3">
        <v>0</v>
      </c>
      <c r="DM140" s="64">
        <f t="shared" si="92"/>
        <v>0</v>
      </c>
      <c r="DN140" s="64">
        <f t="shared" si="93"/>
        <v>0</v>
      </c>
      <c r="DO140" s="64">
        <f t="shared" si="94"/>
        <v>0</v>
      </c>
    </row>
    <row r="141" spans="2:119" ht="17.25" customHeight="1">
      <c r="AE141" s="238"/>
      <c r="DF141" s="263" t="s">
        <v>567</v>
      </c>
      <c r="DG141" s="238">
        <f>IF((DH141=DI141),$Z$44,0)</f>
        <v>0</v>
      </c>
      <c r="DH141" s="238">
        <f>$DH$140</f>
        <v>0</v>
      </c>
      <c r="DI141" s="238">
        <f>DI140+1</f>
        <v>1</v>
      </c>
      <c r="DJ141" s="3">
        <v>20</v>
      </c>
      <c r="DK141" s="3">
        <v>0</v>
      </c>
      <c r="DL141" s="3">
        <v>0</v>
      </c>
      <c r="DM141" s="64">
        <f t="shared" si="92"/>
        <v>0</v>
      </c>
      <c r="DN141" s="64">
        <f t="shared" si="93"/>
        <v>0</v>
      </c>
      <c r="DO141" s="64">
        <f t="shared" si="94"/>
        <v>0</v>
      </c>
    </row>
    <row r="142" spans="2:119" ht="17.25" customHeight="1">
      <c r="AE142" s="238"/>
      <c r="DF142" s="263" t="s">
        <v>568</v>
      </c>
      <c r="DG142" s="238">
        <f>IF((DH142=DI142),$Z$44,0)</f>
        <v>0</v>
      </c>
      <c r="DH142" s="238">
        <f>$DH$140</f>
        <v>0</v>
      </c>
      <c r="DI142" s="238">
        <f>DI141+1</f>
        <v>2</v>
      </c>
      <c r="DJ142" s="3">
        <v>50</v>
      </c>
      <c r="DK142" s="3">
        <v>0</v>
      </c>
      <c r="DL142" s="3">
        <v>0</v>
      </c>
      <c r="DM142" s="64">
        <f t="shared" si="92"/>
        <v>0</v>
      </c>
      <c r="DN142" s="64">
        <f t="shared" si="93"/>
        <v>0</v>
      </c>
      <c r="DO142" s="64">
        <f t="shared" si="94"/>
        <v>0</v>
      </c>
    </row>
    <row r="143" spans="2:119" ht="17.25" customHeight="1">
      <c r="AE143" s="238"/>
      <c r="DF143" s="263" t="s">
        <v>569</v>
      </c>
      <c r="DG143" s="238">
        <f>IF((DH143=DI143),$Z$44,0)</f>
        <v>0</v>
      </c>
      <c r="DH143" s="238">
        <f>$DH$140</f>
        <v>0</v>
      </c>
      <c r="DI143" s="238">
        <f>DI142+1</f>
        <v>3</v>
      </c>
      <c r="DJ143" s="3">
        <v>80</v>
      </c>
      <c r="DK143" s="3">
        <v>0</v>
      </c>
      <c r="DL143" s="3">
        <v>0</v>
      </c>
      <c r="DM143" s="64">
        <f t="shared" si="92"/>
        <v>0</v>
      </c>
      <c r="DN143" s="64">
        <f t="shared" si="93"/>
        <v>0</v>
      </c>
      <c r="DO143" s="64">
        <f t="shared" si="94"/>
        <v>0</v>
      </c>
    </row>
    <row r="144" spans="2:119" ht="17.25" customHeight="1">
      <c r="AE144" s="238"/>
      <c r="DF144" s="263" t="s">
        <v>397</v>
      </c>
      <c r="DG144" s="238">
        <f t="shared" ref="DG144:DG150" si="104">IF((DH144=DI144),$Z$45,0)</f>
        <v>0</v>
      </c>
      <c r="DH144" s="238">
        <f>VLOOKUP(X45, DF144:DI150, 4, FALSE)</f>
        <v>0</v>
      </c>
      <c r="DI144" s="238">
        <v>0</v>
      </c>
      <c r="DJ144" s="3">
        <v>0</v>
      </c>
      <c r="DK144" s="3">
        <v>0</v>
      </c>
      <c r="DL144" s="3">
        <v>0</v>
      </c>
      <c r="DM144" s="64">
        <f t="shared" si="92"/>
        <v>0</v>
      </c>
      <c r="DN144" s="64">
        <f t="shared" si="93"/>
        <v>0</v>
      </c>
      <c r="DO144" s="64">
        <f t="shared" si="94"/>
        <v>0</v>
      </c>
    </row>
    <row r="145" spans="30:132" ht="17.25" customHeight="1">
      <c r="AE145" s="238"/>
      <c r="DF145" s="263" t="s">
        <v>514</v>
      </c>
      <c r="DG145" s="238">
        <f t="shared" si="104"/>
        <v>0</v>
      </c>
      <c r="DH145" s="238">
        <f t="shared" ref="DH145:DH150" si="105">$DH$144</f>
        <v>0</v>
      </c>
      <c r="DI145" s="238">
        <f t="shared" ref="DI145:DI150" si="106">DI144+1</f>
        <v>1</v>
      </c>
      <c r="DJ145" s="3">
        <v>0.1</v>
      </c>
      <c r="DK145" s="3">
        <v>0</v>
      </c>
      <c r="DL145" s="3">
        <v>0</v>
      </c>
      <c r="DM145" s="64">
        <f t="shared" si="92"/>
        <v>0</v>
      </c>
      <c r="DN145" s="64">
        <f t="shared" si="93"/>
        <v>0</v>
      </c>
      <c r="DO145" s="64">
        <f t="shared" si="94"/>
        <v>0</v>
      </c>
    </row>
    <row r="146" spans="30:132" ht="17.25" customHeight="1">
      <c r="AE146" s="238"/>
      <c r="DF146" s="263" t="s">
        <v>515</v>
      </c>
      <c r="DG146" s="238">
        <f t="shared" si="104"/>
        <v>0</v>
      </c>
      <c r="DH146" s="238">
        <f t="shared" si="105"/>
        <v>0</v>
      </c>
      <c r="DI146" s="238">
        <f t="shared" si="106"/>
        <v>2</v>
      </c>
      <c r="DJ146" s="3">
        <v>0.1</v>
      </c>
      <c r="DK146" s="3">
        <v>0</v>
      </c>
      <c r="DL146" s="3">
        <v>0</v>
      </c>
      <c r="DM146" s="64">
        <f t="shared" si="92"/>
        <v>0</v>
      </c>
      <c r="DN146" s="64">
        <f t="shared" si="93"/>
        <v>0</v>
      </c>
      <c r="DO146" s="64">
        <f t="shared" si="94"/>
        <v>0</v>
      </c>
    </row>
    <row r="147" spans="30:132" ht="17.25" customHeight="1">
      <c r="AE147" s="238"/>
      <c r="AH147" s="238"/>
      <c r="DF147" s="263" t="s">
        <v>517</v>
      </c>
      <c r="DG147" s="238">
        <f t="shared" si="104"/>
        <v>0</v>
      </c>
      <c r="DH147" s="238">
        <f t="shared" si="105"/>
        <v>0</v>
      </c>
      <c r="DI147" s="238">
        <f t="shared" si="106"/>
        <v>3</v>
      </c>
      <c r="DJ147" s="3">
        <v>1000</v>
      </c>
      <c r="DK147" s="3">
        <v>0</v>
      </c>
      <c r="DL147" s="3">
        <v>0</v>
      </c>
      <c r="DM147" s="64">
        <f t="shared" si="92"/>
        <v>0</v>
      </c>
      <c r="DN147" s="64">
        <f t="shared" si="93"/>
        <v>0</v>
      </c>
      <c r="DO147" s="64">
        <f t="shared" si="94"/>
        <v>0</v>
      </c>
    </row>
    <row r="148" spans="30:132" ht="17.25" customHeight="1">
      <c r="AE148" s="238"/>
      <c r="AH148" s="238"/>
      <c r="DF148" s="263" t="s">
        <v>518</v>
      </c>
      <c r="DG148" s="238">
        <f t="shared" si="104"/>
        <v>0</v>
      </c>
      <c r="DH148" s="238">
        <f t="shared" si="105"/>
        <v>0</v>
      </c>
      <c r="DI148" s="238">
        <f t="shared" si="106"/>
        <v>4</v>
      </c>
      <c r="DJ148" s="3">
        <v>300</v>
      </c>
      <c r="DK148" s="3">
        <v>0</v>
      </c>
      <c r="DL148" s="3">
        <v>0</v>
      </c>
      <c r="DM148" s="64">
        <f t="shared" si="92"/>
        <v>0</v>
      </c>
      <c r="DN148" s="64">
        <f t="shared" si="93"/>
        <v>0</v>
      </c>
      <c r="DO148" s="64">
        <f t="shared" si="94"/>
        <v>0</v>
      </c>
    </row>
    <row r="149" spans="30:132" ht="17.25" customHeight="1">
      <c r="AE149" s="238"/>
      <c r="AH149" s="238"/>
      <c r="DF149" s="263" t="s">
        <v>519</v>
      </c>
      <c r="DG149" s="238">
        <f t="shared" si="104"/>
        <v>0</v>
      </c>
      <c r="DH149" s="238">
        <f t="shared" si="105"/>
        <v>0</v>
      </c>
      <c r="DI149" s="238">
        <f t="shared" si="106"/>
        <v>5</v>
      </c>
      <c r="DJ149" s="3">
        <v>300</v>
      </c>
      <c r="DK149" s="3">
        <v>0</v>
      </c>
      <c r="DL149" s="3">
        <v>0</v>
      </c>
      <c r="DM149" s="64">
        <f t="shared" si="92"/>
        <v>0</v>
      </c>
      <c r="DN149" s="64">
        <f t="shared" si="93"/>
        <v>0</v>
      </c>
      <c r="DO149" s="64">
        <f t="shared" si="94"/>
        <v>0</v>
      </c>
    </row>
    <row r="150" spans="30:132" ht="17.25" customHeight="1">
      <c r="AE150" s="238"/>
      <c r="AH150" s="152"/>
      <c r="DF150" s="263" t="s">
        <v>520</v>
      </c>
      <c r="DG150" s="238">
        <f t="shared" si="104"/>
        <v>0</v>
      </c>
      <c r="DH150" s="238">
        <f t="shared" si="105"/>
        <v>0</v>
      </c>
      <c r="DI150" s="238">
        <f t="shared" si="106"/>
        <v>6</v>
      </c>
      <c r="DJ150" s="3">
        <v>500</v>
      </c>
      <c r="DK150" s="3">
        <v>0</v>
      </c>
      <c r="DL150" s="3">
        <v>0</v>
      </c>
      <c r="DM150" s="64">
        <f t="shared" si="92"/>
        <v>0</v>
      </c>
      <c r="DN150" s="64">
        <f t="shared" si="93"/>
        <v>0</v>
      </c>
      <c r="DO150" s="64">
        <f t="shared" si="94"/>
        <v>0</v>
      </c>
    </row>
    <row r="151" spans="30:132" ht="17.25" customHeight="1">
      <c r="AE151" s="238"/>
      <c r="AH151" s="152"/>
      <c r="DI151" s="3"/>
    </row>
    <row r="152" spans="30:132" ht="17.25" customHeight="1">
      <c r="AE152" s="238"/>
      <c r="AH152" s="152"/>
      <c r="DF152" s="287" t="s">
        <v>522</v>
      </c>
      <c r="DG152" s="238">
        <v>0</v>
      </c>
      <c r="DH152" s="238"/>
      <c r="DI152" s="238"/>
      <c r="DJ152" s="3">
        <v>3</v>
      </c>
      <c r="DK152" s="3">
        <v>30</v>
      </c>
      <c r="DL152" s="3">
        <v>0</v>
      </c>
      <c r="DM152" s="64">
        <v>0</v>
      </c>
      <c r="DN152" s="64">
        <v>0</v>
      </c>
      <c r="DO152" s="64">
        <v>0</v>
      </c>
    </row>
    <row r="153" spans="30:132" ht="17.25" customHeight="1">
      <c r="AE153" s="238"/>
      <c r="AH153" s="152"/>
      <c r="DF153" s="287" t="s">
        <v>523</v>
      </c>
      <c r="DG153" s="238">
        <v>0</v>
      </c>
      <c r="DH153" s="238"/>
      <c r="DI153" s="238"/>
      <c r="DJ153" s="3">
        <v>3</v>
      </c>
      <c r="DK153" s="3">
        <v>30</v>
      </c>
      <c r="DL153" s="3">
        <v>0</v>
      </c>
      <c r="DM153" s="64">
        <v>0</v>
      </c>
      <c r="DN153" s="64">
        <v>0</v>
      </c>
      <c r="DO153" s="64">
        <v>0</v>
      </c>
    </row>
    <row r="154" spans="30:132" ht="17.25" customHeight="1">
      <c r="AE154" s="238"/>
      <c r="AH154" s="152"/>
      <c r="DF154" s="287" t="s">
        <v>524</v>
      </c>
      <c r="DG154" s="238">
        <v>0</v>
      </c>
      <c r="DH154" s="238"/>
      <c r="DI154" s="238"/>
      <c r="DJ154" s="3">
        <v>3</v>
      </c>
      <c r="DK154" s="3">
        <v>30</v>
      </c>
      <c r="DL154" s="3">
        <v>0</v>
      </c>
      <c r="DM154" s="64">
        <v>0</v>
      </c>
      <c r="DN154" s="64">
        <v>0</v>
      </c>
      <c r="DO154" s="64">
        <v>0</v>
      </c>
    </row>
    <row r="155" spans="30:132" ht="17.25" customHeight="1">
      <c r="AE155" s="238"/>
      <c r="AH155" s="152"/>
      <c r="DF155" s="287" t="s">
        <v>527</v>
      </c>
      <c r="DG155" s="238">
        <v>0</v>
      </c>
      <c r="DH155" s="238"/>
      <c r="DI155" s="238"/>
      <c r="DJ155" s="3">
        <v>3</v>
      </c>
      <c r="DK155" s="3">
        <v>30</v>
      </c>
      <c r="DL155" s="3">
        <v>0</v>
      </c>
      <c r="DM155" s="64">
        <v>0</v>
      </c>
      <c r="DN155" s="64">
        <v>0</v>
      </c>
      <c r="DO155" s="64">
        <v>0</v>
      </c>
    </row>
    <row r="156" spans="30:132" ht="17.25" customHeight="1">
      <c r="AE156" s="238"/>
      <c r="AH156" s="152"/>
    </row>
    <row r="157" spans="30:132" ht="17.25" customHeight="1">
      <c r="AE157" s="2262" t="s">
        <v>90</v>
      </c>
      <c r="AF157" s="2458" t="s">
        <v>316</v>
      </c>
      <c r="AG157" s="2449" t="s">
        <v>317</v>
      </c>
      <c r="AH157" s="2449"/>
      <c r="AI157" s="2262" t="s">
        <v>313</v>
      </c>
      <c r="AJ157" s="2262"/>
      <c r="AK157" s="2262"/>
      <c r="AL157" s="2449" t="s">
        <v>318</v>
      </c>
      <c r="AM157" s="2449"/>
      <c r="AN157" s="2449"/>
      <c r="AO157" s="2449"/>
      <c r="AP157" s="2449"/>
      <c r="AQ157" s="2449"/>
      <c r="AR157" s="245"/>
      <c r="AS157" s="2447" t="s">
        <v>570</v>
      </c>
      <c r="AT157" s="2263" t="s">
        <v>320</v>
      </c>
      <c r="AU157" s="2263" t="s">
        <v>321</v>
      </c>
      <c r="AV157" s="2448" t="s">
        <v>322</v>
      </c>
      <c r="AW157" s="2448"/>
      <c r="AX157" s="2448"/>
      <c r="AY157" s="2448"/>
      <c r="AZ157" s="2448"/>
      <c r="BA157" s="2448"/>
      <c r="BB157" s="2448"/>
      <c r="BC157" s="2448"/>
      <c r="BD157" s="2448"/>
      <c r="BE157" s="2448"/>
      <c r="BF157" s="2448" t="s">
        <v>323</v>
      </c>
      <c r="BG157" s="2448"/>
      <c r="BH157" s="2448"/>
      <c r="BI157" s="2448"/>
      <c r="BJ157" s="2448"/>
      <c r="BK157" s="2448"/>
      <c r="BL157" s="2448"/>
      <c r="BM157" s="2448"/>
      <c r="BN157" s="2448"/>
      <c r="BO157" s="2448"/>
      <c r="BP157" s="246" t="s">
        <v>73</v>
      </c>
      <c r="BQ157" s="246" t="s">
        <v>74</v>
      </c>
      <c r="BR157" s="246" t="s">
        <v>75</v>
      </c>
      <c r="BS157" s="246" t="s">
        <v>76</v>
      </c>
      <c r="BT157" s="246" t="s">
        <v>77</v>
      </c>
      <c r="BU157" s="247"/>
      <c r="BV157" s="2449" t="s">
        <v>324</v>
      </c>
      <c r="BW157" s="2449"/>
      <c r="BX157" s="2449"/>
      <c r="BY157" s="2449"/>
      <c r="BZ157" s="2449"/>
      <c r="CB157" s="2262" t="s">
        <v>325</v>
      </c>
      <c r="CC157" s="2262"/>
      <c r="CD157" s="2263" t="s">
        <v>326</v>
      </c>
      <c r="CE157" s="2263" t="s">
        <v>327</v>
      </c>
      <c r="CF157" s="2263"/>
      <c r="CG157" s="2263"/>
      <c r="CH157" s="2462" t="s">
        <v>328</v>
      </c>
      <c r="CI157" s="2462"/>
      <c r="CJ157" s="2462"/>
      <c r="CK157" s="2462"/>
      <c r="CL157" s="2462"/>
      <c r="CM157" s="2462"/>
      <c r="CN157" s="2462"/>
      <c r="CO157" s="2462"/>
      <c r="CP157" s="2262" t="s">
        <v>329</v>
      </c>
      <c r="CQ157" s="2262"/>
      <c r="CR157" s="2262"/>
      <c r="CS157" s="2262"/>
      <c r="CT157" s="2262"/>
      <c r="CU157" s="2262"/>
      <c r="CV157" s="2262" t="s">
        <v>330</v>
      </c>
      <c r="CW157" s="2262"/>
      <c r="CX157" s="2262"/>
      <c r="CY157" s="2262" t="s">
        <v>331</v>
      </c>
      <c r="CZ157" s="2262"/>
      <c r="DA157" s="2262"/>
      <c r="DB157" s="2262" t="s">
        <v>332</v>
      </c>
      <c r="DC157" s="2262"/>
      <c r="DD157" s="2262"/>
      <c r="DF157" s="2262" t="s">
        <v>321</v>
      </c>
      <c r="DG157" s="248"/>
      <c r="DH157" s="2263" t="s">
        <v>320</v>
      </c>
      <c r="DI157" s="2263" t="s">
        <v>321</v>
      </c>
      <c r="DJ157" s="2448" t="s">
        <v>328</v>
      </c>
      <c r="DK157" s="2448"/>
      <c r="DL157" s="2448"/>
      <c r="DM157" s="2262" t="s">
        <v>313</v>
      </c>
      <c r="DN157" s="2262"/>
      <c r="DO157" s="2262"/>
      <c r="DP157" s="249"/>
      <c r="DQ157" s="2263" t="s">
        <v>333</v>
      </c>
      <c r="DR157" s="2263" t="s">
        <v>334</v>
      </c>
      <c r="DS157" s="2448" t="s">
        <v>328</v>
      </c>
      <c r="DT157" s="2448"/>
      <c r="DU157" s="2448"/>
      <c r="DV157" s="2449" t="s">
        <v>335</v>
      </c>
      <c r="DW157" s="2449"/>
      <c r="DX157" s="2449"/>
    </row>
    <row r="158" spans="30:132" ht="17.25" customHeight="1" thickBot="1">
      <c r="AD158" s="236"/>
      <c r="AE158" s="2262"/>
      <c r="AF158" s="2458"/>
      <c r="AG158" s="249" t="s">
        <v>342</v>
      </c>
      <c r="AH158" s="249" t="s">
        <v>343</v>
      </c>
      <c r="AI158" s="253" t="s">
        <v>322</v>
      </c>
      <c r="AJ158" s="253" t="s">
        <v>323</v>
      </c>
      <c r="AK158" s="253" t="s">
        <v>338</v>
      </c>
      <c r="AL158" s="2449" t="s">
        <v>344</v>
      </c>
      <c r="AM158" s="2449"/>
      <c r="AN158" s="2449" t="s">
        <v>345</v>
      </c>
      <c r="AO158" s="2449"/>
      <c r="AP158" s="2449" t="s">
        <v>346</v>
      </c>
      <c r="AQ158" s="2449"/>
      <c r="AR158" s="254"/>
      <c r="AS158" s="2447"/>
      <c r="AT158" s="2263"/>
      <c r="AU158" s="2263"/>
      <c r="AV158" s="237" t="s">
        <v>347</v>
      </c>
      <c r="AW158" s="237" t="s">
        <v>348</v>
      </c>
      <c r="AX158" s="237" t="s">
        <v>349</v>
      </c>
      <c r="AY158" s="237" t="s">
        <v>350</v>
      </c>
      <c r="AZ158" s="237" t="s">
        <v>351</v>
      </c>
      <c r="BA158" s="237" t="s">
        <v>352</v>
      </c>
      <c r="BB158" s="237" t="s">
        <v>353</v>
      </c>
      <c r="BC158" s="237" t="s">
        <v>354</v>
      </c>
      <c r="BD158" s="237" t="s">
        <v>355</v>
      </c>
      <c r="BE158" s="237" t="s">
        <v>356</v>
      </c>
      <c r="BF158" s="237" t="s">
        <v>347</v>
      </c>
      <c r="BG158" s="237" t="s">
        <v>348</v>
      </c>
      <c r="BH158" s="237" t="s">
        <v>349</v>
      </c>
      <c r="BI158" s="237" t="s">
        <v>350</v>
      </c>
      <c r="BJ158" s="237" t="s">
        <v>351</v>
      </c>
      <c r="BK158" s="237" t="s">
        <v>352</v>
      </c>
      <c r="BL158" s="237" t="s">
        <v>353</v>
      </c>
      <c r="BM158" s="237" t="s">
        <v>354</v>
      </c>
      <c r="BN158" s="237" t="s">
        <v>355</v>
      </c>
      <c r="BO158" s="237" t="s">
        <v>356</v>
      </c>
      <c r="BP158" s="255" t="s">
        <v>357</v>
      </c>
      <c r="BQ158" s="255" t="s">
        <v>357</v>
      </c>
      <c r="BR158" s="255" t="s">
        <v>357</v>
      </c>
      <c r="BS158" s="255" t="s">
        <v>357</v>
      </c>
      <c r="BT158" s="255" t="s">
        <v>357</v>
      </c>
      <c r="BU158" s="256"/>
      <c r="BV158" s="246" t="s">
        <v>73</v>
      </c>
      <c r="BW158" s="246" t="s">
        <v>74</v>
      </c>
      <c r="BX158" s="246" t="s">
        <v>75</v>
      </c>
      <c r="BY158" s="246" t="s">
        <v>76</v>
      </c>
      <c r="BZ158" s="246" t="s">
        <v>77</v>
      </c>
      <c r="CB158" s="2262"/>
      <c r="CC158" s="2262"/>
      <c r="CD158" s="2263"/>
      <c r="CE158" s="2263"/>
      <c r="CF158" s="2263"/>
      <c r="CG158" s="2263"/>
      <c r="CH158" s="2262" t="s">
        <v>340</v>
      </c>
      <c r="CI158" s="2262"/>
      <c r="CJ158" s="2262"/>
      <c r="CK158" s="2262"/>
      <c r="CL158" s="2262" t="s">
        <v>358</v>
      </c>
      <c r="CM158" s="2262"/>
      <c r="CN158" s="2262"/>
      <c r="CO158" s="2262"/>
      <c r="CP158" s="237" t="s">
        <v>322</v>
      </c>
      <c r="CQ158" s="237" t="s">
        <v>323</v>
      </c>
      <c r="CR158" s="237" t="s">
        <v>341</v>
      </c>
      <c r="CS158" s="255" t="s">
        <v>322</v>
      </c>
      <c r="CT158" s="255" t="s">
        <v>323</v>
      </c>
      <c r="CU158" s="255" t="s">
        <v>341</v>
      </c>
      <c r="CV158" s="237" t="s">
        <v>322</v>
      </c>
      <c r="CW158" s="237" t="s">
        <v>323</v>
      </c>
      <c r="CX158" s="237" t="s">
        <v>341</v>
      </c>
      <c r="CY158" s="237" t="s">
        <v>322</v>
      </c>
      <c r="CZ158" s="237" t="s">
        <v>323</v>
      </c>
      <c r="DA158" s="237" t="s">
        <v>341</v>
      </c>
      <c r="DB158" s="237" t="s">
        <v>322</v>
      </c>
      <c r="DC158" s="237" t="s">
        <v>323</v>
      </c>
      <c r="DD158" s="237" t="s">
        <v>341</v>
      </c>
      <c r="DF158" s="2262"/>
      <c r="DG158" s="248" t="s">
        <v>340</v>
      </c>
      <c r="DH158" s="2263"/>
      <c r="DI158" s="2263"/>
      <c r="DJ158" s="255" t="s">
        <v>322</v>
      </c>
      <c r="DK158" s="255" t="s">
        <v>323</v>
      </c>
      <c r="DL158" s="255" t="s">
        <v>341</v>
      </c>
      <c r="DM158" s="255" t="s">
        <v>322</v>
      </c>
      <c r="DN158" s="255" t="s">
        <v>323</v>
      </c>
      <c r="DO158" s="255" t="s">
        <v>341</v>
      </c>
      <c r="DP158" s="236" t="s">
        <v>334</v>
      </c>
      <c r="DQ158" s="2263"/>
      <c r="DR158" s="2263"/>
      <c r="DS158" s="255" t="s">
        <v>322</v>
      </c>
      <c r="DT158" s="255" t="s">
        <v>323</v>
      </c>
      <c r="DU158" s="255" t="s">
        <v>341</v>
      </c>
      <c r="DV158" s="255" t="s">
        <v>322</v>
      </c>
      <c r="DW158" s="255" t="s">
        <v>323</v>
      </c>
      <c r="DX158" s="255" t="s">
        <v>341</v>
      </c>
      <c r="EA158" s="305"/>
    </row>
    <row r="159" spans="30:132" ht="17.25" customHeight="1" thickBot="1">
      <c r="AD159" s="236"/>
      <c r="AE159" s="238">
        <v>0</v>
      </c>
      <c r="AF159" s="238">
        <f>D67</f>
        <v>0</v>
      </c>
      <c r="AG159" s="238">
        <f>A55</f>
        <v>0</v>
      </c>
      <c r="AH159" s="238">
        <f>B55</f>
        <v>11</v>
      </c>
      <c r="AI159" s="64" t="e">
        <f t="shared" ref="AI159:AI194" si="107">IF(($AH159&lt;$AG159),0,IF(($AT159=$AU159),SUM(((AM159-AL159)*AF159)),0))</f>
        <v>#REF!</v>
      </c>
      <c r="AJ159" s="64" t="e">
        <f t="shared" ref="AJ159:AJ194" si="108">IF(($AH159&lt;$AG159),0,IF(($AT159=$AU159),SUM(((AO159-AN159)*AF159)),0))</f>
        <v>#REF!</v>
      </c>
      <c r="AK159" s="64" t="e">
        <f t="shared" ref="AK159:AK194" si="109">IF(($AH159&lt;$AG159),0,IF(($AT159=$AU159),SUM(((AQ159-AP159)*AF159)),0))</f>
        <v>#REF!</v>
      </c>
      <c r="AL159" s="64">
        <f t="shared" ref="AL159:AL194" si="110">IF(($AG159&lt;1),0,IF(($AG159=1),AV159,IF(($AG159=2),AW159,IF(($AG159=3),AX159,IF(($AG159=4),AY159,IF(($AG159=5),AZ159,IF(($AG159=6),BA159,IF(($AG159=7),BB159,IF(($AG159=8),BC159,IF(($AG159=9),BD159,IF(($AG159&gt;9),BE159)))))))))))</f>
        <v>0</v>
      </c>
      <c r="AM159" s="238">
        <f t="shared" ref="AM159:AM194" si="111">IF(($AH159&lt;1),0,IF(($AH159=1),AV159,IF(($AH159=2),AW159,IF(($AH159=3),AX159,IF(($AH159=4),AY159,IF(($AH159=5),AZ159,IF(($AH159=6),BA159,IF(($AH159=7),BB159,IF(($AH159=8),BC159,IF(($AH159=9),BD159,IF(($AH159&gt;9),BE159)))))))))))</f>
        <v>153000</v>
      </c>
      <c r="AN159" s="64">
        <f t="shared" ref="AN159:AN194" si="112">IF(($AG159&lt;1),0,IF(($AG159=1),BF159,IF(($AG159=2),BG159,IF(($AG159=3),BH159,IF(($AG159=4),BI159,IF(($AG159=5),BJ159,IF(($AG159=6),BK159,IF(($AG159=7),BL159,IF(($AG159=8),BM159,IF(($AG159=9),BN159,IF(($AG159&gt;9),BO159)))))))))))</f>
        <v>0</v>
      </c>
      <c r="AO159" s="238">
        <f t="shared" ref="AO159:AO194" si="113">IF(($AH159&lt;1),0,IF(($AH159=1),BF159,IF(($AH159=2),BG159,IF(($AH159=3),BH159,IF(($AH159=4),BI159,IF(($AH159=5),BJ159,IF(($AH159=6),BK159,IF(($AH159=7),BL159,IF(($AH159=8),BM159,IF(($AH159=9),BN159,IF(($AH159&gt;9),BO159)))))))))))</f>
        <v>200000</v>
      </c>
      <c r="AP159" s="238">
        <f t="shared" ref="AP159:AP194" si="114">IF(($AG159&lt;11),0,IF(($AG159=11),$BP159,IF(($AG159=12),$BQ159,IF(($AG159=13),$BR159,IF(($AG159&gt;13),$BS159)))))</f>
        <v>0</v>
      </c>
      <c r="AQ159" s="238">
        <f t="shared" ref="AQ159:AQ194" si="115">IF(($AH159&lt;11),0,IF(($AH159=11),$BP159,IF(($AH159=12),$BQ159,IF(($AH159=13),$BR159,IF(($AH159=14),BS159,IF(($AH159&gt;14),$BT159))))))</f>
        <v>230</v>
      </c>
      <c r="AS159" s="261" t="s">
        <v>500</v>
      </c>
      <c r="AT159" s="238" t="e">
        <f>VLOOKUP(#REF!, AS159:AU163, 3, FALSE)</f>
        <v>#REF!</v>
      </c>
      <c r="AU159" s="238">
        <v>0</v>
      </c>
      <c r="AV159" s="36">
        <v>0</v>
      </c>
      <c r="AW159" s="36">
        <v>0</v>
      </c>
      <c r="AX159" s="36">
        <v>600</v>
      </c>
      <c r="AY159" s="36">
        <v>3000</v>
      </c>
      <c r="AZ159" s="36">
        <v>9000</v>
      </c>
      <c r="BA159" s="36">
        <v>18000</v>
      </c>
      <c r="BB159" s="36">
        <v>33000</v>
      </c>
      <c r="BC159" s="36">
        <v>57000</v>
      </c>
      <c r="BD159" s="36">
        <v>93000</v>
      </c>
      <c r="BE159" s="36">
        <v>153000</v>
      </c>
      <c r="BF159" s="16">
        <v>20000</v>
      </c>
      <c r="BG159" s="16">
        <v>40000</v>
      </c>
      <c r="BH159" s="16">
        <v>60000</v>
      </c>
      <c r="BI159" s="16">
        <v>80000</v>
      </c>
      <c r="BJ159" s="16">
        <v>100000</v>
      </c>
      <c r="BK159" s="16">
        <v>120000</v>
      </c>
      <c r="BL159" s="16">
        <v>140000</v>
      </c>
      <c r="BM159" s="16">
        <v>160000</v>
      </c>
      <c r="BN159" s="16">
        <v>180000</v>
      </c>
      <c r="BO159" s="16">
        <v>200000</v>
      </c>
      <c r="BP159" s="36">
        <f t="shared" ref="BP159:BP194" si="116">SUM(ROUNDUP(BV159,0))</f>
        <v>230</v>
      </c>
      <c r="BQ159" s="16">
        <f t="shared" ref="BQ159:BQ194" si="117">SUM(ROUNDUP(BW159,0))</f>
        <v>574</v>
      </c>
      <c r="BR159" s="36">
        <f t="shared" ref="BR159:BR194" si="118">SUM(ROUNDUP(BX159,0))</f>
        <v>740</v>
      </c>
      <c r="BS159" s="16">
        <f t="shared" ref="BS159:BS194" si="119">SUM(ROUNDUP(BY159,0))</f>
        <v>995</v>
      </c>
      <c r="BT159" s="36">
        <f t="shared" ref="BT159:BT194" si="120">SUM(ROUNDUP(BZ159,0))</f>
        <v>1377</v>
      </c>
      <c r="BV159" s="153">
        <f t="shared" ref="BV159:BV194" si="121">SUM(((BE159*1.5)/1000))</f>
        <v>229.5</v>
      </c>
      <c r="BW159" s="153">
        <f t="shared" ref="BW159:BW194" si="122">SUM((((BE159*2.25)/1000)+(BV159)))</f>
        <v>573.75</v>
      </c>
      <c r="BX159" s="153">
        <f t="shared" ref="BX159:BX194" si="123">SUM(((BE159*3.333333)/1000))+(BV159:BV160)</f>
        <v>739.49994900000002</v>
      </c>
      <c r="BY159" s="153">
        <f t="shared" ref="BY159:BY194" si="124">SUM(((BE159*5)/1000))+(BV159:BV161)</f>
        <v>994.5</v>
      </c>
      <c r="BZ159" s="153">
        <f t="shared" ref="BZ159:BZ194" si="125">SUM(((BE159*7.5)/1000))+(BV159:BV162)</f>
        <v>1377</v>
      </c>
      <c r="CB159" s="262" t="s">
        <v>571</v>
      </c>
      <c r="CC159" s="256">
        <f>VLOOKUP(L67, CB159:CD163, 3, FALSE)</f>
        <v>1</v>
      </c>
      <c r="CD159" s="238">
        <v>0</v>
      </c>
      <c r="CE159" s="236" t="s">
        <v>30</v>
      </c>
      <c r="CF159" s="236" t="s">
        <v>31</v>
      </c>
      <c r="CG159" s="236" t="s">
        <v>362</v>
      </c>
      <c r="CH159" s="2462" t="s">
        <v>30</v>
      </c>
      <c r="CI159" s="2462"/>
      <c r="CJ159" s="237" t="s">
        <v>31</v>
      </c>
      <c r="CK159" s="236" t="s">
        <v>362</v>
      </c>
      <c r="CL159" s="2462" t="s">
        <v>30</v>
      </c>
      <c r="CM159" s="2462"/>
      <c r="CN159" s="237" t="s">
        <v>31</v>
      </c>
      <c r="CO159" s="236" t="s">
        <v>362</v>
      </c>
      <c r="CP159" s="237"/>
      <c r="CQ159" s="237"/>
      <c r="CR159" s="237"/>
      <c r="CS159" s="255"/>
      <c r="CT159" s="255"/>
      <c r="CU159" s="255"/>
      <c r="CV159" s="237"/>
      <c r="CW159" s="237"/>
      <c r="CX159" s="237"/>
      <c r="CY159" s="237"/>
      <c r="CZ159" s="237"/>
      <c r="DA159" s="237"/>
      <c r="DB159" s="91"/>
      <c r="DC159" s="91"/>
      <c r="DD159" s="91"/>
      <c r="DF159" s="236" t="s">
        <v>363</v>
      </c>
      <c r="DG159" s="238"/>
      <c r="DH159" s="238"/>
      <c r="DI159" s="238"/>
      <c r="DJ159" s="238"/>
      <c r="DK159" s="238"/>
      <c r="DL159" s="238"/>
      <c r="DM159" s="238"/>
      <c r="DN159" s="238"/>
      <c r="DO159" s="238"/>
      <c r="DP159" s="263" t="s">
        <v>572</v>
      </c>
      <c r="DQ159" s="238">
        <f>VLOOKUP(EA159, DP159:DR159, 3, FALSE)</f>
        <v>0</v>
      </c>
      <c r="DR159" s="238">
        <v>0</v>
      </c>
      <c r="DS159" s="64">
        <v>0</v>
      </c>
      <c r="DT159" s="64">
        <v>0</v>
      </c>
      <c r="DU159" s="64">
        <v>0</v>
      </c>
      <c r="DV159" s="64">
        <f>IF(($DR159=$DQ159),DS159,0)</f>
        <v>0</v>
      </c>
      <c r="DW159" s="64">
        <f>IF(($DR159=$DQ159),DT159,0)</f>
        <v>0</v>
      </c>
      <c r="DX159" s="64">
        <f>IF(($DR159=$DQ159),DU159,0)</f>
        <v>0</v>
      </c>
      <c r="DZ159" s="306"/>
      <c r="EA159" s="307" t="s">
        <v>572</v>
      </c>
      <c r="EB159" s="285"/>
    </row>
    <row r="160" spans="30:132" ht="17.25" customHeight="1" thickBot="1">
      <c r="AE160" s="238">
        <v>1</v>
      </c>
      <c r="AF160" s="238">
        <f t="shared" ref="AF160:AH163" si="126">AF$159</f>
        <v>0</v>
      </c>
      <c r="AG160" s="238">
        <f t="shared" si="126"/>
        <v>0</v>
      </c>
      <c r="AH160" s="238">
        <f t="shared" si="126"/>
        <v>11</v>
      </c>
      <c r="AI160" s="64" t="e">
        <f t="shared" si="107"/>
        <v>#REF!</v>
      </c>
      <c r="AJ160" s="64" t="e">
        <f t="shared" si="108"/>
        <v>#REF!</v>
      </c>
      <c r="AK160" s="64" t="e">
        <f t="shared" si="109"/>
        <v>#REF!</v>
      </c>
      <c r="AL160" s="64">
        <f t="shared" si="110"/>
        <v>0</v>
      </c>
      <c r="AM160" s="238">
        <f t="shared" si="111"/>
        <v>153000</v>
      </c>
      <c r="AN160" s="64">
        <f t="shared" si="112"/>
        <v>0</v>
      </c>
      <c r="AO160" s="238">
        <f t="shared" si="113"/>
        <v>200000</v>
      </c>
      <c r="AP160" s="238">
        <f t="shared" si="114"/>
        <v>0</v>
      </c>
      <c r="AQ160" s="238">
        <f t="shared" si="115"/>
        <v>230</v>
      </c>
      <c r="AS160" s="261" t="s">
        <v>573</v>
      </c>
      <c r="AT160" s="238" t="e">
        <f>$AT$159</f>
        <v>#REF!</v>
      </c>
      <c r="AU160" s="238">
        <f>AU159+1</f>
        <v>1</v>
      </c>
      <c r="AV160" s="36">
        <v>0</v>
      </c>
      <c r="AW160" s="36">
        <v>0</v>
      </c>
      <c r="AX160" s="36">
        <v>600</v>
      </c>
      <c r="AY160" s="36">
        <v>3000</v>
      </c>
      <c r="AZ160" s="36">
        <v>9000</v>
      </c>
      <c r="BA160" s="36">
        <v>18000</v>
      </c>
      <c r="BB160" s="36">
        <v>33000</v>
      </c>
      <c r="BC160" s="36">
        <v>57000</v>
      </c>
      <c r="BD160" s="36">
        <v>93000</v>
      </c>
      <c r="BE160" s="36">
        <v>153000</v>
      </c>
      <c r="BF160" s="16">
        <v>20000</v>
      </c>
      <c r="BG160" s="16">
        <v>40000</v>
      </c>
      <c r="BH160" s="16">
        <v>60000</v>
      </c>
      <c r="BI160" s="16">
        <v>80000</v>
      </c>
      <c r="BJ160" s="16">
        <v>100000</v>
      </c>
      <c r="BK160" s="16">
        <v>120000</v>
      </c>
      <c r="BL160" s="16">
        <v>140000</v>
      </c>
      <c r="BM160" s="16">
        <v>160000</v>
      </c>
      <c r="BN160" s="16">
        <v>180000</v>
      </c>
      <c r="BO160" s="16">
        <v>200000</v>
      </c>
      <c r="BP160" s="36">
        <f t="shared" si="116"/>
        <v>230</v>
      </c>
      <c r="BQ160" s="16">
        <f t="shared" si="117"/>
        <v>574</v>
      </c>
      <c r="BR160" s="36">
        <f t="shared" si="118"/>
        <v>740</v>
      </c>
      <c r="BS160" s="16">
        <f t="shared" si="119"/>
        <v>995</v>
      </c>
      <c r="BT160" s="36">
        <f t="shared" si="120"/>
        <v>1377</v>
      </c>
      <c r="BV160" s="153">
        <f t="shared" si="121"/>
        <v>229.5</v>
      </c>
      <c r="BW160" s="153">
        <f t="shared" si="122"/>
        <v>573.75</v>
      </c>
      <c r="BX160" s="153">
        <f t="shared" si="123"/>
        <v>739.49994900000002</v>
      </c>
      <c r="BY160" s="153">
        <f t="shared" si="124"/>
        <v>994.5</v>
      </c>
      <c r="BZ160" s="153">
        <f t="shared" si="125"/>
        <v>1377</v>
      </c>
      <c r="CB160" s="153" t="s">
        <v>501</v>
      </c>
      <c r="CC160" s="256">
        <f>$CC$159</f>
        <v>1</v>
      </c>
      <c r="CD160" s="238">
        <f>CD159+1</f>
        <v>1</v>
      </c>
      <c r="CE160" s="238" t="str">
        <f>N68</f>
        <v>Yes</v>
      </c>
      <c r="CF160" s="238" t="str">
        <f>P68</f>
        <v>Yes</v>
      </c>
      <c r="CG160" s="238" t="str">
        <f>R68</f>
        <v>No</v>
      </c>
      <c r="CH160" s="247">
        <v>135000</v>
      </c>
      <c r="CJ160" s="247">
        <v>100000</v>
      </c>
      <c r="CK160" s="247"/>
      <c r="CL160" s="256" t="s">
        <v>322</v>
      </c>
      <c r="CN160" s="256" t="s">
        <v>322</v>
      </c>
      <c r="CO160" s="256"/>
      <c r="CP160" s="64">
        <f>IF((CD160&lt;&gt;CC160),0,IF((CE160&lt;&gt;"Yes"),0,IF((CL160="Cubits"),CH160,0)))</f>
        <v>135000</v>
      </c>
      <c r="CQ160" s="64">
        <f>IF((CD160&lt;&gt;CC160),0,IF((CE160&lt;&gt;"Yes"),0,IF((CL160="Tylium"),CH160,0)))</f>
        <v>0</v>
      </c>
      <c r="CR160" s="64">
        <f>IF((CD160&lt;&gt;CC160),0,IF((CE160&lt;&gt;"Yes"),0,IF((CL160="Merits"),CH160,0)))</f>
        <v>0</v>
      </c>
      <c r="CS160" s="64">
        <f>IF((CD160&lt;&gt;CC160),0,IF((CE160&lt;&gt;"Yes"),0,IF((CM160="Cubits"),CI160,0)))</f>
        <v>0</v>
      </c>
      <c r="CT160" s="64">
        <f>IF((CD160&lt;&gt;CC160),0,IF((CE160&lt;&gt;"Yes"),0,IF((CM160="Tylium"),CI160,0)))</f>
        <v>0</v>
      </c>
      <c r="CU160" s="64">
        <f>IF((CD160&lt;&gt;CC160),0,IF((CE160&lt;&gt;"Yes"),0,IF((CM160="Merits"),CI160,0)))</f>
        <v>0</v>
      </c>
      <c r="CV160" s="64">
        <f>IF((CD160&lt;&gt;CC160),0,IF((CF160&lt;&gt;"Yes"),0,IF((CN160="Cubits"),CJ160,0)))</f>
        <v>100000</v>
      </c>
      <c r="CW160" s="64">
        <f>IF((CD160&lt;&gt;CC160),0,IF((CF160&lt;&gt;"Yes"),0,IF((CN160="Tylium"),CJ160,0)))</f>
        <v>0</v>
      </c>
      <c r="CX160" s="64">
        <f>IF((CD160&lt;&gt;CC160),0,IF((CF160&lt;&gt;"Yes"),0,IF((CN160="Merits"),CJ160,0)))</f>
        <v>0</v>
      </c>
      <c r="CY160" s="64">
        <f>IF((CD160&lt;&gt;CC160),0,IF((CG160&lt;&gt;"Yes"),0,IF((CO160="Cubits"),CK160,0)))</f>
        <v>0</v>
      </c>
      <c r="CZ160" s="64">
        <f>IF((CD160&lt;&gt;CC160),0,IF((CG160&lt;&gt;"Yes"),0,IF((CO160="Tylium"),CK160,0)))</f>
        <v>0</v>
      </c>
      <c r="DA160" s="64">
        <f>IF((CD160&lt;&gt;CC160),0,IF((CG160&lt;&gt;"Yes"),0,IF((CO160="Merits"),CK160,0)))</f>
        <v>0</v>
      </c>
      <c r="DB160" s="64">
        <f t="shared" ref="DB160:DD163" si="127">SUM((((CP160+CS160)+CV160)+CY160))</f>
        <v>235000</v>
      </c>
      <c r="DC160" s="64">
        <f t="shared" si="127"/>
        <v>0</v>
      </c>
      <c r="DD160" s="64">
        <f t="shared" si="127"/>
        <v>0</v>
      </c>
      <c r="DF160" s="263" t="s">
        <v>363</v>
      </c>
      <c r="DG160" s="64">
        <v>0</v>
      </c>
      <c r="DH160" s="238">
        <f>VLOOKUP(X72, DF160:DI172, 4, FALSE)</f>
        <v>0</v>
      </c>
      <c r="DI160" s="238">
        <v>0</v>
      </c>
      <c r="DJ160" s="64">
        <v>0</v>
      </c>
      <c r="DK160" s="64">
        <v>0</v>
      </c>
      <c r="DL160" s="64">
        <v>0</v>
      </c>
      <c r="DM160" s="64">
        <f t="shared" ref="DM160:DM172" si="128">ROUNDUP((DJ160*$DG160),0)</f>
        <v>0</v>
      </c>
      <c r="DN160" s="64">
        <f t="shared" ref="DN160:DN172" si="129">ROUNDUP((DK160*$DG160),0)</f>
        <v>0</v>
      </c>
      <c r="DO160" s="64">
        <f t="shared" ref="DO160:DO172" si="130">ROUNDUP((DL160*$DG160),0)</f>
        <v>0</v>
      </c>
      <c r="DP160" s="263"/>
      <c r="DQ160" s="238"/>
      <c r="DR160" s="238"/>
      <c r="DS160" s="64"/>
      <c r="DT160" s="64"/>
      <c r="DU160" s="64"/>
      <c r="DV160" s="64"/>
      <c r="DW160" s="64"/>
      <c r="DX160" s="64"/>
      <c r="EA160" s="308"/>
    </row>
    <row r="161" spans="30:132" ht="17.25" customHeight="1" thickBot="1">
      <c r="AD161" s="64"/>
      <c r="AE161" s="238">
        <v>2</v>
      </c>
      <c r="AF161" s="238">
        <f t="shared" si="126"/>
        <v>0</v>
      </c>
      <c r="AG161" s="238">
        <f t="shared" si="126"/>
        <v>0</v>
      </c>
      <c r="AH161" s="238">
        <f t="shared" si="126"/>
        <v>11</v>
      </c>
      <c r="AI161" s="64" t="e">
        <f t="shared" si="107"/>
        <v>#REF!</v>
      </c>
      <c r="AJ161" s="64" t="e">
        <f t="shared" si="108"/>
        <v>#REF!</v>
      </c>
      <c r="AK161" s="64" t="e">
        <f t="shared" si="109"/>
        <v>#REF!</v>
      </c>
      <c r="AL161" s="64">
        <f t="shared" si="110"/>
        <v>0</v>
      </c>
      <c r="AM161" s="238">
        <f t="shared" si="111"/>
        <v>153000</v>
      </c>
      <c r="AN161" s="64">
        <f t="shared" si="112"/>
        <v>0</v>
      </c>
      <c r="AO161" s="238">
        <f t="shared" si="113"/>
        <v>200000</v>
      </c>
      <c r="AP161" s="238">
        <f t="shared" si="114"/>
        <v>0</v>
      </c>
      <c r="AQ161" s="238">
        <f t="shared" si="115"/>
        <v>230</v>
      </c>
      <c r="AS161" s="261" t="s">
        <v>574</v>
      </c>
      <c r="AT161" s="238" t="e">
        <f>$AT$159</f>
        <v>#REF!</v>
      </c>
      <c r="AU161" s="238">
        <f>AU160+1</f>
        <v>2</v>
      </c>
      <c r="AV161" s="36">
        <v>0</v>
      </c>
      <c r="AW161" s="36">
        <v>0</v>
      </c>
      <c r="AX161" s="36">
        <v>600</v>
      </c>
      <c r="AY161" s="36">
        <v>3000</v>
      </c>
      <c r="AZ161" s="36">
        <v>9000</v>
      </c>
      <c r="BA161" s="36">
        <v>18000</v>
      </c>
      <c r="BB161" s="36">
        <v>33000</v>
      </c>
      <c r="BC161" s="36">
        <v>57000</v>
      </c>
      <c r="BD161" s="36">
        <v>93000</v>
      </c>
      <c r="BE161" s="36">
        <v>153000</v>
      </c>
      <c r="BF161" s="16">
        <v>20000</v>
      </c>
      <c r="BG161" s="16">
        <v>40000</v>
      </c>
      <c r="BH161" s="16">
        <v>60000</v>
      </c>
      <c r="BI161" s="16">
        <v>80000</v>
      </c>
      <c r="BJ161" s="16">
        <v>100000</v>
      </c>
      <c r="BK161" s="16">
        <v>120000</v>
      </c>
      <c r="BL161" s="16">
        <v>140000</v>
      </c>
      <c r="BM161" s="16">
        <v>160000</v>
      </c>
      <c r="BN161" s="16">
        <v>180000</v>
      </c>
      <c r="BO161" s="16">
        <v>200000</v>
      </c>
      <c r="BP161" s="36">
        <f t="shared" si="116"/>
        <v>230</v>
      </c>
      <c r="BQ161" s="16">
        <f t="shared" si="117"/>
        <v>574</v>
      </c>
      <c r="BR161" s="36">
        <f t="shared" si="118"/>
        <v>740</v>
      </c>
      <c r="BS161" s="16">
        <f t="shared" si="119"/>
        <v>995</v>
      </c>
      <c r="BT161" s="36">
        <f t="shared" si="120"/>
        <v>1377</v>
      </c>
      <c r="BV161" s="153">
        <f t="shared" si="121"/>
        <v>229.5</v>
      </c>
      <c r="BW161" s="153">
        <f t="shared" si="122"/>
        <v>573.75</v>
      </c>
      <c r="BX161" s="153">
        <f t="shared" si="123"/>
        <v>739.49994900000002</v>
      </c>
      <c r="BY161" s="153">
        <f t="shared" si="124"/>
        <v>994.5</v>
      </c>
      <c r="BZ161" s="153">
        <f t="shared" si="125"/>
        <v>1377</v>
      </c>
      <c r="CB161" s="153" t="s">
        <v>575</v>
      </c>
      <c r="CC161" s="256">
        <f>$CC$159</f>
        <v>1</v>
      </c>
      <c r="CD161" s="238">
        <f>CD160+1</f>
        <v>2</v>
      </c>
      <c r="CE161" s="152" t="str">
        <f>$CE$160</f>
        <v>Yes</v>
      </c>
      <c r="CF161" s="152" t="str">
        <f>$CF$160</f>
        <v>Yes</v>
      </c>
      <c r="CG161" s="152" t="str">
        <f>$CG$160</f>
        <v>No</v>
      </c>
      <c r="CH161" s="247">
        <v>2000000</v>
      </c>
      <c r="CJ161" s="247">
        <v>60000</v>
      </c>
      <c r="CK161" s="247"/>
      <c r="CL161" s="256" t="s">
        <v>323</v>
      </c>
      <c r="CN161" s="256" t="s">
        <v>322</v>
      </c>
      <c r="CO161" s="256"/>
      <c r="CP161" s="64">
        <f>IF((CD161&lt;&gt;CC161),0,IF((CE161&lt;&gt;"Yes"),0,IF((CL161="Cubits"),CH161,0)))</f>
        <v>0</v>
      </c>
      <c r="CQ161" s="64">
        <f>IF((CD161&lt;&gt;CC161),0,IF((CE161&lt;&gt;"Yes"),0,IF((CL161="Tylium"),CH161,0)))</f>
        <v>0</v>
      </c>
      <c r="CR161" s="64">
        <f>IF((CD161&lt;&gt;CC161),0,IF((CE161&lt;&gt;"Yes"),0,IF((CL161="Merits"),CH161,0)))</f>
        <v>0</v>
      </c>
      <c r="CS161" s="64">
        <f>IF((CD161&lt;&gt;CC161),0,IF((CE161&lt;&gt;"Yes"),0,IF((CM161="Cubits"),CI161,0)))</f>
        <v>0</v>
      </c>
      <c r="CT161" s="64">
        <f>IF((CD161&lt;&gt;CC161),0,IF((CE161&lt;&gt;"Yes"),0,IF((CM161="Tylium"),CI161,0)))</f>
        <v>0</v>
      </c>
      <c r="CU161" s="64">
        <f>IF((CD161&lt;&gt;CC161),0,IF((CE161&lt;&gt;"Yes"),0,IF((CM161="Merits"),CI161,0)))</f>
        <v>0</v>
      </c>
      <c r="CV161" s="64">
        <f>IF((CD161&lt;&gt;CC161),0,IF((CF161&lt;&gt;"Yes"),0,IF((CN161="Cubits"),CJ161,0)))</f>
        <v>0</v>
      </c>
      <c r="CW161" s="64">
        <f>IF((CD161&lt;&gt;CC161),0,IF((CF161&lt;&gt;"Yes"),0,IF((CN161="Tylium"),CJ161,0)))</f>
        <v>0</v>
      </c>
      <c r="CX161" s="64">
        <f>IF((CD161&lt;&gt;CC161),0,IF((CF161&lt;&gt;"Yes"),0,IF((CN161="Merits"),CJ161,0)))</f>
        <v>0</v>
      </c>
      <c r="CY161" s="64">
        <f>IF((CD161&lt;&gt;CC161),0,IF((CG161&lt;&gt;"Yes"),0,IF((CO161="Cubits"),CK161,0)))</f>
        <v>0</v>
      </c>
      <c r="CZ161" s="64">
        <f>IF((CD161&lt;&gt;CC161),0,IF((CG161&lt;&gt;"Yes"),0,IF((CO161="Tylium"),CK161,0)))</f>
        <v>0</v>
      </c>
      <c r="DA161" s="64">
        <f>IF((CD161&lt;&gt;CC161),0,IF((CG161&lt;&gt;"Yes"),0,IF((CO161="Merits"),CK161,0)))</f>
        <v>0</v>
      </c>
      <c r="DB161" s="64">
        <f t="shared" si="127"/>
        <v>0</v>
      </c>
      <c r="DC161" s="64">
        <f t="shared" si="127"/>
        <v>0</v>
      </c>
      <c r="DD161" s="64">
        <f t="shared" si="127"/>
        <v>0</v>
      </c>
      <c r="DF161" s="263" t="s">
        <v>378</v>
      </c>
      <c r="DG161" s="238">
        <f t="shared" ref="DG161:DG172" si="131">IF((DH161=DI161),$Z$72,0)</f>
        <v>0</v>
      </c>
      <c r="DH161" s="238">
        <f t="shared" ref="DH161:DH172" si="132">$DH$160</f>
        <v>0</v>
      </c>
      <c r="DI161" s="238">
        <f t="shared" ref="DI161:DI172" si="133">DI160+1</f>
        <v>1</v>
      </c>
      <c r="DJ161" s="64">
        <v>1500</v>
      </c>
      <c r="DK161" s="64">
        <v>0</v>
      </c>
      <c r="DL161" s="64">
        <v>0</v>
      </c>
      <c r="DM161" s="64">
        <f t="shared" si="128"/>
        <v>0</v>
      </c>
      <c r="DN161" s="64">
        <f t="shared" si="129"/>
        <v>0</v>
      </c>
      <c r="DO161" s="64">
        <f t="shared" si="130"/>
        <v>0</v>
      </c>
      <c r="DP161" s="263" t="s">
        <v>576</v>
      </c>
      <c r="DQ161" s="238">
        <f>VLOOKUP(EA161, DP161:DR161, 3, FALSE)</f>
        <v>0</v>
      </c>
      <c r="DR161" s="238">
        <v>0</v>
      </c>
      <c r="DS161" s="64">
        <v>0</v>
      </c>
      <c r="DT161" s="64">
        <v>0</v>
      </c>
      <c r="DU161" s="64">
        <v>0</v>
      </c>
      <c r="DV161" s="64">
        <f>IF(($DR161=$DQ161),DS161,0)</f>
        <v>0</v>
      </c>
      <c r="DW161" s="64">
        <f>IF(($DR161=$DQ161),DT161,0)</f>
        <v>0</v>
      </c>
      <c r="DX161" s="64">
        <f>IF(($DR161=$DQ161),DU161,0)</f>
        <v>0</v>
      </c>
      <c r="DZ161" s="306"/>
      <c r="EA161" s="309" t="s">
        <v>576</v>
      </c>
      <c r="EB161" s="285"/>
    </row>
    <row r="162" spans="30:132" ht="17.25" customHeight="1">
      <c r="AD162" s="64"/>
      <c r="AE162" s="238">
        <v>3</v>
      </c>
      <c r="AF162" s="238">
        <f t="shared" si="126"/>
        <v>0</v>
      </c>
      <c r="AG162" s="238">
        <f t="shared" si="126"/>
        <v>0</v>
      </c>
      <c r="AH162" s="238">
        <f t="shared" si="126"/>
        <v>11</v>
      </c>
      <c r="AI162" s="64" t="e">
        <f t="shared" si="107"/>
        <v>#REF!</v>
      </c>
      <c r="AJ162" s="64" t="e">
        <f t="shared" si="108"/>
        <v>#REF!</v>
      </c>
      <c r="AK162" s="64" t="e">
        <f t="shared" si="109"/>
        <v>#REF!</v>
      </c>
      <c r="AL162" s="64">
        <f t="shared" si="110"/>
        <v>0</v>
      </c>
      <c r="AM162" s="238">
        <f t="shared" si="111"/>
        <v>153000</v>
      </c>
      <c r="AN162" s="64">
        <f t="shared" si="112"/>
        <v>0</v>
      </c>
      <c r="AO162" s="238">
        <f t="shared" si="113"/>
        <v>100000</v>
      </c>
      <c r="AP162" s="238">
        <f t="shared" si="114"/>
        <v>0</v>
      </c>
      <c r="AQ162" s="238">
        <f t="shared" si="115"/>
        <v>230</v>
      </c>
      <c r="AS162" s="261" t="s">
        <v>577</v>
      </c>
      <c r="AT162" s="238" t="e">
        <f>$AT$159</f>
        <v>#REF!</v>
      </c>
      <c r="AU162" s="238">
        <f>AU161+1</f>
        <v>3</v>
      </c>
      <c r="AV162" s="36">
        <v>0</v>
      </c>
      <c r="AW162" s="36">
        <v>0</v>
      </c>
      <c r="AX162" s="36">
        <v>600</v>
      </c>
      <c r="AY162" s="36">
        <v>3000</v>
      </c>
      <c r="AZ162" s="36">
        <v>9000</v>
      </c>
      <c r="BA162" s="36">
        <v>18000</v>
      </c>
      <c r="BB162" s="36">
        <v>33000</v>
      </c>
      <c r="BC162" s="36">
        <v>57000</v>
      </c>
      <c r="BD162" s="36">
        <v>93000</v>
      </c>
      <c r="BE162" s="36">
        <v>153000</v>
      </c>
      <c r="BF162" s="16">
        <v>10000</v>
      </c>
      <c r="BG162" s="16">
        <v>20000</v>
      </c>
      <c r="BH162" s="16">
        <v>30000</v>
      </c>
      <c r="BI162" s="16">
        <v>40000</v>
      </c>
      <c r="BJ162" s="16">
        <v>50000</v>
      </c>
      <c r="BK162" s="16">
        <v>60000</v>
      </c>
      <c r="BL162" s="16">
        <v>70000</v>
      </c>
      <c r="BM162" s="16">
        <v>80000</v>
      </c>
      <c r="BN162" s="16">
        <v>90000</v>
      </c>
      <c r="BO162" s="16">
        <v>100000</v>
      </c>
      <c r="BP162" s="36">
        <f t="shared" si="116"/>
        <v>230</v>
      </c>
      <c r="BQ162" s="16">
        <f t="shared" si="117"/>
        <v>574</v>
      </c>
      <c r="BR162" s="36">
        <f t="shared" si="118"/>
        <v>740</v>
      </c>
      <c r="BS162" s="16">
        <f t="shared" si="119"/>
        <v>995</v>
      </c>
      <c r="BT162" s="36">
        <f t="shared" si="120"/>
        <v>1377</v>
      </c>
      <c r="BV162" s="153">
        <f t="shared" si="121"/>
        <v>229.5</v>
      </c>
      <c r="BW162" s="153">
        <f t="shared" si="122"/>
        <v>573.75</v>
      </c>
      <c r="BX162" s="153">
        <f t="shared" si="123"/>
        <v>739.49994900000002</v>
      </c>
      <c r="BY162" s="153">
        <f t="shared" si="124"/>
        <v>994.5</v>
      </c>
      <c r="BZ162" s="153">
        <f t="shared" si="125"/>
        <v>1377</v>
      </c>
      <c r="CB162" s="153" t="s">
        <v>578</v>
      </c>
      <c r="CC162" s="256">
        <f>$CC$159</f>
        <v>1</v>
      </c>
      <c r="CD162" s="238">
        <f>CD161+1</f>
        <v>3</v>
      </c>
      <c r="CE162" s="152" t="str">
        <f>$CE$160</f>
        <v>Yes</v>
      </c>
      <c r="CF162" s="152" t="str">
        <f>$CF$160</f>
        <v>Yes</v>
      </c>
      <c r="CG162" s="152" t="str">
        <f>$CG$160</f>
        <v>No</v>
      </c>
      <c r="CH162" s="247">
        <v>2000000</v>
      </c>
      <c r="CJ162" s="247">
        <v>60000</v>
      </c>
      <c r="CK162" s="247"/>
      <c r="CL162" s="256" t="s">
        <v>323</v>
      </c>
      <c r="CN162" s="256" t="s">
        <v>322</v>
      </c>
      <c r="CO162" s="256"/>
      <c r="CP162" s="64">
        <f>IF((CD162&lt;&gt;CC162),0,IF((CE162&lt;&gt;"Yes"),0,IF((CL162="Cubits"),CH162,0)))</f>
        <v>0</v>
      </c>
      <c r="CQ162" s="64">
        <f>IF((CD162&lt;&gt;CC162),0,IF((CE162&lt;&gt;"Yes"),0,IF((CL162="Tylium"),CH162,0)))</f>
        <v>0</v>
      </c>
      <c r="CR162" s="64">
        <f>IF((CD162&lt;&gt;CC162),0,IF((CE162&lt;&gt;"Yes"),0,IF((CL162="Merits"),CH162,0)))</f>
        <v>0</v>
      </c>
      <c r="CS162" s="64">
        <f>IF((CD162&lt;&gt;CC162),0,IF((CE162&lt;&gt;"Yes"),0,IF((CM162="Cubits"),CI162,0)))</f>
        <v>0</v>
      </c>
      <c r="CT162" s="64">
        <f>IF((CD162&lt;&gt;CC162),0,IF((CE162&lt;&gt;"Yes"),0,IF((CM162="Tylium"),CI162,0)))</f>
        <v>0</v>
      </c>
      <c r="CU162" s="64">
        <f>IF((CD162&lt;&gt;CC162),0,IF((CE162&lt;&gt;"Yes"),0,IF((CM162="Merits"),CI162,0)))</f>
        <v>0</v>
      </c>
      <c r="CV162" s="64">
        <f>IF((CD162&lt;&gt;CC162),0,IF((CF162&lt;&gt;"Yes"),0,IF((CN162="Cubits"),CJ162,0)))</f>
        <v>0</v>
      </c>
      <c r="CW162" s="64">
        <f>IF((CD162&lt;&gt;CC162),0,IF((CF162&lt;&gt;"Yes"),0,IF((CN162="Tylium"),CJ162,0)))</f>
        <v>0</v>
      </c>
      <c r="CX162" s="64">
        <f>IF((CD162&lt;&gt;CC162),0,IF((CF162&lt;&gt;"Yes"),0,IF((CN162="Merits"),CJ162,0)))</f>
        <v>0</v>
      </c>
      <c r="CY162" s="64">
        <f>IF((CD162&lt;&gt;CC162),0,IF((CG162&lt;&gt;"Yes"),0,IF((CO162="Cubits"),CK162,0)))</f>
        <v>0</v>
      </c>
      <c r="CZ162" s="64">
        <f>IF((CD162&lt;&gt;CC162),0,IF((CG162&lt;&gt;"Yes"),0,IF((CO162="Tylium"),CK162,0)))</f>
        <v>0</v>
      </c>
      <c r="DA162" s="64">
        <f>IF((CD162&lt;&gt;CC162),0,IF((CG162&lt;&gt;"Yes"),0,IF((CO162="Merits"),CK162,0)))</f>
        <v>0</v>
      </c>
      <c r="DB162" s="64">
        <f t="shared" si="127"/>
        <v>0</v>
      </c>
      <c r="DC162" s="64">
        <f t="shared" si="127"/>
        <v>0</v>
      </c>
      <c r="DD162" s="64">
        <f t="shared" si="127"/>
        <v>0</v>
      </c>
      <c r="DF162" s="263" t="s">
        <v>384</v>
      </c>
      <c r="DG162" s="238">
        <f t="shared" si="131"/>
        <v>0</v>
      </c>
      <c r="DH162" s="238">
        <f t="shared" si="132"/>
        <v>0</v>
      </c>
      <c r="DI162" s="238">
        <f t="shared" si="133"/>
        <v>2</v>
      </c>
      <c r="DJ162" s="64">
        <v>2000</v>
      </c>
      <c r="DK162" s="64">
        <v>0</v>
      </c>
      <c r="DL162" s="64">
        <v>0</v>
      </c>
      <c r="DM162" s="64">
        <f t="shared" si="128"/>
        <v>0</v>
      </c>
      <c r="DN162" s="64">
        <f t="shared" si="129"/>
        <v>0</v>
      </c>
      <c r="DO162" s="64">
        <f t="shared" si="130"/>
        <v>0</v>
      </c>
      <c r="DP162" s="263"/>
      <c r="DQ162" s="238"/>
      <c r="DR162" s="238"/>
      <c r="DS162" s="64"/>
      <c r="DT162" s="64"/>
      <c r="DU162" s="64"/>
      <c r="DV162" s="64"/>
      <c r="DW162" s="64"/>
      <c r="DX162" s="64"/>
      <c r="EA162" s="280"/>
    </row>
    <row r="163" spans="30:132" ht="17.25" customHeight="1">
      <c r="AD163" s="64"/>
      <c r="AE163" s="238">
        <v>4</v>
      </c>
      <c r="AF163" s="238">
        <f t="shared" si="126"/>
        <v>0</v>
      </c>
      <c r="AG163" s="238">
        <f t="shared" si="126"/>
        <v>0</v>
      </c>
      <c r="AH163" s="238">
        <f t="shared" si="126"/>
        <v>11</v>
      </c>
      <c r="AI163" s="64" t="e">
        <f t="shared" si="107"/>
        <v>#REF!</v>
      </c>
      <c r="AJ163" s="64" t="e">
        <f t="shared" si="108"/>
        <v>#REF!</v>
      </c>
      <c r="AK163" s="64" t="e">
        <f t="shared" si="109"/>
        <v>#REF!</v>
      </c>
      <c r="AL163" s="64">
        <f t="shared" si="110"/>
        <v>0</v>
      </c>
      <c r="AM163" s="238">
        <f t="shared" si="111"/>
        <v>153000</v>
      </c>
      <c r="AN163" s="64">
        <f t="shared" si="112"/>
        <v>0</v>
      </c>
      <c r="AO163" s="238">
        <f t="shared" si="113"/>
        <v>200000</v>
      </c>
      <c r="AP163" s="238">
        <f t="shared" si="114"/>
        <v>0</v>
      </c>
      <c r="AQ163" s="238">
        <f t="shared" si="115"/>
        <v>230</v>
      </c>
      <c r="AS163" s="261" t="s">
        <v>579</v>
      </c>
      <c r="AT163" s="238" t="e">
        <f>$AT$159</f>
        <v>#REF!</v>
      </c>
      <c r="AU163" s="238">
        <f>AU162+1</f>
        <v>4</v>
      </c>
      <c r="AV163" s="36">
        <v>0</v>
      </c>
      <c r="AW163" s="36">
        <v>0</v>
      </c>
      <c r="AX163" s="36">
        <v>600</v>
      </c>
      <c r="AY163" s="36">
        <v>3000</v>
      </c>
      <c r="AZ163" s="36">
        <v>9000</v>
      </c>
      <c r="BA163" s="36">
        <v>18000</v>
      </c>
      <c r="BB163" s="36">
        <v>33000</v>
      </c>
      <c r="BC163" s="36">
        <v>57000</v>
      </c>
      <c r="BD163" s="36">
        <v>93000</v>
      </c>
      <c r="BE163" s="36">
        <v>153000</v>
      </c>
      <c r="BF163" s="16">
        <v>20000</v>
      </c>
      <c r="BG163" s="16">
        <v>40000</v>
      </c>
      <c r="BH163" s="16">
        <v>60000</v>
      </c>
      <c r="BI163" s="16">
        <v>80000</v>
      </c>
      <c r="BJ163" s="16">
        <v>100000</v>
      </c>
      <c r="BK163" s="16">
        <v>120000</v>
      </c>
      <c r="BL163" s="16">
        <v>140000</v>
      </c>
      <c r="BM163" s="16">
        <v>160000</v>
      </c>
      <c r="BN163" s="16">
        <v>180000</v>
      </c>
      <c r="BO163" s="16">
        <v>200000</v>
      </c>
      <c r="BP163" s="36">
        <f t="shared" si="116"/>
        <v>230</v>
      </c>
      <c r="BQ163" s="16">
        <f t="shared" si="117"/>
        <v>574</v>
      </c>
      <c r="BR163" s="36">
        <f t="shared" si="118"/>
        <v>740</v>
      </c>
      <c r="BS163" s="16">
        <f t="shared" si="119"/>
        <v>995</v>
      </c>
      <c r="BT163" s="36">
        <f t="shared" si="120"/>
        <v>1377</v>
      </c>
      <c r="BV163" s="153">
        <f t="shared" si="121"/>
        <v>229.5</v>
      </c>
      <c r="BW163" s="153">
        <f t="shared" si="122"/>
        <v>573.75</v>
      </c>
      <c r="BX163" s="153">
        <f t="shared" si="123"/>
        <v>739.49994900000002</v>
      </c>
      <c r="BY163" s="153">
        <f t="shared" si="124"/>
        <v>994.5</v>
      </c>
      <c r="BZ163" s="153">
        <f t="shared" si="125"/>
        <v>1377</v>
      </c>
      <c r="CB163" s="153" t="s">
        <v>580</v>
      </c>
      <c r="CC163" s="256">
        <f>$CC$159</f>
        <v>1</v>
      </c>
      <c r="CD163" s="238">
        <f>CD162+1</f>
        <v>4</v>
      </c>
      <c r="CE163" s="152" t="str">
        <f>$CE$160</f>
        <v>Yes</v>
      </c>
      <c r="CF163" s="152" t="str">
        <f>$CF$160</f>
        <v>Yes</v>
      </c>
      <c r="CG163" s="152" t="str">
        <f>$CG$160</f>
        <v>No</v>
      </c>
      <c r="CH163" s="247">
        <v>250000</v>
      </c>
      <c r="CJ163" s="247">
        <v>60000</v>
      </c>
      <c r="CK163" s="247"/>
      <c r="CL163" s="256" t="s">
        <v>322</v>
      </c>
      <c r="CN163" s="256" t="s">
        <v>341</v>
      </c>
      <c r="CO163" s="256"/>
      <c r="CP163" s="64">
        <f>IF((CD163&lt;&gt;CC163),0,IF((CE163&lt;&gt;"Yes"),0,IF((CL163="Cubits"),CH163,0)))</f>
        <v>0</v>
      </c>
      <c r="CQ163" s="64">
        <f>IF((CD163&lt;&gt;CC163),0,IF((CE163&lt;&gt;"Yes"),0,IF((CL163="Tylium"),CH163,0)))</f>
        <v>0</v>
      </c>
      <c r="CR163" s="64">
        <f>IF((CD163&lt;&gt;CC163),0,IF((CE163&lt;&gt;"Yes"),0,IF((CL163="Merits"),CH163,0)))</f>
        <v>0</v>
      </c>
      <c r="CS163" s="64">
        <f>IF((CD163&lt;&gt;CC163),0,IF((CE163&lt;&gt;"Yes"),0,IF((CM163="Cubits"),CI163,0)))</f>
        <v>0</v>
      </c>
      <c r="CT163" s="64">
        <f>IF((CD163&lt;&gt;CC163),0,IF((CE163&lt;&gt;"Yes"),0,IF((CM163="Tylium"),CI163,0)))</f>
        <v>0</v>
      </c>
      <c r="CU163" s="64">
        <f>IF((CD163&lt;&gt;CC163),0,IF((CE163&lt;&gt;"Yes"),0,IF((CM163="Merits"),CI163,0)))</f>
        <v>0</v>
      </c>
      <c r="CV163" s="64">
        <f>IF((CD163&lt;&gt;CC163),0,IF((CF163&lt;&gt;"Yes"),0,IF((CN163="Cubits"),CJ163,0)))</f>
        <v>0</v>
      </c>
      <c r="CW163" s="64">
        <f>IF((CD163&lt;&gt;CC163),0,IF((CF163&lt;&gt;"Yes"),0,IF((CN163="Tylium"),CJ163,0)))</f>
        <v>0</v>
      </c>
      <c r="CX163" s="64">
        <f>IF((CD163&lt;&gt;CC163),0,IF((CF163&lt;&gt;"Yes"),0,IF((CN163="Merits"),CJ163,0)))</f>
        <v>0</v>
      </c>
      <c r="CY163" s="64">
        <f>IF((CD163&lt;&gt;CC163),0,IF((CG163&lt;&gt;"Yes"),0,IF((CO163="Cubits"),CK163,0)))</f>
        <v>0</v>
      </c>
      <c r="CZ163" s="64">
        <f>IF((CD163&lt;&gt;CC163),0,IF((CG163&lt;&gt;"Yes"),0,IF((CO163="Tylium"),CK163,0)))</f>
        <v>0</v>
      </c>
      <c r="DA163" s="64">
        <f>IF((CD163&lt;&gt;CC163),0,IF((CG163&lt;&gt;"Yes"),0,IF((CO163="Merits"),CK163,0)))</f>
        <v>0</v>
      </c>
      <c r="DB163" s="64">
        <f t="shared" si="127"/>
        <v>0</v>
      </c>
      <c r="DC163" s="64">
        <f t="shared" si="127"/>
        <v>0</v>
      </c>
      <c r="DD163" s="64">
        <f t="shared" si="127"/>
        <v>0</v>
      </c>
      <c r="DF163" s="263" t="s">
        <v>390</v>
      </c>
      <c r="DG163" s="238">
        <f t="shared" si="131"/>
        <v>0</v>
      </c>
      <c r="DH163" s="238">
        <f t="shared" si="132"/>
        <v>0</v>
      </c>
      <c r="DI163" s="238">
        <f t="shared" si="133"/>
        <v>3</v>
      </c>
      <c r="DJ163" s="64">
        <v>8000</v>
      </c>
      <c r="DK163" s="64">
        <v>0</v>
      </c>
      <c r="DL163" s="64">
        <v>0</v>
      </c>
      <c r="DM163" s="64">
        <f t="shared" si="128"/>
        <v>0</v>
      </c>
      <c r="DN163" s="64">
        <f t="shared" si="129"/>
        <v>0</v>
      </c>
      <c r="DO163" s="64">
        <f t="shared" si="130"/>
        <v>0</v>
      </c>
      <c r="DP163" s="263" t="s">
        <v>508</v>
      </c>
      <c r="DQ163" s="238">
        <f>VLOOKUP(X73, DP163:DR164, 3, FALSE)</f>
        <v>0</v>
      </c>
      <c r="DR163" s="238">
        <v>0</v>
      </c>
      <c r="DS163" s="64">
        <v>0</v>
      </c>
      <c r="DT163" s="64">
        <v>0</v>
      </c>
      <c r="DU163" s="64">
        <v>0</v>
      </c>
      <c r="DV163" s="64">
        <f t="shared" ref="DV163:DX164" si="134">IF(($DR163=$DQ163),DS163,0)</f>
        <v>0</v>
      </c>
      <c r="DW163" s="64">
        <f t="shared" si="134"/>
        <v>0</v>
      </c>
      <c r="DX163" s="64">
        <f t="shared" si="134"/>
        <v>0</v>
      </c>
    </row>
    <row r="164" spans="30:132" ht="17.25" customHeight="1">
      <c r="AD164" s="64"/>
      <c r="AE164" s="238">
        <v>5</v>
      </c>
      <c r="AF164" s="238">
        <f>D69</f>
        <v>0</v>
      </c>
      <c r="AG164" s="238">
        <f>A56</f>
        <v>0</v>
      </c>
      <c r="AH164" s="238">
        <f>B56</f>
        <v>15</v>
      </c>
      <c r="AI164" s="64" t="e">
        <f t="shared" si="107"/>
        <v>#REF!</v>
      </c>
      <c r="AJ164" s="64" t="e">
        <f t="shared" si="108"/>
        <v>#REF!</v>
      </c>
      <c r="AK164" s="64" t="e">
        <f t="shared" si="109"/>
        <v>#REF!</v>
      </c>
      <c r="AL164" s="64">
        <f t="shared" si="110"/>
        <v>0</v>
      </c>
      <c r="AM164" s="238">
        <f t="shared" si="111"/>
        <v>98800</v>
      </c>
      <c r="AN164" s="64">
        <f t="shared" si="112"/>
        <v>0</v>
      </c>
      <c r="AO164" s="238">
        <f t="shared" si="113"/>
        <v>160000</v>
      </c>
      <c r="AP164" s="238">
        <f t="shared" si="114"/>
        <v>0</v>
      </c>
      <c r="AQ164" s="238">
        <f t="shared" si="115"/>
        <v>890</v>
      </c>
      <c r="AS164" s="269" t="s">
        <v>380</v>
      </c>
      <c r="AT164" s="238" t="e">
        <f>VLOOKUP(#REF!, AS164:AU167, 3, FALSE)</f>
        <v>#REF!</v>
      </c>
      <c r="AU164" s="238">
        <v>0</v>
      </c>
      <c r="AV164" s="36">
        <v>0</v>
      </c>
      <c r="AW164" s="36">
        <v>0</v>
      </c>
      <c r="AX164" s="36">
        <v>600</v>
      </c>
      <c r="AY164" s="36">
        <v>3000</v>
      </c>
      <c r="AZ164" s="36">
        <v>7200</v>
      </c>
      <c r="BA164" s="36">
        <v>13800</v>
      </c>
      <c r="BB164" s="36">
        <v>23800</v>
      </c>
      <c r="BC164" s="36">
        <v>38800</v>
      </c>
      <c r="BD164" s="36">
        <v>62800</v>
      </c>
      <c r="BE164" s="36">
        <v>98800</v>
      </c>
      <c r="BF164" s="16">
        <v>16000</v>
      </c>
      <c r="BG164" s="16">
        <v>32000</v>
      </c>
      <c r="BH164" s="16">
        <v>48000</v>
      </c>
      <c r="BI164" s="16">
        <v>64000</v>
      </c>
      <c r="BJ164" s="16">
        <v>80000</v>
      </c>
      <c r="BK164" s="16">
        <v>96000</v>
      </c>
      <c r="BL164" s="16">
        <v>112000</v>
      </c>
      <c r="BM164" s="16">
        <v>128000</v>
      </c>
      <c r="BN164" s="16">
        <v>144000</v>
      </c>
      <c r="BO164" s="16">
        <v>160000</v>
      </c>
      <c r="BP164" s="36">
        <f t="shared" si="116"/>
        <v>149</v>
      </c>
      <c r="BQ164" s="16">
        <f t="shared" si="117"/>
        <v>371</v>
      </c>
      <c r="BR164" s="36">
        <f t="shared" si="118"/>
        <v>478</v>
      </c>
      <c r="BS164" s="16">
        <f t="shared" si="119"/>
        <v>643</v>
      </c>
      <c r="BT164" s="36">
        <f t="shared" si="120"/>
        <v>890</v>
      </c>
      <c r="BV164" s="153">
        <f t="shared" si="121"/>
        <v>148.19999999999999</v>
      </c>
      <c r="BW164" s="153">
        <f t="shared" si="122"/>
        <v>370.5</v>
      </c>
      <c r="BX164" s="153">
        <f t="shared" si="123"/>
        <v>477.53330039999997</v>
      </c>
      <c r="BY164" s="153">
        <f t="shared" si="124"/>
        <v>642.20000000000005</v>
      </c>
      <c r="BZ164" s="153">
        <f t="shared" si="125"/>
        <v>889.2</v>
      </c>
      <c r="CB164" s="262"/>
      <c r="CC164" s="256"/>
      <c r="CF164" s="236"/>
      <c r="CG164" s="236"/>
      <c r="DF164" s="263" t="s">
        <v>395</v>
      </c>
      <c r="DG164" s="238">
        <f t="shared" si="131"/>
        <v>0</v>
      </c>
      <c r="DH164" s="238">
        <f t="shared" si="132"/>
        <v>0</v>
      </c>
      <c r="DI164" s="238">
        <f t="shared" si="133"/>
        <v>4</v>
      </c>
      <c r="DJ164" s="64">
        <v>32000</v>
      </c>
      <c r="DK164" s="64">
        <v>0</v>
      </c>
      <c r="DL164" s="64">
        <v>0</v>
      </c>
      <c r="DM164" s="64">
        <f t="shared" si="128"/>
        <v>0</v>
      </c>
      <c r="DN164" s="64">
        <f t="shared" si="129"/>
        <v>0</v>
      </c>
      <c r="DO164" s="64">
        <f t="shared" si="130"/>
        <v>0</v>
      </c>
      <c r="DP164" s="263" t="s">
        <v>581</v>
      </c>
      <c r="DQ164" s="238">
        <f>$DQ$163</f>
        <v>0</v>
      </c>
      <c r="DR164" s="238">
        <f>DR163+1</f>
        <v>1</v>
      </c>
      <c r="DS164" s="64">
        <v>18000</v>
      </c>
      <c r="DT164" s="64">
        <v>0</v>
      </c>
      <c r="DU164" s="64">
        <v>0</v>
      </c>
      <c r="DV164" s="64">
        <f t="shared" si="134"/>
        <v>0</v>
      </c>
      <c r="DW164" s="64">
        <f t="shared" si="134"/>
        <v>0</v>
      </c>
      <c r="DX164" s="64">
        <f t="shared" si="134"/>
        <v>0</v>
      </c>
    </row>
    <row r="165" spans="30:132" ht="17.25" customHeight="1">
      <c r="AD165" s="64"/>
      <c r="AE165" s="238">
        <v>6</v>
      </c>
      <c r="AF165" s="238">
        <f t="shared" ref="AF165:AH167" si="135">AF$164</f>
        <v>0</v>
      </c>
      <c r="AG165" s="238">
        <f t="shared" si="135"/>
        <v>0</v>
      </c>
      <c r="AH165" s="238">
        <f t="shared" si="135"/>
        <v>15</v>
      </c>
      <c r="AI165" s="64" t="e">
        <f t="shared" si="107"/>
        <v>#REF!</v>
      </c>
      <c r="AJ165" s="64" t="e">
        <f t="shared" si="108"/>
        <v>#REF!</v>
      </c>
      <c r="AK165" s="64" t="e">
        <f t="shared" si="109"/>
        <v>#REF!</v>
      </c>
      <c r="AL165" s="64">
        <f t="shared" si="110"/>
        <v>0</v>
      </c>
      <c r="AM165" s="238">
        <f t="shared" si="111"/>
        <v>80900</v>
      </c>
      <c r="AN165" s="64">
        <f t="shared" si="112"/>
        <v>0</v>
      </c>
      <c r="AO165" s="238">
        <f t="shared" si="113"/>
        <v>100000</v>
      </c>
      <c r="AP165" s="238">
        <f t="shared" si="114"/>
        <v>0</v>
      </c>
      <c r="AQ165" s="238">
        <f t="shared" si="115"/>
        <v>729</v>
      </c>
      <c r="AS165" s="269" t="s">
        <v>388</v>
      </c>
      <c r="AT165" s="238" t="e">
        <f>$AT$164</f>
        <v>#REF!</v>
      </c>
      <c r="AU165" s="238">
        <f>AU164+1</f>
        <v>1</v>
      </c>
      <c r="AV165" s="36">
        <v>0</v>
      </c>
      <c r="AW165" s="36">
        <v>0</v>
      </c>
      <c r="AX165" s="36">
        <v>600</v>
      </c>
      <c r="AY165" s="36">
        <v>2400</v>
      </c>
      <c r="AZ165" s="36">
        <v>5400</v>
      </c>
      <c r="BA165" s="36">
        <v>9900</v>
      </c>
      <c r="BB165" s="36">
        <v>20900</v>
      </c>
      <c r="BC165" s="36">
        <v>32900</v>
      </c>
      <c r="BD165" s="36">
        <v>50900</v>
      </c>
      <c r="BE165" s="36">
        <v>80900</v>
      </c>
      <c r="BF165" s="16">
        <v>10000</v>
      </c>
      <c r="BG165" s="16">
        <v>20000</v>
      </c>
      <c r="BH165" s="16">
        <v>30000</v>
      </c>
      <c r="BI165" s="16">
        <v>40000</v>
      </c>
      <c r="BJ165" s="16">
        <v>50000</v>
      </c>
      <c r="BK165" s="16">
        <v>60000</v>
      </c>
      <c r="BL165" s="16">
        <v>70000</v>
      </c>
      <c r="BM165" s="16">
        <v>80000</v>
      </c>
      <c r="BN165" s="16">
        <v>90000</v>
      </c>
      <c r="BO165" s="16">
        <v>100000</v>
      </c>
      <c r="BP165" s="36">
        <f t="shared" si="116"/>
        <v>122</v>
      </c>
      <c r="BQ165" s="16">
        <f t="shared" si="117"/>
        <v>304</v>
      </c>
      <c r="BR165" s="36">
        <f t="shared" si="118"/>
        <v>392</v>
      </c>
      <c r="BS165" s="16">
        <f t="shared" si="119"/>
        <v>526</v>
      </c>
      <c r="BT165" s="36">
        <f t="shared" si="120"/>
        <v>729</v>
      </c>
      <c r="BV165" s="153">
        <f t="shared" si="121"/>
        <v>121.35</v>
      </c>
      <c r="BW165" s="153">
        <f t="shared" si="122"/>
        <v>303.375</v>
      </c>
      <c r="BX165" s="153">
        <f t="shared" si="123"/>
        <v>391.01663970000004</v>
      </c>
      <c r="BY165" s="153">
        <f t="shared" si="124"/>
        <v>525.85</v>
      </c>
      <c r="BZ165" s="153">
        <f t="shared" si="125"/>
        <v>728.1</v>
      </c>
      <c r="CH165" s="64"/>
      <c r="CJ165" s="64"/>
      <c r="CK165" s="64"/>
      <c r="CL165" s="64"/>
      <c r="CN165" s="64"/>
      <c r="CO165" s="64"/>
      <c r="DF165" s="263" t="s">
        <v>399</v>
      </c>
      <c r="DG165" s="238">
        <f t="shared" si="131"/>
        <v>0</v>
      </c>
      <c r="DH165" s="238">
        <f t="shared" si="132"/>
        <v>0</v>
      </c>
      <c r="DI165" s="238">
        <f t="shared" si="133"/>
        <v>5</v>
      </c>
      <c r="DJ165" s="64">
        <v>1000</v>
      </c>
      <c r="DK165" s="64">
        <v>0</v>
      </c>
      <c r="DL165" s="64">
        <v>0</v>
      </c>
      <c r="DM165" s="64">
        <f t="shared" si="128"/>
        <v>0</v>
      </c>
      <c r="DN165" s="64">
        <f t="shared" si="129"/>
        <v>0</v>
      </c>
      <c r="DO165" s="64">
        <f t="shared" si="130"/>
        <v>0</v>
      </c>
      <c r="DP165" s="263"/>
      <c r="DQ165" s="238"/>
      <c r="DR165" s="238"/>
      <c r="DS165" s="64"/>
      <c r="DT165" s="64"/>
      <c r="DU165" s="64"/>
      <c r="DV165" s="64"/>
      <c r="DW165" s="64"/>
      <c r="DX165" s="64"/>
    </row>
    <row r="166" spans="30:132" ht="17.25" customHeight="1">
      <c r="AD166" s="64"/>
      <c r="AE166" s="238">
        <v>7</v>
      </c>
      <c r="AF166" s="238">
        <f t="shared" si="135"/>
        <v>0</v>
      </c>
      <c r="AG166" s="238">
        <f t="shared" si="135"/>
        <v>0</v>
      </c>
      <c r="AH166" s="238">
        <f t="shared" si="135"/>
        <v>15</v>
      </c>
      <c r="AI166" s="64" t="e">
        <f t="shared" si="107"/>
        <v>#REF!</v>
      </c>
      <c r="AJ166" s="64" t="e">
        <f t="shared" si="108"/>
        <v>#REF!</v>
      </c>
      <c r="AK166" s="64" t="e">
        <f t="shared" si="109"/>
        <v>#REF!</v>
      </c>
      <c r="AL166" s="64">
        <f t="shared" si="110"/>
        <v>0</v>
      </c>
      <c r="AM166" s="238">
        <f t="shared" si="111"/>
        <v>98800</v>
      </c>
      <c r="AN166" s="64">
        <f t="shared" si="112"/>
        <v>0</v>
      </c>
      <c r="AO166" s="238">
        <f t="shared" si="113"/>
        <v>160000</v>
      </c>
      <c r="AP166" s="238">
        <f t="shared" si="114"/>
        <v>0</v>
      </c>
      <c r="AQ166" s="238">
        <f t="shared" si="115"/>
        <v>890</v>
      </c>
      <c r="AS166" s="269" t="s">
        <v>394</v>
      </c>
      <c r="AT166" s="238" t="e">
        <f>$AT$164</f>
        <v>#REF!</v>
      </c>
      <c r="AU166" s="238">
        <f>AU165+1</f>
        <v>2</v>
      </c>
      <c r="AV166" s="36">
        <v>0</v>
      </c>
      <c r="AW166" s="36">
        <v>0</v>
      </c>
      <c r="AX166" s="36">
        <v>600</v>
      </c>
      <c r="AY166" s="36">
        <v>3000</v>
      </c>
      <c r="AZ166" s="36">
        <v>7200</v>
      </c>
      <c r="BA166" s="36">
        <v>13800</v>
      </c>
      <c r="BB166" s="36">
        <v>23800</v>
      </c>
      <c r="BC166" s="36">
        <v>38800</v>
      </c>
      <c r="BD166" s="36">
        <v>62800</v>
      </c>
      <c r="BE166" s="36">
        <v>98800</v>
      </c>
      <c r="BF166" s="16">
        <v>16000</v>
      </c>
      <c r="BG166" s="16">
        <v>32000</v>
      </c>
      <c r="BH166" s="16">
        <v>48000</v>
      </c>
      <c r="BI166" s="16">
        <v>64000</v>
      </c>
      <c r="BJ166" s="16">
        <v>80000</v>
      </c>
      <c r="BK166" s="16">
        <v>96000</v>
      </c>
      <c r="BL166" s="16">
        <v>112000</v>
      </c>
      <c r="BM166" s="16">
        <v>128000</v>
      </c>
      <c r="BN166" s="16">
        <v>144000</v>
      </c>
      <c r="BO166" s="16">
        <v>160000</v>
      </c>
      <c r="BP166" s="36">
        <f t="shared" si="116"/>
        <v>149</v>
      </c>
      <c r="BQ166" s="16">
        <f t="shared" si="117"/>
        <v>371</v>
      </c>
      <c r="BR166" s="36">
        <f t="shared" si="118"/>
        <v>478</v>
      </c>
      <c r="BS166" s="16">
        <f t="shared" si="119"/>
        <v>643</v>
      </c>
      <c r="BT166" s="36">
        <f t="shared" si="120"/>
        <v>890</v>
      </c>
      <c r="BV166" s="153">
        <f t="shared" si="121"/>
        <v>148.19999999999999</v>
      </c>
      <c r="BW166" s="153">
        <f t="shared" si="122"/>
        <v>370.5</v>
      </c>
      <c r="BX166" s="153">
        <f t="shared" si="123"/>
        <v>477.53330039999997</v>
      </c>
      <c r="BY166" s="153">
        <f t="shared" si="124"/>
        <v>642.20000000000005</v>
      </c>
      <c r="BZ166" s="153">
        <f t="shared" si="125"/>
        <v>889.2</v>
      </c>
      <c r="CF166" s="95"/>
      <c r="CG166" s="95"/>
      <c r="CH166" s="64"/>
      <c r="CJ166" s="64"/>
      <c r="CK166" s="64"/>
      <c r="CL166" s="64"/>
      <c r="CN166" s="64"/>
      <c r="CO166" s="64"/>
      <c r="DF166" s="263" t="s">
        <v>403</v>
      </c>
      <c r="DG166" s="238">
        <f t="shared" si="131"/>
        <v>0</v>
      </c>
      <c r="DH166" s="238">
        <f t="shared" si="132"/>
        <v>0</v>
      </c>
      <c r="DI166" s="238">
        <f t="shared" si="133"/>
        <v>6</v>
      </c>
      <c r="DJ166" s="64">
        <v>15000</v>
      </c>
      <c r="DK166" s="64">
        <v>0</v>
      </c>
      <c r="DL166" s="64">
        <v>0</v>
      </c>
      <c r="DM166" s="64">
        <f t="shared" si="128"/>
        <v>0</v>
      </c>
      <c r="DN166" s="64">
        <f t="shared" si="129"/>
        <v>0</v>
      </c>
      <c r="DO166" s="64">
        <f t="shared" si="130"/>
        <v>0</v>
      </c>
      <c r="DP166" s="263" t="s">
        <v>510</v>
      </c>
      <c r="DQ166" s="238">
        <f>VLOOKUP(X74, DP166:DR168, 3, FALSE)</f>
        <v>0</v>
      </c>
      <c r="DR166" s="238">
        <v>0</v>
      </c>
      <c r="DS166" s="64">
        <v>0</v>
      </c>
      <c r="DT166" s="64">
        <v>0</v>
      </c>
      <c r="DU166" s="64">
        <v>0</v>
      </c>
      <c r="DV166" s="64">
        <f t="shared" ref="DV166:DX168" si="136">IF(($DR166=$DQ166),DS166,0)</f>
        <v>0</v>
      </c>
      <c r="DW166" s="64">
        <f t="shared" si="136"/>
        <v>0</v>
      </c>
      <c r="DX166" s="64">
        <f t="shared" si="136"/>
        <v>0</v>
      </c>
    </row>
    <row r="167" spans="30:132" ht="17.25" customHeight="1">
      <c r="AD167" s="64"/>
      <c r="AE167" s="238">
        <v>8</v>
      </c>
      <c r="AF167" s="238">
        <f t="shared" si="135"/>
        <v>0</v>
      </c>
      <c r="AG167" s="238">
        <f t="shared" si="135"/>
        <v>0</v>
      </c>
      <c r="AH167" s="238">
        <f t="shared" si="135"/>
        <v>15</v>
      </c>
      <c r="AI167" s="64" t="e">
        <f t="shared" si="107"/>
        <v>#REF!</v>
      </c>
      <c r="AJ167" s="64" t="e">
        <f t="shared" si="108"/>
        <v>#REF!</v>
      </c>
      <c r="AK167" s="64" t="e">
        <f t="shared" si="109"/>
        <v>#REF!</v>
      </c>
      <c r="AL167" s="64">
        <f t="shared" si="110"/>
        <v>0</v>
      </c>
      <c r="AM167" s="238">
        <f t="shared" si="111"/>
        <v>148000</v>
      </c>
      <c r="AN167" s="64">
        <f t="shared" si="112"/>
        <v>0</v>
      </c>
      <c r="AO167" s="238">
        <f t="shared" si="113"/>
        <v>200000</v>
      </c>
      <c r="AP167" s="238">
        <f t="shared" si="114"/>
        <v>0</v>
      </c>
      <c r="AQ167" s="238">
        <f t="shared" si="115"/>
        <v>1332</v>
      </c>
      <c r="AS167" s="269" t="s">
        <v>582</v>
      </c>
      <c r="AT167" s="238" t="e">
        <f>$AT$164</f>
        <v>#REF!</v>
      </c>
      <c r="AU167" s="238">
        <f>AU166+1</f>
        <v>3</v>
      </c>
      <c r="AV167" s="36">
        <v>0</v>
      </c>
      <c r="AW167" s="36">
        <v>0</v>
      </c>
      <c r="AX167" s="36">
        <v>600</v>
      </c>
      <c r="AY167" s="36">
        <v>3600</v>
      </c>
      <c r="AZ167" s="36">
        <v>10000</v>
      </c>
      <c r="BA167" s="36">
        <v>22000</v>
      </c>
      <c r="BB167" s="36">
        <v>40000</v>
      </c>
      <c r="BC167" s="36">
        <v>67000</v>
      </c>
      <c r="BD167" s="36">
        <v>103000</v>
      </c>
      <c r="BE167" s="36">
        <v>148000</v>
      </c>
      <c r="BF167" s="16">
        <v>20000</v>
      </c>
      <c r="BG167" s="16">
        <v>40000</v>
      </c>
      <c r="BH167" s="16">
        <v>60000</v>
      </c>
      <c r="BI167" s="16">
        <v>80000</v>
      </c>
      <c r="BJ167" s="16">
        <v>100000</v>
      </c>
      <c r="BK167" s="16">
        <v>120000</v>
      </c>
      <c r="BL167" s="16">
        <v>140000</v>
      </c>
      <c r="BM167" s="16">
        <v>160000</v>
      </c>
      <c r="BN167" s="16">
        <v>180000</v>
      </c>
      <c r="BO167" s="16">
        <v>200000</v>
      </c>
      <c r="BP167" s="36">
        <f t="shared" si="116"/>
        <v>222</v>
      </c>
      <c r="BQ167" s="16">
        <f t="shared" si="117"/>
        <v>555</v>
      </c>
      <c r="BR167" s="36">
        <f t="shared" si="118"/>
        <v>716</v>
      </c>
      <c r="BS167" s="16">
        <f t="shared" si="119"/>
        <v>962</v>
      </c>
      <c r="BT167" s="36">
        <f t="shared" si="120"/>
        <v>1332</v>
      </c>
      <c r="BV167" s="153">
        <f t="shared" si="121"/>
        <v>222</v>
      </c>
      <c r="BW167" s="153">
        <f t="shared" si="122"/>
        <v>555</v>
      </c>
      <c r="BX167" s="153">
        <f t="shared" si="123"/>
        <v>715.33328400000005</v>
      </c>
      <c r="BY167" s="153">
        <f t="shared" si="124"/>
        <v>962</v>
      </c>
      <c r="BZ167" s="153">
        <f t="shared" si="125"/>
        <v>1332</v>
      </c>
      <c r="CF167" s="95"/>
      <c r="CG167" s="95"/>
      <c r="CH167" s="64"/>
      <c r="CL167" s="64"/>
      <c r="CN167" s="64"/>
      <c r="CO167" s="64"/>
      <c r="DF167" s="263" t="s">
        <v>407</v>
      </c>
      <c r="DG167" s="238">
        <f t="shared" si="131"/>
        <v>0</v>
      </c>
      <c r="DH167" s="238">
        <f t="shared" si="132"/>
        <v>0</v>
      </c>
      <c r="DI167" s="238">
        <f t="shared" si="133"/>
        <v>7</v>
      </c>
      <c r="DJ167" s="64">
        <v>40000</v>
      </c>
      <c r="DK167" s="64">
        <v>0</v>
      </c>
      <c r="DL167" s="64">
        <v>0</v>
      </c>
      <c r="DM167" s="64">
        <f t="shared" si="128"/>
        <v>0</v>
      </c>
      <c r="DN167" s="64">
        <f t="shared" si="129"/>
        <v>0</v>
      </c>
      <c r="DO167" s="64">
        <f t="shared" si="130"/>
        <v>0</v>
      </c>
      <c r="DP167" s="263" t="s">
        <v>583</v>
      </c>
      <c r="DQ167" s="238">
        <f>$DQ$166</f>
        <v>0</v>
      </c>
      <c r="DR167" s="238">
        <f>DR166+1</f>
        <v>1</v>
      </c>
      <c r="DS167" s="64">
        <v>10000</v>
      </c>
      <c r="DT167" s="64">
        <v>0</v>
      </c>
      <c r="DU167" s="64">
        <v>0</v>
      </c>
      <c r="DV167" s="64">
        <f t="shared" si="136"/>
        <v>0</v>
      </c>
      <c r="DW167" s="64">
        <f t="shared" si="136"/>
        <v>0</v>
      </c>
      <c r="DX167" s="64">
        <f t="shared" si="136"/>
        <v>0</v>
      </c>
    </row>
    <row r="168" spans="30:132" ht="17.25" customHeight="1">
      <c r="AD168" s="64"/>
      <c r="AE168" s="238">
        <v>9</v>
      </c>
      <c r="AF168" s="238">
        <f>D71</f>
        <v>0</v>
      </c>
      <c r="AG168" s="238">
        <f>A57</f>
        <v>0</v>
      </c>
      <c r="AH168" s="238">
        <f>B57</f>
        <v>5</v>
      </c>
      <c r="AI168" s="64" t="e">
        <f t="shared" si="107"/>
        <v>#REF!</v>
      </c>
      <c r="AJ168" s="64" t="e">
        <f t="shared" si="108"/>
        <v>#REF!</v>
      </c>
      <c r="AK168" s="64" t="e">
        <f t="shared" si="109"/>
        <v>#REF!</v>
      </c>
      <c r="AL168" s="64">
        <f t="shared" si="110"/>
        <v>0</v>
      </c>
      <c r="AM168" s="238">
        <f t="shared" si="111"/>
        <v>5400</v>
      </c>
      <c r="AN168" s="64">
        <f t="shared" si="112"/>
        <v>0</v>
      </c>
      <c r="AO168" s="238">
        <f t="shared" si="113"/>
        <v>50000</v>
      </c>
      <c r="AP168" s="238">
        <f t="shared" si="114"/>
        <v>0</v>
      </c>
      <c r="AQ168" s="238">
        <f t="shared" si="115"/>
        <v>0</v>
      </c>
      <c r="AS168" s="278" t="s">
        <v>406</v>
      </c>
      <c r="AT168" s="238" t="e">
        <f>VLOOKUP(#REF!, AS168:AU174, 3, FALSE)</f>
        <v>#REF!</v>
      </c>
      <c r="AU168" s="238">
        <v>0</v>
      </c>
      <c r="AV168" s="36">
        <v>0</v>
      </c>
      <c r="AW168" s="36">
        <v>0</v>
      </c>
      <c r="AX168" s="36">
        <v>600</v>
      </c>
      <c r="AY168" s="36">
        <v>2400</v>
      </c>
      <c r="AZ168" s="36">
        <v>5400</v>
      </c>
      <c r="BA168" s="36">
        <v>9900</v>
      </c>
      <c r="BB168" s="36">
        <v>20900</v>
      </c>
      <c r="BC168" s="36">
        <v>32900</v>
      </c>
      <c r="BD168" s="36">
        <v>50900</v>
      </c>
      <c r="BE168" s="36">
        <v>80900</v>
      </c>
      <c r="BF168" s="16">
        <v>10000</v>
      </c>
      <c r="BG168" s="16">
        <v>20000</v>
      </c>
      <c r="BH168" s="16">
        <v>30000</v>
      </c>
      <c r="BI168" s="16">
        <v>40000</v>
      </c>
      <c r="BJ168" s="16">
        <v>50000</v>
      </c>
      <c r="BK168" s="16">
        <v>60000</v>
      </c>
      <c r="BL168" s="16">
        <v>70000</v>
      </c>
      <c r="BM168" s="16">
        <v>80000</v>
      </c>
      <c r="BN168" s="16">
        <v>90000</v>
      </c>
      <c r="BO168" s="16">
        <v>100000</v>
      </c>
      <c r="BP168" s="36">
        <f t="shared" si="116"/>
        <v>122</v>
      </c>
      <c r="BQ168" s="16">
        <f t="shared" si="117"/>
        <v>304</v>
      </c>
      <c r="BR168" s="36">
        <f t="shared" si="118"/>
        <v>392</v>
      </c>
      <c r="BS168" s="16">
        <f t="shared" si="119"/>
        <v>526</v>
      </c>
      <c r="BT168" s="36">
        <f t="shared" si="120"/>
        <v>729</v>
      </c>
      <c r="BV168" s="153">
        <f t="shared" si="121"/>
        <v>121.35</v>
      </c>
      <c r="BW168" s="153">
        <f t="shared" si="122"/>
        <v>303.375</v>
      </c>
      <c r="BX168" s="153">
        <f t="shared" si="123"/>
        <v>391.01663970000004</v>
      </c>
      <c r="BY168" s="153">
        <f t="shared" si="124"/>
        <v>525.85</v>
      </c>
      <c r="BZ168" s="153">
        <f t="shared" si="125"/>
        <v>728.1</v>
      </c>
      <c r="CF168" s="95"/>
      <c r="CG168" s="95"/>
      <c r="CH168" s="64"/>
      <c r="CJ168" s="64"/>
      <c r="CK168" s="64"/>
      <c r="CL168" s="64"/>
      <c r="CN168" s="64"/>
      <c r="CO168" s="64"/>
      <c r="DF168" s="263" t="s">
        <v>412</v>
      </c>
      <c r="DG168" s="238">
        <f t="shared" si="131"/>
        <v>0</v>
      </c>
      <c r="DH168" s="238">
        <f t="shared" si="132"/>
        <v>0</v>
      </c>
      <c r="DI168" s="238">
        <f t="shared" si="133"/>
        <v>8</v>
      </c>
      <c r="DJ168" s="64">
        <v>3000</v>
      </c>
      <c r="DK168" s="64">
        <v>0</v>
      </c>
      <c r="DL168" s="64">
        <v>0</v>
      </c>
      <c r="DM168" s="64">
        <f t="shared" si="128"/>
        <v>0</v>
      </c>
      <c r="DN168" s="64">
        <f t="shared" si="129"/>
        <v>0</v>
      </c>
      <c r="DO168" s="64">
        <f t="shared" si="130"/>
        <v>0</v>
      </c>
      <c r="DP168" s="263" t="s">
        <v>584</v>
      </c>
      <c r="DQ168" s="238">
        <f>$DQ$166</f>
        <v>0</v>
      </c>
      <c r="DR168" s="238">
        <f>DR167+1</f>
        <v>2</v>
      </c>
      <c r="DS168" s="64">
        <v>18000</v>
      </c>
      <c r="DT168" s="64">
        <v>0</v>
      </c>
      <c r="DU168" s="64">
        <v>0</v>
      </c>
      <c r="DV168" s="64">
        <f t="shared" si="136"/>
        <v>0</v>
      </c>
      <c r="DW168" s="64">
        <f t="shared" si="136"/>
        <v>0</v>
      </c>
      <c r="DX168" s="64">
        <f t="shared" si="136"/>
        <v>0</v>
      </c>
    </row>
    <row r="169" spans="30:132" ht="17.25" customHeight="1">
      <c r="AD169" s="64"/>
      <c r="AE169" s="238">
        <v>10</v>
      </c>
      <c r="AF169" s="238">
        <f t="shared" ref="AF169:AH174" si="137">AF$168</f>
        <v>0</v>
      </c>
      <c r="AG169" s="238">
        <f t="shared" si="137"/>
        <v>0</v>
      </c>
      <c r="AH169" s="238">
        <f t="shared" si="137"/>
        <v>5</v>
      </c>
      <c r="AI169" s="64" t="e">
        <f t="shared" si="107"/>
        <v>#REF!</v>
      </c>
      <c r="AJ169" s="64" t="e">
        <f t="shared" si="108"/>
        <v>#REF!</v>
      </c>
      <c r="AK169" s="64" t="e">
        <f t="shared" si="109"/>
        <v>#REF!</v>
      </c>
      <c r="AL169" s="64">
        <f t="shared" si="110"/>
        <v>0</v>
      </c>
      <c r="AM169" s="238">
        <f t="shared" si="111"/>
        <v>5400</v>
      </c>
      <c r="AN169" s="64">
        <f t="shared" si="112"/>
        <v>0</v>
      </c>
      <c r="AO169" s="238">
        <f t="shared" si="113"/>
        <v>50000</v>
      </c>
      <c r="AP169" s="238">
        <f t="shared" si="114"/>
        <v>0</v>
      </c>
      <c r="AQ169" s="238">
        <f t="shared" si="115"/>
        <v>0</v>
      </c>
      <c r="AS169" s="278" t="s">
        <v>411</v>
      </c>
      <c r="AT169" s="238" t="e">
        <f t="shared" ref="AT169:AT174" si="138">$AT$168</f>
        <v>#REF!</v>
      </c>
      <c r="AU169" s="238">
        <f t="shared" ref="AU169:AU174" si="139">AU168+1</f>
        <v>1</v>
      </c>
      <c r="AV169" s="36">
        <v>0</v>
      </c>
      <c r="AW169" s="36">
        <v>0</v>
      </c>
      <c r="AX169" s="36">
        <v>600</v>
      </c>
      <c r="AY169" s="36">
        <v>2400</v>
      </c>
      <c r="AZ169" s="36">
        <v>5400</v>
      </c>
      <c r="BA169" s="36">
        <v>9900</v>
      </c>
      <c r="BB169" s="36">
        <v>20900</v>
      </c>
      <c r="BC169" s="36">
        <v>32900</v>
      </c>
      <c r="BD169" s="36">
        <v>50900</v>
      </c>
      <c r="BE169" s="36">
        <v>80900</v>
      </c>
      <c r="BF169" s="16">
        <v>10000</v>
      </c>
      <c r="BG169" s="16">
        <v>20000</v>
      </c>
      <c r="BH169" s="16">
        <v>30000</v>
      </c>
      <c r="BI169" s="16">
        <v>40000</v>
      </c>
      <c r="BJ169" s="16">
        <v>50000</v>
      </c>
      <c r="BK169" s="16">
        <v>60000</v>
      </c>
      <c r="BL169" s="16">
        <v>70000</v>
      </c>
      <c r="BM169" s="16">
        <v>80000</v>
      </c>
      <c r="BN169" s="16">
        <v>90000</v>
      </c>
      <c r="BO169" s="16">
        <v>100000</v>
      </c>
      <c r="BP169" s="36">
        <f t="shared" si="116"/>
        <v>122</v>
      </c>
      <c r="BQ169" s="16">
        <f t="shared" si="117"/>
        <v>304</v>
      </c>
      <c r="BR169" s="36">
        <f t="shared" si="118"/>
        <v>392</v>
      </c>
      <c r="BS169" s="16">
        <f t="shared" si="119"/>
        <v>526</v>
      </c>
      <c r="BT169" s="36">
        <f t="shared" si="120"/>
        <v>729</v>
      </c>
      <c r="BV169" s="153">
        <f t="shared" si="121"/>
        <v>121.35</v>
      </c>
      <c r="BW169" s="153">
        <f t="shared" si="122"/>
        <v>303.375</v>
      </c>
      <c r="BX169" s="153">
        <f t="shared" si="123"/>
        <v>391.01663970000004</v>
      </c>
      <c r="BY169" s="153">
        <f t="shared" si="124"/>
        <v>525.85</v>
      </c>
      <c r="BZ169" s="153">
        <f t="shared" si="125"/>
        <v>728.1</v>
      </c>
      <c r="CB169" s="262"/>
      <c r="CC169" s="256"/>
      <c r="CF169" s="236"/>
      <c r="CG169" s="236"/>
      <c r="DF169" s="263" t="s">
        <v>416</v>
      </c>
      <c r="DG169" s="238">
        <f t="shared" si="131"/>
        <v>0</v>
      </c>
      <c r="DH169" s="238">
        <f t="shared" si="132"/>
        <v>0</v>
      </c>
      <c r="DI169" s="238">
        <f t="shared" si="133"/>
        <v>9</v>
      </c>
      <c r="DJ169" s="64">
        <v>22000</v>
      </c>
      <c r="DK169" s="64">
        <v>0</v>
      </c>
      <c r="DL169" s="64">
        <v>0</v>
      </c>
      <c r="DM169" s="64">
        <f t="shared" si="128"/>
        <v>0</v>
      </c>
      <c r="DN169" s="64">
        <f t="shared" si="129"/>
        <v>0</v>
      </c>
      <c r="DO169" s="64">
        <f t="shared" si="130"/>
        <v>0</v>
      </c>
      <c r="DP169" s="263"/>
      <c r="DQ169" s="152"/>
      <c r="DR169" s="152"/>
      <c r="DS169" s="152"/>
      <c r="DT169" s="152"/>
      <c r="DU169" s="64"/>
      <c r="DV169" s="64"/>
      <c r="DW169" s="64"/>
      <c r="DX169" s="64"/>
    </row>
    <row r="170" spans="30:132" ht="17.25" customHeight="1">
      <c r="AD170" s="64"/>
      <c r="AE170" s="238">
        <v>11</v>
      </c>
      <c r="AF170" s="238">
        <f t="shared" si="137"/>
        <v>0</v>
      </c>
      <c r="AG170" s="238">
        <f t="shared" si="137"/>
        <v>0</v>
      </c>
      <c r="AH170" s="238">
        <f t="shared" si="137"/>
        <v>5</v>
      </c>
      <c r="AI170" s="64" t="e">
        <f t="shared" si="107"/>
        <v>#REF!</v>
      </c>
      <c r="AJ170" s="64" t="e">
        <f t="shared" si="108"/>
        <v>#REF!</v>
      </c>
      <c r="AK170" s="64" t="e">
        <f t="shared" si="109"/>
        <v>#REF!</v>
      </c>
      <c r="AL170" s="64">
        <f t="shared" si="110"/>
        <v>0</v>
      </c>
      <c r="AM170" s="238">
        <f t="shared" si="111"/>
        <v>8200</v>
      </c>
      <c r="AN170" s="64">
        <f t="shared" si="112"/>
        <v>0</v>
      </c>
      <c r="AO170" s="238">
        <f t="shared" si="113"/>
        <v>75000</v>
      </c>
      <c r="AP170" s="238">
        <f t="shared" si="114"/>
        <v>0</v>
      </c>
      <c r="AQ170" s="238">
        <f t="shared" si="115"/>
        <v>0</v>
      </c>
      <c r="AS170" s="278" t="s">
        <v>415</v>
      </c>
      <c r="AT170" s="238" t="e">
        <f t="shared" si="138"/>
        <v>#REF!</v>
      </c>
      <c r="AU170" s="238">
        <f t="shared" si="139"/>
        <v>2</v>
      </c>
      <c r="AV170" s="36">
        <v>0</v>
      </c>
      <c r="AW170" s="36">
        <v>0</v>
      </c>
      <c r="AX170" s="36">
        <v>1400</v>
      </c>
      <c r="AY170" s="36">
        <v>3700</v>
      </c>
      <c r="AZ170" s="36">
        <v>8200</v>
      </c>
      <c r="BA170" s="36">
        <v>15000</v>
      </c>
      <c r="BB170" s="36">
        <v>26000</v>
      </c>
      <c r="BC170" s="36">
        <v>44000</v>
      </c>
      <c r="BD170" s="36">
        <v>71000</v>
      </c>
      <c r="BE170" s="36">
        <v>116000</v>
      </c>
      <c r="BF170" s="16">
        <v>15000</v>
      </c>
      <c r="BG170" s="16">
        <v>30000</v>
      </c>
      <c r="BH170" s="16">
        <v>45000</v>
      </c>
      <c r="BI170" s="16">
        <v>60000</v>
      </c>
      <c r="BJ170" s="16">
        <v>75000</v>
      </c>
      <c r="BK170" s="16">
        <v>90000</v>
      </c>
      <c r="BL170" s="16">
        <v>105000</v>
      </c>
      <c r="BM170" s="16">
        <v>120000</v>
      </c>
      <c r="BN170" s="16">
        <v>135000</v>
      </c>
      <c r="BO170" s="16">
        <v>150000</v>
      </c>
      <c r="BP170" s="36">
        <f t="shared" si="116"/>
        <v>174</v>
      </c>
      <c r="BQ170" s="16">
        <f t="shared" si="117"/>
        <v>435</v>
      </c>
      <c r="BR170" s="36">
        <f t="shared" si="118"/>
        <v>561</v>
      </c>
      <c r="BS170" s="16">
        <f t="shared" si="119"/>
        <v>754</v>
      </c>
      <c r="BT170" s="36">
        <f t="shared" si="120"/>
        <v>1044</v>
      </c>
      <c r="BV170" s="153">
        <f t="shared" si="121"/>
        <v>174</v>
      </c>
      <c r="BW170" s="153">
        <f t="shared" si="122"/>
        <v>435</v>
      </c>
      <c r="BX170" s="153">
        <f t="shared" si="123"/>
        <v>560.66662799999995</v>
      </c>
      <c r="BY170" s="153">
        <f t="shared" si="124"/>
        <v>754</v>
      </c>
      <c r="BZ170" s="153">
        <f t="shared" si="125"/>
        <v>1044</v>
      </c>
      <c r="CH170" s="64"/>
      <c r="CL170" s="64"/>
      <c r="CN170" s="64"/>
      <c r="CO170" s="64"/>
      <c r="DF170" s="263" t="s">
        <v>419</v>
      </c>
      <c r="DG170" s="238">
        <f t="shared" si="131"/>
        <v>0</v>
      </c>
      <c r="DH170" s="238">
        <f t="shared" si="132"/>
        <v>0</v>
      </c>
      <c r="DI170" s="238">
        <f t="shared" si="133"/>
        <v>10</v>
      </c>
      <c r="DJ170" s="64">
        <v>3000</v>
      </c>
      <c r="DK170" s="64">
        <v>0</v>
      </c>
      <c r="DL170" s="64">
        <v>0</v>
      </c>
      <c r="DM170" s="64">
        <f t="shared" si="128"/>
        <v>0</v>
      </c>
      <c r="DN170" s="64">
        <f t="shared" si="129"/>
        <v>0</v>
      </c>
      <c r="DO170" s="64">
        <f t="shared" si="130"/>
        <v>0</v>
      </c>
    </row>
    <row r="171" spans="30:132" ht="17.25" customHeight="1">
      <c r="AD171" s="64"/>
      <c r="AE171" s="238">
        <v>12</v>
      </c>
      <c r="AF171" s="238">
        <f t="shared" si="137"/>
        <v>0</v>
      </c>
      <c r="AG171" s="238">
        <f t="shared" si="137"/>
        <v>0</v>
      </c>
      <c r="AH171" s="238">
        <f t="shared" si="137"/>
        <v>5</v>
      </c>
      <c r="AI171" s="64" t="e">
        <f t="shared" si="107"/>
        <v>#REF!</v>
      </c>
      <c r="AJ171" s="64" t="e">
        <f t="shared" si="108"/>
        <v>#REF!</v>
      </c>
      <c r="AK171" s="64" t="e">
        <f t="shared" si="109"/>
        <v>#REF!</v>
      </c>
      <c r="AL171" s="64">
        <f t="shared" si="110"/>
        <v>0</v>
      </c>
      <c r="AM171" s="238">
        <f t="shared" si="111"/>
        <v>8200</v>
      </c>
      <c r="AN171" s="64">
        <f t="shared" si="112"/>
        <v>0</v>
      </c>
      <c r="AO171" s="238">
        <f t="shared" si="113"/>
        <v>75000</v>
      </c>
      <c r="AP171" s="238">
        <f t="shared" si="114"/>
        <v>0</v>
      </c>
      <c r="AQ171" s="238">
        <f t="shared" si="115"/>
        <v>0</v>
      </c>
      <c r="AS171" s="278" t="s">
        <v>392</v>
      </c>
      <c r="AT171" s="238" t="e">
        <f t="shared" si="138"/>
        <v>#REF!</v>
      </c>
      <c r="AU171" s="238">
        <f t="shared" si="139"/>
        <v>3</v>
      </c>
      <c r="AV171" s="36">
        <v>0</v>
      </c>
      <c r="AW171" s="36">
        <v>0</v>
      </c>
      <c r="AX171" s="36">
        <v>1400</v>
      </c>
      <c r="AY171" s="36">
        <v>3700</v>
      </c>
      <c r="AZ171" s="36">
        <v>8200</v>
      </c>
      <c r="BA171" s="36">
        <v>15000</v>
      </c>
      <c r="BB171" s="36">
        <v>26000</v>
      </c>
      <c r="BC171" s="36">
        <v>44000</v>
      </c>
      <c r="BD171" s="36">
        <v>71000</v>
      </c>
      <c r="BE171" s="36">
        <v>116000</v>
      </c>
      <c r="BF171" s="16">
        <v>15000</v>
      </c>
      <c r="BG171" s="16">
        <v>30000</v>
      </c>
      <c r="BH171" s="16">
        <v>45000</v>
      </c>
      <c r="BI171" s="16">
        <v>60000</v>
      </c>
      <c r="BJ171" s="16">
        <v>75000</v>
      </c>
      <c r="BK171" s="16">
        <v>90000</v>
      </c>
      <c r="BL171" s="16">
        <v>105000</v>
      </c>
      <c r="BM171" s="16">
        <v>120000</v>
      </c>
      <c r="BN171" s="16">
        <v>135000</v>
      </c>
      <c r="BO171" s="16">
        <v>150000</v>
      </c>
      <c r="BP171" s="36">
        <f t="shared" si="116"/>
        <v>174</v>
      </c>
      <c r="BQ171" s="16">
        <f t="shared" si="117"/>
        <v>435</v>
      </c>
      <c r="BR171" s="36">
        <f t="shared" si="118"/>
        <v>561</v>
      </c>
      <c r="BS171" s="16">
        <f t="shared" si="119"/>
        <v>754</v>
      </c>
      <c r="BT171" s="36">
        <f t="shared" si="120"/>
        <v>1044</v>
      </c>
      <c r="BV171" s="153">
        <f t="shared" si="121"/>
        <v>174</v>
      </c>
      <c r="BW171" s="153">
        <f t="shared" si="122"/>
        <v>435</v>
      </c>
      <c r="BX171" s="153">
        <f t="shared" si="123"/>
        <v>560.66662799999995</v>
      </c>
      <c r="BY171" s="153">
        <f t="shared" si="124"/>
        <v>754</v>
      </c>
      <c r="BZ171" s="153">
        <f t="shared" si="125"/>
        <v>1044</v>
      </c>
      <c r="CF171" s="95"/>
      <c r="CG171" s="95"/>
      <c r="CH171" s="64"/>
      <c r="CJ171" s="64"/>
      <c r="CK171" s="64"/>
      <c r="CL171" s="64"/>
      <c r="CN171" s="64"/>
      <c r="CO171" s="64"/>
      <c r="DF171" s="263" t="s">
        <v>423</v>
      </c>
      <c r="DG171" s="238">
        <f t="shared" si="131"/>
        <v>0</v>
      </c>
      <c r="DH171" s="238">
        <f t="shared" si="132"/>
        <v>0</v>
      </c>
      <c r="DI171" s="238">
        <f t="shared" si="133"/>
        <v>11</v>
      </c>
      <c r="DJ171" s="64">
        <v>15000</v>
      </c>
      <c r="DK171" s="64">
        <v>0</v>
      </c>
      <c r="DL171" s="64">
        <v>0</v>
      </c>
      <c r="DM171" s="64">
        <f t="shared" si="128"/>
        <v>0</v>
      </c>
      <c r="DN171" s="64">
        <f t="shared" si="129"/>
        <v>0</v>
      </c>
      <c r="DO171" s="64">
        <f t="shared" si="130"/>
        <v>0</v>
      </c>
    </row>
    <row r="172" spans="30:132" ht="17.25" customHeight="1">
      <c r="AD172" s="64"/>
      <c r="AE172" s="238">
        <v>13</v>
      </c>
      <c r="AF172" s="238">
        <f t="shared" si="137"/>
        <v>0</v>
      </c>
      <c r="AG172" s="238">
        <f t="shared" si="137"/>
        <v>0</v>
      </c>
      <c r="AH172" s="238">
        <f t="shared" si="137"/>
        <v>5</v>
      </c>
      <c r="AI172" s="64" t="e">
        <f t="shared" si="107"/>
        <v>#REF!</v>
      </c>
      <c r="AJ172" s="64" t="e">
        <f t="shared" si="108"/>
        <v>#REF!</v>
      </c>
      <c r="AK172" s="64" t="e">
        <f t="shared" si="109"/>
        <v>#REF!</v>
      </c>
      <c r="AL172" s="64">
        <f t="shared" si="110"/>
        <v>0</v>
      </c>
      <c r="AM172" s="238">
        <f t="shared" si="111"/>
        <v>5700</v>
      </c>
      <c r="AN172" s="64">
        <f t="shared" si="112"/>
        <v>0</v>
      </c>
      <c r="AO172" s="238">
        <f t="shared" si="113"/>
        <v>50000</v>
      </c>
      <c r="AP172" s="238">
        <f t="shared" si="114"/>
        <v>0</v>
      </c>
      <c r="AQ172" s="238">
        <f t="shared" si="115"/>
        <v>0</v>
      </c>
      <c r="AS172" s="278" t="s">
        <v>422</v>
      </c>
      <c r="AT172" s="238" t="e">
        <f t="shared" si="138"/>
        <v>#REF!</v>
      </c>
      <c r="AU172" s="238">
        <f t="shared" si="139"/>
        <v>4</v>
      </c>
      <c r="AV172" s="36">
        <v>0</v>
      </c>
      <c r="AW172" s="36">
        <v>0</v>
      </c>
      <c r="AX172" s="36">
        <v>900</v>
      </c>
      <c r="AY172" s="36">
        <v>2700</v>
      </c>
      <c r="AZ172" s="36">
        <v>5700</v>
      </c>
      <c r="BA172" s="36">
        <v>10200</v>
      </c>
      <c r="BB172" s="36">
        <v>17700</v>
      </c>
      <c r="BC172" s="36">
        <v>29700</v>
      </c>
      <c r="BD172" s="36">
        <v>47700</v>
      </c>
      <c r="BE172" s="36">
        <v>77700</v>
      </c>
      <c r="BF172" s="16">
        <v>10000</v>
      </c>
      <c r="BG172" s="16">
        <v>20000</v>
      </c>
      <c r="BH172" s="16">
        <v>30000</v>
      </c>
      <c r="BI172" s="16">
        <v>40000</v>
      </c>
      <c r="BJ172" s="16">
        <v>50000</v>
      </c>
      <c r="BK172" s="16">
        <v>60000</v>
      </c>
      <c r="BL172" s="16">
        <v>70000</v>
      </c>
      <c r="BM172" s="16">
        <v>80000</v>
      </c>
      <c r="BN172" s="16">
        <v>90000</v>
      </c>
      <c r="BO172" s="16">
        <v>100000</v>
      </c>
      <c r="BP172" s="36">
        <f t="shared" si="116"/>
        <v>117</v>
      </c>
      <c r="BQ172" s="16">
        <f t="shared" si="117"/>
        <v>292</v>
      </c>
      <c r="BR172" s="36">
        <f t="shared" si="118"/>
        <v>376</v>
      </c>
      <c r="BS172" s="16">
        <f t="shared" si="119"/>
        <v>506</v>
      </c>
      <c r="BT172" s="36">
        <f t="shared" si="120"/>
        <v>700</v>
      </c>
      <c r="BV172" s="153">
        <f t="shared" si="121"/>
        <v>116.55</v>
      </c>
      <c r="BW172" s="153">
        <f t="shared" si="122"/>
        <v>291.375</v>
      </c>
      <c r="BX172" s="153">
        <f t="shared" si="123"/>
        <v>375.54997410000004</v>
      </c>
      <c r="BY172" s="153">
        <f t="shared" si="124"/>
        <v>505.05</v>
      </c>
      <c r="BZ172" s="153">
        <f t="shared" si="125"/>
        <v>699.3</v>
      </c>
      <c r="CF172" s="95"/>
      <c r="CG172" s="95"/>
      <c r="CH172" s="64"/>
      <c r="CJ172" s="64"/>
      <c r="CK172" s="64"/>
      <c r="CL172" s="64"/>
      <c r="CN172" s="64"/>
      <c r="CO172" s="64"/>
      <c r="DF172" s="263" t="s">
        <v>427</v>
      </c>
      <c r="DG172" s="238">
        <f t="shared" si="131"/>
        <v>0</v>
      </c>
      <c r="DH172" s="238">
        <f t="shared" si="132"/>
        <v>0</v>
      </c>
      <c r="DI172" s="238">
        <f t="shared" si="133"/>
        <v>12</v>
      </c>
      <c r="DJ172" s="64">
        <v>12000</v>
      </c>
      <c r="DK172" s="64">
        <v>0</v>
      </c>
      <c r="DL172" s="64">
        <v>0</v>
      </c>
      <c r="DM172" s="64">
        <f t="shared" si="128"/>
        <v>0</v>
      </c>
      <c r="DN172" s="64">
        <f t="shared" si="129"/>
        <v>0</v>
      </c>
      <c r="DO172" s="64">
        <f t="shared" si="130"/>
        <v>0</v>
      </c>
    </row>
    <row r="173" spans="30:132" ht="17.25" customHeight="1">
      <c r="AD173" s="64"/>
      <c r="AE173" s="238">
        <v>14</v>
      </c>
      <c r="AF173" s="238">
        <f t="shared" si="137"/>
        <v>0</v>
      </c>
      <c r="AG173" s="238">
        <f t="shared" si="137"/>
        <v>0</v>
      </c>
      <c r="AH173" s="238">
        <f t="shared" si="137"/>
        <v>5</v>
      </c>
      <c r="AI173" s="64" t="e">
        <f t="shared" si="107"/>
        <v>#REF!</v>
      </c>
      <c r="AJ173" s="64" t="e">
        <f t="shared" si="108"/>
        <v>#REF!</v>
      </c>
      <c r="AK173" s="64" t="e">
        <f t="shared" si="109"/>
        <v>#REF!</v>
      </c>
      <c r="AL173" s="64">
        <f t="shared" si="110"/>
        <v>0</v>
      </c>
      <c r="AM173" s="238">
        <f t="shared" si="111"/>
        <v>5700</v>
      </c>
      <c r="AN173" s="64">
        <f t="shared" si="112"/>
        <v>0</v>
      </c>
      <c r="AO173" s="238">
        <f t="shared" si="113"/>
        <v>50000</v>
      </c>
      <c r="AP173" s="238">
        <f t="shared" si="114"/>
        <v>0</v>
      </c>
      <c r="AQ173" s="238">
        <f t="shared" si="115"/>
        <v>0</v>
      </c>
      <c r="AS173" s="278" t="s">
        <v>426</v>
      </c>
      <c r="AT173" s="238" t="e">
        <f t="shared" si="138"/>
        <v>#REF!</v>
      </c>
      <c r="AU173" s="238">
        <f t="shared" si="139"/>
        <v>5</v>
      </c>
      <c r="AV173" s="36">
        <v>0</v>
      </c>
      <c r="AW173" s="36">
        <v>0</v>
      </c>
      <c r="AX173" s="36">
        <v>900</v>
      </c>
      <c r="AY173" s="36">
        <v>2700</v>
      </c>
      <c r="AZ173" s="36">
        <v>5700</v>
      </c>
      <c r="BA173" s="36">
        <v>10200</v>
      </c>
      <c r="BB173" s="36">
        <v>17700</v>
      </c>
      <c r="BC173" s="36">
        <v>29700</v>
      </c>
      <c r="BD173" s="36">
        <v>47700</v>
      </c>
      <c r="BE173" s="36">
        <v>77700</v>
      </c>
      <c r="BF173" s="16">
        <v>10000</v>
      </c>
      <c r="BG173" s="16">
        <v>20000</v>
      </c>
      <c r="BH173" s="16">
        <v>30000</v>
      </c>
      <c r="BI173" s="16">
        <v>40000</v>
      </c>
      <c r="BJ173" s="16">
        <v>50000</v>
      </c>
      <c r="BK173" s="16">
        <v>60000</v>
      </c>
      <c r="BL173" s="16">
        <v>70000</v>
      </c>
      <c r="BM173" s="16">
        <v>80000</v>
      </c>
      <c r="BN173" s="16">
        <v>90000</v>
      </c>
      <c r="BO173" s="16">
        <v>100000</v>
      </c>
      <c r="BP173" s="36">
        <f t="shared" si="116"/>
        <v>117</v>
      </c>
      <c r="BQ173" s="16">
        <f t="shared" si="117"/>
        <v>292</v>
      </c>
      <c r="BR173" s="36">
        <f t="shared" si="118"/>
        <v>376</v>
      </c>
      <c r="BS173" s="16">
        <f t="shared" si="119"/>
        <v>506</v>
      </c>
      <c r="BT173" s="36">
        <f t="shared" si="120"/>
        <v>700</v>
      </c>
      <c r="BV173" s="153">
        <f t="shared" si="121"/>
        <v>116.55</v>
      </c>
      <c r="BW173" s="153">
        <f t="shared" si="122"/>
        <v>291.375</v>
      </c>
      <c r="BX173" s="153">
        <f t="shared" si="123"/>
        <v>375.54997410000004</v>
      </c>
      <c r="BY173" s="153">
        <f t="shared" si="124"/>
        <v>505.05</v>
      </c>
      <c r="BZ173" s="153">
        <f t="shared" si="125"/>
        <v>699.3</v>
      </c>
      <c r="CB173" s="236"/>
      <c r="CD173" s="236"/>
      <c r="CF173" s="95"/>
      <c r="CG173" s="95"/>
      <c r="CH173" s="2462"/>
      <c r="CI173" s="2462"/>
      <c r="CJ173" s="2462"/>
      <c r="CK173" s="2462"/>
      <c r="CL173" s="64"/>
      <c r="CM173" s="64"/>
      <c r="CN173" s="64"/>
      <c r="CO173" s="64"/>
      <c r="CY173" s="236"/>
      <c r="CZ173" s="236"/>
      <c r="DA173" s="236"/>
      <c r="DF173" s="236" t="s">
        <v>430</v>
      </c>
      <c r="DG173" s="236"/>
      <c r="DH173" s="235"/>
      <c r="DI173" s="235"/>
      <c r="DJ173" s="237"/>
      <c r="DK173" s="237"/>
      <c r="DL173" s="237"/>
      <c r="DM173" s="237"/>
      <c r="DN173" s="237"/>
      <c r="DO173" s="237"/>
    </row>
    <row r="174" spans="30:132" ht="17.25" customHeight="1">
      <c r="AD174" s="64"/>
      <c r="AE174" s="238">
        <v>15</v>
      </c>
      <c r="AF174" s="238">
        <f t="shared" si="137"/>
        <v>0</v>
      </c>
      <c r="AG174" s="238">
        <f t="shared" si="137"/>
        <v>0</v>
      </c>
      <c r="AH174" s="238">
        <f t="shared" si="137"/>
        <v>5</v>
      </c>
      <c r="AI174" s="64" t="e">
        <f t="shared" si="107"/>
        <v>#REF!</v>
      </c>
      <c r="AJ174" s="64" t="e">
        <f t="shared" si="108"/>
        <v>#REF!</v>
      </c>
      <c r="AK174" s="64" t="e">
        <f t="shared" si="109"/>
        <v>#REF!</v>
      </c>
      <c r="AL174" s="64">
        <f t="shared" si="110"/>
        <v>0</v>
      </c>
      <c r="AM174" s="238">
        <f t="shared" si="111"/>
        <v>9000</v>
      </c>
      <c r="AN174" s="64">
        <f t="shared" si="112"/>
        <v>0</v>
      </c>
      <c r="AO174" s="238">
        <f t="shared" si="113"/>
        <v>100000</v>
      </c>
      <c r="AP174" s="238">
        <f t="shared" si="114"/>
        <v>0</v>
      </c>
      <c r="AQ174" s="238">
        <f t="shared" si="115"/>
        <v>0</v>
      </c>
      <c r="AS174" s="278" t="s">
        <v>429</v>
      </c>
      <c r="AT174" s="238" t="e">
        <f t="shared" si="138"/>
        <v>#REF!</v>
      </c>
      <c r="AU174" s="238">
        <f t="shared" si="139"/>
        <v>6</v>
      </c>
      <c r="AV174" s="36">
        <v>0</v>
      </c>
      <c r="AW174" s="36">
        <v>0</v>
      </c>
      <c r="AX174" s="36">
        <v>600</v>
      </c>
      <c r="AY174" s="36">
        <v>3000</v>
      </c>
      <c r="AZ174" s="36">
        <v>9000</v>
      </c>
      <c r="BA174" s="36">
        <v>18000</v>
      </c>
      <c r="BB174" s="36">
        <v>33000</v>
      </c>
      <c r="BC174" s="36">
        <v>57000</v>
      </c>
      <c r="BD174" s="36">
        <v>93000</v>
      </c>
      <c r="BE174" s="36">
        <v>153000</v>
      </c>
      <c r="BF174" s="16">
        <v>20000</v>
      </c>
      <c r="BG174" s="16">
        <v>40000</v>
      </c>
      <c r="BH174" s="16">
        <v>60000</v>
      </c>
      <c r="BI174" s="16">
        <v>80000</v>
      </c>
      <c r="BJ174" s="16">
        <v>100000</v>
      </c>
      <c r="BK174" s="16">
        <v>120000</v>
      </c>
      <c r="BL174" s="16">
        <v>140000</v>
      </c>
      <c r="BM174" s="16">
        <v>160000</v>
      </c>
      <c r="BN174" s="16">
        <v>180000</v>
      </c>
      <c r="BO174" s="16">
        <v>200000</v>
      </c>
      <c r="BP174" s="36">
        <f t="shared" si="116"/>
        <v>230</v>
      </c>
      <c r="BQ174" s="16">
        <f t="shared" si="117"/>
        <v>574</v>
      </c>
      <c r="BR174" s="36">
        <f t="shared" si="118"/>
        <v>740</v>
      </c>
      <c r="BS174" s="16">
        <f t="shared" si="119"/>
        <v>995</v>
      </c>
      <c r="BT174" s="36">
        <f t="shared" si="120"/>
        <v>1377</v>
      </c>
      <c r="BV174" s="153">
        <f t="shared" si="121"/>
        <v>229.5</v>
      </c>
      <c r="BW174" s="153">
        <f t="shared" si="122"/>
        <v>573.75</v>
      </c>
      <c r="BX174" s="153">
        <f t="shared" si="123"/>
        <v>739.49994900000002</v>
      </c>
      <c r="BY174" s="153">
        <f t="shared" si="124"/>
        <v>994.5</v>
      </c>
      <c r="BZ174" s="153">
        <f t="shared" si="125"/>
        <v>1377</v>
      </c>
      <c r="CB174" s="249"/>
      <c r="CD174" s="236"/>
      <c r="CH174" s="237"/>
      <c r="CJ174" s="237"/>
      <c r="CK174" s="237"/>
      <c r="CL174" s="237"/>
      <c r="CN174" s="237"/>
      <c r="CO174" s="237"/>
      <c r="CY174" s="237"/>
      <c r="CZ174" s="237"/>
      <c r="DA174" s="237"/>
      <c r="DF174" s="287" t="s">
        <v>433</v>
      </c>
      <c r="DG174" s="238">
        <v>0</v>
      </c>
      <c r="DH174" s="238">
        <f>VLOOKUP(X66, DF174:DI193, 4,TRUE)</f>
        <v>13</v>
      </c>
      <c r="DI174" s="238">
        <v>0</v>
      </c>
      <c r="DJ174" s="3">
        <v>0</v>
      </c>
      <c r="DK174" s="3">
        <v>0</v>
      </c>
      <c r="DL174" s="3">
        <v>0</v>
      </c>
      <c r="DM174" s="64">
        <f t="shared" ref="DM174:DM217" si="140">ROUNDUP((DJ174*$DG174),0)</f>
        <v>0</v>
      </c>
      <c r="DN174" s="64">
        <f t="shared" ref="DN174:DN217" si="141">ROUNDUP((DK174*$DG174),0)</f>
        <v>0</v>
      </c>
      <c r="DO174" s="64">
        <f t="shared" ref="DO174:DO217" si="142">ROUNDUP((DL174*$DG174),0)</f>
        <v>0</v>
      </c>
    </row>
    <row r="175" spans="30:132" ht="17.25" customHeight="1">
      <c r="AD175" s="64"/>
      <c r="AE175" s="238"/>
      <c r="AF175" s="238">
        <f>D73</f>
        <v>0</v>
      </c>
      <c r="AG175" s="238">
        <f>A58</f>
        <v>0</v>
      </c>
      <c r="AH175" s="238">
        <f>B58</f>
        <v>5</v>
      </c>
      <c r="AI175" s="64" t="e">
        <f t="shared" si="107"/>
        <v>#REF!</v>
      </c>
      <c r="AJ175" s="64" t="e">
        <f t="shared" si="108"/>
        <v>#REF!</v>
      </c>
      <c r="AK175" s="64" t="e">
        <f t="shared" si="109"/>
        <v>#REF!</v>
      </c>
      <c r="AL175" s="64">
        <f t="shared" si="110"/>
        <v>0</v>
      </c>
      <c r="AM175" s="238">
        <f t="shared" si="111"/>
        <v>3150</v>
      </c>
      <c r="AN175" s="64">
        <f t="shared" si="112"/>
        <v>0</v>
      </c>
      <c r="AO175" s="238">
        <f t="shared" si="113"/>
        <v>20000</v>
      </c>
      <c r="AP175" s="238">
        <f t="shared" si="114"/>
        <v>0</v>
      </c>
      <c r="AQ175" s="238">
        <f t="shared" si="115"/>
        <v>0</v>
      </c>
      <c r="AS175" s="286" t="s">
        <v>585</v>
      </c>
      <c r="AT175" s="238" t="e">
        <f>VLOOKUP(#REF!, AS175:AU181, 3, FALSE)</f>
        <v>#REF!</v>
      </c>
      <c r="AU175" s="238">
        <v>0</v>
      </c>
      <c r="AV175" s="36">
        <v>0</v>
      </c>
      <c r="AW175" s="36">
        <v>0</v>
      </c>
      <c r="AX175" s="36">
        <v>450</v>
      </c>
      <c r="AY175" s="36">
        <v>1350</v>
      </c>
      <c r="AZ175" s="36">
        <v>3150</v>
      </c>
      <c r="BA175" s="36">
        <v>6150</v>
      </c>
      <c r="BB175" s="36">
        <v>10650</v>
      </c>
      <c r="BC175" s="36">
        <v>18150</v>
      </c>
      <c r="BD175" s="36">
        <v>30150</v>
      </c>
      <c r="BE175" s="36">
        <v>48150</v>
      </c>
      <c r="BF175" s="16">
        <v>4000</v>
      </c>
      <c r="BG175" s="16">
        <v>8000</v>
      </c>
      <c r="BH175" s="16">
        <v>12000</v>
      </c>
      <c r="BI175" s="16">
        <v>16000</v>
      </c>
      <c r="BJ175" s="16">
        <v>20000</v>
      </c>
      <c r="BK175" s="16">
        <v>24000</v>
      </c>
      <c r="BL175" s="16">
        <v>28000</v>
      </c>
      <c r="BM175" s="16">
        <v>32000</v>
      </c>
      <c r="BN175" s="16">
        <v>36000</v>
      </c>
      <c r="BO175" s="16">
        <v>40000</v>
      </c>
      <c r="BP175" s="36">
        <f t="shared" si="116"/>
        <v>73</v>
      </c>
      <c r="BQ175" s="16">
        <f t="shared" si="117"/>
        <v>181</v>
      </c>
      <c r="BR175" s="36">
        <f t="shared" si="118"/>
        <v>233</v>
      </c>
      <c r="BS175" s="16">
        <f t="shared" si="119"/>
        <v>313</v>
      </c>
      <c r="BT175" s="36">
        <f t="shared" si="120"/>
        <v>434</v>
      </c>
      <c r="BV175" s="153">
        <f t="shared" si="121"/>
        <v>72.224999999999994</v>
      </c>
      <c r="BW175" s="153">
        <f t="shared" si="122"/>
        <v>180.5625</v>
      </c>
      <c r="BX175" s="153">
        <f t="shared" si="123"/>
        <v>232.72498395</v>
      </c>
      <c r="BY175" s="153">
        <f t="shared" si="124"/>
        <v>312.97500000000002</v>
      </c>
      <c r="BZ175" s="153">
        <f t="shared" si="125"/>
        <v>433.35</v>
      </c>
      <c r="CB175" s="262"/>
      <c r="DF175" s="287" t="s">
        <v>586</v>
      </c>
      <c r="DG175" s="238">
        <f>IF((DH175=DI175),$Z$66,0)</f>
        <v>0</v>
      </c>
      <c r="DH175" s="238">
        <f t="shared" ref="DH175:DH193" si="143">$DH$174</f>
        <v>13</v>
      </c>
      <c r="DI175" s="238">
        <f t="shared" ref="DI175:DI193" si="144">DI174+1</f>
        <v>1</v>
      </c>
      <c r="DJ175" s="3">
        <v>0</v>
      </c>
      <c r="DK175" s="3">
        <v>25</v>
      </c>
      <c r="DL175" s="3">
        <v>0</v>
      </c>
      <c r="DM175" s="64">
        <f t="shared" si="140"/>
        <v>0</v>
      </c>
      <c r="DN175" s="64">
        <f t="shared" si="141"/>
        <v>0</v>
      </c>
      <c r="DO175" s="64">
        <f t="shared" si="142"/>
        <v>0</v>
      </c>
    </row>
    <row r="176" spans="30:132" ht="17.25" customHeight="1">
      <c r="AD176" s="64"/>
      <c r="AE176" s="238"/>
      <c r="AF176" s="238">
        <f t="shared" ref="AF176:AH181" si="145">AF$175</f>
        <v>0</v>
      </c>
      <c r="AG176" s="238">
        <f t="shared" si="145"/>
        <v>0</v>
      </c>
      <c r="AH176" s="238">
        <f t="shared" si="145"/>
        <v>5</v>
      </c>
      <c r="AI176" s="64" t="e">
        <f t="shared" si="107"/>
        <v>#REF!</v>
      </c>
      <c r="AJ176" s="64" t="e">
        <f t="shared" si="108"/>
        <v>#REF!</v>
      </c>
      <c r="AK176" s="64" t="e">
        <f t="shared" si="109"/>
        <v>#REF!</v>
      </c>
      <c r="AL176" s="64">
        <f t="shared" si="110"/>
        <v>0</v>
      </c>
      <c r="AM176" s="238">
        <f t="shared" si="111"/>
        <v>2550</v>
      </c>
      <c r="AN176" s="64">
        <f t="shared" si="112"/>
        <v>0</v>
      </c>
      <c r="AO176" s="238">
        <f t="shared" si="113"/>
        <v>22500</v>
      </c>
      <c r="AP176" s="238">
        <f t="shared" si="114"/>
        <v>0</v>
      </c>
      <c r="AQ176" s="238">
        <f t="shared" si="115"/>
        <v>0</v>
      </c>
      <c r="AS176" s="286" t="s">
        <v>507</v>
      </c>
      <c r="AT176" s="238" t="e">
        <f t="shared" ref="AT176:AT181" si="146">$AT$175</f>
        <v>#REF!</v>
      </c>
      <c r="AU176" s="238">
        <f t="shared" ref="AU176:AU181" si="147">AU175+1</f>
        <v>1</v>
      </c>
      <c r="AV176" s="36">
        <v>0</v>
      </c>
      <c r="AW176" s="36">
        <v>0</v>
      </c>
      <c r="AX176" s="36">
        <v>170</v>
      </c>
      <c r="AY176" s="36">
        <v>850</v>
      </c>
      <c r="AZ176" s="36">
        <v>2550</v>
      </c>
      <c r="BA176" s="36">
        <v>5050</v>
      </c>
      <c r="BB176" s="36">
        <v>9250</v>
      </c>
      <c r="BC176" s="36">
        <v>16050</v>
      </c>
      <c r="BD176" s="36">
        <v>26050</v>
      </c>
      <c r="BE176" s="36">
        <v>43050</v>
      </c>
      <c r="BF176" s="16">
        <v>4500</v>
      </c>
      <c r="BG176" s="16">
        <v>9000</v>
      </c>
      <c r="BH176" s="16">
        <v>13500</v>
      </c>
      <c r="BI176" s="16">
        <v>18000</v>
      </c>
      <c r="BJ176" s="16">
        <v>22500</v>
      </c>
      <c r="BK176" s="16">
        <v>27000</v>
      </c>
      <c r="BL176" s="16">
        <v>31500</v>
      </c>
      <c r="BM176" s="16">
        <v>36000</v>
      </c>
      <c r="BN176" s="16">
        <v>40500</v>
      </c>
      <c r="BO176" s="16">
        <v>45000</v>
      </c>
      <c r="BP176" s="36">
        <f t="shared" si="116"/>
        <v>65</v>
      </c>
      <c r="BQ176" s="16">
        <f t="shared" si="117"/>
        <v>162</v>
      </c>
      <c r="BR176" s="36">
        <f t="shared" si="118"/>
        <v>209</v>
      </c>
      <c r="BS176" s="16">
        <f t="shared" si="119"/>
        <v>280</v>
      </c>
      <c r="BT176" s="36">
        <f t="shared" si="120"/>
        <v>388</v>
      </c>
      <c r="BV176" s="153">
        <f t="shared" si="121"/>
        <v>64.575000000000003</v>
      </c>
      <c r="BW176" s="153">
        <f t="shared" si="122"/>
        <v>161.4375</v>
      </c>
      <c r="BX176" s="153">
        <f t="shared" si="123"/>
        <v>208.07498565000003</v>
      </c>
      <c r="BY176" s="153">
        <f t="shared" si="124"/>
        <v>279.82499999999999</v>
      </c>
      <c r="BZ176" s="153">
        <f t="shared" si="125"/>
        <v>387.45</v>
      </c>
      <c r="CE176" s="236"/>
      <c r="CF176" s="236"/>
      <c r="CG176" s="236"/>
      <c r="CH176" s="64"/>
      <c r="CJ176" s="64"/>
      <c r="CK176" s="64"/>
      <c r="CL176" s="64"/>
      <c r="CN176" s="64"/>
      <c r="CO176" s="64"/>
      <c r="DF176" s="287" t="s">
        <v>439</v>
      </c>
      <c r="DG176" s="238">
        <f t="shared" ref="DG176:DG193" si="148">IF((DH176=DI176),$Z$66,0)</f>
        <v>0</v>
      </c>
      <c r="DH176" s="238">
        <f t="shared" si="143"/>
        <v>13</v>
      </c>
      <c r="DI176" s="238">
        <f t="shared" si="144"/>
        <v>2</v>
      </c>
      <c r="DJ176" s="3">
        <v>0</v>
      </c>
      <c r="DK176" s="3">
        <v>60</v>
      </c>
      <c r="DL176" s="3">
        <v>0</v>
      </c>
      <c r="DM176" s="64">
        <f t="shared" si="140"/>
        <v>0</v>
      </c>
      <c r="DN176" s="64">
        <f t="shared" si="141"/>
        <v>0</v>
      </c>
      <c r="DO176" s="64">
        <f t="shared" si="142"/>
        <v>0</v>
      </c>
    </row>
    <row r="177" spans="30:119" ht="17.25" customHeight="1">
      <c r="AD177" s="64"/>
      <c r="AE177" s="238"/>
      <c r="AF177" s="238">
        <f t="shared" si="145"/>
        <v>0</v>
      </c>
      <c r="AG177" s="238">
        <f t="shared" si="145"/>
        <v>0</v>
      </c>
      <c r="AH177" s="238">
        <f t="shared" si="145"/>
        <v>5</v>
      </c>
      <c r="AI177" s="64" t="e">
        <f t="shared" si="107"/>
        <v>#REF!</v>
      </c>
      <c r="AJ177" s="64" t="e">
        <f t="shared" si="108"/>
        <v>#REF!</v>
      </c>
      <c r="AK177" s="64" t="e">
        <f t="shared" si="109"/>
        <v>#REF!</v>
      </c>
      <c r="AL177" s="64">
        <f t="shared" si="110"/>
        <v>0</v>
      </c>
      <c r="AM177" s="238">
        <f t="shared" si="111"/>
        <v>13200</v>
      </c>
      <c r="AN177" s="64">
        <f t="shared" si="112"/>
        <v>0</v>
      </c>
      <c r="AO177" s="238">
        <f t="shared" si="113"/>
        <v>43000</v>
      </c>
      <c r="AP177" s="238">
        <f t="shared" si="114"/>
        <v>0</v>
      </c>
      <c r="AQ177" s="238">
        <f t="shared" si="115"/>
        <v>0</v>
      </c>
      <c r="AS177" s="286" t="s">
        <v>303</v>
      </c>
      <c r="AT177" s="238" t="e">
        <f t="shared" si="146"/>
        <v>#REF!</v>
      </c>
      <c r="AU177" s="238">
        <f t="shared" si="147"/>
        <v>2</v>
      </c>
      <c r="AV177" s="36">
        <v>7000</v>
      </c>
      <c r="AW177" s="36">
        <v>7200</v>
      </c>
      <c r="AX177" s="36">
        <v>7600</v>
      </c>
      <c r="AY177" s="36">
        <v>9200</v>
      </c>
      <c r="AZ177" s="36">
        <v>13200</v>
      </c>
      <c r="BA177" s="36">
        <v>21200</v>
      </c>
      <c r="BB177" s="36">
        <v>37200</v>
      </c>
      <c r="BC177" s="36">
        <v>71200</v>
      </c>
      <c r="BD177" s="36">
        <v>116200</v>
      </c>
      <c r="BE177" s="36">
        <v>171200</v>
      </c>
      <c r="BF177" s="16">
        <v>7000</v>
      </c>
      <c r="BG177" s="16">
        <v>16000</v>
      </c>
      <c r="BH177" s="16">
        <v>25000</v>
      </c>
      <c r="BI177" s="16">
        <v>34000</v>
      </c>
      <c r="BJ177" s="16">
        <v>43000</v>
      </c>
      <c r="BK177" s="16">
        <v>52000</v>
      </c>
      <c r="BL177" s="16">
        <v>61000</v>
      </c>
      <c r="BM177" s="16">
        <v>70000</v>
      </c>
      <c r="BN177" s="16">
        <v>79000</v>
      </c>
      <c r="BO177" s="16">
        <v>88000</v>
      </c>
      <c r="BP177" s="36">
        <f t="shared" si="116"/>
        <v>257</v>
      </c>
      <c r="BQ177" s="16">
        <f t="shared" si="117"/>
        <v>642</v>
      </c>
      <c r="BR177" s="36">
        <f t="shared" si="118"/>
        <v>828</v>
      </c>
      <c r="BS177" s="16">
        <f t="shared" si="119"/>
        <v>1113</v>
      </c>
      <c r="BT177" s="36">
        <f t="shared" si="120"/>
        <v>1541</v>
      </c>
      <c r="BV177" s="153">
        <f t="shared" si="121"/>
        <v>256.8</v>
      </c>
      <c r="BW177" s="153">
        <f t="shared" si="122"/>
        <v>642</v>
      </c>
      <c r="BX177" s="153">
        <f t="shared" si="123"/>
        <v>827.46660960000008</v>
      </c>
      <c r="BY177" s="153">
        <f t="shared" si="124"/>
        <v>1112.8</v>
      </c>
      <c r="BZ177" s="153">
        <f t="shared" si="125"/>
        <v>1540.8</v>
      </c>
      <c r="CE177" s="95"/>
      <c r="CF177" s="95"/>
      <c r="CG177" s="95"/>
      <c r="CH177" s="64"/>
      <c r="CJ177" s="64"/>
      <c r="CK177" s="64"/>
      <c r="CL177" s="64"/>
      <c r="CN177" s="64"/>
      <c r="CO177" s="64"/>
      <c r="DF177" s="287" t="s">
        <v>443</v>
      </c>
      <c r="DG177" s="238">
        <f t="shared" si="148"/>
        <v>0</v>
      </c>
      <c r="DH177" s="238">
        <f t="shared" si="143"/>
        <v>13</v>
      </c>
      <c r="DI177" s="238">
        <f t="shared" si="144"/>
        <v>3</v>
      </c>
      <c r="DJ177" s="3">
        <v>3</v>
      </c>
      <c r="DK177" s="3">
        <v>30</v>
      </c>
      <c r="DL177" s="3">
        <v>0</v>
      </c>
      <c r="DM177" s="64">
        <f t="shared" si="140"/>
        <v>0</v>
      </c>
      <c r="DN177" s="64">
        <f t="shared" si="141"/>
        <v>0</v>
      </c>
      <c r="DO177" s="64">
        <f t="shared" si="142"/>
        <v>0</v>
      </c>
    </row>
    <row r="178" spans="30:119" ht="17.25" customHeight="1">
      <c r="AD178" s="236"/>
      <c r="AE178" s="238"/>
      <c r="AF178" s="238">
        <f t="shared" si="145"/>
        <v>0</v>
      </c>
      <c r="AG178" s="238">
        <f t="shared" si="145"/>
        <v>0</v>
      </c>
      <c r="AH178" s="238">
        <f t="shared" si="145"/>
        <v>5</v>
      </c>
      <c r="AI178" s="64" t="e">
        <f t="shared" si="107"/>
        <v>#REF!</v>
      </c>
      <c r="AJ178" s="64" t="e">
        <f t="shared" si="108"/>
        <v>#REF!</v>
      </c>
      <c r="AK178" s="64" t="e">
        <f t="shared" si="109"/>
        <v>#REF!</v>
      </c>
      <c r="AL178" s="64">
        <f t="shared" si="110"/>
        <v>0</v>
      </c>
      <c r="AM178" s="238">
        <f t="shared" si="111"/>
        <v>3150</v>
      </c>
      <c r="AN178" s="64">
        <f t="shared" si="112"/>
        <v>0</v>
      </c>
      <c r="AO178" s="238">
        <f t="shared" si="113"/>
        <v>30000</v>
      </c>
      <c r="AP178" s="238">
        <f t="shared" si="114"/>
        <v>0</v>
      </c>
      <c r="AQ178" s="238">
        <f t="shared" si="115"/>
        <v>0</v>
      </c>
      <c r="AS178" s="286" t="s">
        <v>304</v>
      </c>
      <c r="AT178" s="238" t="e">
        <f t="shared" si="146"/>
        <v>#REF!</v>
      </c>
      <c r="AU178" s="238">
        <f t="shared" si="147"/>
        <v>3</v>
      </c>
      <c r="AV178" s="36">
        <v>0</v>
      </c>
      <c r="AW178" s="36">
        <v>0</v>
      </c>
      <c r="AX178" s="36">
        <v>450</v>
      </c>
      <c r="AY178" s="36">
        <v>1350</v>
      </c>
      <c r="AZ178" s="36">
        <v>3150</v>
      </c>
      <c r="BA178" s="36">
        <v>6150</v>
      </c>
      <c r="BB178" s="36">
        <v>10650</v>
      </c>
      <c r="BC178" s="36">
        <v>18150</v>
      </c>
      <c r="BD178" s="36">
        <v>30150</v>
      </c>
      <c r="BE178" s="36">
        <v>48150</v>
      </c>
      <c r="BF178" s="16">
        <v>6000</v>
      </c>
      <c r="BG178" s="16">
        <v>12000</v>
      </c>
      <c r="BH178" s="16">
        <v>18000</v>
      </c>
      <c r="BI178" s="16">
        <v>24000</v>
      </c>
      <c r="BJ178" s="16">
        <v>30000</v>
      </c>
      <c r="BK178" s="16">
        <v>36000</v>
      </c>
      <c r="BL178" s="16">
        <v>42000</v>
      </c>
      <c r="BM178" s="16">
        <v>48000</v>
      </c>
      <c r="BN178" s="16">
        <v>54000</v>
      </c>
      <c r="BO178" s="16">
        <v>60000</v>
      </c>
      <c r="BP178" s="36">
        <f t="shared" si="116"/>
        <v>73</v>
      </c>
      <c r="BQ178" s="16">
        <f t="shared" si="117"/>
        <v>181</v>
      </c>
      <c r="BR178" s="36">
        <f t="shared" si="118"/>
        <v>233</v>
      </c>
      <c r="BS178" s="16">
        <f t="shared" si="119"/>
        <v>313</v>
      </c>
      <c r="BT178" s="36">
        <f t="shared" si="120"/>
        <v>434</v>
      </c>
      <c r="BV178" s="153">
        <f t="shared" si="121"/>
        <v>72.224999999999994</v>
      </c>
      <c r="BW178" s="153">
        <f t="shared" si="122"/>
        <v>180.5625</v>
      </c>
      <c r="BX178" s="153">
        <f t="shared" si="123"/>
        <v>232.72498395</v>
      </c>
      <c r="BY178" s="153">
        <f t="shared" si="124"/>
        <v>312.97500000000002</v>
      </c>
      <c r="BZ178" s="153">
        <f t="shared" si="125"/>
        <v>433.35</v>
      </c>
      <c r="CE178" s="236"/>
      <c r="CF178" s="236"/>
      <c r="CG178" s="236"/>
      <c r="CH178" s="64"/>
      <c r="CJ178" s="64"/>
      <c r="CK178" s="64"/>
      <c r="CL178" s="64"/>
      <c r="CN178" s="64"/>
      <c r="CO178" s="64"/>
      <c r="DF178" s="287" t="s">
        <v>446</v>
      </c>
      <c r="DG178" s="238">
        <f t="shared" si="148"/>
        <v>0</v>
      </c>
      <c r="DH178" s="238">
        <f t="shared" si="143"/>
        <v>13</v>
      </c>
      <c r="DI178" s="238">
        <f t="shared" si="144"/>
        <v>4</v>
      </c>
      <c r="DJ178" s="3">
        <v>12</v>
      </c>
      <c r="DK178" s="3">
        <v>0</v>
      </c>
      <c r="DL178" s="3">
        <v>0</v>
      </c>
      <c r="DM178" s="64">
        <f t="shared" si="140"/>
        <v>0</v>
      </c>
      <c r="DN178" s="64">
        <f t="shared" si="141"/>
        <v>0</v>
      </c>
      <c r="DO178" s="64">
        <f t="shared" si="142"/>
        <v>0</v>
      </c>
    </row>
    <row r="179" spans="30:119" ht="17.25" customHeight="1">
      <c r="AD179" s="236"/>
      <c r="AE179" s="238"/>
      <c r="AF179" s="238">
        <f t="shared" si="145"/>
        <v>0</v>
      </c>
      <c r="AG179" s="238">
        <f t="shared" si="145"/>
        <v>0</v>
      </c>
      <c r="AH179" s="238">
        <f t="shared" si="145"/>
        <v>5</v>
      </c>
      <c r="AI179" s="64" t="e">
        <f t="shared" si="107"/>
        <v>#REF!</v>
      </c>
      <c r="AJ179" s="64" t="e">
        <f t="shared" si="108"/>
        <v>#REF!</v>
      </c>
      <c r="AK179" s="64" t="e">
        <f t="shared" si="109"/>
        <v>#REF!</v>
      </c>
      <c r="AL179" s="64">
        <f t="shared" si="110"/>
        <v>0</v>
      </c>
      <c r="AM179" s="238">
        <f t="shared" si="111"/>
        <v>10000</v>
      </c>
      <c r="AN179" s="64">
        <f t="shared" si="112"/>
        <v>0</v>
      </c>
      <c r="AO179" s="238">
        <f t="shared" si="113"/>
        <v>100000</v>
      </c>
      <c r="AP179" s="238">
        <f t="shared" si="114"/>
        <v>0</v>
      </c>
      <c r="AQ179" s="238">
        <f t="shared" si="115"/>
        <v>0</v>
      </c>
      <c r="AS179" s="286" t="s">
        <v>587</v>
      </c>
      <c r="AT179" s="238" t="e">
        <f t="shared" si="146"/>
        <v>#REF!</v>
      </c>
      <c r="AU179" s="238">
        <f t="shared" si="147"/>
        <v>4</v>
      </c>
      <c r="AV179" s="36">
        <v>0</v>
      </c>
      <c r="AW179" s="36">
        <v>0</v>
      </c>
      <c r="AX179" s="36">
        <v>600</v>
      </c>
      <c r="AY179" s="36">
        <v>3600</v>
      </c>
      <c r="AZ179" s="36">
        <v>10000</v>
      </c>
      <c r="BA179" s="36">
        <v>22000</v>
      </c>
      <c r="BB179" s="36">
        <v>40000</v>
      </c>
      <c r="BC179" s="36">
        <v>67000</v>
      </c>
      <c r="BD179" s="36">
        <v>103000</v>
      </c>
      <c r="BE179" s="36">
        <v>148000</v>
      </c>
      <c r="BF179" s="16">
        <v>20000</v>
      </c>
      <c r="BG179" s="16">
        <v>40000</v>
      </c>
      <c r="BH179" s="16">
        <v>60000</v>
      </c>
      <c r="BI179" s="16">
        <v>80000</v>
      </c>
      <c r="BJ179" s="16">
        <v>100000</v>
      </c>
      <c r="BK179" s="16">
        <v>120000</v>
      </c>
      <c r="BL179" s="16">
        <v>140000</v>
      </c>
      <c r="BM179" s="16">
        <v>160000</v>
      </c>
      <c r="BN179" s="16">
        <v>180000</v>
      </c>
      <c r="BO179" s="16">
        <v>200000</v>
      </c>
      <c r="BP179" s="36">
        <f t="shared" si="116"/>
        <v>222</v>
      </c>
      <c r="BQ179" s="16">
        <f t="shared" si="117"/>
        <v>555</v>
      </c>
      <c r="BR179" s="36">
        <f t="shared" si="118"/>
        <v>716</v>
      </c>
      <c r="BS179" s="16">
        <f t="shared" si="119"/>
        <v>962</v>
      </c>
      <c r="BT179" s="36">
        <f t="shared" si="120"/>
        <v>1332</v>
      </c>
      <c r="BV179" s="153">
        <f t="shared" si="121"/>
        <v>222</v>
      </c>
      <c r="BW179" s="153">
        <f t="shared" si="122"/>
        <v>555</v>
      </c>
      <c r="BX179" s="153">
        <f t="shared" si="123"/>
        <v>715.33328400000005</v>
      </c>
      <c r="BY179" s="153">
        <f t="shared" si="124"/>
        <v>962</v>
      </c>
      <c r="BZ179" s="153">
        <f t="shared" si="125"/>
        <v>1332</v>
      </c>
      <c r="CH179" s="64"/>
      <c r="CJ179" s="64"/>
      <c r="CK179" s="64"/>
      <c r="CL179" s="64"/>
      <c r="CN179" s="64"/>
      <c r="CO179" s="64"/>
      <c r="DF179" s="287" t="s">
        <v>450</v>
      </c>
      <c r="DG179" s="238">
        <f t="shared" si="148"/>
        <v>0</v>
      </c>
      <c r="DH179" s="238">
        <f t="shared" si="143"/>
        <v>13</v>
      </c>
      <c r="DI179" s="238">
        <f t="shared" si="144"/>
        <v>5</v>
      </c>
      <c r="DJ179" s="3">
        <v>0</v>
      </c>
      <c r="DK179" s="3">
        <v>60</v>
      </c>
      <c r="DL179" s="3">
        <v>0</v>
      </c>
      <c r="DM179" s="64">
        <f t="shared" si="140"/>
        <v>0</v>
      </c>
      <c r="DN179" s="64">
        <f t="shared" si="141"/>
        <v>0</v>
      </c>
      <c r="DO179" s="64">
        <f t="shared" si="142"/>
        <v>0</v>
      </c>
    </row>
    <row r="180" spans="30:119" ht="17.25" customHeight="1">
      <c r="AD180" s="64"/>
      <c r="AE180" s="238"/>
      <c r="AF180" s="238">
        <f t="shared" si="145"/>
        <v>0</v>
      </c>
      <c r="AG180" s="238">
        <f t="shared" si="145"/>
        <v>0</v>
      </c>
      <c r="AH180" s="238">
        <f t="shared" si="145"/>
        <v>5</v>
      </c>
      <c r="AI180" s="64" t="e">
        <f t="shared" si="107"/>
        <v>#REF!</v>
      </c>
      <c r="AJ180" s="64" t="e">
        <f t="shared" si="108"/>
        <v>#REF!</v>
      </c>
      <c r="AK180" s="64" t="e">
        <f t="shared" si="109"/>
        <v>#REF!</v>
      </c>
      <c r="AL180" s="64">
        <f t="shared" si="110"/>
        <v>0</v>
      </c>
      <c r="AM180" s="238">
        <f t="shared" si="111"/>
        <v>10000</v>
      </c>
      <c r="AN180" s="64">
        <f t="shared" si="112"/>
        <v>0</v>
      </c>
      <c r="AO180" s="238">
        <f t="shared" si="113"/>
        <v>100000</v>
      </c>
      <c r="AP180" s="238">
        <f t="shared" si="114"/>
        <v>0</v>
      </c>
      <c r="AQ180" s="238">
        <f t="shared" si="115"/>
        <v>0</v>
      </c>
      <c r="AS180" s="286" t="s">
        <v>305</v>
      </c>
      <c r="AT180" s="238" t="e">
        <f t="shared" si="146"/>
        <v>#REF!</v>
      </c>
      <c r="AU180" s="238">
        <f t="shared" si="147"/>
        <v>5</v>
      </c>
      <c r="AV180" s="36">
        <v>0</v>
      </c>
      <c r="AW180" s="36">
        <v>0</v>
      </c>
      <c r="AX180" s="36">
        <v>600</v>
      </c>
      <c r="AY180" s="36">
        <v>3600</v>
      </c>
      <c r="AZ180" s="36">
        <v>10000</v>
      </c>
      <c r="BA180" s="36">
        <v>22000</v>
      </c>
      <c r="BB180" s="36">
        <v>40000</v>
      </c>
      <c r="BC180" s="36">
        <v>67000</v>
      </c>
      <c r="BD180" s="36">
        <v>103000</v>
      </c>
      <c r="BE180" s="36">
        <v>148000</v>
      </c>
      <c r="BF180" s="16">
        <v>20000</v>
      </c>
      <c r="BG180" s="16">
        <v>40000</v>
      </c>
      <c r="BH180" s="16">
        <v>60000</v>
      </c>
      <c r="BI180" s="16">
        <v>80000</v>
      </c>
      <c r="BJ180" s="16">
        <v>100000</v>
      </c>
      <c r="BK180" s="16">
        <v>120000</v>
      </c>
      <c r="BL180" s="16">
        <v>140000</v>
      </c>
      <c r="BM180" s="16">
        <v>160000</v>
      </c>
      <c r="BN180" s="16">
        <v>180000</v>
      </c>
      <c r="BO180" s="16">
        <v>200000</v>
      </c>
      <c r="BP180" s="36">
        <f t="shared" si="116"/>
        <v>222</v>
      </c>
      <c r="BQ180" s="16">
        <f t="shared" si="117"/>
        <v>555</v>
      </c>
      <c r="BR180" s="36">
        <f t="shared" si="118"/>
        <v>716</v>
      </c>
      <c r="BS180" s="16">
        <f t="shared" si="119"/>
        <v>962</v>
      </c>
      <c r="BT180" s="36">
        <f t="shared" si="120"/>
        <v>1332</v>
      </c>
      <c r="BV180" s="153">
        <f t="shared" si="121"/>
        <v>222</v>
      </c>
      <c r="BW180" s="153">
        <f t="shared" si="122"/>
        <v>555</v>
      </c>
      <c r="BX180" s="153">
        <f t="shared" si="123"/>
        <v>715.33328400000005</v>
      </c>
      <c r="BY180" s="153">
        <f t="shared" si="124"/>
        <v>962</v>
      </c>
      <c r="BZ180" s="153">
        <f t="shared" si="125"/>
        <v>1332</v>
      </c>
      <c r="CH180" s="64"/>
      <c r="CJ180" s="64"/>
      <c r="CK180" s="64"/>
      <c r="CL180" s="64"/>
      <c r="CN180" s="64"/>
      <c r="CO180" s="64"/>
      <c r="DF180" s="287" t="s">
        <v>456</v>
      </c>
      <c r="DG180" s="238">
        <f t="shared" si="148"/>
        <v>0</v>
      </c>
      <c r="DH180" s="238">
        <f t="shared" si="143"/>
        <v>13</v>
      </c>
      <c r="DI180" s="238">
        <f t="shared" si="144"/>
        <v>6</v>
      </c>
      <c r="DJ180" s="3">
        <v>3</v>
      </c>
      <c r="DK180" s="3">
        <v>30</v>
      </c>
      <c r="DL180" s="3">
        <v>0</v>
      </c>
      <c r="DM180" s="64">
        <f t="shared" si="140"/>
        <v>0</v>
      </c>
      <c r="DN180" s="64">
        <f t="shared" si="141"/>
        <v>0</v>
      </c>
      <c r="DO180" s="64">
        <f t="shared" si="142"/>
        <v>0</v>
      </c>
    </row>
    <row r="181" spans="30:119" ht="17.25" customHeight="1">
      <c r="AD181" s="64"/>
      <c r="AE181" s="238"/>
      <c r="AF181" s="238">
        <f t="shared" si="145"/>
        <v>0</v>
      </c>
      <c r="AG181" s="238">
        <f t="shared" si="145"/>
        <v>0</v>
      </c>
      <c r="AH181" s="238">
        <f t="shared" si="145"/>
        <v>5</v>
      </c>
      <c r="AI181" s="64" t="e">
        <f t="shared" si="107"/>
        <v>#REF!</v>
      </c>
      <c r="AJ181" s="64" t="e">
        <f t="shared" si="108"/>
        <v>#REF!</v>
      </c>
      <c r="AK181" s="64" t="e">
        <f t="shared" si="109"/>
        <v>#REF!</v>
      </c>
      <c r="AL181" s="64">
        <f t="shared" si="110"/>
        <v>0</v>
      </c>
      <c r="AM181" s="238">
        <f t="shared" si="111"/>
        <v>3900</v>
      </c>
      <c r="AN181" s="64">
        <f t="shared" si="112"/>
        <v>0</v>
      </c>
      <c r="AO181" s="238">
        <f t="shared" si="113"/>
        <v>30000</v>
      </c>
      <c r="AP181" s="238">
        <f t="shared" si="114"/>
        <v>0</v>
      </c>
      <c r="AQ181" s="238">
        <f t="shared" si="115"/>
        <v>0</v>
      </c>
      <c r="AS181" s="286" t="s">
        <v>588</v>
      </c>
      <c r="AT181" s="238" t="e">
        <f t="shared" si="146"/>
        <v>#REF!</v>
      </c>
      <c r="AU181" s="238">
        <f t="shared" si="147"/>
        <v>6</v>
      </c>
      <c r="AV181" s="36">
        <v>0</v>
      </c>
      <c r="AW181" s="36">
        <v>0</v>
      </c>
      <c r="AX181" s="36">
        <v>600</v>
      </c>
      <c r="AY181" s="36">
        <v>1800</v>
      </c>
      <c r="AZ181" s="36">
        <v>3900</v>
      </c>
      <c r="BA181" s="36">
        <v>7500</v>
      </c>
      <c r="BB181" s="36">
        <v>13500</v>
      </c>
      <c r="BC181" s="36">
        <v>22500</v>
      </c>
      <c r="BD181" s="36">
        <v>37500</v>
      </c>
      <c r="BE181" s="36">
        <v>61500</v>
      </c>
      <c r="BF181" s="16">
        <v>6000</v>
      </c>
      <c r="BG181" s="16">
        <v>12000</v>
      </c>
      <c r="BH181" s="16">
        <v>18000</v>
      </c>
      <c r="BI181" s="16">
        <v>24000</v>
      </c>
      <c r="BJ181" s="16">
        <v>30000</v>
      </c>
      <c r="BK181" s="16">
        <v>36000</v>
      </c>
      <c r="BL181" s="16">
        <v>42000</v>
      </c>
      <c r="BM181" s="16">
        <v>48000</v>
      </c>
      <c r="BN181" s="16">
        <v>54000</v>
      </c>
      <c r="BO181" s="16">
        <v>60000</v>
      </c>
      <c r="BP181" s="36">
        <f t="shared" si="116"/>
        <v>93</v>
      </c>
      <c r="BQ181" s="16">
        <f t="shared" si="117"/>
        <v>231</v>
      </c>
      <c r="BR181" s="36">
        <f t="shared" si="118"/>
        <v>298</v>
      </c>
      <c r="BS181" s="16">
        <f t="shared" si="119"/>
        <v>400</v>
      </c>
      <c r="BT181" s="36">
        <f t="shared" si="120"/>
        <v>554</v>
      </c>
      <c r="BV181" s="153">
        <f t="shared" si="121"/>
        <v>92.25</v>
      </c>
      <c r="BW181" s="153">
        <f t="shared" si="122"/>
        <v>230.625</v>
      </c>
      <c r="BX181" s="153">
        <f t="shared" si="123"/>
        <v>297.24997949999999</v>
      </c>
      <c r="BY181" s="153">
        <f t="shared" si="124"/>
        <v>399.75</v>
      </c>
      <c r="BZ181" s="153">
        <f t="shared" si="125"/>
        <v>553.5</v>
      </c>
      <c r="CB181" s="262"/>
      <c r="CE181" s="236"/>
      <c r="CF181" s="236"/>
      <c r="CG181" s="236"/>
      <c r="DF181" s="287" t="s">
        <v>458</v>
      </c>
      <c r="DG181" s="238">
        <f t="shared" si="148"/>
        <v>0</v>
      </c>
      <c r="DH181" s="238">
        <f t="shared" si="143"/>
        <v>13</v>
      </c>
      <c r="DI181" s="238">
        <f t="shared" si="144"/>
        <v>7</v>
      </c>
      <c r="DJ181" s="3">
        <v>12</v>
      </c>
      <c r="DK181" s="3">
        <v>0</v>
      </c>
      <c r="DL181" s="3">
        <v>0</v>
      </c>
      <c r="DM181" s="64">
        <f t="shared" si="140"/>
        <v>0</v>
      </c>
      <c r="DN181" s="64">
        <f t="shared" si="141"/>
        <v>0</v>
      </c>
      <c r="DO181" s="64">
        <f t="shared" si="142"/>
        <v>0</v>
      </c>
    </row>
    <row r="182" spans="30:119" ht="17.25" customHeight="1">
      <c r="AD182" s="64"/>
      <c r="AE182" s="238"/>
      <c r="AF182" s="238">
        <f>D75</f>
        <v>0</v>
      </c>
      <c r="AG182" s="238">
        <f>A59</f>
        <v>0</v>
      </c>
      <c r="AH182" s="238">
        <f>B59</f>
        <v>15</v>
      </c>
      <c r="AI182" s="64" t="e">
        <f t="shared" si="107"/>
        <v>#REF!</v>
      </c>
      <c r="AJ182" s="64" t="e">
        <f t="shared" si="108"/>
        <v>#REF!</v>
      </c>
      <c r="AK182" s="64" t="e">
        <f t="shared" si="109"/>
        <v>#REF!</v>
      </c>
      <c r="AL182" s="64">
        <f t="shared" si="110"/>
        <v>0</v>
      </c>
      <c r="AM182" s="238">
        <f t="shared" si="111"/>
        <v>80900</v>
      </c>
      <c r="AN182" s="64">
        <f t="shared" si="112"/>
        <v>0</v>
      </c>
      <c r="AO182" s="238">
        <f t="shared" si="113"/>
        <v>100000</v>
      </c>
      <c r="AP182" s="238">
        <f t="shared" si="114"/>
        <v>0</v>
      </c>
      <c r="AQ182" s="238">
        <f t="shared" si="115"/>
        <v>729</v>
      </c>
      <c r="AS182" s="269" t="s">
        <v>409</v>
      </c>
      <c r="AT182" s="238" t="e">
        <f>VLOOKUP(#REF!, AS182:AU185, 3, FALSE)</f>
        <v>#REF!</v>
      </c>
      <c r="AU182" s="238">
        <v>0</v>
      </c>
      <c r="AV182" s="36">
        <v>0</v>
      </c>
      <c r="AW182" s="36">
        <v>0</v>
      </c>
      <c r="AX182" s="36">
        <v>600</v>
      </c>
      <c r="AY182" s="36">
        <v>2400</v>
      </c>
      <c r="AZ182" s="36">
        <v>5400</v>
      </c>
      <c r="BA182" s="36">
        <v>9900</v>
      </c>
      <c r="BB182" s="36">
        <v>20900</v>
      </c>
      <c r="BC182" s="36">
        <v>32900</v>
      </c>
      <c r="BD182" s="36">
        <v>50900</v>
      </c>
      <c r="BE182" s="36">
        <v>80900</v>
      </c>
      <c r="BF182" s="16">
        <v>10000</v>
      </c>
      <c r="BG182" s="16">
        <v>20000</v>
      </c>
      <c r="BH182" s="16">
        <v>30000</v>
      </c>
      <c r="BI182" s="16">
        <v>40000</v>
      </c>
      <c r="BJ182" s="16">
        <v>50000</v>
      </c>
      <c r="BK182" s="16">
        <v>60000</v>
      </c>
      <c r="BL182" s="16">
        <v>70000</v>
      </c>
      <c r="BM182" s="16">
        <v>80000</v>
      </c>
      <c r="BN182" s="16">
        <v>90000</v>
      </c>
      <c r="BO182" s="16">
        <v>100000</v>
      </c>
      <c r="BP182" s="36">
        <f t="shared" si="116"/>
        <v>122</v>
      </c>
      <c r="BQ182" s="16">
        <f t="shared" si="117"/>
        <v>304</v>
      </c>
      <c r="BR182" s="36">
        <f t="shared" si="118"/>
        <v>392</v>
      </c>
      <c r="BS182" s="16">
        <f t="shared" si="119"/>
        <v>526</v>
      </c>
      <c r="BT182" s="36">
        <f t="shared" si="120"/>
        <v>729</v>
      </c>
      <c r="BV182" s="153">
        <f t="shared" si="121"/>
        <v>121.35</v>
      </c>
      <c r="BW182" s="153">
        <f t="shared" si="122"/>
        <v>303.375</v>
      </c>
      <c r="BX182" s="153">
        <f t="shared" si="123"/>
        <v>391.01663970000004</v>
      </c>
      <c r="BY182" s="153">
        <f t="shared" si="124"/>
        <v>525.85</v>
      </c>
      <c r="BZ182" s="153">
        <f t="shared" si="125"/>
        <v>728.1</v>
      </c>
      <c r="CH182" s="64"/>
      <c r="CJ182" s="64"/>
      <c r="CK182" s="64"/>
      <c r="CL182" s="64"/>
      <c r="CN182" s="64"/>
      <c r="CO182" s="64"/>
      <c r="DF182" s="287" t="s">
        <v>359</v>
      </c>
      <c r="DG182" s="238">
        <f t="shared" si="148"/>
        <v>0</v>
      </c>
      <c r="DH182" s="238">
        <f t="shared" si="143"/>
        <v>13</v>
      </c>
      <c r="DI182" s="238">
        <f t="shared" si="144"/>
        <v>8</v>
      </c>
      <c r="DJ182" s="3">
        <v>0</v>
      </c>
      <c r="DK182" s="3">
        <v>60</v>
      </c>
      <c r="DL182" s="3">
        <v>0</v>
      </c>
      <c r="DM182" s="64">
        <f t="shared" si="140"/>
        <v>0</v>
      </c>
      <c r="DN182" s="64">
        <f t="shared" si="141"/>
        <v>0</v>
      </c>
      <c r="DO182" s="64">
        <f t="shared" si="142"/>
        <v>0</v>
      </c>
    </row>
    <row r="183" spans="30:119" ht="17.25" customHeight="1">
      <c r="AD183" s="64"/>
      <c r="AE183" s="238"/>
      <c r="AF183" s="238">
        <f t="shared" ref="AF183:AH185" si="149">AF$182</f>
        <v>0</v>
      </c>
      <c r="AG183" s="238">
        <f t="shared" si="149"/>
        <v>0</v>
      </c>
      <c r="AH183" s="238">
        <f t="shared" si="149"/>
        <v>15</v>
      </c>
      <c r="AI183" s="64" t="e">
        <f t="shared" si="107"/>
        <v>#REF!</v>
      </c>
      <c r="AJ183" s="64" t="e">
        <f t="shared" si="108"/>
        <v>#REF!</v>
      </c>
      <c r="AK183" s="64" t="e">
        <f t="shared" si="109"/>
        <v>#REF!</v>
      </c>
      <c r="AL183" s="64">
        <f t="shared" si="110"/>
        <v>0</v>
      </c>
      <c r="AM183" s="238">
        <f t="shared" si="111"/>
        <v>79800</v>
      </c>
      <c r="AN183" s="64">
        <f t="shared" si="112"/>
        <v>0</v>
      </c>
      <c r="AO183" s="238">
        <f t="shared" si="113"/>
        <v>100000</v>
      </c>
      <c r="AP183" s="238">
        <f t="shared" si="114"/>
        <v>0</v>
      </c>
      <c r="AQ183" s="238">
        <f t="shared" si="115"/>
        <v>719</v>
      </c>
      <c r="AS183" s="269" t="s">
        <v>461</v>
      </c>
      <c r="AT183" s="238" t="e">
        <f>$AT$182</f>
        <v>#REF!</v>
      </c>
      <c r="AU183" s="238">
        <f>AU182+1</f>
        <v>1</v>
      </c>
      <c r="AV183" s="36">
        <v>0</v>
      </c>
      <c r="AW183" s="36">
        <v>0</v>
      </c>
      <c r="AX183" s="36">
        <v>600</v>
      </c>
      <c r="AY183" s="36">
        <v>2400</v>
      </c>
      <c r="AZ183" s="36">
        <v>5400</v>
      </c>
      <c r="BA183" s="36">
        <v>10400</v>
      </c>
      <c r="BB183" s="36">
        <v>20400</v>
      </c>
      <c r="BC183" s="36">
        <v>33600</v>
      </c>
      <c r="BD183" s="36">
        <v>52800</v>
      </c>
      <c r="BE183" s="36">
        <v>79800</v>
      </c>
      <c r="BF183" s="16">
        <v>10000</v>
      </c>
      <c r="BG183" s="16">
        <v>20000</v>
      </c>
      <c r="BH183" s="16">
        <v>30000</v>
      </c>
      <c r="BI183" s="16">
        <v>40000</v>
      </c>
      <c r="BJ183" s="16">
        <v>50000</v>
      </c>
      <c r="BK183" s="16">
        <v>60000</v>
      </c>
      <c r="BL183" s="16">
        <v>70000</v>
      </c>
      <c r="BM183" s="16">
        <v>80000</v>
      </c>
      <c r="BN183" s="16">
        <v>90000</v>
      </c>
      <c r="BO183" s="16">
        <v>100000</v>
      </c>
      <c r="BP183" s="36">
        <f t="shared" si="116"/>
        <v>120</v>
      </c>
      <c r="BQ183" s="16">
        <f t="shared" si="117"/>
        <v>300</v>
      </c>
      <c r="BR183" s="36">
        <f t="shared" si="118"/>
        <v>386</v>
      </c>
      <c r="BS183" s="16">
        <f t="shared" si="119"/>
        <v>519</v>
      </c>
      <c r="BT183" s="36">
        <f t="shared" si="120"/>
        <v>719</v>
      </c>
      <c r="BV183" s="153">
        <f t="shared" si="121"/>
        <v>119.7</v>
      </c>
      <c r="BW183" s="153">
        <f t="shared" si="122"/>
        <v>299.25</v>
      </c>
      <c r="BX183" s="153">
        <f t="shared" si="123"/>
        <v>385.69997340000003</v>
      </c>
      <c r="BY183" s="153">
        <f t="shared" si="124"/>
        <v>518.70000000000005</v>
      </c>
      <c r="BZ183" s="153">
        <f t="shared" si="125"/>
        <v>718.2</v>
      </c>
      <c r="DF183" s="287" t="s">
        <v>462</v>
      </c>
      <c r="DG183" s="238">
        <f t="shared" si="148"/>
        <v>0</v>
      </c>
      <c r="DH183" s="238">
        <f t="shared" si="143"/>
        <v>13</v>
      </c>
      <c r="DI183" s="238">
        <f t="shared" si="144"/>
        <v>9</v>
      </c>
      <c r="DJ183" s="3">
        <v>3</v>
      </c>
      <c r="DK183" s="3">
        <v>30</v>
      </c>
      <c r="DL183" s="3">
        <v>0</v>
      </c>
      <c r="DM183" s="64">
        <f t="shared" si="140"/>
        <v>0</v>
      </c>
      <c r="DN183" s="64">
        <f t="shared" si="141"/>
        <v>0</v>
      </c>
      <c r="DO183" s="64">
        <f t="shared" si="142"/>
        <v>0</v>
      </c>
    </row>
    <row r="184" spans="30:119" ht="17.25" customHeight="1">
      <c r="AD184" s="64"/>
      <c r="AE184" s="238"/>
      <c r="AF184" s="238">
        <f t="shared" si="149"/>
        <v>0</v>
      </c>
      <c r="AG184" s="238">
        <f t="shared" si="149"/>
        <v>0</v>
      </c>
      <c r="AH184" s="238">
        <f t="shared" si="149"/>
        <v>15</v>
      </c>
      <c r="AI184" s="64" t="e">
        <f t="shared" si="107"/>
        <v>#REF!</v>
      </c>
      <c r="AJ184" s="64" t="e">
        <f t="shared" si="108"/>
        <v>#REF!</v>
      </c>
      <c r="AK184" s="64" t="e">
        <f t="shared" si="109"/>
        <v>#REF!</v>
      </c>
      <c r="AL184" s="64">
        <f t="shared" si="110"/>
        <v>0</v>
      </c>
      <c r="AM184" s="238">
        <f t="shared" si="111"/>
        <v>80900</v>
      </c>
      <c r="AN184" s="64">
        <f t="shared" si="112"/>
        <v>0</v>
      </c>
      <c r="AO184" s="238">
        <f t="shared" si="113"/>
        <v>100000</v>
      </c>
      <c r="AP184" s="238">
        <f t="shared" si="114"/>
        <v>0</v>
      </c>
      <c r="AQ184" s="238">
        <f t="shared" si="115"/>
        <v>729</v>
      </c>
      <c r="AS184" s="269" t="s">
        <v>463</v>
      </c>
      <c r="AT184" s="238" t="e">
        <f>$AT$182</f>
        <v>#REF!</v>
      </c>
      <c r="AU184" s="238">
        <f>AU183+1</f>
        <v>2</v>
      </c>
      <c r="AV184" s="36">
        <v>0</v>
      </c>
      <c r="AW184" s="36">
        <v>0</v>
      </c>
      <c r="AX184" s="36">
        <v>600</v>
      </c>
      <c r="AY184" s="36">
        <v>2400</v>
      </c>
      <c r="AZ184" s="36">
        <v>5400</v>
      </c>
      <c r="BA184" s="36">
        <v>9900</v>
      </c>
      <c r="BB184" s="36">
        <v>20900</v>
      </c>
      <c r="BC184" s="36">
        <v>32900</v>
      </c>
      <c r="BD184" s="36">
        <v>50900</v>
      </c>
      <c r="BE184" s="36">
        <v>80900</v>
      </c>
      <c r="BF184" s="16">
        <v>10000</v>
      </c>
      <c r="BG184" s="16">
        <v>20000</v>
      </c>
      <c r="BH184" s="16">
        <v>30000</v>
      </c>
      <c r="BI184" s="16">
        <v>40000</v>
      </c>
      <c r="BJ184" s="16">
        <v>50000</v>
      </c>
      <c r="BK184" s="16">
        <v>60000</v>
      </c>
      <c r="BL184" s="16">
        <v>70000</v>
      </c>
      <c r="BM184" s="16">
        <v>80000</v>
      </c>
      <c r="BN184" s="16">
        <v>90000</v>
      </c>
      <c r="BO184" s="16">
        <v>100000</v>
      </c>
      <c r="BP184" s="36">
        <f t="shared" si="116"/>
        <v>122</v>
      </c>
      <c r="BQ184" s="16">
        <f t="shared" si="117"/>
        <v>304</v>
      </c>
      <c r="BR184" s="36">
        <f t="shared" si="118"/>
        <v>392</v>
      </c>
      <c r="BS184" s="16">
        <f t="shared" si="119"/>
        <v>526</v>
      </c>
      <c r="BT184" s="36">
        <f t="shared" si="120"/>
        <v>729</v>
      </c>
      <c r="BV184" s="153">
        <f t="shared" si="121"/>
        <v>121.35</v>
      </c>
      <c r="BW184" s="153">
        <f t="shared" si="122"/>
        <v>303.375</v>
      </c>
      <c r="BX184" s="153">
        <f t="shared" si="123"/>
        <v>391.01663970000004</v>
      </c>
      <c r="BY184" s="153">
        <f t="shared" si="124"/>
        <v>525.85</v>
      </c>
      <c r="BZ184" s="153">
        <f t="shared" si="125"/>
        <v>728.1</v>
      </c>
      <c r="DF184" s="287" t="s">
        <v>464</v>
      </c>
      <c r="DG184" s="238">
        <f t="shared" si="148"/>
        <v>0</v>
      </c>
      <c r="DH184" s="238">
        <f t="shared" si="143"/>
        <v>13</v>
      </c>
      <c r="DI184" s="238">
        <f t="shared" si="144"/>
        <v>10</v>
      </c>
      <c r="DJ184" s="3">
        <v>12</v>
      </c>
      <c r="DK184" s="3">
        <v>0</v>
      </c>
      <c r="DL184" s="3">
        <v>0</v>
      </c>
      <c r="DM184" s="64">
        <f t="shared" si="140"/>
        <v>0</v>
      </c>
      <c r="DN184" s="64">
        <f t="shared" si="141"/>
        <v>0</v>
      </c>
      <c r="DO184" s="64">
        <f t="shared" si="142"/>
        <v>0</v>
      </c>
    </row>
    <row r="185" spans="30:119" ht="17.25" customHeight="1">
      <c r="AD185" s="64"/>
      <c r="AE185" s="238"/>
      <c r="AF185" s="238">
        <f t="shared" si="149"/>
        <v>0</v>
      </c>
      <c r="AG185" s="238">
        <f t="shared" si="149"/>
        <v>0</v>
      </c>
      <c r="AH185" s="238">
        <f t="shared" si="149"/>
        <v>15</v>
      </c>
      <c r="AI185" s="64" t="e">
        <f t="shared" si="107"/>
        <v>#REF!</v>
      </c>
      <c r="AJ185" s="64" t="e">
        <f t="shared" si="108"/>
        <v>#REF!</v>
      </c>
      <c r="AK185" s="64" t="e">
        <f t="shared" si="109"/>
        <v>#REF!</v>
      </c>
      <c r="AL185" s="64">
        <f t="shared" si="110"/>
        <v>0</v>
      </c>
      <c r="AM185" s="238">
        <f t="shared" si="111"/>
        <v>61500</v>
      </c>
      <c r="AN185" s="64">
        <f t="shared" si="112"/>
        <v>0</v>
      </c>
      <c r="AO185" s="238">
        <f t="shared" si="113"/>
        <v>50000</v>
      </c>
      <c r="AP185" s="238">
        <f t="shared" si="114"/>
        <v>0</v>
      </c>
      <c r="AQ185" s="238">
        <f t="shared" si="115"/>
        <v>554</v>
      </c>
      <c r="AS185" s="269" t="s">
        <v>466</v>
      </c>
      <c r="AT185" s="238" t="e">
        <f>$AT$182</f>
        <v>#REF!</v>
      </c>
      <c r="AU185" s="238">
        <f>AU184+1</f>
        <v>3</v>
      </c>
      <c r="AV185" s="36">
        <v>0</v>
      </c>
      <c r="AW185" s="36">
        <v>0</v>
      </c>
      <c r="AX185" s="36">
        <v>600</v>
      </c>
      <c r="AY185" s="36">
        <v>1800</v>
      </c>
      <c r="AZ185" s="36">
        <v>3900</v>
      </c>
      <c r="BA185" s="36">
        <v>7500</v>
      </c>
      <c r="BB185" s="36">
        <v>13500</v>
      </c>
      <c r="BC185" s="36">
        <v>22500</v>
      </c>
      <c r="BD185" s="36">
        <v>37500</v>
      </c>
      <c r="BE185" s="36">
        <v>61500</v>
      </c>
      <c r="BF185" s="16">
        <v>5000</v>
      </c>
      <c r="BG185" s="16">
        <v>10000</v>
      </c>
      <c r="BH185" s="16">
        <v>15000</v>
      </c>
      <c r="BI185" s="16">
        <v>20000</v>
      </c>
      <c r="BJ185" s="16">
        <v>25000</v>
      </c>
      <c r="BK185" s="16">
        <v>30000</v>
      </c>
      <c r="BL185" s="16">
        <v>35000</v>
      </c>
      <c r="BM185" s="16">
        <v>40000</v>
      </c>
      <c r="BN185" s="16">
        <v>45000</v>
      </c>
      <c r="BO185" s="16">
        <v>50000</v>
      </c>
      <c r="BP185" s="36">
        <f t="shared" si="116"/>
        <v>93</v>
      </c>
      <c r="BQ185" s="16">
        <f t="shared" si="117"/>
        <v>231</v>
      </c>
      <c r="BR185" s="36">
        <f t="shared" si="118"/>
        <v>298</v>
      </c>
      <c r="BS185" s="16">
        <f t="shared" si="119"/>
        <v>400</v>
      </c>
      <c r="BT185" s="36">
        <f t="shared" si="120"/>
        <v>554</v>
      </c>
      <c r="BV185" s="153">
        <f t="shared" si="121"/>
        <v>92.25</v>
      </c>
      <c r="BW185" s="153">
        <f t="shared" si="122"/>
        <v>230.625</v>
      </c>
      <c r="BX185" s="153">
        <f t="shared" si="123"/>
        <v>297.24997949999999</v>
      </c>
      <c r="BY185" s="153">
        <f t="shared" si="124"/>
        <v>399.75</v>
      </c>
      <c r="BZ185" s="153">
        <f t="shared" si="125"/>
        <v>553.5</v>
      </c>
      <c r="DF185" s="287" t="s">
        <v>467</v>
      </c>
      <c r="DG185" s="238">
        <f t="shared" si="148"/>
        <v>0</v>
      </c>
      <c r="DH185" s="238">
        <f t="shared" si="143"/>
        <v>13</v>
      </c>
      <c r="DI185" s="238">
        <f t="shared" si="144"/>
        <v>11</v>
      </c>
      <c r="DJ185" s="3">
        <v>0</v>
      </c>
      <c r="DK185" s="3">
        <v>60</v>
      </c>
      <c r="DL185" s="3">
        <v>0</v>
      </c>
      <c r="DM185" s="64">
        <f t="shared" si="140"/>
        <v>0</v>
      </c>
      <c r="DN185" s="64">
        <f t="shared" si="141"/>
        <v>0</v>
      </c>
      <c r="DO185" s="64">
        <f t="shared" si="142"/>
        <v>0</v>
      </c>
    </row>
    <row r="186" spans="30:119" ht="17.25" customHeight="1">
      <c r="AD186" s="64"/>
      <c r="AE186" s="238"/>
      <c r="AF186" s="238">
        <f>D77</f>
        <v>0</v>
      </c>
      <c r="AG186" s="238">
        <f>A60</f>
        <v>0</v>
      </c>
      <c r="AH186" s="238">
        <f>B60</f>
        <v>0</v>
      </c>
      <c r="AI186" s="64" t="e">
        <f t="shared" si="107"/>
        <v>#REF!</v>
      </c>
      <c r="AJ186" s="64" t="e">
        <f t="shared" si="108"/>
        <v>#REF!</v>
      </c>
      <c r="AK186" s="64" t="e">
        <f t="shared" si="109"/>
        <v>#REF!</v>
      </c>
      <c r="AL186" s="64">
        <f t="shared" si="110"/>
        <v>0</v>
      </c>
      <c r="AM186" s="238">
        <f t="shared" si="111"/>
        <v>0</v>
      </c>
      <c r="AN186" s="64">
        <f t="shared" si="112"/>
        <v>0</v>
      </c>
      <c r="AO186" s="238">
        <f t="shared" si="113"/>
        <v>0</v>
      </c>
      <c r="AP186" s="238">
        <f t="shared" si="114"/>
        <v>0</v>
      </c>
      <c r="AQ186" s="238">
        <f t="shared" si="115"/>
        <v>0</v>
      </c>
      <c r="AS186" s="278" t="s">
        <v>417</v>
      </c>
      <c r="AT186" s="238" t="e">
        <f>VLOOKUP(#REF!, AS186:AU189, 3, FALSE)</f>
        <v>#REF!</v>
      </c>
      <c r="AU186" s="238">
        <v>0</v>
      </c>
      <c r="AV186" s="36">
        <v>0</v>
      </c>
      <c r="AW186" s="36">
        <v>0</v>
      </c>
      <c r="AX186" s="36">
        <v>600</v>
      </c>
      <c r="AY186" s="36">
        <v>2400</v>
      </c>
      <c r="AZ186" s="36">
        <v>5400</v>
      </c>
      <c r="BA186" s="36">
        <v>9900</v>
      </c>
      <c r="BB186" s="36">
        <v>20900</v>
      </c>
      <c r="BC186" s="36">
        <v>32900</v>
      </c>
      <c r="BD186" s="36">
        <v>50900</v>
      </c>
      <c r="BE186" s="36">
        <v>80900</v>
      </c>
      <c r="BF186" s="16">
        <v>10000</v>
      </c>
      <c r="BG186" s="16">
        <v>20000</v>
      </c>
      <c r="BH186" s="16">
        <v>30000</v>
      </c>
      <c r="BI186" s="16">
        <v>40000</v>
      </c>
      <c r="BJ186" s="16">
        <v>50000</v>
      </c>
      <c r="BK186" s="16">
        <v>60000</v>
      </c>
      <c r="BL186" s="16">
        <v>70000</v>
      </c>
      <c r="BM186" s="16">
        <v>80000</v>
      </c>
      <c r="BN186" s="16">
        <v>90000</v>
      </c>
      <c r="BO186" s="16">
        <v>100000</v>
      </c>
      <c r="BP186" s="36">
        <f t="shared" si="116"/>
        <v>122</v>
      </c>
      <c r="BQ186" s="16">
        <f t="shared" si="117"/>
        <v>304</v>
      </c>
      <c r="BR186" s="36">
        <f t="shared" si="118"/>
        <v>392</v>
      </c>
      <c r="BS186" s="16">
        <f t="shared" si="119"/>
        <v>526</v>
      </c>
      <c r="BT186" s="36">
        <f t="shared" si="120"/>
        <v>729</v>
      </c>
      <c r="BV186" s="153">
        <f t="shared" si="121"/>
        <v>121.35</v>
      </c>
      <c r="BW186" s="153">
        <f t="shared" si="122"/>
        <v>303.375</v>
      </c>
      <c r="BX186" s="153">
        <f t="shared" si="123"/>
        <v>391.01663970000004</v>
      </c>
      <c r="BY186" s="153">
        <f t="shared" si="124"/>
        <v>525.85</v>
      </c>
      <c r="BZ186" s="153">
        <f t="shared" si="125"/>
        <v>728.1</v>
      </c>
      <c r="DF186" s="287" t="s">
        <v>470</v>
      </c>
      <c r="DG186" s="238">
        <f t="shared" si="148"/>
        <v>0</v>
      </c>
      <c r="DH186" s="238">
        <f t="shared" si="143"/>
        <v>13</v>
      </c>
      <c r="DI186" s="238">
        <f t="shared" si="144"/>
        <v>12</v>
      </c>
      <c r="DJ186" s="3">
        <v>3</v>
      </c>
      <c r="DK186" s="3">
        <v>30</v>
      </c>
      <c r="DL186" s="3">
        <v>0</v>
      </c>
      <c r="DM186" s="64">
        <f t="shared" si="140"/>
        <v>0</v>
      </c>
      <c r="DN186" s="64">
        <f t="shared" si="141"/>
        <v>0</v>
      </c>
      <c r="DO186" s="64">
        <f t="shared" si="142"/>
        <v>0</v>
      </c>
    </row>
    <row r="187" spans="30:119" ht="17.25" customHeight="1">
      <c r="AD187" s="64"/>
      <c r="AE187" s="238"/>
      <c r="AF187" s="238">
        <f t="shared" ref="AF187:AH189" si="150">AF$186</f>
        <v>0</v>
      </c>
      <c r="AG187" s="238">
        <f t="shared" si="150"/>
        <v>0</v>
      </c>
      <c r="AH187" s="238">
        <f t="shared" si="150"/>
        <v>0</v>
      </c>
      <c r="AI187" s="64" t="e">
        <f t="shared" si="107"/>
        <v>#REF!</v>
      </c>
      <c r="AJ187" s="64" t="e">
        <f t="shared" si="108"/>
        <v>#REF!</v>
      </c>
      <c r="AK187" s="64" t="e">
        <f t="shared" si="109"/>
        <v>#REF!</v>
      </c>
      <c r="AL187" s="64">
        <f t="shared" si="110"/>
        <v>0</v>
      </c>
      <c r="AM187" s="238">
        <f t="shared" si="111"/>
        <v>0</v>
      </c>
      <c r="AN187" s="64">
        <f t="shared" si="112"/>
        <v>0</v>
      </c>
      <c r="AO187" s="238">
        <f t="shared" si="113"/>
        <v>0</v>
      </c>
      <c r="AP187" s="238">
        <f t="shared" si="114"/>
        <v>0</v>
      </c>
      <c r="AQ187" s="238">
        <f t="shared" si="115"/>
        <v>0</v>
      </c>
      <c r="AS187" s="278" t="s">
        <v>472</v>
      </c>
      <c r="AT187" s="238" t="e">
        <f>$AT$186</f>
        <v>#REF!</v>
      </c>
      <c r="AU187" s="238">
        <f>AU186+1</f>
        <v>1</v>
      </c>
      <c r="AV187" s="36">
        <v>0</v>
      </c>
      <c r="AW187" s="36">
        <v>0</v>
      </c>
      <c r="AX187" s="36">
        <v>600</v>
      </c>
      <c r="AY187" s="36">
        <v>2400</v>
      </c>
      <c r="AZ187" s="36">
        <v>5400</v>
      </c>
      <c r="BA187" s="36">
        <v>10400</v>
      </c>
      <c r="BB187" s="36">
        <v>20400</v>
      </c>
      <c r="BC187" s="36">
        <v>33600</v>
      </c>
      <c r="BD187" s="36">
        <v>52800</v>
      </c>
      <c r="BE187" s="36">
        <v>79800</v>
      </c>
      <c r="BF187" s="16">
        <v>10000</v>
      </c>
      <c r="BG187" s="16">
        <v>20000</v>
      </c>
      <c r="BH187" s="16">
        <v>30000</v>
      </c>
      <c r="BI187" s="16">
        <v>40000</v>
      </c>
      <c r="BJ187" s="16">
        <v>50000</v>
      </c>
      <c r="BK187" s="16">
        <v>60000</v>
      </c>
      <c r="BL187" s="16">
        <v>70000</v>
      </c>
      <c r="BM187" s="16">
        <v>80000</v>
      </c>
      <c r="BN187" s="16">
        <v>90000</v>
      </c>
      <c r="BO187" s="16">
        <v>100000</v>
      </c>
      <c r="BP187" s="36">
        <f t="shared" si="116"/>
        <v>120</v>
      </c>
      <c r="BQ187" s="16">
        <f t="shared" si="117"/>
        <v>300</v>
      </c>
      <c r="BR187" s="36">
        <f t="shared" si="118"/>
        <v>386</v>
      </c>
      <c r="BS187" s="16">
        <f t="shared" si="119"/>
        <v>519</v>
      </c>
      <c r="BT187" s="36">
        <f t="shared" si="120"/>
        <v>719</v>
      </c>
      <c r="BV187" s="153">
        <f t="shared" si="121"/>
        <v>119.7</v>
      </c>
      <c r="BW187" s="153">
        <f t="shared" si="122"/>
        <v>299.25</v>
      </c>
      <c r="BX187" s="153">
        <f t="shared" si="123"/>
        <v>385.69997340000003</v>
      </c>
      <c r="BY187" s="153">
        <f t="shared" si="124"/>
        <v>518.70000000000005</v>
      </c>
      <c r="BZ187" s="153">
        <f t="shared" si="125"/>
        <v>718.2</v>
      </c>
      <c r="DF187" s="287" t="s">
        <v>473</v>
      </c>
      <c r="DG187" s="238">
        <f t="shared" si="148"/>
        <v>0</v>
      </c>
      <c r="DH187" s="238">
        <f t="shared" si="143"/>
        <v>13</v>
      </c>
      <c r="DI187" s="238">
        <f t="shared" si="144"/>
        <v>13</v>
      </c>
      <c r="DJ187" s="3">
        <v>12</v>
      </c>
      <c r="DK187" s="3">
        <v>0</v>
      </c>
      <c r="DL187" s="3">
        <v>0</v>
      </c>
      <c r="DM187" s="64">
        <f t="shared" si="140"/>
        <v>0</v>
      </c>
      <c r="DN187" s="64">
        <f t="shared" si="141"/>
        <v>0</v>
      </c>
      <c r="DO187" s="64">
        <f t="shared" si="142"/>
        <v>0</v>
      </c>
    </row>
    <row r="188" spans="30:119" ht="17.25" customHeight="1">
      <c r="AD188" s="64"/>
      <c r="AE188" s="238"/>
      <c r="AF188" s="238">
        <f t="shared" si="150"/>
        <v>0</v>
      </c>
      <c r="AG188" s="238">
        <f t="shared" si="150"/>
        <v>0</v>
      </c>
      <c r="AH188" s="238">
        <f t="shared" si="150"/>
        <v>0</v>
      </c>
      <c r="AI188" s="64" t="e">
        <f t="shared" si="107"/>
        <v>#REF!</v>
      </c>
      <c r="AJ188" s="64" t="e">
        <f t="shared" si="108"/>
        <v>#REF!</v>
      </c>
      <c r="AK188" s="64" t="e">
        <f t="shared" si="109"/>
        <v>#REF!</v>
      </c>
      <c r="AL188" s="64">
        <f t="shared" si="110"/>
        <v>0</v>
      </c>
      <c r="AM188" s="238">
        <f t="shared" si="111"/>
        <v>0</v>
      </c>
      <c r="AN188" s="64">
        <f t="shared" si="112"/>
        <v>0</v>
      </c>
      <c r="AO188" s="238">
        <f t="shared" si="113"/>
        <v>0</v>
      </c>
      <c r="AP188" s="238">
        <f t="shared" si="114"/>
        <v>0</v>
      </c>
      <c r="AQ188" s="238">
        <f t="shared" si="115"/>
        <v>0</v>
      </c>
      <c r="AS188" s="278" t="s">
        <v>475</v>
      </c>
      <c r="AT188" s="238" t="e">
        <f>$AT$186</f>
        <v>#REF!</v>
      </c>
      <c r="AU188" s="238">
        <f>AU187+1</f>
        <v>2</v>
      </c>
      <c r="AV188" s="36">
        <v>0</v>
      </c>
      <c r="AW188" s="36">
        <v>0</v>
      </c>
      <c r="AX188" s="36">
        <v>600</v>
      </c>
      <c r="AY188" s="36">
        <v>2400</v>
      </c>
      <c r="AZ188" s="36">
        <v>5400</v>
      </c>
      <c r="BA188" s="36">
        <v>9900</v>
      </c>
      <c r="BB188" s="36">
        <v>20900</v>
      </c>
      <c r="BC188" s="36">
        <v>32900</v>
      </c>
      <c r="BD188" s="36">
        <v>50900</v>
      </c>
      <c r="BE188" s="36">
        <v>80900</v>
      </c>
      <c r="BF188" s="16">
        <v>10000</v>
      </c>
      <c r="BG188" s="16">
        <v>20000</v>
      </c>
      <c r="BH188" s="16">
        <v>30000</v>
      </c>
      <c r="BI188" s="16">
        <v>40000</v>
      </c>
      <c r="BJ188" s="16">
        <v>50000</v>
      </c>
      <c r="BK188" s="16">
        <v>60000</v>
      </c>
      <c r="BL188" s="16">
        <v>70000</v>
      </c>
      <c r="BM188" s="16">
        <v>80000</v>
      </c>
      <c r="BN188" s="16">
        <v>90000</v>
      </c>
      <c r="BO188" s="16">
        <v>100000</v>
      </c>
      <c r="BP188" s="36">
        <f t="shared" si="116"/>
        <v>122</v>
      </c>
      <c r="BQ188" s="16">
        <f t="shared" si="117"/>
        <v>304</v>
      </c>
      <c r="BR188" s="36">
        <f t="shared" si="118"/>
        <v>392</v>
      </c>
      <c r="BS188" s="16">
        <f t="shared" si="119"/>
        <v>526</v>
      </c>
      <c r="BT188" s="36">
        <f t="shared" si="120"/>
        <v>729</v>
      </c>
      <c r="BV188" s="153">
        <f t="shared" si="121"/>
        <v>121.35</v>
      </c>
      <c r="BW188" s="153">
        <f t="shared" si="122"/>
        <v>303.375</v>
      </c>
      <c r="BX188" s="153">
        <f t="shared" si="123"/>
        <v>391.01663970000004</v>
      </c>
      <c r="BY188" s="153">
        <f t="shared" si="124"/>
        <v>525.85</v>
      </c>
      <c r="BZ188" s="153">
        <f t="shared" si="125"/>
        <v>728.1</v>
      </c>
      <c r="DF188" s="263" t="s">
        <v>589</v>
      </c>
      <c r="DG188" s="238">
        <f t="shared" si="148"/>
        <v>0</v>
      </c>
      <c r="DH188" s="238">
        <f t="shared" si="143"/>
        <v>13</v>
      </c>
      <c r="DI188" s="238">
        <f t="shared" si="144"/>
        <v>14</v>
      </c>
      <c r="DJ188" s="3">
        <v>0</v>
      </c>
      <c r="DK188" s="3">
        <v>10</v>
      </c>
      <c r="DL188" s="3">
        <v>0</v>
      </c>
      <c r="DM188" s="64">
        <f t="shared" si="140"/>
        <v>0</v>
      </c>
      <c r="DN188" s="64">
        <f t="shared" si="141"/>
        <v>0</v>
      </c>
      <c r="DO188" s="64">
        <f t="shared" si="142"/>
        <v>0</v>
      </c>
    </row>
    <row r="189" spans="30:119" ht="17.25" customHeight="1">
      <c r="AD189" s="83"/>
      <c r="AE189" s="238"/>
      <c r="AF189" s="238">
        <f t="shared" si="150"/>
        <v>0</v>
      </c>
      <c r="AG189" s="238">
        <f t="shared" si="150"/>
        <v>0</v>
      </c>
      <c r="AH189" s="238">
        <f t="shared" si="150"/>
        <v>0</v>
      </c>
      <c r="AI189" s="64" t="e">
        <f t="shared" si="107"/>
        <v>#REF!</v>
      </c>
      <c r="AJ189" s="64" t="e">
        <f t="shared" si="108"/>
        <v>#REF!</v>
      </c>
      <c r="AK189" s="64" t="e">
        <f t="shared" si="109"/>
        <v>#REF!</v>
      </c>
      <c r="AL189" s="64">
        <f t="shared" si="110"/>
        <v>0</v>
      </c>
      <c r="AM189" s="238">
        <f t="shared" si="111"/>
        <v>0</v>
      </c>
      <c r="AN189" s="64">
        <f t="shared" si="112"/>
        <v>0</v>
      </c>
      <c r="AO189" s="238">
        <f t="shared" si="113"/>
        <v>0</v>
      </c>
      <c r="AP189" s="238">
        <f t="shared" si="114"/>
        <v>0</v>
      </c>
      <c r="AQ189" s="238">
        <f t="shared" si="115"/>
        <v>0</v>
      </c>
      <c r="AS189" s="278" t="s">
        <v>478</v>
      </c>
      <c r="AT189" s="238" t="e">
        <f>$AT$186</f>
        <v>#REF!</v>
      </c>
      <c r="AU189" s="238">
        <f>AU188+1</f>
        <v>3</v>
      </c>
      <c r="AV189" s="36">
        <v>0</v>
      </c>
      <c r="AW189" s="36">
        <v>0</v>
      </c>
      <c r="AX189" s="36">
        <v>600</v>
      </c>
      <c r="AY189" s="36">
        <v>1800</v>
      </c>
      <c r="AZ189" s="36">
        <v>3900</v>
      </c>
      <c r="BA189" s="36">
        <v>7500</v>
      </c>
      <c r="BB189" s="36">
        <v>13500</v>
      </c>
      <c r="BC189" s="36">
        <v>22500</v>
      </c>
      <c r="BD189" s="36">
        <v>37500</v>
      </c>
      <c r="BE189" s="36">
        <v>61500</v>
      </c>
      <c r="BF189" s="16">
        <v>5000</v>
      </c>
      <c r="BG189" s="16">
        <v>10000</v>
      </c>
      <c r="BH189" s="16">
        <v>15000</v>
      </c>
      <c r="BI189" s="16">
        <v>20000</v>
      </c>
      <c r="BJ189" s="16">
        <v>25000</v>
      </c>
      <c r="BK189" s="16">
        <v>30000</v>
      </c>
      <c r="BL189" s="16">
        <v>35000</v>
      </c>
      <c r="BM189" s="16">
        <v>40000</v>
      </c>
      <c r="BN189" s="16">
        <v>45000</v>
      </c>
      <c r="BO189" s="16">
        <v>50000</v>
      </c>
      <c r="BP189" s="36">
        <f t="shared" si="116"/>
        <v>93</v>
      </c>
      <c r="BQ189" s="16">
        <f t="shared" si="117"/>
        <v>231</v>
      </c>
      <c r="BR189" s="36">
        <f t="shared" si="118"/>
        <v>298</v>
      </c>
      <c r="BS189" s="16">
        <f t="shared" si="119"/>
        <v>400</v>
      </c>
      <c r="BT189" s="36">
        <f t="shared" si="120"/>
        <v>554</v>
      </c>
      <c r="BV189" s="153">
        <f t="shared" si="121"/>
        <v>92.25</v>
      </c>
      <c r="BW189" s="153">
        <f t="shared" si="122"/>
        <v>230.625</v>
      </c>
      <c r="BX189" s="153">
        <f t="shared" si="123"/>
        <v>297.24997949999999</v>
      </c>
      <c r="BY189" s="153">
        <f t="shared" si="124"/>
        <v>399.75</v>
      </c>
      <c r="BZ189" s="153">
        <f t="shared" si="125"/>
        <v>553.5</v>
      </c>
      <c r="DF189" s="263" t="s">
        <v>590</v>
      </c>
      <c r="DG189" s="238">
        <f t="shared" si="148"/>
        <v>0</v>
      </c>
      <c r="DH189" s="238">
        <f t="shared" si="143"/>
        <v>13</v>
      </c>
      <c r="DI189" s="238">
        <f t="shared" si="144"/>
        <v>15</v>
      </c>
      <c r="DJ189" s="3">
        <v>2</v>
      </c>
      <c r="DK189" s="3">
        <v>10</v>
      </c>
      <c r="DL189" s="3">
        <v>0</v>
      </c>
      <c r="DM189" s="64">
        <f t="shared" si="140"/>
        <v>0</v>
      </c>
      <c r="DN189" s="64">
        <f t="shared" si="141"/>
        <v>0</v>
      </c>
      <c r="DO189" s="64">
        <f t="shared" si="142"/>
        <v>0</v>
      </c>
    </row>
    <row r="190" spans="30:119" ht="17.25" customHeight="1">
      <c r="AD190" s="83"/>
      <c r="AE190" s="238"/>
      <c r="AF190" s="238">
        <f>D79</f>
        <v>0</v>
      </c>
      <c r="AG190" s="238">
        <f>A61</f>
        <v>0</v>
      </c>
      <c r="AH190" s="238">
        <f>B61</f>
        <v>0</v>
      </c>
      <c r="AI190" s="64" t="e">
        <f t="shared" si="107"/>
        <v>#REF!</v>
      </c>
      <c r="AJ190" s="64" t="e">
        <f t="shared" si="108"/>
        <v>#REF!</v>
      </c>
      <c r="AK190" s="64" t="e">
        <f t="shared" si="109"/>
        <v>#REF!</v>
      </c>
      <c r="AL190" s="64">
        <f t="shared" si="110"/>
        <v>0</v>
      </c>
      <c r="AM190" s="238">
        <f t="shared" si="111"/>
        <v>0</v>
      </c>
      <c r="AN190" s="64">
        <f t="shared" si="112"/>
        <v>0</v>
      </c>
      <c r="AO190" s="238">
        <f t="shared" si="113"/>
        <v>0</v>
      </c>
      <c r="AP190" s="238">
        <f t="shared" si="114"/>
        <v>0</v>
      </c>
      <c r="AQ190" s="238">
        <f t="shared" si="115"/>
        <v>0</v>
      </c>
      <c r="AS190" s="261" t="s">
        <v>516</v>
      </c>
      <c r="AT190" s="238" t="e">
        <f>VLOOKUP(#REF!, AS190:AU194, 3, FALSE)</f>
        <v>#REF!</v>
      </c>
      <c r="AU190" s="238">
        <v>0</v>
      </c>
      <c r="AV190" s="36">
        <v>600</v>
      </c>
      <c r="AW190" s="36">
        <v>900</v>
      </c>
      <c r="AX190" s="36">
        <v>1500</v>
      </c>
      <c r="AY190" s="36">
        <v>3900</v>
      </c>
      <c r="AZ190" s="36">
        <v>9900</v>
      </c>
      <c r="BA190" s="36">
        <v>18900</v>
      </c>
      <c r="BB190" s="36">
        <v>33900</v>
      </c>
      <c r="BC190" s="36">
        <v>57900</v>
      </c>
      <c r="BD190" s="36">
        <v>93900</v>
      </c>
      <c r="BE190" s="36">
        <v>153900</v>
      </c>
      <c r="BF190" s="16">
        <v>20000</v>
      </c>
      <c r="BG190" s="16">
        <v>40000</v>
      </c>
      <c r="BH190" s="16">
        <v>60000</v>
      </c>
      <c r="BI190" s="16">
        <v>80000</v>
      </c>
      <c r="BJ190" s="16">
        <v>100000</v>
      </c>
      <c r="BK190" s="16">
        <v>120000</v>
      </c>
      <c r="BL190" s="16">
        <v>140000</v>
      </c>
      <c r="BM190" s="16">
        <v>160000</v>
      </c>
      <c r="BN190" s="16">
        <v>180000</v>
      </c>
      <c r="BO190" s="16">
        <v>200000</v>
      </c>
      <c r="BP190" s="36">
        <f t="shared" si="116"/>
        <v>231</v>
      </c>
      <c r="BQ190" s="16">
        <f t="shared" si="117"/>
        <v>578</v>
      </c>
      <c r="BR190" s="36">
        <f t="shared" si="118"/>
        <v>744</v>
      </c>
      <c r="BS190" s="16">
        <f t="shared" si="119"/>
        <v>1001</v>
      </c>
      <c r="BT190" s="36">
        <f t="shared" si="120"/>
        <v>1386</v>
      </c>
      <c r="BV190" s="153">
        <f t="shared" si="121"/>
        <v>230.85</v>
      </c>
      <c r="BW190" s="153">
        <f t="shared" si="122"/>
        <v>577.125</v>
      </c>
      <c r="BX190" s="153">
        <f t="shared" si="123"/>
        <v>743.84994870000003</v>
      </c>
      <c r="BY190" s="153">
        <f t="shared" si="124"/>
        <v>1000.35</v>
      </c>
      <c r="BZ190" s="153">
        <f t="shared" si="125"/>
        <v>1385.1</v>
      </c>
      <c r="DE190" s="238"/>
      <c r="DF190" s="263" t="s">
        <v>591</v>
      </c>
      <c r="DG190" s="238">
        <f t="shared" si="148"/>
        <v>0</v>
      </c>
      <c r="DH190" s="238">
        <f t="shared" si="143"/>
        <v>13</v>
      </c>
      <c r="DI190" s="238">
        <f t="shared" si="144"/>
        <v>16</v>
      </c>
      <c r="DJ190" s="3">
        <v>4</v>
      </c>
      <c r="DK190" s="3">
        <v>0</v>
      </c>
      <c r="DL190" s="3">
        <v>0</v>
      </c>
      <c r="DM190" s="64">
        <f t="shared" si="140"/>
        <v>0</v>
      </c>
      <c r="DN190" s="64">
        <f t="shared" si="141"/>
        <v>0</v>
      </c>
      <c r="DO190" s="64">
        <f t="shared" si="142"/>
        <v>0</v>
      </c>
    </row>
    <row r="191" spans="30:119" ht="17.25" customHeight="1">
      <c r="AD191" s="83"/>
      <c r="AE191" s="238"/>
      <c r="AF191" s="238">
        <f t="shared" ref="AF191:AH194" si="151">AF$190</f>
        <v>0</v>
      </c>
      <c r="AG191" s="238">
        <f t="shared" si="151"/>
        <v>0</v>
      </c>
      <c r="AH191" s="238">
        <f t="shared" si="151"/>
        <v>0</v>
      </c>
      <c r="AI191" s="64" t="e">
        <f t="shared" si="107"/>
        <v>#REF!</v>
      </c>
      <c r="AJ191" s="64" t="e">
        <f t="shared" si="108"/>
        <v>#REF!</v>
      </c>
      <c r="AK191" s="64" t="e">
        <f t="shared" si="109"/>
        <v>#REF!</v>
      </c>
      <c r="AL191" s="64">
        <f t="shared" si="110"/>
        <v>0</v>
      </c>
      <c r="AM191" s="238">
        <f t="shared" si="111"/>
        <v>0</v>
      </c>
      <c r="AN191" s="64">
        <f t="shared" si="112"/>
        <v>0</v>
      </c>
      <c r="AO191" s="238">
        <f t="shared" si="113"/>
        <v>0</v>
      </c>
      <c r="AP191" s="238">
        <f t="shared" si="114"/>
        <v>0</v>
      </c>
      <c r="AQ191" s="238">
        <f t="shared" si="115"/>
        <v>0</v>
      </c>
      <c r="AR191" s="291"/>
      <c r="AS191" s="261" t="s">
        <v>592</v>
      </c>
      <c r="AT191" s="238" t="e">
        <f>$AT$190</f>
        <v>#REF!</v>
      </c>
      <c r="AU191" s="238">
        <f>AU190+1</f>
        <v>1</v>
      </c>
      <c r="AV191" s="36">
        <v>300</v>
      </c>
      <c r="AW191" s="36">
        <v>300</v>
      </c>
      <c r="AX191" s="36">
        <v>1200</v>
      </c>
      <c r="AY191" s="36">
        <v>4800</v>
      </c>
      <c r="AZ191" s="36">
        <v>13800</v>
      </c>
      <c r="BA191" s="36">
        <v>27300</v>
      </c>
      <c r="BB191" s="36">
        <v>49800</v>
      </c>
      <c r="BC191" s="36">
        <v>85800</v>
      </c>
      <c r="BD191" s="36">
        <v>139800</v>
      </c>
      <c r="BE191" s="36">
        <v>229800</v>
      </c>
      <c r="BF191" s="16">
        <v>15000</v>
      </c>
      <c r="BG191" s="16">
        <v>30000</v>
      </c>
      <c r="BH191" s="16">
        <v>45000</v>
      </c>
      <c r="BI191" s="16">
        <v>60000</v>
      </c>
      <c r="BJ191" s="16">
        <v>75000</v>
      </c>
      <c r="BK191" s="16">
        <v>90000</v>
      </c>
      <c r="BL191" s="16">
        <v>105000</v>
      </c>
      <c r="BM191" s="16">
        <v>120000</v>
      </c>
      <c r="BN191" s="16">
        <v>135000</v>
      </c>
      <c r="BO191" s="16">
        <v>150000</v>
      </c>
      <c r="BP191" s="36">
        <f t="shared" si="116"/>
        <v>345</v>
      </c>
      <c r="BQ191" s="16">
        <f t="shared" si="117"/>
        <v>862</v>
      </c>
      <c r="BR191" s="36">
        <f t="shared" si="118"/>
        <v>1111</v>
      </c>
      <c r="BS191" s="16">
        <f t="shared" si="119"/>
        <v>1494</v>
      </c>
      <c r="BT191" s="36">
        <f t="shared" si="120"/>
        <v>2069</v>
      </c>
      <c r="BV191" s="153">
        <f t="shared" si="121"/>
        <v>344.7</v>
      </c>
      <c r="BW191" s="153">
        <f t="shared" si="122"/>
        <v>861.75</v>
      </c>
      <c r="BX191" s="153">
        <f t="shared" si="123"/>
        <v>1110.6999234</v>
      </c>
      <c r="BY191" s="153">
        <f t="shared" si="124"/>
        <v>1493.7</v>
      </c>
      <c r="BZ191" s="153">
        <f t="shared" si="125"/>
        <v>2068.1999999999998</v>
      </c>
      <c r="DF191" s="263" t="s">
        <v>593</v>
      </c>
      <c r="DG191" s="238">
        <f t="shared" si="148"/>
        <v>0</v>
      </c>
      <c r="DH191" s="238">
        <f t="shared" si="143"/>
        <v>13</v>
      </c>
      <c r="DI191" s="238">
        <f t="shared" si="144"/>
        <v>17</v>
      </c>
      <c r="DJ191" s="3">
        <v>10</v>
      </c>
      <c r="DK191" s="3">
        <v>0</v>
      </c>
      <c r="DL191" s="3">
        <v>0</v>
      </c>
      <c r="DM191" s="64">
        <f t="shared" si="140"/>
        <v>0</v>
      </c>
      <c r="DN191" s="64">
        <f t="shared" si="141"/>
        <v>0</v>
      </c>
      <c r="DO191" s="64">
        <f t="shared" si="142"/>
        <v>0</v>
      </c>
    </row>
    <row r="192" spans="30:119" ht="17.25" customHeight="1">
      <c r="AD192" s="152"/>
      <c r="AE192" s="238"/>
      <c r="AF192" s="238">
        <f t="shared" si="151"/>
        <v>0</v>
      </c>
      <c r="AG192" s="238">
        <f t="shared" si="151"/>
        <v>0</v>
      </c>
      <c r="AH192" s="238">
        <f t="shared" si="151"/>
        <v>0</v>
      </c>
      <c r="AI192" s="64" t="e">
        <f t="shared" si="107"/>
        <v>#REF!</v>
      </c>
      <c r="AJ192" s="64" t="e">
        <f t="shared" si="108"/>
        <v>#REF!</v>
      </c>
      <c r="AK192" s="64" t="e">
        <f t="shared" si="109"/>
        <v>#REF!</v>
      </c>
      <c r="AL192" s="64">
        <f t="shared" si="110"/>
        <v>0</v>
      </c>
      <c r="AM192" s="238">
        <f t="shared" si="111"/>
        <v>0</v>
      </c>
      <c r="AN192" s="64">
        <f t="shared" si="112"/>
        <v>0</v>
      </c>
      <c r="AO192" s="238">
        <f t="shared" si="113"/>
        <v>0</v>
      </c>
      <c r="AP192" s="238">
        <f t="shared" si="114"/>
        <v>0</v>
      </c>
      <c r="AQ192" s="238">
        <f t="shared" si="115"/>
        <v>0</v>
      </c>
      <c r="AR192" s="291"/>
      <c r="AS192" s="261" t="s">
        <v>594</v>
      </c>
      <c r="AT192" s="238" t="e">
        <f>$AT$190</f>
        <v>#REF!</v>
      </c>
      <c r="AU192" s="238">
        <f>AU191+1</f>
        <v>2</v>
      </c>
      <c r="AV192" s="36">
        <v>600</v>
      </c>
      <c r="AW192" s="36">
        <v>900</v>
      </c>
      <c r="AX192" s="36">
        <v>1500</v>
      </c>
      <c r="AY192" s="36">
        <v>3900</v>
      </c>
      <c r="AZ192" s="36">
        <v>9900</v>
      </c>
      <c r="BA192" s="36">
        <v>18900</v>
      </c>
      <c r="BB192" s="36">
        <v>33900</v>
      </c>
      <c r="BC192" s="36">
        <v>57900</v>
      </c>
      <c r="BD192" s="36">
        <v>93900</v>
      </c>
      <c r="BE192" s="36">
        <v>153900</v>
      </c>
      <c r="BF192" s="16">
        <v>20000</v>
      </c>
      <c r="BG192" s="16">
        <v>40000</v>
      </c>
      <c r="BH192" s="16">
        <v>60000</v>
      </c>
      <c r="BI192" s="16">
        <v>80000</v>
      </c>
      <c r="BJ192" s="16">
        <v>100000</v>
      </c>
      <c r="BK192" s="16">
        <v>120000</v>
      </c>
      <c r="BL192" s="16">
        <v>140000</v>
      </c>
      <c r="BM192" s="16">
        <v>160000</v>
      </c>
      <c r="BN192" s="16">
        <v>180000</v>
      </c>
      <c r="BO192" s="16">
        <v>200000</v>
      </c>
      <c r="BP192" s="36">
        <f t="shared" si="116"/>
        <v>231</v>
      </c>
      <c r="BQ192" s="16">
        <f t="shared" si="117"/>
        <v>578</v>
      </c>
      <c r="BR192" s="36">
        <f t="shared" si="118"/>
        <v>744</v>
      </c>
      <c r="BS192" s="16">
        <f t="shared" si="119"/>
        <v>1001</v>
      </c>
      <c r="BT192" s="36">
        <f t="shared" si="120"/>
        <v>1386</v>
      </c>
      <c r="BV192" s="153">
        <f t="shared" si="121"/>
        <v>230.85</v>
      </c>
      <c r="BW192" s="153">
        <f t="shared" si="122"/>
        <v>577.125</v>
      </c>
      <c r="BX192" s="153">
        <f t="shared" si="123"/>
        <v>743.84994870000003</v>
      </c>
      <c r="BY192" s="153">
        <f t="shared" si="124"/>
        <v>1000.35</v>
      </c>
      <c r="BZ192" s="153">
        <f t="shared" si="125"/>
        <v>1385.1</v>
      </c>
      <c r="CC192" s="292"/>
      <c r="DF192" s="263" t="s">
        <v>595</v>
      </c>
      <c r="DG192" s="238">
        <f t="shared" si="148"/>
        <v>0</v>
      </c>
      <c r="DH192" s="238">
        <f t="shared" si="143"/>
        <v>13</v>
      </c>
      <c r="DI192" s="238">
        <f t="shared" si="144"/>
        <v>18</v>
      </c>
      <c r="DJ192" s="3">
        <v>5</v>
      </c>
      <c r="DK192" s="3">
        <v>25</v>
      </c>
      <c r="DL192" s="3">
        <v>0</v>
      </c>
      <c r="DM192" s="64">
        <f t="shared" si="140"/>
        <v>0</v>
      </c>
      <c r="DN192" s="64">
        <f t="shared" si="141"/>
        <v>0</v>
      </c>
      <c r="DO192" s="64">
        <f t="shared" si="142"/>
        <v>0</v>
      </c>
    </row>
    <row r="193" spans="30:119" ht="17.25" customHeight="1">
      <c r="AD193" s="152"/>
      <c r="AE193" s="238"/>
      <c r="AF193" s="238">
        <f t="shared" si="151"/>
        <v>0</v>
      </c>
      <c r="AG193" s="238">
        <f t="shared" si="151"/>
        <v>0</v>
      </c>
      <c r="AH193" s="238">
        <f t="shared" si="151"/>
        <v>0</v>
      </c>
      <c r="AI193" s="64" t="e">
        <f t="shared" si="107"/>
        <v>#REF!</v>
      </c>
      <c r="AJ193" s="64" t="e">
        <f t="shared" si="108"/>
        <v>#REF!</v>
      </c>
      <c r="AK193" s="64" t="e">
        <f t="shared" si="109"/>
        <v>#REF!</v>
      </c>
      <c r="AL193" s="64">
        <f t="shared" si="110"/>
        <v>0</v>
      </c>
      <c r="AM193" s="238">
        <f t="shared" si="111"/>
        <v>0</v>
      </c>
      <c r="AN193" s="64">
        <f t="shared" si="112"/>
        <v>0</v>
      </c>
      <c r="AO193" s="238">
        <f t="shared" si="113"/>
        <v>0</v>
      </c>
      <c r="AP193" s="238">
        <f t="shared" si="114"/>
        <v>0</v>
      </c>
      <c r="AQ193" s="238">
        <f t="shared" si="115"/>
        <v>0</v>
      </c>
      <c r="AS193" s="278" t="s">
        <v>490</v>
      </c>
      <c r="AT193" s="238" t="e">
        <f>$AT$190</f>
        <v>#REF!</v>
      </c>
      <c r="AU193" s="238">
        <f>AU192+1</f>
        <v>3</v>
      </c>
      <c r="AV193" s="36">
        <v>225</v>
      </c>
      <c r="AW193" s="36">
        <v>675</v>
      </c>
      <c r="AX193" s="36">
        <v>1575</v>
      </c>
      <c r="AY193" s="36">
        <v>3375</v>
      </c>
      <c r="AZ193" s="36">
        <v>6375</v>
      </c>
      <c r="BA193" s="36">
        <v>10875</v>
      </c>
      <c r="BB193" s="36">
        <v>18375</v>
      </c>
      <c r="BC193" s="36">
        <v>30375</v>
      </c>
      <c r="BD193" s="36">
        <v>48375</v>
      </c>
      <c r="BE193" s="36">
        <v>78375</v>
      </c>
      <c r="BF193" s="16">
        <v>15000</v>
      </c>
      <c r="BG193" s="16">
        <v>30000</v>
      </c>
      <c r="BH193" s="16">
        <v>45000</v>
      </c>
      <c r="BI193" s="16">
        <v>60000</v>
      </c>
      <c r="BJ193" s="16">
        <v>75000</v>
      </c>
      <c r="BK193" s="16">
        <v>90000</v>
      </c>
      <c r="BL193" s="16">
        <v>105000</v>
      </c>
      <c r="BM193" s="16">
        <v>120000</v>
      </c>
      <c r="BN193" s="16">
        <v>135000</v>
      </c>
      <c r="BO193" s="16">
        <v>150000</v>
      </c>
      <c r="BP193" s="36">
        <f t="shared" si="116"/>
        <v>118</v>
      </c>
      <c r="BQ193" s="16">
        <f t="shared" si="117"/>
        <v>294</v>
      </c>
      <c r="BR193" s="36">
        <f t="shared" si="118"/>
        <v>379</v>
      </c>
      <c r="BS193" s="16">
        <f t="shared" si="119"/>
        <v>510</v>
      </c>
      <c r="BT193" s="36">
        <f t="shared" si="120"/>
        <v>706</v>
      </c>
      <c r="BV193" s="153">
        <f t="shared" si="121"/>
        <v>117.5625</v>
      </c>
      <c r="BW193" s="153">
        <f t="shared" si="122"/>
        <v>293.90625</v>
      </c>
      <c r="BX193" s="153">
        <f t="shared" si="123"/>
        <v>378.81247387500002</v>
      </c>
      <c r="BY193" s="153">
        <f t="shared" si="124"/>
        <v>509.4375</v>
      </c>
      <c r="BZ193" s="153">
        <f t="shared" si="125"/>
        <v>705.375</v>
      </c>
      <c r="CC193" s="292"/>
      <c r="DF193" s="263" t="s">
        <v>596</v>
      </c>
      <c r="DG193" s="238">
        <f t="shared" si="148"/>
        <v>0</v>
      </c>
      <c r="DH193" s="238">
        <f t="shared" si="143"/>
        <v>13</v>
      </c>
      <c r="DI193" s="238">
        <f t="shared" si="144"/>
        <v>19</v>
      </c>
      <c r="DJ193" s="3">
        <v>0</v>
      </c>
      <c r="DK193" s="3">
        <v>25</v>
      </c>
      <c r="DL193" s="3">
        <v>0</v>
      </c>
      <c r="DM193" s="64">
        <f t="shared" si="140"/>
        <v>0</v>
      </c>
      <c r="DN193" s="64">
        <f t="shared" si="141"/>
        <v>0</v>
      </c>
      <c r="DO193" s="64">
        <f t="shared" si="142"/>
        <v>0</v>
      </c>
    </row>
    <row r="194" spans="30:119" ht="17.25" customHeight="1">
      <c r="AD194" s="152"/>
      <c r="AE194" s="238"/>
      <c r="AF194" s="238">
        <f t="shared" si="151"/>
        <v>0</v>
      </c>
      <c r="AG194" s="238">
        <f t="shared" si="151"/>
        <v>0</v>
      </c>
      <c r="AH194" s="238">
        <f t="shared" si="151"/>
        <v>0</v>
      </c>
      <c r="AI194" s="64" t="e">
        <f t="shared" si="107"/>
        <v>#REF!</v>
      </c>
      <c r="AJ194" s="64" t="e">
        <f t="shared" si="108"/>
        <v>#REF!</v>
      </c>
      <c r="AK194" s="64" t="e">
        <f t="shared" si="109"/>
        <v>#REF!</v>
      </c>
      <c r="AL194" s="64">
        <f t="shared" si="110"/>
        <v>0</v>
      </c>
      <c r="AM194" s="238">
        <f t="shared" si="111"/>
        <v>0</v>
      </c>
      <c r="AN194" s="64">
        <f t="shared" si="112"/>
        <v>0</v>
      </c>
      <c r="AO194" s="238">
        <f t="shared" si="113"/>
        <v>0</v>
      </c>
      <c r="AP194" s="238">
        <f t="shared" si="114"/>
        <v>0</v>
      </c>
      <c r="AQ194" s="238">
        <f t="shared" si="115"/>
        <v>0</v>
      </c>
      <c r="AS194" s="286" t="s">
        <v>492</v>
      </c>
      <c r="AT194" s="238" t="e">
        <f>$AT$190</f>
        <v>#REF!</v>
      </c>
      <c r="AU194" s="238">
        <f>AU193+1</f>
        <v>4</v>
      </c>
      <c r="AV194" s="36">
        <v>2000</v>
      </c>
      <c r="AW194" s="36">
        <v>2600</v>
      </c>
      <c r="AX194" s="36">
        <v>3800</v>
      </c>
      <c r="AY194" s="36">
        <v>5600</v>
      </c>
      <c r="AZ194" s="36">
        <v>8600</v>
      </c>
      <c r="BA194" s="36">
        <v>13100</v>
      </c>
      <c r="BB194" s="36">
        <v>24100</v>
      </c>
      <c r="BC194" s="36">
        <v>36100</v>
      </c>
      <c r="BD194" s="36">
        <v>54100</v>
      </c>
      <c r="BE194" s="36">
        <v>84100</v>
      </c>
      <c r="BF194" s="16">
        <v>10000</v>
      </c>
      <c r="BG194" s="16">
        <v>20000</v>
      </c>
      <c r="BH194" s="16">
        <v>30000</v>
      </c>
      <c r="BI194" s="16">
        <v>40000</v>
      </c>
      <c r="BJ194" s="16">
        <v>50000</v>
      </c>
      <c r="BK194" s="16">
        <v>60000</v>
      </c>
      <c r="BL194" s="16">
        <v>70000</v>
      </c>
      <c r="BM194" s="16">
        <v>80000</v>
      </c>
      <c r="BN194" s="16">
        <v>90000</v>
      </c>
      <c r="BO194" s="16">
        <v>100000</v>
      </c>
      <c r="BP194" s="36">
        <f t="shared" si="116"/>
        <v>127</v>
      </c>
      <c r="BQ194" s="16">
        <f t="shared" si="117"/>
        <v>316</v>
      </c>
      <c r="BR194" s="36">
        <f t="shared" si="118"/>
        <v>407</v>
      </c>
      <c r="BS194" s="16">
        <f t="shared" si="119"/>
        <v>547</v>
      </c>
      <c r="BT194" s="36">
        <f t="shared" si="120"/>
        <v>757</v>
      </c>
      <c r="BV194" s="153">
        <f t="shared" si="121"/>
        <v>126.15</v>
      </c>
      <c r="BW194" s="153">
        <f t="shared" si="122"/>
        <v>315.375</v>
      </c>
      <c r="BX194" s="153">
        <f t="shared" si="123"/>
        <v>406.48330529999998</v>
      </c>
      <c r="BY194" s="153">
        <f t="shared" si="124"/>
        <v>546.65</v>
      </c>
      <c r="BZ194" s="153">
        <f t="shared" si="125"/>
        <v>756.9</v>
      </c>
      <c r="CC194" s="292"/>
      <c r="DF194" s="287" t="s">
        <v>366</v>
      </c>
      <c r="DG194" s="64">
        <v>0</v>
      </c>
      <c r="DH194" s="238">
        <f>VLOOKUP(X67, DF194:DI198, 4, FALSE)</f>
        <v>0</v>
      </c>
      <c r="DI194" s="238">
        <v>0</v>
      </c>
      <c r="DJ194" s="3">
        <v>0</v>
      </c>
      <c r="DK194" s="3">
        <v>0</v>
      </c>
      <c r="DL194" s="3">
        <v>0</v>
      </c>
      <c r="DM194" s="64">
        <f t="shared" si="140"/>
        <v>0</v>
      </c>
      <c r="DN194" s="64">
        <f t="shared" si="141"/>
        <v>0</v>
      </c>
      <c r="DO194" s="64">
        <f t="shared" si="142"/>
        <v>0</v>
      </c>
    </row>
    <row r="195" spans="30:119" ht="17.25" customHeight="1">
      <c r="AD195" s="152"/>
      <c r="AE195" s="238"/>
      <c r="CC195" s="292"/>
      <c r="DF195" s="263" t="s">
        <v>597</v>
      </c>
      <c r="DG195" s="238">
        <f>IF((DH195=DI195),$Z$67,0)</f>
        <v>0</v>
      </c>
      <c r="DH195" s="238">
        <f>$DH$194</f>
        <v>0</v>
      </c>
      <c r="DI195" s="238">
        <f>DI194+1</f>
        <v>1</v>
      </c>
      <c r="DJ195" s="3">
        <v>0</v>
      </c>
      <c r="DK195" s="3">
        <v>100</v>
      </c>
      <c r="DL195" s="3">
        <v>0</v>
      </c>
      <c r="DM195" s="64">
        <f t="shared" si="140"/>
        <v>0</v>
      </c>
      <c r="DN195" s="64">
        <f t="shared" si="141"/>
        <v>0</v>
      </c>
      <c r="DO195" s="64">
        <f t="shared" si="142"/>
        <v>0</v>
      </c>
    </row>
    <row r="196" spans="30:119" ht="17.25" customHeight="1">
      <c r="AD196" s="152"/>
      <c r="CC196" s="292"/>
      <c r="DF196" s="263" t="s">
        <v>598</v>
      </c>
      <c r="DG196" s="238">
        <f>IF((DH196=DI196),$Z$67,0)</f>
        <v>0</v>
      </c>
      <c r="DH196" s="238">
        <f>$DH$194</f>
        <v>0</v>
      </c>
      <c r="DI196" s="238">
        <f>DI195+1</f>
        <v>2</v>
      </c>
      <c r="DJ196" s="3">
        <v>25</v>
      </c>
      <c r="DK196" s="3">
        <v>100</v>
      </c>
      <c r="DL196" s="3">
        <v>0</v>
      </c>
      <c r="DM196" s="64">
        <f t="shared" si="140"/>
        <v>0</v>
      </c>
      <c r="DN196" s="64">
        <f t="shared" si="141"/>
        <v>0</v>
      </c>
      <c r="DO196" s="64">
        <f t="shared" si="142"/>
        <v>0</v>
      </c>
    </row>
    <row r="197" spans="30:119" ht="17.25" customHeight="1">
      <c r="AD197" s="152"/>
      <c r="CC197" s="292"/>
      <c r="DF197" s="263" t="s">
        <v>599</v>
      </c>
      <c r="DG197" s="238">
        <f>IF((DH197=DI197),$Z$67,0)</f>
        <v>0</v>
      </c>
      <c r="DH197" s="238">
        <f>$DH$194</f>
        <v>0</v>
      </c>
      <c r="DI197" s="238">
        <f>DI196+1</f>
        <v>3</v>
      </c>
      <c r="DJ197" s="3">
        <v>50</v>
      </c>
      <c r="DK197" s="3">
        <v>0</v>
      </c>
      <c r="DL197" s="3">
        <v>0</v>
      </c>
      <c r="DM197" s="64">
        <f t="shared" si="140"/>
        <v>0</v>
      </c>
      <c r="DN197" s="64">
        <f t="shared" si="141"/>
        <v>0</v>
      </c>
      <c r="DO197" s="64">
        <f t="shared" si="142"/>
        <v>0</v>
      </c>
    </row>
    <row r="198" spans="30:119" ht="17.25" customHeight="1">
      <c r="DF198" s="263" t="s">
        <v>600</v>
      </c>
      <c r="DG198" s="238">
        <f>IF((DH198=DI198),$Z$67,0)</f>
        <v>0</v>
      </c>
      <c r="DH198" s="238">
        <f>$DH$194</f>
        <v>0</v>
      </c>
      <c r="DI198" s="238">
        <f>DI197+1</f>
        <v>4</v>
      </c>
      <c r="DJ198" s="3">
        <v>0</v>
      </c>
      <c r="DK198" s="3">
        <v>0</v>
      </c>
      <c r="DL198" s="3">
        <v>1000</v>
      </c>
      <c r="DM198" s="64">
        <f t="shared" si="140"/>
        <v>0</v>
      </c>
      <c r="DN198" s="64">
        <f t="shared" si="141"/>
        <v>0</v>
      </c>
      <c r="DO198" s="64">
        <f t="shared" si="142"/>
        <v>0</v>
      </c>
    </row>
    <row r="199" spans="30:119" ht="17.25" customHeight="1">
      <c r="DF199" s="263" t="s">
        <v>502</v>
      </c>
      <c r="DG199" s="238">
        <v>0</v>
      </c>
      <c r="DH199" s="238">
        <f>VLOOKUP(X68, DF199:DI202, 4, FALSE)</f>
        <v>0</v>
      </c>
      <c r="DI199" s="238">
        <v>0</v>
      </c>
      <c r="DJ199" s="3">
        <v>0</v>
      </c>
      <c r="DK199" s="3">
        <v>0</v>
      </c>
      <c r="DL199" s="3">
        <v>0</v>
      </c>
      <c r="DM199" s="64">
        <f t="shared" si="140"/>
        <v>0</v>
      </c>
      <c r="DN199" s="64">
        <f t="shared" si="141"/>
        <v>0</v>
      </c>
      <c r="DO199" s="64">
        <f t="shared" si="142"/>
        <v>0</v>
      </c>
    </row>
    <row r="200" spans="30:119" ht="17.25" customHeight="1">
      <c r="DF200" s="263" t="s">
        <v>601</v>
      </c>
      <c r="DG200" s="238">
        <f>IF((DH200=DI200),$Z$68,0)</f>
        <v>0</v>
      </c>
      <c r="DH200" s="238">
        <f>$DH$199</f>
        <v>0</v>
      </c>
      <c r="DI200" s="238">
        <f>DI199+1</f>
        <v>1</v>
      </c>
      <c r="DJ200" s="3">
        <v>0</v>
      </c>
      <c r="DK200" s="3">
        <v>300</v>
      </c>
      <c r="DL200" s="3">
        <v>0</v>
      </c>
      <c r="DM200" s="64">
        <f t="shared" si="140"/>
        <v>0</v>
      </c>
      <c r="DN200" s="64">
        <f t="shared" si="141"/>
        <v>0</v>
      </c>
      <c r="DO200" s="64">
        <f t="shared" si="142"/>
        <v>0</v>
      </c>
    </row>
    <row r="201" spans="30:119" ht="17.25" customHeight="1">
      <c r="DF201" s="263" t="s">
        <v>602</v>
      </c>
      <c r="DG201" s="238">
        <f>IF((DH201=DI201),$Z$68,0)</f>
        <v>0</v>
      </c>
      <c r="DH201" s="238">
        <f>$DH$199</f>
        <v>0</v>
      </c>
      <c r="DI201" s="238">
        <f>DI200+1</f>
        <v>2</v>
      </c>
      <c r="DJ201" s="3">
        <v>125</v>
      </c>
      <c r="DK201" s="3">
        <v>0</v>
      </c>
      <c r="DL201" s="3">
        <v>0</v>
      </c>
      <c r="DM201" s="64">
        <f t="shared" si="140"/>
        <v>0</v>
      </c>
      <c r="DN201" s="64">
        <f t="shared" si="141"/>
        <v>0</v>
      </c>
      <c r="DO201" s="64">
        <f t="shared" si="142"/>
        <v>0</v>
      </c>
    </row>
    <row r="202" spans="30:119" ht="17.25" customHeight="1">
      <c r="DF202" s="263" t="s">
        <v>603</v>
      </c>
      <c r="DG202" s="238">
        <f>IF((DH202=DI202),$Z$68,0)</f>
        <v>0</v>
      </c>
      <c r="DH202" s="238">
        <f>$DH$199</f>
        <v>0</v>
      </c>
      <c r="DI202" s="238">
        <f>DI201+1</f>
        <v>3</v>
      </c>
      <c r="DJ202" s="3">
        <v>0</v>
      </c>
      <c r="DK202" s="3">
        <v>0</v>
      </c>
      <c r="DL202" s="3">
        <v>150</v>
      </c>
      <c r="DM202" s="64">
        <f t="shared" si="140"/>
        <v>0</v>
      </c>
      <c r="DN202" s="64">
        <f t="shared" si="141"/>
        <v>0</v>
      </c>
      <c r="DO202" s="64">
        <f t="shared" si="142"/>
        <v>0</v>
      </c>
    </row>
    <row r="203" spans="30:119" ht="17.25" customHeight="1">
      <c r="DF203" s="263" t="s">
        <v>460</v>
      </c>
      <c r="DG203" s="238">
        <v>0</v>
      </c>
      <c r="DH203" s="238">
        <f>VLOOKUP(X69, DF203:DI206, 4, FALSE)</f>
        <v>3</v>
      </c>
      <c r="DI203" s="238">
        <v>0</v>
      </c>
      <c r="DJ203" s="3">
        <v>0</v>
      </c>
      <c r="DK203" s="3">
        <v>0</v>
      </c>
      <c r="DL203" s="3">
        <v>0</v>
      </c>
      <c r="DM203" s="64">
        <f t="shared" si="140"/>
        <v>0</v>
      </c>
      <c r="DN203" s="64">
        <f t="shared" si="141"/>
        <v>0</v>
      </c>
      <c r="DO203" s="64">
        <f t="shared" si="142"/>
        <v>0</v>
      </c>
    </row>
    <row r="204" spans="30:119" ht="17.25" customHeight="1">
      <c r="DF204" s="263" t="s">
        <v>604</v>
      </c>
      <c r="DG204" s="238">
        <f>IF((DH204=DI204),$Z$69,0)</f>
        <v>0</v>
      </c>
      <c r="DH204" s="238">
        <f>$DH$203</f>
        <v>3</v>
      </c>
      <c r="DI204" s="238">
        <f>DI203+1</f>
        <v>1</v>
      </c>
      <c r="DJ204" s="3">
        <v>60</v>
      </c>
      <c r="DK204" s="3">
        <v>0</v>
      </c>
      <c r="DL204" s="3">
        <v>0</v>
      </c>
      <c r="DM204" s="64">
        <f t="shared" si="140"/>
        <v>0</v>
      </c>
      <c r="DN204" s="64">
        <f t="shared" si="141"/>
        <v>0</v>
      </c>
      <c r="DO204" s="64">
        <f t="shared" si="142"/>
        <v>0</v>
      </c>
    </row>
    <row r="205" spans="30:119" ht="17.25" customHeight="1">
      <c r="DF205" s="263" t="s">
        <v>605</v>
      </c>
      <c r="DG205" s="238">
        <f>IF((DH205=DI205),$Z$69,0)</f>
        <v>0</v>
      </c>
      <c r="DH205" s="238">
        <f>$DH$203</f>
        <v>3</v>
      </c>
      <c r="DI205" s="238">
        <f>DI204+1</f>
        <v>2</v>
      </c>
      <c r="DJ205" s="3">
        <v>90</v>
      </c>
      <c r="DK205" s="3">
        <v>0</v>
      </c>
      <c r="DL205" s="3">
        <v>0</v>
      </c>
      <c r="DM205" s="64">
        <f t="shared" si="140"/>
        <v>0</v>
      </c>
      <c r="DN205" s="64">
        <f t="shared" si="141"/>
        <v>0</v>
      </c>
      <c r="DO205" s="64">
        <f t="shared" si="142"/>
        <v>0</v>
      </c>
    </row>
    <row r="206" spans="30:119" ht="17.25" customHeight="1">
      <c r="DF206" s="263" t="s">
        <v>503</v>
      </c>
      <c r="DG206" s="238">
        <f>IF((DH206=DI206),$Z$69,0)</f>
        <v>0</v>
      </c>
      <c r="DH206" s="238">
        <f>$DH$203</f>
        <v>3</v>
      </c>
      <c r="DI206" s="238">
        <f>DI205+1</f>
        <v>3</v>
      </c>
      <c r="DJ206" s="3">
        <v>120</v>
      </c>
      <c r="DK206" s="3">
        <v>0</v>
      </c>
      <c r="DL206" s="3">
        <v>0</v>
      </c>
      <c r="DM206" s="64">
        <f t="shared" si="140"/>
        <v>0</v>
      </c>
      <c r="DN206" s="64">
        <f t="shared" si="141"/>
        <v>0</v>
      </c>
      <c r="DO206" s="64">
        <f t="shared" si="142"/>
        <v>0</v>
      </c>
    </row>
    <row r="207" spans="30:119" ht="17.25" customHeight="1">
      <c r="DF207" s="263" t="s">
        <v>393</v>
      </c>
      <c r="DG207" s="238">
        <v>0</v>
      </c>
      <c r="DH207" s="238">
        <f>VLOOKUP(X70, DF207:DI210, 4, FALSE)</f>
        <v>0</v>
      </c>
      <c r="DI207" s="238">
        <v>0</v>
      </c>
      <c r="DJ207" s="3">
        <v>0</v>
      </c>
      <c r="DK207" s="3">
        <v>0</v>
      </c>
      <c r="DL207" s="3">
        <v>0</v>
      </c>
      <c r="DM207" s="64">
        <f t="shared" si="140"/>
        <v>0</v>
      </c>
      <c r="DN207" s="64">
        <f t="shared" si="141"/>
        <v>0</v>
      </c>
      <c r="DO207" s="64">
        <f t="shared" si="142"/>
        <v>0</v>
      </c>
    </row>
    <row r="208" spans="30:119" ht="17.25" customHeight="1">
      <c r="DF208" s="263" t="s">
        <v>606</v>
      </c>
      <c r="DG208" s="238">
        <f>IF((DH208=DI208),$Z$70,0)</f>
        <v>0</v>
      </c>
      <c r="DH208" s="238">
        <f>$DH$207</f>
        <v>0</v>
      </c>
      <c r="DI208" s="238">
        <f>DI207+1</f>
        <v>1</v>
      </c>
      <c r="DJ208" s="3">
        <v>50</v>
      </c>
      <c r="DK208" s="3">
        <v>0</v>
      </c>
      <c r="DL208" s="3">
        <v>0</v>
      </c>
      <c r="DM208" s="64">
        <f t="shared" si="140"/>
        <v>0</v>
      </c>
      <c r="DN208" s="64">
        <f t="shared" si="141"/>
        <v>0</v>
      </c>
      <c r="DO208" s="64">
        <f t="shared" si="142"/>
        <v>0</v>
      </c>
    </row>
    <row r="209" spans="30:128" ht="17.25" customHeight="1">
      <c r="DF209" s="263" t="s">
        <v>607</v>
      </c>
      <c r="DG209" s="238">
        <f>IF((DH209=DI209),$Z$70,0)</f>
        <v>0</v>
      </c>
      <c r="DH209" s="238">
        <f>$DH$207</f>
        <v>0</v>
      </c>
      <c r="DI209" s="238">
        <f>DI208+1</f>
        <v>2</v>
      </c>
      <c r="DJ209" s="3">
        <v>125</v>
      </c>
      <c r="DK209" s="3">
        <v>0</v>
      </c>
      <c r="DL209" s="3">
        <v>0</v>
      </c>
      <c r="DM209" s="64">
        <f t="shared" si="140"/>
        <v>0</v>
      </c>
      <c r="DN209" s="64">
        <f t="shared" si="141"/>
        <v>0</v>
      </c>
      <c r="DO209" s="64">
        <f t="shared" si="142"/>
        <v>0</v>
      </c>
    </row>
    <row r="210" spans="30:128" ht="17.25" customHeight="1">
      <c r="DF210" s="263" t="s">
        <v>608</v>
      </c>
      <c r="DG210" s="238">
        <f>IF((DH210=DI210),$Z$70,0)</f>
        <v>0</v>
      </c>
      <c r="DH210" s="238">
        <f>$DH$207</f>
        <v>0</v>
      </c>
      <c r="DI210" s="238">
        <f>DI209+1</f>
        <v>3</v>
      </c>
      <c r="DJ210" s="3">
        <v>200</v>
      </c>
      <c r="DK210" s="3">
        <v>0</v>
      </c>
      <c r="DL210" s="3">
        <v>0</v>
      </c>
      <c r="DM210" s="64">
        <f t="shared" si="140"/>
        <v>0</v>
      </c>
      <c r="DN210" s="64">
        <f t="shared" si="141"/>
        <v>0</v>
      </c>
      <c r="DO210" s="64">
        <f t="shared" si="142"/>
        <v>0</v>
      </c>
    </row>
    <row r="211" spans="30:128" ht="17.25" customHeight="1">
      <c r="DF211" s="263" t="s">
        <v>397</v>
      </c>
      <c r="DG211" s="238">
        <v>0</v>
      </c>
      <c r="DH211" s="238">
        <f>VLOOKUP(X71, DF211:DI217, 4, FALSE)</f>
        <v>0</v>
      </c>
      <c r="DI211" s="238">
        <v>0</v>
      </c>
      <c r="DJ211" s="3">
        <v>0</v>
      </c>
      <c r="DK211" s="3">
        <v>0</v>
      </c>
      <c r="DL211" s="3">
        <v>0</v>
      </c>
      <c r="DM211" s="64">
        <f t="shared" si="140"/>
        <v>0</v>
      </c>
      <c r="DN211" s="64">
        <f t="shared" si="141"/>
        <v>0</v>
      </c>
      <c r="DO211" s="64">
        <f t="shared" si="142"/>
        <v>0</v>
      </c>
    </row>
    <row r="212" spans="30:128" ht="17.25" customHeight="1">
      <c r="DF212" s="263" t="s">
        <v>514</v>
      </c>
      <c r="DG212" s="238">
        <f t="shared" ref="DG212:DG217" si="152">IF((DH212=DI212),$Z$71,0)</f>
        <v>0</v>
      </c>
      <c r="DH212" s="238">
        <f t="shared" ref="DH212:DH217" si="153">$DH$211</f>
        <v>0</v>
      </c>
      <c r="DI212" s="238">
        <f t="shared" ref="DI212:DI217" si="154">DI211+1</f>
        <v>1</v>
      </c>
      <c r="DJ212" s="3">
        <v>0.1</v>
      </c>
      <c r="DK212" s="3">
        <v>0</v>
      </c>
      <c r="DL212" s="3">
        <v>0</v>
      </c>
      <c r="DM212" s="64">
        <f t="shared" si="140"/>
        <v>0</v>
      </c>
      <c r="DN212" s="64">
        <f t="shared" si="141"/>
        <v>0</v>
      </c>
      <c r="DO212" s="64">
        <f t="shared" si="142"/>
        <v>0</v>
      </c>
    </row>
    <row r="213" spans="30:128" ht="17.25" customHeight="1">
      <c r="AF213" s="238"/>
      <c r="AG213" s="238"/>
      <c r="AH213" s="238"/>
      <c r="DF213" s="263" t="s">
        <v>515</v>
      </c>
      <c r="DG213" s="238">
        <f t="shared" si="152"/>
        <v>0</v>
      </c>
      <c r="DH213" s="238">
        <f t="shared" si="153"/>
        <v>0</v>
      </c>
      <c r="DI213" s="238">
        <f t="shared" si="154"/>
        <v>2</v>
      </c>
      <c r="DJ213" s="3">
        <v>0.1</v>
      </c>
      <c r="DK213" s="3">
        <v>0</v>
      </c>
      <c r="DL213" s="3">
        <v>0</v>
      </c>
      <c r="DM213" s="64">
        <f t="shared" si="140"/>
        <v>0</v>
      </c>
      <c r="DN213" s="64">
        <f t="shared" si="141"/>
        <v>0</v>
      </c>
      <c r="DO213" s="64">
        <f t="shared" si="142"/>
        <v>0</v>
      </c>
    </row>
    <row r="214" spans="30:128" ht="17.25" customHeight="1">
      <c r="AF214" s="238"/>
      <c r="AG214" s="238"/>
      <c r="AH214" s="238"/>
      <c r="DF214" s="263" t="s">
        <v>517</v>
      </c>
      <c r="DG214" s="238">
        <f t="shared" si="152"/>
        <v>0</v>
      </c>
      <c r="DH214" s="238">
        <f t="shared" si="153"/>
        <v>0</v>
      </c>
      <c r="DI214" s="238">
        <f t="shared" si="154"/>
        <v>3</v>
      </c>
      <c r="DJ214" s="3">
        <v>1000</v>
      </c>
      <c r="DK214" s="3">
        <v>0</v>
      </c>
      <c r="DL214" s="3">
        <v>0</v>
      </c>
      <c r="DM214" s="64">
        <f t="shared" si="140"/>
        <v>0</v>
      </c>
      <c r="DN214" s="64">
        <f t="shared" si="141"/>
        <v>0</v>
      </c>
      <c r="DO214" s="64">
        <f t="shared" si="142"/>
        <v>0</v>
      </c>
    </row>
    <row r="215" spans="30:128" ht="17.25" customHeight="1">
      <c r="AF215" s="238"/>
      <c r="AG215" s="238"/>
      <c r="AH215" s="238"/>
      <c r="DF215" s="263" t="s">
        <v>518</v>
      </c>
      <c r="DG215" s="238">
        <f t="shared" si="152"/>
        <v>0</v>
      </c>
      <c r="DH215" s="238">
        <f t="shared" si="153"/>
        <v>0</v>
      </c>
      <c r="DI215" s="238">
        <f t="shared" si="154"/>
        <v>4</v>
      </c>
      <c r="DJ215" s="3">
        <v>300</v>
      </c>
      <c r="DK215" s="3">
        <v>0</v>
      </c>
      <c r="DL215" s="3">
        <v>0</v>
      </c>
      <c r="DM215" s="64">
        <f t="shared" si="140"/>
        <v>0</v>
      </c>
      <c r="DN215" s="64">
        <f t="shared" si="141"/>
        <v>0</v>
      </c>
      <c r="DO215" s="64">
        <f t="shared" si="142"/>
        <v>0</v>
      </c>
    </row>
    <row r="216" spans="30:128" ht="17.25" customHeight="1">
      <c r="AF216" s="152"/>
      <c r="AG216" s="152"/>
      <c r="AH216" s="152"/>
      <c r="DF216" s="263" t="s">
        <v>519</v>
      </c>
      <c r="DG216" s="238">
        <f t="shared" si="152"/>
        <v>0</v>
      </c>
      <c r="DH216" s="238">
        <f t="shared" si="153"/>
        <v>0</v>
      </c>
      <c r="DI216" s="238">
        <f t="shared" si="154"/>
        <v>5</v>
      </c>
      <c r="DJ216" s="3">
        <v>300</v>
      </c>
      <c r="DK216" s="3">
        <v>0</v>
      </c>
      <c r="DL216" s="3">
        <v>0</v>
      </c>
      <c r="DM216" s="64">
        <f t="shared" si="140"/>
        <v>0</v>
      </c>
      <c r="DN216" s="64">
        <f t="shared" si="141"/>
        <v>0</v>
      </c>
      <c r="DO216" s="64">
        <f t="shared" si="142"/>
        <v>0</v>
      </c>
    </row>
    <row r="217" spans="30:128" ht="17.25" customHeight="1">
      <c r="AF217" s="152"/>
      <c r="AG217" s="152"/>
      <c r="AH217" s="152"/>
      <c r="DF217" s="263" t="s">
        <v>520</v>
      </c>
      <c r="DG217" s="238">
        <f t="shared" si="152"/>
        <v>0</v>
      </c>
      <c r="DH217" s="238">
        <f t="shared" si="153"/>
        <v>0</v>
      </c>
      <c r="DI217" s="238">
        <f t="shared" si="154"/>
        <v>6</v>
      </c>
      <c r="DJ217" s="3">
        <v>500</v>
      </c>
      <c r="DK217" s="3">
        <v>0</v>
      </c>
      <c r="DL217" s="3">
        <v>0</v>
      </c>
      <c r="DM217" s="64">
        <f t="shared" si="140"/>
        <v>0</v>
      </c>
      <c r="DN217" s="64">
        <f t="shared" si="141"/>
        <v>0</v>
      </c>
      <c r="DO217" s="64">
        <f t="shared" si="142"/>
        <v>0</v>
      </c>
    </row>
    <row r="218" spans="30:128" ht="17.25" customHeight="1">
      <c r="AF218" s="152"/>
      <c r="AG218" s="152"/>
      <c r="AH218" s="152"/>
      <c r="DI218" s="3"/>
    </row>
    <row r="219" spans="30:128" ht="17.25" customHeight="1">
      <c r="AF219" s="152"/>
      <c r="AG219" s="152"/>
      <c r="AH219" s="152"/>
      <c r="DF219" s="287" t="s">
        <v>522</v>
      </c>
      <c r="DG219" s="238">
        <v>0</v>
      </c>
      <c r="DH219" s="238"/>
      <c r="DI219" s="238"/>
      <c r="DJ219" s="3">
        <v>6</v>
      </c>
      <c r="DK219" s="3">
        <v>60</v>
      </c>
      <c r="DL219" s="3">
        <v>0</v>
      </c>
      <c r="DM219" s="64">
        <v>0</v>
      </c>
      <c r="DN219" s="64">
        <v>0</v>
      </c>
      <c r="DO219" s="64">
        <v>0</v>
      </c>
    </row>
    <row r="220" spans="30:128" ht="17.25" customHeight="1">
      <c r="AF220" s="152"/>
      <c r="AG220" s="152"/>
      <c r="AH220" s="152"/>
      <c r="DF220" s="287" t="s">
        <v>523</v>
      </c>
      <c r="DG220" s="238">
        <v>0</v>
      </c>
      <c r="DH220" s="238"/>
      <c r="DI220" s="238"/>
      <c r="DJ220" s="3">
        <v>6</v>
      </c>
      <c r="DK220" s="3">
        <v>60</v>
      </c>
      <c r="DL220" s="3">
        <v>0</v>
      </c>
      <c r="DM220" s="64">
        <v>0</v>
      </c>
      <c r="DN220" s="64">
        <v>0</v>
      </c>
      <c r="DO220" s="64">
        <v>0</v>
      </c>
    </row>
    <row r="221" spans="30:128" ht="17.25" customHeight="1">
      <c r="AF221" s="152"/>
      <c r="AG221" s="152"/>
      <c r="AH221" s="152"/>
      <c r="DF221" s="287" t="s">
        <v>524</v>
      </c>
      <c r="DG221" s="238">
        <v>0</v>
      </c>
      <c r="DH221" s="238"/>
      <c r="DI221" s="238"/>
      <c r="DJ221" s="3">
        <v>6</v>
      </c>
      <c r="DK221" s="3">
        <v>60</v>
      </c>
      <c r="DL221" s="3">
        <v>0</v>
      </c>
      <c r="DM221" s="64">
        <v>0</v>
      </c>
      <c r="DN221" s="64">
        <v>0</v>
      </c>
      <c r="DO221" s="64">
        <v>0</v>
      </c>
    </row>
    <row r="222" spans="30:128" ht="17.25" customHeight="1">
      <c r="AF222" s="152"/>
      <c r="AG222" s="152"/>
      <c r="AH222" s="152"/>
      <c r="DF222" s="287" t="s">
        <v>527</v>
      </c>
      <c r="DG222" s="238">
        <v>0</v>
      </c>
      <c r="DH222" s="238"/>
      <c r="DI222" s="238"/>
      <c r="DJ222" s="3">
        <v>6</v>
      </c>
      <c r="DK222" s="3">
        <v>60</v>
      </c>
      <c r="DL222" s="3">
        <v>0</v>
      </c>
      <c r="DM222" s="64">
        <v>0</v>
      </c>
      <c r="DN222" s="64">
        <v>0</v>
      </c>
      <c r="DO222" s="64">
        <v>0</v>
      </c>
    </row>
    <row r="223" spans="30:128" ht="17.25" customHeight="1"/>
    <row r="224" spans="30:128" ht="17.25" customHeight="1">
      <c r="AD224" s="236"/>
      <c r="AE224" s="2262" t="s">
        <v>90</v>
      </c>
      <c r="AF224" s="2458" t="s">
        <v>316</v>
      </c>
      <c r="AG224" s="2449" t="s">
        <v>317</v>
      </c>
      <c r="AH224" s="2449"/>
      <c r="AI224" s="2262" t="s">
        <v>313</v>
      </c>
      <c r="AJ224" s="2262"/>
      <c r="AK224" s="2262"/>
      <c r="AL224" s="2449" t="s">
        <v>318</v>
      </c>
      <c r="AM224" s="2449"/>
      <c r="AN224" s="2449"/>
      <c r="AO224" s="2449"/>
      <c r="AP224" s="2449"/>
      <c r="AQ224" s="2449"/>
      <c r="AR224" s="245"/>
      <c r="AS224" s="2447" t="s">
        <v>609</v>
      </c>
      <c r="AT224" s="2263" t="s">
        <v>320</v>
      </c>
      <c r="AU224" s="2263" t="s">
        <v>321</v>
      </c>
      <c r="AV224" s="2448" t="s">
        <v>322</v>
      </c>
      <c r="AW224" s="2448"/>
      <c r="AX224" s="2448"/>
      <c r="AY224" s="2448"/>
      <c r="AZ224" s="2448"/>
      <c r="BA224" s="2448"/>
      <c r="BB224" s="2448"/>
      <c r="BC224" s="2448"/>
      <c r="BD224" s="2448"/>
      <c r="BE224" s="2448"/>
      <c r="BF224" s="2448" t="s">
        <v>323</v>
      </c>
      <c r="BG224" s="2448"/>
      <c r="BH224" s="2448"/>
      <c r="BI224" s="2448"/>
      <c r="BJ224" s="2448"/>
      <c r="BK224" s="2448"/>
      <c r="BL224" s="2448"/>
      <c r="BM224" s="2448"/>
      <c r="BN224" s="2448"/>
      <c r="BO224" s="2448"/>
      <c r="BP224" s="246" t="s">
        <v>73</v>
      </c>
      <c r="BQ224" s="246" t="s">
        <v>74</v>
      </c>
      <c r="BR224" s="246" t="s">
        <v>75</v>
      </c>
      <c r="BS224" s="246" t="s">
        <v>76</v>
      </c>
      <c r="BT224" s="246" t="s">
        <v>77</v>
      </c>
      <c r="BU224" s="247"/>
      <c r="BV224" s="2449" t="s">
        <v>324</v>
      </c>
      <c r="BW224" s="2449"/>
      <c r="BX224" s="2449"/>
      <c r="BY224" s="2449"/>
      <c r="BZ224" s="2449"/>
      <c r="CB224" s="2262" t="s">
        <v>325</v>
      </c>
      <c r="CC224" s="2262"/>
      <c r="CD224" s="2263" t="s">
        <v>326</v>
      </c>
      <c r="CE224" s="2263" t="s">
        <v>327</v>
      </c>
      <c r="CF224" s="2263"/>
      <c r="CG224" s="2263"/>
      <c r="CH224" s="2462" t="s">
        <v>328</v>
      </c>
      <c r="CI224" s="2462"/>
      <c r="CJ224" s="2462"/>
      <c r="CK224" s="2462"/>
      <c r="CL224" s="2462"/>
      <c r="CM224" s="2462"/>
      <c r="CN224" s="2462"/>
      <c r="CO224" s="2462"/>
      <c r="CP224" s="2262" t="s">
        <v>329</v>
      </c>
      <c r="CQ224" s="2262"/>
      <c r="CR224" s="2262"/>
      <c r="CS224" s="2262"/>
      <c r="CT224" s="2262"/>
      <c r="CU224" s="2262"/>
      <c r="CV224" s="2262" t="s">
        <v>330</v>
      </c>
      <c r="CW224" s="2262"/>
      <c r="CX224" s="2262"/>
      <c r="CY224" s="2262" t="s">
        <v>331</v>
      </c>
      <c r="CZ224" s="2262"/>
      <c r="DA224" s="2262"/>
      <c r="DB224" s="2262" t="s">
        <v>332</v>
      </c>
      <c r="DC224" s="2262"/>
      <c r="DD224" s="2262"/>
      <c r="DF224" s="2262" t="s">
        <v>321</v>
      </c>
      <c r="DG224" s="248"/>
      <c r="DH224" s="2263" t="s">
        <v>320</v>
      </c>
      <c r="DI224" s="2263" t="s">
        <v>321</v>
      </c>
      <c r="DJ224" s="2448" t="s">
        <v>328</v>
      </c>
      <c r="DK224" s="2448"/>
      <c r="DL224" s="2448"/>
      <c r="DM224" s="2262" t="s">
        <v>313</v>
      </c>
      <c r="DN224" s="2262"/>
      <c r="DO224" s="2262"/>
      <c r="DP224" s="249"/>
      <c r="DQ224" s="2263" t="s">
        <v>333</v>
      </c>
      <c r="DR224" s="2263" t="s">
        <v>334</v>
      </c>
      <c r="DS224" s="2448" t="s">
        <v>328</v>
      </c>
      <c r="DT224" s="2448"/>
      <c r="DU224" s="2448"/>
      <c r="DV224" s="2449" t="s">
        <v>335</v>
      </c>
      <c r="DW224" s="2449"/>
      <c r="DX224" s="2449"/>
    </row>
    <row r="225" spans="30:131" ht="17.25" customHeight="1">
      <c r="AD225" s="236"/>
      <c r="AE225" s="2262"/>
      <c r="AF225" s="2458"/>
      <c r="AG225" s="249" t="s">
        <v>342</v>
      </c>
      <c r="AH225" s="249" t="s">
        <v>343</v>
      </c>
      <c r="AI225" s="253" t="s">
        <v>322</v>
      </c>
      <c r="AJ225" s="253" t="s">
        <v>323</v>
      </c>
      <c r="AK225" s="253" t="s">
        <v>338</v>
      </c>
      <c r="AL225" s="2449" t="s">
        <v>344</v>
      </c>
      <c r="AM225" s="2449"/>
      <c r="AN225" s="2449" t="s">
        <v>345</v>
      </c>
      <c r="AO225" s="2449"/>
      <c r="AP225" s="2449" t="s">
        <v>346</v>
      </c>
      <c r="AQ225" s="2449"/>
      <c r="AR225" s="254"/>
      <c r="AS225" s="2447"/>
      <c r="AT225" s="2263"/>
      <c r="AU225" s="2263"/>
      <c r="AV225" s="237" t="s">
        <v>347</v>
      </c>
      <c r="AW225" s="237" t="s">
        <v>348</v>
      </c>
      <c r="AX225" s="237" t="s">
        <v>349</v>
      </c>
      <c r="AY225" s="237" t="s">
        <v>350</v>
      </c>
      <c r="AZ225" s="237" t="s">
        <v>351</v>
      </c>
      <c r="BA225" s="237" t="s">
        <v>352</v>
      </c>
      <c r="BB225" s="237" t="s">
        <v>353</v>
      </c>
      <c r="BC225" s="237" t="s">
        <v>354</v>
      </c>
      <c r="BD225" s="237" t="s">
        <v>355</v>
      </c>
      <c r="BE225" s="237" t="s">
        <v>356</v>
      </c>
      <c r="BF225" s="237" t="s">
        <v>347</v>
      </c>
      <c r="BG225" s="237" t="s">
        <v>348</v>
      </c>
      <c r="BH225" s="237" t="s">
        <v>349</v>
      </c>
      <c r="BI225" s="237" t="s">
        <v>350</v>
      </c>
      <c r="BJ225" s="237" t="s">
        <v>351</v>
      </c>
      <c r="BK225" s="237" t="s">
        <v>352</v>
      </c>
      <c r="BL225" s="237" t="s">
        <v>353</v>
      </c>
      <c r="BM225" s="237" t="s">
        <v>354</v>
      </c>
      <c r="BN225" s="237" t="s">
        <v>355</v>
      </c>
      <c r="BO225" s="237" t="s">
        <v>356</v>
      </c>
      <c r="BP225" s="255" t="s">
        <v>357</v>
      </c>
      <c r="BQ225" s="255" t="s">
        <v>357</v>
      </c>
      <c r="BR225" s="255" t="s">
        <v>357</v>
      </c>
      <c r="BS225" s="255" t="s">
        <v>357</v>
      </c>
      <c r="BT225" s="255" t="s">
        <v>357</v>
      </c>
      <c r="BU225" s="256"/>
      <c r="BV225" s="246" t="s">
        <v>73</v>
      </c>
      <c r="BW225" s="246" t="s">
        <v>74</v>
      </c>
      <c r="BX225" s="246" t="s">
        <v>75</v>
      </c>
      <c r="BY225" s="246" t="s">
        <v>76</v>
      </c>
      <c r="BZ225" s="246" t="s">
        <v>77</v>
      </c>
      <c r="CB225" s="2262"/>
      <c r="CC225" s="2262"/>
      <c r="CD225" s="2263"/>
      <c r="CE225" s="2263"/>
      <c r="CF225" s="2263"/>
      <c r="CG225" s="2263"/>
      <c r="CH225" s="2262" t="s">
        <v>340</v>
      </c>
      <c r="CI225" s="2262"/>
      <c r="CJ225" s="2262"/>
      <c r="CK225" s="2262"/>
      <c r="CL225" s="2262" t="s">
        <v>358</v>
      </c>
      <c r="CM225" s="2262"/>
      <c r="CN225" s="2262"/>
      <c r="CO225" s="2262"/>
      <c r="CP225" s="237" t="s">
        <v>322</v>
      </c>
      <c r="CQ225" s="237" t="s">
        <v>323</v>
      </c>
      <c r="CR225" s="237" t="s">
        <v>341</v>
      </c>
      <c r="CS225" s="255" t="s">
        <v>322</v>
      </c>
      <c r="CT225" s="255" t="s">
        <v>323</v>
      </c>
      <c r="CU225" s="255" t="s">
        <v>341</v>
      </c>
      <c r="CV225" s="237" t="s">
        <v>322</v>
      </c>
      <c r="CW225" s="237" t="s">
        <v>323</v>
      </c>
      <c r="CX225" s="237" t="s">
        <v>341</v>
      </c>
      <c r="CY225" s="237" t="s">
        <v>322</v>
      </c>
      <c r="CZ225" s="237" t="s">
        <v>323</v>
      </c>
      <c r="DA225" s="237" t="s">
        <v>341</v>
      </c>
      <c r="DB225" s="237" t="s">
        <v>322</v>
      </c>
      <c r="DC225" s="237" t="s">
        <v>323</v>
      </c>
      <c r="DD225" s="237" t="s">
        <v>341</v>
      </c>
      <c r="DF225" s="2262"/>
      <c r="DG225" s="248" t="s">
        <v>340</v>
      </c>
      <c r="DH225" s="2263"/>
      <c r="DI225" s="2263"/>
      <c r="DJ225" s="255" t="s">
        <v>322</v>
      </c>
      <c r="DK225" s="255" t="s">
        <v>323</v>
      </c>
      <c r="DL225" s="255" t="s">
        <v>341</v>
      </c>
      <c r="DM225" s="255" t="s">
        <v>322</v>
      </c>
      <c r="DN225" s="255" t="s">
        <v>323</v>
      </c>
      <c r="DO225" s="255" t="s">
        <v>341</v>
      </c>
      <c r="DP225" s="236" t="s">
        <v>334</v>
      </c>
      <c r="DQ225" s="2263"/>
      <c r="DR225" s="2263"/>
      <c r="DS225" s="255" t="s">
        <v>322</v>
      </c>
      <c r="DT225" s="255" t="s">
        <v>323</v>
      </c>
      <c r="DU225" s="255" t="s">
        <v>341</v>
      </c>
      <c r="DV225" s="255" t="s">
        <v>322</v>
      </c>
      <c r="DW225" s="255" t="s">
        <v>323</v>
      </c>
      <c r="DX225" s="255" t="s">
        <v>341</v>
      </c>
      <c r="EA225" s="288"/>
    </row>
    <row r="226" spans="30:131" ht="17.25" customHeight="1">
      <c r="AE226" s="238">
        <v>0</v>
      </c>
      <c r="AF226" s="238">
        <f>D90</f>
        <v>0</v>
      </c>
      <c r="AG226" s="238">
        <f>A82</f>
        <v>0</v>
      </c>
      <c r="AH226" s="238">
        <f>B82</f>
        <v>0</v>
      </c>
      <c r="AI226" s="64" t="e">
        <f t="shared" ref="AI226:AI241" si="155">IF(($AH226&lt;$AG226),0,IF(($AT226=$AU226),SUM(((AM226-AL226)*AF226)),0))</f>
        <v>#REF!</v>
      </c>
      <c r="AJ226" s="64" t="e">
        <f t="shared" ref="AJ226:AJ241" si="156">IF(($AH226&lt;$AG226),0,IF(($AT226=$AU226),SUM(((AO226-AN226)*AF226)),0))</f>
        <v>#REF!</v>
      </c>
      <c r="AK226" s="64" t="e">
        <f t="shared" ref="AK226:AK241" si="157">IF(($AH226&lt;$AG226),0,IF(($AT226=$AU226),SUM(((AQ226-AP226)*AF226)),0))</f>
        <v>#REF!</v>
      </c>
      <c r="AL226" s="64">
        <f t="shared" ref="AL226:AL241" si="158">IF(($AG226&lt;1),0,IF(($AG226=1),AV226,IF(($AG226=2),AW226,IF(($AG226=3),AX226,IF(($AG226=4),AY226,IF(($AG226=5),AZ226,IF(($AG226=6),BA226,IF(($AG226=7),BB226,IF(($AG226=8),BC226,IF(($AG226=9),BD226,IF(($AG226&gt;9),BE226)))))))))))</f>
        <v>0</v>
      </c>
      <c r="AM226" s="238">
        <f t="shared" ref="AM226:AM241" si="159">IF(($AH226&lt;1),0,IF(($AH226=1),AV226,IF(($AH226=2),AW226,IF(($AH226=3),AX226,IF(($AH226=4),AY226,IF(($AH226=5),AZ226,IF(($AH226=6),BA226,IF(($AH226=7),BB226,IF(($AH226=8),BC226,IF(($AH226=9),BD226,IF(($AH226&gt;9),BE226)))))))))))</f>
        <v>0</v>
      </c>
      <c r="AN226" s="64">
        <f t="shared" ref="AN226:AN241" si="160">IF(($AG226&lt;1),0,IF(($AG226=1),BF226,IF(($AG226=2),BG226,IF(($AG226=3),BH226,IF(($AG226=4),BI226,IF(($AG226=5),BJ226,IF(($AG226=6),BK226,IF(($AG226=7),BL226,IF(($AG226=8),BM226,IF(($AG226=9),BN226,IF(($AG226&gt;9),BO226)))))))))))</f>
        <v>0</v>
      </c>
      <c r="AO226" s="238">
        <f t="shared" ref="AO226:AO241" si="161">IF(($AH226&lt;1),0,IF(($AH226=1),BF226,IF(($AH226=2),BG226,IF(($AH226=3),BH226,IF(($AH226=4),BI226,IF(($AH226=5),BJ226,IF(($AH226=6),BK226,IF(($AH226=7),BL226,IF(($AH226=8),BM226,IF(($AH226=9),BN226,IF(($AH226&gt;9),BO226)))))))))))</f>
        <v>0</v>
      </c>
      <c r="AP226" s="238">
        <f t="shared" ref="AP226:AP241" si="162">IF(($AG226&lt;11),0,IF(($AG226=11),$BP226,IF(($AG226=12),$BQ226,IF(($AG226=13),$BR226,IF(($AG226&gt;13),$BS226)))))</f>
        <v>0</v>
      </c>
      <c r="AQ226" s="238">
        <f t="shared" ref="AQ226:AQ241" si="163">IF(($AH226&lt;11),0,IF(($AH226=11),$BP226,IF(($AH226=12),$BQ226,IF(($AH226=13),$BR226,IF(($AH226=14),BS226,IF(($AH226&gt;14),$BT226))))))</f>
        <v>0</v>
      </c>
      <c r="AS226" s="261" t="s">
        <v>610</v>
      </c>
      <c r="AT226" s="238" t="e">
        <f>VLOOKUP(#REF!, AS226:AU230, 3, FALSE)</f>
        <v>#REF!</v>
      </c>
      <c r="AU226" s="238">
        <v>0</v>
      </c>
      <c r="AV226" s="36">
        <v>0</v>
      </c>
      <c r="AW226" s="36">
        <v>0</v>
      </c>
      <c r="AX226" s="36">
        <v>600</v>
      </c>
      <c r="AY226" s="36">
        <v>3000</v>
      </c>
      <c r="AZ226" s="36">
        <v>9000</v>
      </c>
      <c r="BA226" s="36">
        <v>18000</v>
      </c>
      <c r="BB226" s="36">
        <v>33000</v>
      </c>
      <c r="BC226" s="36">
        <v>57000</v>
      </c>
      <c r="BD226" s="36">
        <v>93000</v>
      </c>
      <c r="BE226" s="36">
        <v>153000</v>
      </c>
      <c r="BF226" s="16">
        <v>20000</v>
      </c>
      <c r="BG226" s="16">
        <v>40000</v>
      </c>
      <c r="BH226" s="16">
        <v>60000</v>
      </c>
      <c r="BI226" s="16">
        <v>80000</v>
      </c>
      <c r="BJ226" s="16">
        <v>100000</v>
      </c>
      <c r="BK226" s="16">
        <v>120000</v>
      </c>
      <c r="BL226" s="16">
        <v>140000</v>
      </c>
      <c r="BM226" s="16">
        <v>160000</v>
      </c>
      <c r="BN226" s="16">
        <v>180000</v>
      </c>
      <c r="BO226" s="16">
        <v>200000</v>
      </c>
      <c r="BP226" s="36">
        <f t="shared" ref="BP226:BP241" si="164">SUM(ROUNDUP(BV226,0))</f>
        <v>230</v>
      </c>
      <c r="BQ226" s="16">
        <f t="shared" ref="BQ226:BQ241" si="165">SUM(ROUNDUP(BW226,0))</f>
        <v>574</v>
      </c>
      <c r="BR226" s="36">
        <f t="shared" ref="BR226:BR241" si="166">SUM(ROUNDUP(BX226,0))</f>
        <v>740</v>
      </c>
      <c r="BS226" s="16">
        <f t="shared" ref="BS226:BS241" si="167">SUM(ROUNDUP(BY226,0))</f>
        <v>995</v>
      </c>
      <c r="BT226" s="36">
        <f t="shared" ref="BT226:BT241" si="168">SUM(ROUNDUP(BZ226,0))</f>
        <v>1377</v>
      </c>
      <c r="BV226" s="153">
        <f t="shared" ref="BV226:BV241" si="169">SUM(((BE226*1.5)/1000))</f>
        <v>229.5</v>
      </c>
      <c r="BW226" s="153">
        <f t="shared" ref="BW226:BW241" si="170">SUM((((BE226*2.25)/1000)+(BV226)))</f>
        <v>573.75</v>
      </c>
      <c r="BX226" s="153">
        <f t="shared" ref="BX226:BX241" si="171">SUM(((BE226*3.333333)/1000))+(BV226:BV227)</f>
        <v>739.49994900000002</v>
      </c>
      <c r="BY226" s="153">
        <f t="shared" ref="BY226:BY241" si="172">SUM(((BE226*5)/1000))+(BV226:BV228)</f>
        <v>994.5</v>
      </c>
      <c r="BZ226" s="153">
        <f t="shared" ref="BZ226:BZ241" si="173">SUM(((BE226*7.5)/1000))+(BV226:BV229)</f>
        <v>1377</v>
      </c>
      <c r="CB226" s="262" t="s">
        <v>611</v>
      </c>
      <c r="CC226" s="256">
        <f>VLOOKUP(L90, CB226:CD227, 3, FALSE)</f>
        <v>1</v>
      </c>
      <c r="CD226" s="238">
        <v>0</v>
      </c>
      <c r="CE226" s="236" t="s">
        <v>30</v>
      </c>
      <c r="CF226" s="236" t="s">
        <v>31</v>
      </c>
      <c r="CG226" s="236" t="s">
        <v>362</v>
      </c>
      <c r="CH226" s="2462" t="s">
        <v>30</v>
      </c>
      <c r="CI226" s="2462"/>
      <c r="CJ226" s="237" t="s">
        <v>31</v>
      </c>
      <c r="CK226" s="236" t="s">
        <v>362</v>
      </c>
      <c r="CL226" s="2462" t="s">
        <v>30</v>
      </c>
      <c r="CM226" s="2462"/>
      <c r="CN226" s="237" t="s">
        <v>31</v>
      </c>
      <c r="CO226" s="236" t="s">
        <v>362</v>
      </c>
      <c r="CP226" s="237"/>
      <c r="CQ226" s="237"/>
      <c r="CR226" s="237"/>
      <c r="CS226" s="255"/>
      <c r="CT226" s="255"/>
      <c r="CU226" s="255"/>
      <c r="CV226" s="237"/>
      <c r="CW226" s="237"/>
      <c r="CX226" s="237"/>
      <c r="CY226" s="237"/>
      <c r="CZ226" s="237"/>
      <c r="DA226" s="237"/>
      <c r="DB226" s="91"/>
      <c r="DC226" s="91"/>
      <c r="DD226" s="91"/>
      <c r="DF226" s="236" t="s">
        <v>363</v>
      </c>
      <c r="DG226" s="238"/>
      <c r="DH226" s="238"/>
      <c r="DI226" s="238"/>
      <c r="DJ226" s="238"/>
      <c r="DK226" s="238"/>
      <c r="DL226" s="238"/>
      <c r="DM226" s="238"/>
      <c r="DN226" s="238"/>
      <c r="DO226" s="238"/>
      <c r="DP226" s="263" t="s">
        <v>612</v>
      </c>
      <c r="DQ226" s="238">
        <f>VLOOKUP(EA226, DP226:DR228, 3, FALSE)</f>
        <v>0</v>
      </c>
      <c r="DR226" s="238">
        <v>0</v>
      </c>
      <c r="DS226" s="64">
        <v>0</v>
      </c>
      <c r="DT226" s="64">
        <v>0</v>
      </c>
      <c r="DU226" s="64">
        <v>0</v>
      </c>
      <c r="DV226" s="64">
        <f t="shared" ref="DV226:DX228" si="174">IF(($DR226=$DQ226),DS226,0)</f>
        <v>0</v>
      </c>
      <c r="DW226" s="64">
        <f t="shared" si="174"/>
        <v>0</v>
      </c>
      <c r="DX226" s="64">
        <f t="shared" si="174"/>
        <v>0</v>
      </c>
      <c r="DZ226" s="306"/>
      <c r="EA226" s="310" t="s">
        <v>612</v>
      </c>
    </row>
    <row r="227" spans="30:131" ht="17.25" customHeight="1">
      <c r="AD227" s="64"/>
      <c r="AE227" s="238">
        <v>1</v>
      </c>
      <c r="AF227" s="238">
        <f t="shared" ref="AF227:AH230" si="175">AF$226</f>
        <v>0</v>
      </c>
      <c r="AG227" s="238">
        <f t="shared" si="175"/>
        <v>0</v>
      </c>
      <c r="AH227" s="238">
        <f t="shared" si="175"/>
        <v>0</v>
      </c>
      <c r="AI227" s="64" t="e">
        <f t="shared" si="155"/>
        <v>#REF!</v>
      </c>
      <c r="AJ227" s="64" t="e">
        <f t="shared" si="156"/>
        <v>#REF!</v>
      </c>
      <c r="AK227" s="64" t="e">
        <f t="shared" si="157"/>
        <v>#REF!</v>
      </c>
      <c r="AL227" s="64">
        <f t="shared" si="158"/>
        <v>0</v>
      </c>
      <c r="AM227" s="238">
        <f t="shared" si="159"/>
        <v>0</v>
      </c>
      <c r="AN227" s="64">
        <f t="shared" si="160"/>
        <v>0</v>
      </c>
      <c r="AO227" s="238">
        <f t="shared" si="161"/>
        <v>0</v>
      </c>
      <c r="AP227" s="238">
        <f t="shared" si="162"/>
        <v>0</v>
      </c>
      <c r="AQ227" s="238">
        <f t="shared" si="163"/>
        <v>0</v>
      </c>
      <c r="AS227" s="261" t="s">
        <v>573</v>
      </c>
      <c r="AT227" s="238" t="e">
        <f>$AT$226</f>
        <v>#REF!</v>
      </c>
      <c r="AU227" s="238">
        <f>AU226+1</f>
        <v>1</v>
      </c>
      <c r="AV227" s="36">
        <v>0</v>
      </c>
      <c r="AW227" s="36">
        <v>0</v>
      </c>
      <c r="AX227" s="36">
        <v>600</v>
      </c>
      <c r="AY227" s="36">
        <v>3000</v>
      </c>
      <c r="AZ227" s="36">
        <v>9000</v>
      </c>
      <c r="BA227" s="36">
        <v>18000</v>
      </c>
      <c r="BB227" s="36">
        <v>33000</v>
      </c>
      <c r="BC227" s="36">
        <v>57000</v>
      </c>
      <c r="BD227" s="36">
        <v>93000</v>
      </c>
      <c r="BE227" s="36">
        <v>153000</v>
      </c>
      <c r="BF227" s="16">
        <v>20000</v>
      </c>
      <c r="BG227" s="16">
        <v>40000</v>
      </c>
      <c r="BH227" s="16">
        <v>60000</v>
      </c>
      <c r="BI227" s="16">
        <v>80000</v>
      </c>
      <c r="BJ227" s="16">
        <v>100000</v>
      </c>
      <c r="BK227" s="16">
        <v>120000</v>
      </c>
      <c r="BL227" s="16">
        <v>140000</v>
      </c>
      <c r="BM227" s="16">
        <v>160000</v>
      </c>
      <c r="BN227" s="16">
        <v>180000</v>
      </c>
      <c r="BO227" s="16">
        <v>200000</v>
      </c>
      <c r="BP227" s="36">
        <f t="shared" si="164"/>
        <v>230</v>
      </c>
      <c r="BQ227" s="16">
        <f t="shared" si="165"/>
        <v>574</v>
      </c>
      <c r="BR227" s="36">
        <f t="shared" si="166"/>
        <v>740</v>
      </c>
      <c r="BS227" s="16">
        <f t="shared" si="167"/>
        <v>995</v>
      </c>
      <c r="BT227" s="36">
        <f t="shared" si="168"/>
        <v>1377</v>
      </c>
      <c r="BV227" s="153">
        <f t="shared" si="169"/>
        <v>229.5</v>
      </c>
      <c r="BW227" s="153">
        <f t="shared" si="170"/>
        <v>573.75</v>
      </c>
      <c r="BX227" s="153">
        <f t="shared" si="171"/>
        <v>739.49994900000002</v>
      </c>
      <c r="BY227" s="153">
        <f t="shared" si="172"/>
        <v>994.5</v>
      </c>
      <c r="BZ227" s="153">
        <f t="shared" si="173"/>
        <v>1377</v>
      </c>
      <c r="CB227" s="153" t="s">
        <v>526</v>
      </c>
      <c r="CC227" s="256">
        <f>$CC$226</f>
        <v>1</v>
      </c>
      <c r="CD227" s="238">
        <f>CD226+1</f>
        <v>1</v>
      </c>
      <c r="CE227" s="238" t="str">
        <f>N91</f>
        <v>No</v>
      </c>
      <c r="CF227" s="238" t="str">
        <f>P91</f>
        <v>No</v>
      </c>
      <c r="CG227" s="238" t="str">
        <f>R91</f>
        <v>No</v>
      </c>
      <c r="CH227" s="247">
        <v>400000</v>
      </c>
      <c r="CI227" s="247">
        <v>90000</v>
      </c>
      <c r="CJ227" s="247"/>
      <c r="CK227" s="247"/>
      <c r="CL227" s="256" t="s">
        <v>322</v>
      </c>
      <c r="CM227" s="256" t="s">
        <v>341</v>
      </c>
      <c r="CN227" s="64"/>
      <c r="CO227" s="64"/>
      <c r="CP227" s="64">
        <f>IF((CD227&lt;&gt;CC227),0,IF((CE227&lt;&gt;"Yes"),0,IF((CL227="Cubits"),CH227,0)))</f>
        <v>0</v>
      </c>
      <c r="CQ227" s="64">
        <f>IF((CD227&lt;&gt;CC227),0,IF((CE227&lt;&gt;"Yes"),0,IF((CL227="Tylium"),CH227,0)))</f>
        <v>0</v>
      </c>
      <c r="CR227" s="64">
        <f>IF((CD227&lt;&gt;CC227),0,IF((CE227&lt;&gt;"Yes"),0,IF((CL227="Merits"),CH227,0)))</f>
        <v>0</v>
      </c>
      <c r="CS227" s="64">
        <f>IF((CD227&lt;&gt;CC227),0,IF((CE227&lt;&gt;"Yes"),0,IF((CM227="Cubits"),CI227,0)))</f>
        <v>0</v>
      </c>
      <c r="CT227" s="64">
        <f>IF((CD227&lt;&gt;CC227),0,IF((CE227&lt;&gt;"Yes"),0,IF((CM227="Tylium"),CI227,0)))</f>
        <v>0</v>
      </c>
      <c r="CU227" s="64">
        <f>IF((CD227&lt;&gt;CC227),0,IF((CE227&lt;&gt;"Yes"),0,IF((CM227="Merits"),CI227,0)))</f>
        <v>0</v>
      </c>
      <c r="CV227" s="64">
        <f>IF((CD227&lt;&gt;CC227),0,IF((CF227&lt;&gt;"Yes"),0,IF((CN227="Cubits"),CJ227,0)))</f>
        <v>0</v>
      </c>
      <c r="CW227" s="64">
        <f>IF((CD227&lt;&gt;CC227),0,IF((CF227&lt;&gt;"Yes"),0,IF((CN227="Tylium"),CJ227,0)))</f>
        <v>0</v>
      </c>
      <c r="CX227" s="64">
        <f>IF((CD227&lt;&gt;CC227),0,IF((CF227&lt;&gt;"Yes"),0,IF((CN227="Merits"),CJ227,0)))</f>
        <v>0</v>
      </c>
      <c r="CY227" s="64">
        <f>IF((CD227&lt;&gt;CC227),0,IF((CG227&lt;&gt;"Yes"),0,IF((CO227="Cubits"),CK227,0)))</f>
        <v>0</v>
      </c>
      <c r="CZ227" s="64">
        <f>IF((CD227&lt;&gt;CC227),0,IF((CG227&lt;&gt;"Yes"),0,IF((CO227="Tylium"),CK227,0)))</f>
        <v>0</v>
      </c>
      <c r="DA227" s="64">
        <f>IF((CD227&lt;&gt;CC227),0,IF((CG227&lt;&gt;"Yes"),0,IF((CO227="Merits"),CK227,0)))</f>
        <v>0</v>
      </c>
      <c r="DB227" s="64">
        <f t="shared" ref="DB227:DD230" si="176">SUM((((CP227+CS227)+CV227)+CY227))</f>
        <v>0</v>
      </c>
      <c r="DC227" s="64">
        <f t="shared" si="176"/>
        <v>0</v>
      </c>
      <c r="DD227" s="64">
        <f t="shared" si="176"/>
        <v>0</v>
      </c>
      <c r="DF227" s="263" t="s">
        <v>363</v>
      </c>
      <c r="DG227" s="64">
        <v>0</v>
      </c>
      <c r="DH227" s="238">
        <f>VLOOKUP(X95, DF227:DI239, 4, FALSE)</f>
        <v>0</v>
      </c>
      <c r="DI227" s="238">
        <v>0</v>
      </c>
      <c r="DJ227" s="64">
        <v>0</v>
      </c>
      <c r="DK227" s="64">
        <v>0</v>
      </c>
      <c r="DL227" s="64">
        <v>0</v>
      </c>
      <c r="DM227" s="64">
        <f t="shared" ref="DM227:DM239" si="177">ROUNDUP((DJ227*$DG227),0)</f>
        <v>0</v>
      </c>
      <c r="DN227" s="64">
        <f t="shared" ref="DN227:DN239" si="178">ROUNDUP((DK227*$DG227),0)</f>
        <v>0</v>
      </c>
      <c r="DO227" s="64">
        <f t="shared" ref="DO227:DO239" si="179">ROUNDUP((DL227*$DG227),0)</f>
        <v>0</v>
      </c>
      <c r="DP227" s="263"/>
      <c r="DQ227" s="238">
        <f>$DQ$226</f>
        <v>0</v>
      </c>
      <c r="DR227" s="238">
        <f>DR226+1</f>
        <v>1</v>
      </c>
      <c r="DS227" s="64">
        <v>0</v>
      </c>
      <c r="DT227" s="64">
        <v>0</v>
      </c>
      <c r="DU227" s="64">
        <v>0</v>
      </c>
      <c r="DV227" s="64">
        <f t="shared" si="174"/>
        <v>0</v>
      </c>
      <c r="DW227" s="64">
        <f t="shared" si="174"/>
        <v>0</v>
      </c>
      <c r="DX227" s="64">
        <f t="shared" si="174"/>
        <v>0</v>
      </c>
      <c r="EA227" s="281"/>
    </row>
    <row r="228" spans="30:131" ht="17.25" customHeight="1">
      <c r="AD228" s="64"/>
      <c r="AE228" s="238">
        <v>2</v>
      </c>
      <c r="AF228" s="238">
        <f t="shared" si="175"/>
        <v>0</v>
      </c>
      <c r="AG228" s="238">
        <f t="shared" si="175"/>
        <v>0</v>
      </c>
      <c r="AH228" s="238">
        <f t="shared" si="175"/>
        <v>0</v>
      </c>
      <c r="AI228" s="64" t="e">
        <f t="shared" si="155"/>
        <v>#REF!</v>
      </c>
      <c r="AJ228" s="64" t="e">
        <f t="shared" si="156"/>
        <v>#REF!</v>
      </c>
      <c r="AK228" s="64" t="e">
        <f t="shared" si="157"/>
        <v>#REF!</v>
      </c>
      <c r="AL228" s="64">
        <f t="shared" si="158"/>
        <v>0</v>
      </c>
      <c r="AM228" s="238">
        <f t="shared" si="159"/>
        <v>0</v>
      </c>
      <c r="AN228" s="64">
        <f t="shared" si="160"/>
        <v>0</v>
      </c>
      <c r="AO228" s="238">
        <f t="shared" si="161"/>
        <v>0</v>
      </c>
      <c r="AP228" s="238">
        <f t="shared" si="162"/>
        <v>0</v>
      </c>
      <c r="AQ228" s="238">
        <f t="shared" si="163"/>
        <v>0</v>
      </c>
      <c r="AS228" s="261" t="s">
        <v>574</v>
      </c>
      <c r="AT228" s="238" t="e">
        <f>$AT$226</f>
        <v>#REF!</v>
      </c>
      <c r="AU228" s="238">
        <f>AU227+1</f>
        <v>2</v>
      </c>
      <c r="AV228" s="36">
        <v>0</v>
      </c>
      <c r="AW228" s="36">
        <v>0</v>
      </c>
      <c r="AX228" s="36">
        <v>600</v>
      </c>
      <c r="AY228" s="36">
        <v>3000</v>
      </c>
      <c r="AZ228" s="36">
        <v>9000</v>
      </c>
      <c r="BA228" s="36">
        <v>18000</v>
      </c>
      <c r="BB228" s="36">
        <v>33000</v>
      </c>
      <c r="BC228" s="36">
        <v>57000</v>
      </c>
      <c r="BD228" s="36">
        <v>93000</v>
      </c>
      <c r="BE228" s="36">
        <v>153000</v>
      </c>
      <c r="BF228" s="16">
        <v>20000</v>
      </c>
      <c r="BG228" s="16">
        <v>40000</v>
      </c>
      <c r="BH228" s="16">
        <v>60000</v>
      </c>
      <c r="BI228" s="16">
        <v>80000</v>
      </c>
      <c r="BJ228" s="16">
        <v>100000</v>
      </c>
      <c r="BK228" s="16">
        <v>120000</v>
      </c>
      <c r="BL228" s="16">
        <v>140000</v>
      </c>
      <c r="BM228" s="16">
        <v>160000</v>
      </c>
      <c r="BN228" s="16">
        <v>180000</v>
      </c>
      <c r="BO228" s="16">
        <v>200000</v>
      </c>
      <c r="BP228" s="36">
        <f t="shared" si="164"/>
        <v>230</v>
      </c>
      <c r="BQ228" s="16">
        <f t="shared" si="165"/>
        <v>574</v>
      </c>
      <c r="BR228" s="36">
        <f t="shared" si="166"/>
        <v>740</v>
      </c>
      <c r="BS228" s="16">
        <f t="shared" si="167"/>
        <v>995</v>
      </c>
      <c r="BT228" s="36">
        <f t="shared" si="168"/>
        <v>1377</v>
      </c>
      <c r="BV228" s="153">
        <f t="shared" si="169"/>
        <v>229.5</v>
      </c>
      <c r="BW228" s="153">
        <f t="shared" si="170"/>
        <v>573.75</v>
      </c>
      <c r="BX228" s="153">
        <f t="shared" si="171"/>
        <v>739.49994900000002</v>
      </c>
      <c r="BY228" s="153">
        <f t="shared" si="172"/>
        <v>994.5</v>
      </c>
      <c r="BZ228" s="153">
        <f t="shared" si="173"/>
        <v>1377</v>
      </c>
      <c r="CC228" s="256">
        <f>$CC$226</f>
        <v>1</v>
      </c>
      <c r="CD228" s="238">
        <f>CD227+1</f>
        <v>2</v>
      </c>
      <c r="CE228" s="152" t="str">
        <f>$CE$227</f>
        <v>No</v>
      </c>
      <c r="CF228" s="152" t="str">
        <f>$CF$227</f>
        <v>No</v>
      </c>
      <c r="CG228" s="152" t="str">
        <f>$CG$227</f>
        <v>No</v>
      </c>
      <c r="CH228" s="64"/>
      <c r="CI228" s="247"/>
      <c r="CJ228" s="64"/>
      <c r="CK228" s="64"/>
      <c r="CL228" s="64"/>
      <c r="CM228" s="256"/>
      <c r="CN228" s="64"/>
      <c r="CO228" s="64"/>
      <c r="CP228" s="64">
        <f>IF((CD228&lt;&gt;CC228),0,IF((CE228&lt;&gt;"Yes"),0,IF((CL228="Cubits"),CH228,0)))</f>
        <v>0</v>
      </c>
      <c r="CQ228" s="64">
        <f>IF((CD228&lt;&gt;CC228),0,IF((CE228&lt;&gt;"Yes"),0,IF((CL228="Tylium"),CH228,0)))</f>
        <v>0</v>
      </c>
      <c r="CR228" s="64">
        <f>IF((CD228&lt;&gt;CC228),0,IF((CE228&lt;&gt;"Yes"),0,IF((CL228="Merits"),CH228,0)))</f>
        <v>0</v>
      </c>
      <c r="CS228" s="64">
        <f>IF((CD228&lt;&gt;CC228),0,IF((CE228&lt;&gt;"Yes"),0,IF((CM228="Cubits"),CI228,0)))</f>
        <v>0</v>
      </c>
      <c r="CT228" s="64">
        <f>IF((CD228&lt;&gt;CC228),0,IF((CE228&lt;&gt;"Yes"),0,IF((CM228="Tylium"),CI228,0)))</f>
        <v>0</v>
      </c>
      <c r="CU228" s="64">
        <f>IF((CD228&lt;&gt;CC228),0,IF((CE228&lt;&gt;"Yes"),0,IF((CM228="Merits"),CI228,0)))</f>
        <v>0</v>
      </c>
      <c r="CV228" s="64">
        <f>IF((CD228&lt;&gt;CC228),0,IF((CF228&lt;&gt;"Yes"),0,IF((CN228="Cubits"),CJ228,0)))</f>
        <v>0</v>
      </c>
      <c r="CW228" s="64">
        <f>IF((CD228&lt;&gt;CC228),0,IF((CF228&lt;&gt;"Yes"),0,IF((CN228="Tylium"),CJ228,0)))</f>
        <v>0</v>
      </c>
      <c r="CX228" s="64">
        <f>IF((CD228&lt;&gt;CC228),0,IF((CF228&lt;&gt;"Yes"),0,IF((CN228="Merits"),CJ228,0)))</f>
        <v>0</v>
      </c>
      <c r="CY228" s="64">
        <f>IF((CD228&lt;&gt;CC228),0,IF((CG228&lt;&gt;"Yes"),0,IF((CO228="Cubits"),CK228,0)))</f>
        <v>0</v>
      </c>
      <c r="CZ228" s="64">
        <f>IF((CD228&lt;&gt;CC228),0,IF((CG228&lt;&gt;"Yes"),0,IF((CO228="Tylium"),CK228,0)))</f>
        <v>0</v>
      </c>
      <c r="DA228" s="64">
        <f>IF((CD228&lt;&gt;CC228),0,IF((CG228&lt;&gt;"Yes"),0,IF((CO228="Merits"),CK228,0)))</f>
        <v>0</v>
      </c>
      <c r="DB228" s="64">
        <f t="shared" si="176"/>
        <v>0</v>
      </c>
      <c r="DC228" s="64">
        <f t="shared" si="176"/>
        <v>0</v>
      </c>
      <c r="DD228" s="64">
        <f t="shared" si="176"/>
        <v>0</v>
      </c>
      <c r="DF228" s="263" t="s">
        <v>378</v>
      </c>
      <c r="DG228" s="238">
        <f t="shared" ref="DG228:DG239" si="180">IF((DH228=DI228),$Z$95,0)</f>
        <v>0</v>
      </c>
      <c r="DH228" s="238">
        <f t="shared" ref="DH228:DH239" si="181">$DH$227</f>
        <v>0</v>
      </c>
      <c r="DI228" s="238">
        <f t="shared" ref="DI228:DI239" si="182">DI227+1</f>
        <v>1</v>
      </c>
      <c r="DJ228" s="64">
        <v>1500</v>
      </c>
      <c r="DK228" s="64">
        <v>0</v>
      </c>
      <c r="DL228" s="64">
        <v>0</v>
      </c>
      <c r="DM228" s="64">
        <f t="shared" si="177"/>
        <v>0</v>
      </c>
      <c r="DN228" s="64">
        <f t="shared" si="178"/>
        <v>0</v>
      </c>
      <c r="DO228" s="64">
        <f t="shared" si="179"/>
        <v>0</v>
      </c>
      <c r="DP228" s="263"/>
      <c r="DQ228" s="238">
        <f>$DQ$226</f>
        <v>0</v>
      </c>
      <c r="DR228" s="238">
        <f>DR227+1</f>
        <v>2</v>
      </c>
      <c r="DS228" s="64">
        <v>0</v>
      </c>
      <c r="DT228" s="64">
        <v>0</v>
      </c>
      <c r="DU228" s="64">
        <v>0</v>
      </c>
      <c r="DV228" s="64">
        <f t="shared" si="174"/>
        <v>0</v>
      </c>
      <c r="DW228" s="64">
        <f t="shared" si="174"/>
        <v>0</v>
      </c>
      <c r="DX228" s="64">
        <f t="shared" si="174"/>
        <v>0</v>
      </c>
    </row>
    <row r="229" spans="30:131" ht="17.25" customHeight="1">
      <c r="AD229" s="64"/>
      <c r="AE229" s="238">
        <v>3</v>
      </c>
      <c r="AF229" s="238">
        <f t="shared" si="175"/>
        <v>0</v>
      </c>
      <c r="AG229" s="238">
        <f t="shared" si="175"/>
        <v>0</v>
      </c>
      <c r="AH229" s="238">
        <f t="shared" si="175"/>
        <v>0</v>
      </c>
      <c r="AI229" s="64" t="e">
        <f t="shared" si="155"/>
        <v>#REF!</v>
      </c>
      <c r="AJ229" s="64" t="e">
        <f t="shared" si="156"/>
        <v>#REF!</v>
      </c>
      <c r="AK229" s="64" t="e">
        <f t="shared" si="157"/>
        <v>#REF!</v>
      </c>
      <c r="AL229" s="64">
        <f t="shared" si="158"/>
        <v>0</v>
      </c>
      <c r="AM229" s="238">
        <f t="shared" si="159"/>
        <v>0</v>
      </c>
      <c r="AN229" s="64">
        <f t="shared" si="160"/>
        <v>0</v>
      </c>
      <c r="AO229" s="238">
        <f t="shared" si="161"/>
        <v>0</v>
      </c>
      <c r="AP229" s="238">
        <f t="shared" si="162"/>
        <v>0</v>
      </c>
      <c r="AQ229" s="238">
        <f t="shared" si="163"/>
        <v>0</v>
      </c>
      <c r="AS229" s="261" t="s">
        <v>613</v>
      </c>
      <c r="AT229" s="238" t="e">
        <f>$AT$226</f>
        <v>#REF!</v>
      </c>
      <c r="AU229" s="238">
        <f>AU228+1</f>
        <v>3</v>
      </c>
      <c r="AV229" s="36">
        <v>0</v>
      </c>
      <c r="AW229" s="36">
        <v>0</v>
      </c>
      <c r="AX229" s="36">
        <v>600</v>
      </c>
      <c r="AY229" s="36">
        <v>3000</v>
      </c>
      <c r="AZ229" s="36">
        <v>9000</v>
      </c>
      <c r="BA229" s="36">
        <v>18000</v>
      </c>
      <c r="BB229" s="36">
        <v>33000</v>
      </c>
      <c r="BC229" s="36">
        <v>57000</v>
      </c>
      <c r="BD229" s="36">
        <v>93000</v>
      </c>
      <c r="BE229" s="36">
        <v>153000</v>
      </c>
      <c r="BF229" s="16">
        <v>10000</v>
      </c>
      <c r="BG229" s="16">
        <v>20000</v>
      </c>
      <c r="BH229" s="16">
        <v>30000</v>
      </c>
      <c r="BI229" s="16">
        <v>40000</v>
      </c>
      <c r="BJ229" s="16">
        <v>50000</v>
      </c>
      <c r="BK229" s="16">
        <v>60000</v>
      </c>
      <c r="BL229" s="16">
        <v>70000</v>
      </c>
      <c r="BM229" s="16">
        <v>80000</v>
      </c>
      <c r="BN229" s="16">
        <v>90000</v>
      </c>
      <c r="BO229" s="16">
        <v>100000</v>
      </c>
      <c r="BP229" s="36">
        <f t="shared" si="164"/>
        <v>230</v>
      </c>
      <c r="BQ229" s="16">
        <f t="shared" si="165"/>
        <v>574</v>
      </c>
      <c r="BR229" s="36">
        <f t="shared" si="166"/>
        <v>740</v>
      </c>
      <c r="BS229" s="16">
        <f t="shared" si="167"/>
        <v>995</v>
      </c>
      <c r="BT229" s="36">
        <f t="shared" si="168"/>
        <v>1377</v>
      </c>
      <c r="BV229" s="153">
        <f t="shared" si="169"/>
        <v>229.5</v>
      </c>
      <c r="BW229" s="153">
        <f t="shared" si="170"/>
        <v>573.75</v>
      </c>
      <c r="BX229" s="153">
        <f t="shared" si="171"/>
        <v>739.49994900000002</v>
      </c>
      <c r="BY229" s="153">
        <f t="shared" si="172"/>
        <v>994.5</v>
      </c>
      <c r="BZ229" s="153">
        <f t="shared" si="173"/>
        <v>1377</v>
      </c>
      <c r="CC229" s="256">
        <f>$CC$226</f>
        <v>1</v>
      </c>
      <c r="CD229" s="238">
        <f>CD228+1</f>
        <v>3</v>
      </c>
      <c r="CE229" s="152" t="str">
        <f>$CE$227</f>
        <v>No</v>
      </c>
      <c r="CF229" s="152" t="str">
        <f>$CF$227</f>
        <v>No</v>
      </c>
      <c r="CG229" s="152" t="str">
        <f>$CG$227</f>
        <v>No</v>
      </c>
      <c r="CH229" s="64"/>
      <c r="CI229" s="247"/>
      <c r="CJ229" s="64"/>
      <c r="CK229" s="64"/>
      <c r="CL229" s="64"/>
      <c r="CM229" s="256"/>
      <c r="CN229" s="64"/>
      <c r="CO229" s="64"/>
      <c r="CP229" s="64">
        <f>IF((CD229&lt;&gt;CC229),0,IF((CE229&lt;&gt;"Yes"),0,IF((CL229="Cubits"),CH229,0)))</f>
        <v>0</v>
      </c>
      <c r="CQ229" s="64">
        <f>IF((CD229&lt;&gt;CC229),0,IF((CE229&lt;&gt;"Yes"),0,IF((CL229="Tylium"),CH229,0)))</f>
        <v>0</v>
      </c>
      <c r="CR229" s="64">
        <f>IF((CD229&lt;&gt;CC229),0,IF((CE229&lt;&gt;"Yes"),0,IF((CL229="Merits"),CH229,0)))</f>
        <v>0</v>
      </c>
      <c r="CS229" s="64">
        <f>IF((CD229&lt;&gt;CC229),0,IF((CE229&lt;&gt;"Yes"),0,IF((CM229="Cubits"),CI229,0)))</f>
        <v>0</v>
      </c>
      <c r="CT229" s="64">
        <f>IF((CD229&lt;&gt;CC229),0,IF((CE229&lt;&gt;"Yes"),0,IF((CM229="Tylium"),CI229,0)))</f>
        <v>0</v>
      </c>
      <c r="CU229" s="64">
        <f>IF((CD229&lt;&gt;CC229),0,IF((CE229&lt;&gt;"Yes"),0,IF((CM229="Merits"),CI229,0)))</f>
        <v>0</v>
      </c>
      <c r="CV229" s="64">
        <f>IF((CD229&lt;&gt;CC229),0,IF((CF229&lt;&gt;"Yes"),0,IF((CN229="Cubits"),CJ229,0)))</f>
        <v>0</v>
      </c>
      <c r="CW229" s="64">
        <f>IF((CD229&lt;&gt;CC229),0,IF((CF229&lt;&gt;"Yes"),0,IF((CN229="Tylium"),CJ229,0)))</f>
        <v>0</v>
      </c>
      <c r="CX229" s="64">
        <f>IF((CD229&lt;&gt;CC229),0,IF((CF229&lt;&gt;"Yes"),0,IF((CN229="Merits"),CJ229,0)))</f>
        <v>0</v>
      </c>
      <c r="CY229" s="64">
        <f>IF((CD229&lt;&gt;CC229),0,IF((CG229&lt;&gt;"Yes"),0,IF((CO229="Cubits"),CK229,0)))</f>
        <v>0</v>
      </c>
      <c r="CZ229" s="64">
        <f>IF((CD229&lt;&gt;CC229),0,IF((CG229&lt;&gt;"Yes"),0,IF((CO229="Tylium"),CK229,0)))</f>
        <v>0</v>
      </c>
      <c r="DA229" s="64">
        <f>IF((CD229&lt;&gt;CC229),0,IF((CG229&lt;&gt;"Yes"),0,IF((CO229="Merits"),CK229,0)))</f>
        <v>0</v>
      </c>
      <c r="DB229" s="64">
        <f t="shared" si="176"/>
        <v>0</v>
      </c>
      <c r="DC229" s="64">
        <f t="shared" si="176"/>
        <v>0</v>
      </c>
      <c r="DD229" s="64">
        <f t="shared" si="176"/>
        <v>0</v>
      </c>
      <c r="DF229" s="263" t="s">
        <v>384</v>
      </c>
      <c r="DG229" s="238">
        <f t="shared" si="180"/>
        <v>0</v>
      </c>
      <c r="DH229" s="238">
        <f t="shared" si="181"/>
        <v>0</v>
      </c>
      <c r="DI229" s="238">
        <f t="shared" si="182"/>
        <v>2</v>
      </c>
      <c r="DJ229" s="64">
        <v>2000</v>
      </c>
      <c r="DK229" s="64">
        <v>0</v>
      </c>
      <c r="DL229" s="64">
        <v>0</v>
      </c>
      <c r="DM229" s="64">
        <f t="shared" si="177"/>
        <v>0</v>
      </c>
      <c r="DN229" s="64">
        <f t="shared" si="178"/>
        <v>0</v>
      </c>
      <c r="DO229" s="64">
        <f t="shared" si="179"/>
        <v>0</v>
      </c>
      <c r="DP229" s="263"/>
      <c r="DQ229" s="238"/>
      <c r="DR229" s="238"/>
      <c r="DS229" s="64"/>
      <c r="DT229" s="64"/>
      <c r="DU229" s="64"/>
      <c r="DV229" s="64"/>
      <c r="DW229" s="64"/>
      <c r="DX229" s="64"/>
    </row>
    <row r="230" spans="30:131" ht="17.25" customHeight="1">
      <c r="AD230" s="64"/>
      <c r="AE230" s="238">
        <v>4</v>
      </c>
      <c r="AF230" s="238">
        <f t="shared" si="175"/>
        <v>0</v>
      </c>
      <c r="AG230" s="238">
        <f t="shared" si="175"/>
        <v>0</v>
      </c>
      <c r="AH230" s="238">
        <f t="shared" si="175"/>
        <v>0</v>
      </c>
      <c r="AI230" s="64" t="e">
        <f t="shared" si="155"/>
        <v>#REF!</v>
      </c>
      <c r="AJ230" s="64" t="e">
        <f t="shared" si="156"/>
        <v>#REF!</v>
      </c>
      <c r="AK230" s="64" t="e">
        <f t="shared" si="157"/>
        <v>#REF!</v>
      </c>
      <c r="AL230" s="64">
        <f t="shared" si="158"/>
        <v>0</v>
      </c>
      <c r="AM230" s="238">
        <f t="shared" si="159"/>
        <v>0</v>
      </c>
      <c r="AN230" s="64">
        <f t="shared" si="160"/>
        <v>0</v>
      </c>
      <c r="AO230" s="238">
        <f t="shared" si="161"/>
        <v>0</v>
      </c>
      <c r="AP230" s="238">
        <f t="shared" si="162"/>
        <v>0</v>
      </c>
      <c r="AQ230" s="238">
        <f t="shared" si="163"/>
        <v>0</v>
      </c>
      <c r="AS230" s="261" t="s">
        <v>525</v>
      </c>
      <c r="AT230" s="238" t="e">
        <f>$AT$226</f>
        <v>#REF!</v>
      </c>
      <c r="AU230" s="238">
        <f>AU229+1</f>
        <v>4</v>
      </c>
      <c r="AV230" s="36">
        <v>0</v>
      </c>
      <c r="AW230" s="36">
        <v>0</v>
      </c>
      <c r="AX230" s="36">
        <v>600</v>
      </c>
      <c r="AY230" s="36">
        <v>3000</v>
      </c>
      <c r="AZ230" s="36">
        <v>9000</v>
      </c>
      <c r="BA230" s="36">
        <v>18000</v>
      </c>
      <c r="BB230" s="36">
        <v>33000</v>
      </c>
      <c r="BC230" s="36">
        <v>57000</v>
      </c>
      <c r="BD230" s="36">
        <v>93000</v>
      </c>
      <c r="BE230" s="36">
        <v>153000</v>
      </c>
      <c r="BF230" s="16">
        <v>20000</v>
      </c>
      <c r="BG230" s="16">
        <v>40000</v>
      </c>
      <c r="BH230" s="16">
        <v>60000</v>
      </c>
      <c r="BI230" s="16">
        <v>80000</v>
      </c>
      <c r="BJ230" s="16">
        <v>100000</v>
      </c>
      <c r="BK230" s="16">
        <v>120000</v>
      </c>
      <c r="BL230" s="16">
        <v>140000</v>
      </c>
      <c r="BM230" s="16">
        <v>160000</v>
      </c>
      <c r="BN230" s="16">
        <v>180000</v>
      </c>
      <c r="BO230" s="16">
        <v>200000</v>
      </c>
      <c r="BP230" s="36">
        <f t="shared" si="164"/>
        <v>230</v>
      </c>
      <c r="BQ230" s="16">
        <f t="shared" si="165"/>
        <v>574</v>
      </c>
      <c r="BR230" s="36">
        <f t="shared" si="166"/>
        <v>740</v>
      </c>
      <c r="BS230" s="16">
        <f t="shared" si="167"/>
        <v>995</v>
      </c>
      <c r="BT230" s="36">
        <f t="shared" si="168"/>
        <v>1377</v>
      </c>
      <c r="BV230" s="153">
        <f t="shared" si="169"/>
        <v>229.5</v>
      </c>
      <c r="BW230" s="153">
        <f t="shared" si="170"/>
        <v>573.75</v>
      </c>
      <c r="BX230" s="153">
        <f t="shared" si="171"/>
        <v>739.49994900000002</v>
      </c>
      <c r="BY230" s="153">
        <f t="shared" si="172"/>
        <v>994.5</v>
      </c>
      <c r="BZ230" s="153">
        <f t="shared" si="173"/>
        <v>1377</v>
      </c>
      <c r="CC230" s="256">
        <f>$CC$226</f>
        <v>1</v>
      </c>
      <c r="CD230" s="238">
        <f>CD229+1</f>
        <v>4</v>
      </c>
      <c r="CE230" s="152" t="str">
        <f>$CE$227</f>
        <v>No</v>
      </c>
      <c r="CF230" s="152" t="str">
        <f>$CF$227</f>
        <v>No</v>
      </c>
      <c r="CG230" s="152" t="str">
        <f>$CG$227</f>
        <v>No</v>
      </c>
      <c r="CH230" s="64"/>
      <c r="CI230" s="247"/>
      <c r="CJ230" s="64"/>
      <c r="CK230" s="64"/>
      <c r="CL230" s="64"/>
      <c r="CM230" s="256"/>
      <c r="CN230" s="64"/>
      <c r="CO230" s="64"/>
      <c r="CP230" s="64">
        <f>IF((CD230&lt;&gt;CC230),0,IF((CE230&lt;&gt;"Yes"),0,IF((CL230="Cubits"),CH230,0)))</f>
        <v>0</v>
      </c>
      <c r="CQ230" s="64">
        <f>IF((CD230&lt;&gt;CC230),0,IF((CE230&lt;&gt;"Yes"),0,IF((CL230="Tylium"),CH230,0)))</f>
        <v>0</v>
      </c>
      <c r="CR230" s="64">
        <f>IF((CD230&lt;&gt;CC230),0,IF((CE230&lt;&gt;"Yes"),0,IF((CL230="Merits"),CH230,0)))</f>
        <v>0</v>
      </c>
      <c r="CS230" s="64">
        <f>IF((CD230&lt;&gt;CC230),0,IF((CE230&lt;&gt;"Yes"),0,IF((CM230="Cubits"),CI230,0)))</f>
        <v>0</v>
      </c>
      <c r="CT230" s="64">
        <f>IF((CD230&lt;&gt;CC230),0,IF((CE230&lt;&gt;"Yes"),0,IF((CM230="Tylium"),CI230,0)))</f>
        <v>0</v>
      </c>
      <c r="CU230" s="64">
        <f>IF((CD230&lt;&gt;CC230),0,IF((CE230&lt;&gt;"Yes"),0,IF((CM230="Merits"),CI230,0)))</f>
        <v>0</v>
      </c>
      <c r="CV230" s="64">
        <f>IF((CD230&lt;&gt;CC230),0,IF((CF230&lt;&gt;"Yes"),0,IF((CN230="Cubits"),CJ230,0)))</f>
        <v>0</v>
      </c>
      <c r="CW230" s="64">
        <f>IF((CD230&lt;&gt;CC230),0,IF((CF230&lt;&gt;"Yes"),0,IF((CN230="Tylium"),CJ230,0)))</f>
        <v>0</v>
      </c>
      <c r="CX230" s="64">
        <f>IF((CD230&lt;&gt;CC230),0,IF((CF230&lt;&gt;"Yes"),0,IF((CN230="Merits"),CJ230,0)))</f>
        <v>0</v>
      </c>
      <c r="CY230" s="64">
        <f>IF((CD230&lt;&gt;CC230),0,IF((CG230&lt;&gt;"Yes"),0,IF((CO230="Cubits"),CK230,0)))</f>
        <v>0</v>
      </c>
      <c r="CZ230" s="64">
        <f>IF((CD230&lt;&gt;CC230),0,IF((CG230&lt;&gt;"Yes"),0,IF((CO230="Tylium"),CK230,0)))</f>
        <v>0</v>
      </c>
      <c r="DA230" s="64">
        <f>IF((CD230&lt;&gt;CC230),0,IF((CG230&lt;&gt;"Yes"),0,IF((CO230="Merits"),CK230,0)))</f>
        <v>0</v>
      </c>
      <c r="DB230" s="64">
        <f t="shared" si="176"/>
        <v>0</v>
      </c>
      <c r="DC230" s="64">
        <f t="shared" si="176"/>
        <v>0</v>
      </c>
      <c r="DD230" s="64">
        <f t="shared" si="176"/>
        <v>0</v>
      </c>
      <c r="DF230" s="263" t="s">
        <v>390</v>
      </c>
      <c r="DG230" s="238">
        <f t="shared" si="180"/>
        <v>0</v>
      </c>
      <c r="DH230" s="238">
        <f t="shared" si="181"/>
        <v>0</v>
      </c>
      <c r="DI230" s="238">
        <f t="shared" si="182"/>
        <v>3</v>
      </c>
      <c r="DJ230" s="64">
        <v>8000</v>
      </c>
      <c r="DK230" s="64">
        <v>0</v>
      </c>
      <c r="DL230" s="64">
        <v>0</v>
      </c>
      <c r="DM230" s="64">
        <f t="shared" si="177"/>
        <v>0</v>
      </c>
      <c r="DN230" s="64">
        <f t="shared" si="178"/>
        <v>0</v>
      </c>
      <c r="DO230" s="64">
        <f t="shared" si="179"/>
        <v>0</v>
      </c>
      <c r="DP230" s="263"/>
      <c r="DQ230" s="238"/>
      <c r="DR230" s="238"/>
      <c r="DS230" s="64"/>
      <c r="DT230" s="64"/>
      <c r="DU230" s="64"/>
      <c r="DV230" s="64"/>
      <c r="DW230" s="64"/>
      <c r="DX230" s="64"/>
    </row>
    <row r="231" spans="30:131" ht="17.25" customHeight="1">
      <c r="AD231" s="64"/>
      <c r="AE231" s="238">
        <v>5</v>
      </c>
      <c r="AF231" s="238">
        <f>D92</f>
        <v>0</v>
      </c>
      <c r="AG231" s="238">
        <f>A83</f>
        <v>0</v>
      </c>
      <c r="AH231" s="238">
        <f>B83</f>
        <v>0</v>
      </c>
      <c r="AI231" s="64" t="e">
        <f t="shared" si="155"/>
        <v>#REF!</v>
      </c>
      <c r="AJ231" s="64" t="e">
        <f t="shared" si="156"/>
        <v>#REF!</v>
      </c>
      <c r="AK231" s="64" t="e">
        <f t="shared" si="157"/>
        <v>#REF!</v>
      </c>
      <c r="AL231" s="64">
        <f t="shared" si="158"/>
        <v>0</v>
      </c>
      <c r="AM231" s="238">
        <f t="shared" si="159"/>
        <v>0</v>
      </c>
      <c r="AN231" s="64">
        <f t="shared" si="160"/>
        <v>0</v>
      </c>
      <c r="AO231" s="238">
        <f t="shared" si="161"/>
        <v>0</v>
      </c>
      <c r="AP231" s="238">
        <f t="shared" si="162"/>
        <v>0</v>
      </c>
      <c r="AQ231" s="238">
        <f t="shared" si="163"/>
        <v>0</v>
      </c>
      <c r="AS231" s="269" t="s">
        <v>528</v>
      </c>
      <c r="AT231" s="238" t="e">
        <f>VLOOKUP(#REF!, AS231:AU234, 3, FALSE)</f>
        <v>#REF!</v>
      </c>
      <c r="AU231" s="238">
        <v>0</v>
      </c>
      <c r="AV231" s="36">
        <v>0</v>
      </c>
      <c r="AW231" s="36">
        <v>0</v>
      </c>
      <c r="AX231" s="36">
        <v>600</v>
      </c>
      <c r="AY231" s="36">
        <v>3000</v>
      </c>
      <c r="AZ231" s="36">
        <v>7200</v>
      </c>
      <c r="BA231" s="36">
        <v>13800</v>
      </c>
      <c r="BB231" s="36">
        <v>23800</v>
      </c>
      <c r="BC231" s="36">
        <v>38800</v>
      </c>
      <c r="BD231" s="36">
        <v>62800</v>
      </c>
      <c r="BE231" s="36">
        <v>98800</v>
      </c>
      <c r="BF231" s="16">
        <v>16000</v>
      </c>
      <c r="BG231" s="16">
        <v>32000</v>
      </c>
      <c r="BH231" s="16">
        <v>48000</v>
      </c>
      <c r="BI231" s="16">
        <v>64000</v>
      </c>
      <c r="BJ231" s="16">
        <v>80000</v>
      </c>
      <c r="BK231" s="16">
        <v>96000</v>
      </c>
      <c r="BL231" s="16">
        <v>112000</v>
      </c>
      <c r="BM231" s="16">
        <v>128000</v>
      </c>
      <c r="BN231" s="16">
        <v>144000</v>
      </c>
      <c r="BO231" s="16">
        <v>160000</v>
      </c>
      <c r="BP231" s="36">
        <f t="shared" si="164"/>
        <v>149</v>
      </c>
      <c r="BQ231" s="16">
        <f t="shared" si="165"/>
        <v>371</v>
      </c>
      <c r="BR231" s="36">
        <f t="shared" si="166"/>
        <v>478</v>
      </c>
      <c r="BS231" s="16">
        <f t="shared" si="167"/>
        <v>643</v>
      </c>
      <c r="BT231" s="36">
        <f t="shared" si="168"/>
        <v>890</v>
      </c>
      <c r="BV231" s="153">
        <f t="shared" si="169"/>
        <v>148.19999999999999</v>
      </c>
      <c r="BW231" s="153">
        <f t="shared" si="170"/>
        <v>370.5</v>
      </c>
      <c r="BX231" s="153">
        <f t="shared" si="171"/>
        <v>477.53330039999997</v>
      </c>
      <c r="BY231" s="153">
        <f t="shared" si="172"/>
        <v>642.20000000000005</v>
      </c>
      <c r="BZ231" s="153">
        <f t="shared" si="173"/>
        <v>889.2</v>
      </c>
      <c r="CB231" s="262"/>
      <c r="CC231" s="256"/>
      <c r="CF231" s="236"/>
      <c r="CG231" s="236"/>
      <c r="DF231" s="263" t="s">
        <v>395</v>
      </c>
      <c r="DG231" s="238">
        <f t="shared" si="180"/>
        <v>0</v>
      </c>
      <c r="DH231" s="238">
        <f t="shared" si="181"/>
        <v>0</v>
      </c>
      <c r="DI231" s="238">
        <f t="shared" si="182"/>
        <v>4</v>
      </c>
      <c r="DJ231" s="64">
        <v>32000</v>
      </c>
      <c r="DK231" s="64">
        <v>0</v>
      </c>
      <c r="DL231" s="64">
        <v>0</v>
      </c>
      <c r="DM231" s="64">
        <f t="shared" si="177"/>
        <v>0</v>
      </c>
      <c r="DN231" s="64">
        <f t="shared" si="178"/>
        <v>0</v>
      </c>
      <c r="DO231" s="64">
        <f t="shared" si="179"/>
        <v>0</v>
      </c>
      <c r="DP231" s="263"/>
      <c r="DQ231" s="238"/>
      <c r="DR231" s="238"/>
      <c r="DS231" s="64"/>
      <c r="DT231" s="64"/>
      <c r="DU231" s="64"/>
      <c r="DV231" s="64"/>
      <c r="DW231" s="64"/>
      <c r="DX231" s="64"/>
    </row>
    <row r="232" spans="30:131" ht="17.25" customHeight="1">
      <c r="AD232" s="64"/>
      <c r="AE232" s="238">
        <v>6</v>
      </c>
      <c r="AF232" s="238">
        <f t="shared" ref="AF232:AH234" si="183">AF$231</f>
        <v>0</v>
      </c>
      <c r="AG232" s="238">
        <f t="shared" si="183"/>
        <v>0</v>
      </c>
      <c r="AH232" s="238">
        <f t="shared" si="183"/>
        <v>0</v>
      </c>
      <c r="AI232" s="64" t="e">
        <f t="shared" si="155"/>
        <v>#REF!</v>
      </c>
      <c r="AJ232" s="64" t="e">
        <f t="shared" si="156"/>
        <v>#REF!</v>
      </c>
      <c r="AK232" s="64" t="e">
        <f t="shared" si="157"/>
        <v>#REF!</v>
      </c>
      <c r="AL232" s="64">
        <f t="shared" si="158"/>
        <v>0</v>
      </c>
      <c r="AM232" s="238">
        <f t="shared" si="159"/>
        <v>0</v>
      </c>
      <c r="AN232" s="64">
        <f t="shared" si="160"/>
        <v>0</v>
      </c>
      <c r="AO232" s="238">
        <f t="shared" si="161"/>
        <v>0</v>
      </c>
      <c r="AP232" s="238">
        <f t="shared" si="162"/>
        <v>0</v>
      </c>
      <c r="AQ232" s="238">
        <f t="shared" si="163"/>
        <v>0</v>
      </c>
      <c r="AS232" s="269" t="s">
        <v>614</v>
      </c>
      <c r="AT232" s="238" t="e">
        <f>$AT$231</f>
        <v>#REF!</v>
      </c>
      <c r="AU232" s="238">
        <f>AU231+1</f>
        <v>1</v>
      </c>
      <c r="AV232" s="36">
        <v>0</v>
      </c>
      <c r="AW232" s="36">
        <v>0</v>
      </c>
      <c r="AX232" s="36">
        <v>600</v>
      </c>
      <c r="AY232" s="36">
        <v>2400</v>
      </c>
      <c r="AZ232" s="36">
        <v>5400</v>
      </c>
      <c r="BA232" s="36">
        <v>9900</v>
      </c>
      <c r="BB232" s="36">
        <v>20900</v>
      </c>
      <c r="BC232" s="36">
        <v>32900</v>
      </c>
      <c r="BD232" s="36">
        <v>50900</v>
      </c>
      <c r="BE232" s="36">
        <v>80900</v>
      </c>
      <c r="BF232" s="16">
        <v>10000</v>
      </c>
      <c r="BG232" s="16">
        <v>20000</v>
      </c>
      <c r="BH232" s="16">
        <v>30000</v>
      </c>
      <c r="BI232" s="16">
        <v>40000</v>
      </c>
      <c r="BJ232" s="16">
        <v>50000</v>
      </c>
      <c r="BK232" s="16">
        <v>60000</v>
      </c>
      <c r="BL232" s="16">
        <v>70000</v>
      </c>
      <c r="BM232" s="16">
        <v>80000</v>
      </c>
      <c r="BN232" s="16">
        <v>90000</v>
      </c>
      <c r="BO232" s="16">
        <v>100000</v>
      </c>
      <c r="BP232" s="36">
        <f t="shared" si="164"/>
        <v>122</v>
      </c>
      <c r="BQ232" s="16">
        <f t="shared" si="165"/>
        <v>304</v>
      </c>
      <c r="BR232" s="36">
        <f t="shared" si="166"/>
        <v>392</v>
      </c>
      <c r="BS232" s="16">
        <f t="shared" si="167"/>
        <v>526</v>
      </c>
      <c r="BT232" s="36">
        <f t="shared" si="168"/>
        <v>729</v>
      </c>
      <c r="BV232" s="153">
        <f t="shared" si="169"/>
        <v>121.35</v>
      </c>
      <c r="BW232" s="153">
        <f t="shared" si="170"/>
        <v>303.375</v>
      </c>
      <c r="BX232" s="153">
        <f t="shared" si="171"/>
        <v>391.01663970000004</v>
      </c>
      <c r="BY232" s="153">
        <f t="shared" si="172"/>
        <v>525.85</v>
      </c>
      <c r="BZ232" s="153">
        <f t="shared" si="173"/>
        <v>728.1</v>
      </c>
      <c r="CH232" s="64"/>
      <c r="CI232" s="247"/>
      <c r="CJ232" s="64"/>
      <c r="CK232" s="64"/>
      <c r="CL232" s="64"/>
      <c r="CM232" s="256"/>
      <c r="CN232" s="64"/>
      <c r="CO232" s="64"/>
      <c r="DF232" s="263" t="s">
        <v>399</v>
      </c>
      <c r="DG232" s="238">
        <f t="shared" si="180"/>
        <v>0</v>
      </c>
      <c r="DH232" s="238">
        <f t="shared" si="181"/>
        <v>0</v>
      </c>
      <c r="DI232" s="238">
        <f t="shared" si="182"/>
        <v>5</v>
      </c>
      <c r="DJ232" s="64">
        <v>1000</v>
      </c>
      <c r="DK232" s="64">
        <v>0</v>
      </c>
      <c r="DL232" s="64">
        <v>0</v>
      </c>
      <c r="DM232" s="64">
        <f t="shared" si="177"/>
        <v>0</v>
      </c>
      <c r="DN232" s="64">
        <f t="shared" si="178"/>
        <v>0</v>
      </c>
      <c r="DO232" s="64">
        <f t="shared" si="179"/>
        <v>0</v>
      </c>
      <c r="DP232" s="263"/>
      <c r="DQ232" s="238"/>
      <c r="DR232" s="238"/>
      <c r="DS232" s="64"/>
      <c r="DT232" s="64"/>
      <c r="DU232" s="64"/>
      <c r="DV232" s="64"/>
      <c r="DW232" s="64"/>
      <c r="DX232" s="64"/>
    </row>
    <row r="233" spans="30:131" ht="17.25" customHeight="1">
      <c r="AD233" s="64"/>
      <c r="AE233" s="238">
        <v>7</v>
      </c>
      <c r="AF233" s="238">
        <f t="shared" si="183"/>
        <v>0</v>
      </c>
      <c r="AG233" s="238">
        <f t="shared" si="183"/>
        <v>0</v>
      </c>
      <c r="AH233" s="238">
        <f t="shared" si="183"/>
        <v>0</v>
      </c>
      <c r="AI233" s="64" t="e">
        <f t="shared" si="155"/>
        <v>#REF!</v>
      </c>
      <c r="AJ233" s="64" t="e">
        <f t="shared" si="156"/>
        <v>#REF!</v>
      </c>
      <c r="AK233" s="64" t="e">
        <f t="shared" si="157"/>
        <v>#REF!</v>
      </c>
      <c r="AL233" s="64">
        <f t="shared" si="158"/>
        <v>0</v>
      </c>
      <c r="AM233" s="238">
        <f t="shared" si="159"/>
        <v>0</v>
      </c>
      <c r="AN233" s="64">
        <f t="shared" si="160"/>
        <v>0</v>
      </c>
      <c r="AO233" s="238">
        <f t="shared" si="161"/>
        <v>0</v>
      </c>
      <c r="AP233" s="238">
        <f t="shared" si="162"/>
        <v>0</v>
      </c>
      <c r="AQ233" s="238">
        <f t="shared" si="163"/>
        <v>0</v>
      </c>
      <c r="AS233" s="269" t="s">
        <v>615</v>
      </c>
      <c r="AT233" s="238" t="e">
        <f>$AT$231</f>
        <v>#REF!</v>
      </c>
      <c r="AU233" s="238">
        <f>AU232+1</f>
        <v>2</v>
      </c>
      <c r="AV233" s="36">
        <v>0</v>
      </c>
      <c r="AW233" s="36">
        <v>0</v>
      </c>
      <c r="AX233" s="36">
        <v>600</v>
      </c>
      <c r="AY233" s="36">
        <v>3000</v>
      </c>
      <c r="AZ233" s="36">
        <v>7200</v>
      </c>
      <c r="BA233" s="36">
        <v>13800</v>
      </c>
      <c r="BB233" s="36">
        <v>23800</v>
      </c>
      <c r="BC233" s="36">
        <v>38800</v>
      </c>
      <c r="BD233" s="36">
        <v>62800</v>
      </c>
      <c r="BE233" s="36">
        <v>98800</v>
      </c>
      <c r="BF233" s="16">
        <v>16000</v>
      </c>
      <c r="BG233" s="16">
        <v>32000</v>
      </c>
      <c r="BH233" s="16">
        <v>48000</v>
      </c>
      <c r="BI233" s="16">
        <v>64000</v>
      </c>
      <c r="BJ233" s="16">
        <v>80000</v>
      </c>
      <c r="BK233" s="16">
        <v>96000</v>
      </c>
      <c r="BL233" s="16">
        <v>112000</v>
      </c>
      <c r="BM233" s="16">
        <v>128000</v>
      </c>
      <c r="BN233" s="16">
        <v>144000</v>
      </c>
      <c r="BO233" s="16">
        <v>160000</v>
      </c>
      <c r="BP233" s="36">
        <f t="shared" si="164"/>
        <v>149</v>
      </c>
      <c r="BQ233" s="16">
        <f t="shared" si="165"/>
        <v>371</v>
      </c>
      <c r="BR233" s="36">
        <f t="shared" si="166"/>
        <v>478</v>
      </c>
      <c r="BS233" s="16">
        <f t="shared" si="167"/>
        <v>643</v>
      </c>
      <c r="BT233" s="36">
        <f t="shared" si="168"/>
        <v>890</v>
      </c>
      <c r="BV233" s="153">
        <f t="shared" si="169"/>
        <v>148.19999999999999</v>
      </c>
      <c r="BW233" s="153">
        <f t="shared" si="170"/>
        <v>370.5</v>
      </c>
      <c r="BX233" s="153">
        <f t="shared" si="171"/>
        <v>477.53330039999997</v>
      </c>
      <c r="BY233" s="153">
        <f t="shared" si="172"/>
        <v>642.20000000000005</v>
      </c>
      <c r="BZ233" s="153">
        <f t="shared" si="173"/>
        <v>889.2</v>
      </c>
      <c r="CF233" s="95"/>
      <c r="CG233" s="95"/>
      <c r="CH233" s="64"/>
      <c r="CI233" s="247"/>
      <c r="CJ233" s="64"/>
      <c r="CK233" s="64"/>
      <c r="CL233" s="64"/>
      <c r="CM233" s="256"/>
      <c r="CN233" s="64"/>
      <c r="CO233" s="64"/>
      <c r="DF233" s="263" t="s">
        <v>403</v>
      </c>
      <c r="DG233" s="238">
        <f t="shared" si="180"/>
        <v>0</v>
      </c>
      <c r="DH233" s="238">
        <f t="shared" si="181"/>
        <v>0</v>
      </c>
      <c r="DI233" s="238">
        <f t="shared" si="182"/>
        <v>6</v>
      </c>
      <c r="DJ233" s="64">
        <v>15000</v>
      </c>
      <c r="DK233" s="64">
        <v>0</v>
      </c>
      <c r="DL233" s="64">
        <v>0</v>
      </c>
      <c r="DM233" s="64">
        <f t="shared" si="177"/>
        <v>0</v>
      </c>
      <c r="DN233" s="64">
        <f t="shared" si="178"/>
        <v>0</v>
      </c>
      <c r="DO233" s="64">
        <f t="shared" si="179"/>
        <v>0</v>
      </c>
      <c r="DP233" s="263"/>
      <c r="DQ233" s="238"/>
      <c r="DR233" s="238"/>
      <c r="DS233" s="64"/>
      <c r="DT233" s="64"/>
      <c r="DU233" s="64"/>
      <c r="DV233" s="64"/>
      <c r="DW233" s="64"/>
      <c r="DX233" s="64"/>
    </row>
    <row r="234" spans="30:131" ht="17.25" customHeight="1">
      <c r="AD234" s="64"/>
      <c r="AE234" s="238">
        <v>8</v>
      </c>
      <c r="AF234" s="238">
        <f t="shared" si="183"/>
        <v>0</v>
      </c>
      <c r="AG234" s="238">
        <f t="shared" si="183"/>
        <v>0</v>
      </c>
      <c r="AH234" s="238">
        <f t="shared" si="183"/>
        <v>0</v>
      </c>
      <c r="AI234" s="64" t="e">
        <f t="shared" si="155"/>
        <v>#REF!</v>
      </c>
      <c r="AJ234" s="64" t="e">
        <f t="shared" si="156"/>
        <v>#REF!</v>
      </c>
      <c r="AK234" s="64" t="e">
        <f t="shared" si="157"/>
        <v>#REF!</v>
      </c>
      <c r="AL234" s="64">
        <f t="shared" si="158"/>
        <v>0</v>
      </c>
      <c r="AM234" s="238">
        <f t="shared" si="159"/>
        <v>0</v>
      </c>
      <c r="AN234" s="64">
        <f t="shared" si="160"/>
        <v>0</v>
      </c>
      <c r="AO234" s="238">
        <f t="shared" si="161"/>
        <v>0</v>
      </c>
      <c r="AP234" s="238">
        <f t="shared" si="162"/>
        <v>0</v>
      </c>
      <c r="AQ234" s="238">
        <f t="shared" si="163"/>
        <v>0</v>
      </c>
      <c r="AS234" s="269" t="s">
        <v>616</v>
      </c>
      <c r="AT234" s="238" t="e">
        <f>$AT$231</f>
        <v>#REF!</v>
      </c>
      <c r="AU234" s="238">
        <f>AU233+1</f>
        <v>3</v>
      </c>
      <c r="AV234" s="36">
        <v>0</v>
      </c>
      <c r="AW234" s="36">
        <v>0</v>
      </c>
      <c r="AX234" s="36">
        <v>600</v>
      </c>
      <c r="AY234" s="36">
        <v>3600</v>
      </c>
      <c r="AZ234" s="36">
        <v>10000</v>
      </c>
      <c r="BA234" s="36">
        <v>22000</v>
      </c>
      <c r="BB234" s="36">
        <v>40000</v>
      </c>
      <c r="BC234" s="36">
        <v>67000</v>
      </c>
      <c r="BD234" s="36">
        <v>103000</v>
      </c>
      <c r="BE234" s="36">
        <v>148000</v>
      </c>
      <c r="BF234" s="16">
        <v>20000</v>
      </c>
      <c r="BG234" s="16">
        <v>40000</v>
      </c>
      <c r="BH234" s="16">
        <v>60000</v>
      </c>
      <c r="BI234" s="16">
        <v>80000</v>
      </c>
      <c r="BJ234" s="16">
        <v>100000</v>
      </c>
      <c r="BK234" s="16">
        <v>120000</v>
      </c>
      <c r="BL234" s="16">
        <v>140000</v>
      </c>
      <c r="BM234" s="16">
        <v>160000</v>
      </c>
      <c r="BN234" s="16">
        <v>180000</v>
      </c>
      <c r="BO234" s="16">
        <v>200000</v>
      </c>
      <c r="BP234" s="36">
        <f t="shared" si="164"/>
        <v>222</v>
      </c>
      <c r="BQ234" s="16">
        <f t="shared" si="165"/>
        <v>555</v>
      </c>
      <c r="BR234" s="36">
        <f t="shared" si="166"/>
        <v>716</v>
      </c>
      <c r="BS234" s="16">
        <f t="shared" si="167"/>
        <v>962</v>
      </c>
      <c r="BT234" s="36">
        <f t="shared" si="168"/>
        <v>1332</v>
      </c>
      <c r="BV234" s="153">
        <f t="shared" si="169"/>
        <v>222</v>
      </c>
      <c r="BW234" s="153">
        <f t="shared" si="170"/>
        <v>555</v>
      </c>
      <c r="BX234" s="153">
        <f t="shared" si="171"/>
        <v>715.33328400000005</v>
      </c>
      <c r="BY234" s="153">
        <f t="shared" si="172"/>
        <v>962</v>
      </c>
      <c r="BZ234" s="153">
        <f t="shared" si="173"/>
        <v>1332</v>
      </c>
      <c r="CF234" s="95"/>
      <c r="CG234" s="95"/>
      <c r="CH234" s="64"/>
      <c r="CL234" s="64"/>
      <c r="CN234" s="64"/>
      <c r="CO234" s="64"/>
      <c r="CT234" s="64"/>
      <c r="CU234" s="64"/>
      <c r="DF234" s="263" t="s">
        <v>407</v>
      </c>
      <c r="DG234" s="238">
        <f t="shared" si="180"/>
        <v>0</v>
      </c>
      <c r="DH234" s="238">
        <f t="shared" si="181"/>
        <v>0</v>
      </c>
      <c r="DI234" s="238">
        <f t="shared" si="182"/>
        <v>7</v>
      </c>
      <c r="DJ234" s="64">
        <v>40000</v>
      </c>
      <c r="DK234" s="64">
        <v>0</v>
      </c>
      <c r="DL234" s="64">
        <v>0</v>
      </c>
      <c r="DM234" s="64">
        <f t="shared" si="177"/>
        <v>0</v>
      </c>
      <c r="DN234" s="64">
        <f t="shared" si="178"/>
        <v>0</v>
      </c>
      <c r="DO234" s="64">
        <f t="shared" si="179"/>
        <v>0</v>
      </c>
      <c r="DP234" s="263"/>
      <c r="DQ234" s="238"/>
      <c r="DR234" s="238"/>
      <c r="DS234" s="64"/>
      <c r="DT234" s="64"/>
      <c r="DU234" s="64"/>
      <c r="DV234" s="64"/>
      <c r="DW234" s="64"/>
      <c r="DX234" s="64"/>
    </row>
    <row r="235" spans="30:131" ht="17.25" customHeight="1">
      <c r="AD235" s="64"/>
      <c r="AE235" s="238">
        <v>9</v>
      </c>
      <c r="AF235" s="238">
        <f>D94</f>
        <v>0</v>
      </c>
      <c r="AG235" s="238">
        <f>A84</f>
        <v>0</v>
      </c>
      <c r="AH235" s="238">
        <f>B84</f>
        <v>0</v>
      </c>
      <c r="AI235" s="64" t="e">
        <f t="shared" si="155"/>
        <v>#REF!</v>
      </c>
      <c r="AJ235" s="64" t="e">
        <f t="shared" si="156"/>
        <v>#REF!</v>
      </c>
      <c r="AK235" s="64" t="e">
        <f t="shared" si="157"/>
        <v>#REF!</v>
      </c>
      <c r="AL235" s="64">
        <f t="shared" si="158"/>
        <v>0</v>
      </c>
      <c r="AM235" s="238">
        <f t="shared" si="159"/>
        <v>0</v>
      </c>
      <c r="AN235" s="64">
        <f t="shared" si="160"/>
        <v>0</v>
      </c>
      <c r="AO235" s="238">
        <f t="shared" si="161"/>
        <v>0</v>
      </c>
      <c r="AP235" s="238">
        <f t="shared" si="162"/>
        <v>0</v>
      </c>
      <c r="AQ235" s="238">
        <f t="shared" si="163"/>
        <v>0</v>
      </c>
      <c r="AS235" s="278" t="s">
        <v>617</v>
      </c>
      <c r="AT235" s="238" t="e">
        <f>VLOOKUP(#REF!, AS235:AU237, 3, FALSE)</f>
        <v>#REF!</v>
      </c>
      <c r="AU235" s="238">
        <v>0</v>
      </c>
      <c r="AV235" s="36">
        <v>0</v>
      </c>
      <c r="AW235" s="36">
        <v>0</v>
      </c>
      <c r="AX235" s="36">
        <v>600</v>
      </c>
      <c r="AY235" s="36">
        <v>2400</v>
      </c>
      <c r="AZ235" s="36">
        <v>5400</v>
      </c>
      <c r="BA235" s="36">
        <v>9900</v>
      </c>
      <c r="BB235" s="36">
        <v>20900</v>
      </c>
      <c r="BC235" s="36">
        <v>32900</v>
      </c>
      <c r="BD235" s="36">
        <v>50900</v>
      </c>
      <c r="BE235" s="36">
        <v>80900</v>
      </c>
      <c r="BF235" s="16">
        <v>10000</v>
      </c>
      <c r="BG235" s="16">
        <v>20000</v>
      </c>
      <c r="BH235" s="16">
        <v>30000</v>
      </c>
      <c r="BI235" s="16">
        <v>40000</v>
      </c>
      <c r="BJ235" s="16">
        <v>50000</v>
      </c>
      <c r="BK235" s="16">
        <v>60000</v>
      </c>
      <c r="BL235" s="16">
        <v>70000</v>
      </c>
      <c r="BM235" s="16">
        <v>80000</v>
      </c>
      <c r="BN235" s="16">
        <v>90000</v>
      </c>
      <c r="BO235" s="16">
        <v>100000</v>
      </c>
      <c r="BP235" s="36">
        <f t="shared" si="164"/>
        <v>122</v>
      </c>
      <c r="BQ235" s="16">
        <f t="shared" si="165"/>
        <v>304</v>
      </c>
      <c r="BR235" s="36">
        <f t="shared" si="166"/>
        <v>392</v>
      </c>
      <c r="BS235" s="16">
        <f t="shared" si="167"/>
        <v>526</v>
      </c>
      <c r="BT235" s="36">
        <f t="shared" si="168"/>
        <v>729</v>
      </c>
      <c r="BV235" s="153">
        <f t="shared" si="169"/>
        <v>121.35</v>
      </c>
      <c r="BW235" s="153">
        <f t="shared" si="170"/>
        <v>303.375</v>
      </c>
      <c r="BX235" s="153">
        <f t="shared" si="171"/>
        <v>391.01663970000004</v>
      </c>
      <c r="BY235" s="153">
        <f t="shared" si="172"/>
        <v>525.85</v>
      </c>
      <c r="BZ235" s="153">
        <f t="shared" si="173"/>
        <v>728.1</v>
      </c>
      <c r="CF235" s="95"/>
      <c r="CG235" s="95"/>
      <c r="CH235" s="64"/>
      <c r="CJ235" s="64"/>
      <c r="CK235" s="64"/>
      <c r="CL235" s="64"/>
      <c r="CN235" s="64"/>
      <c r="CO235" s="64"/>
      <c r="DF235" s="263" t="s">
        <v>412</v>
      </c>
      <c r="DG235" s="238">
        <f t="shared" si="180"/>
        <v>0</v>
      </c>
      <c r="DH235" s="238">
        <f t="shared" si="181"/>
        <v>0</v>
      </c>
      <c r="DI235" s="238">
        <f t="shared" si="182"/>
        <v>8</v>
      </c>
      <c r="DJ235" s="64">
        <v>3000</v>
      </c>
      <c r="DK235" s="64">
        <v>0</v>
      </c>
      <c r="DL235" s="64">
        <v>0</v>
      </c>
      <c r="DM235" s="64">
        <f t="shared" si="177"/>
        <v>0</v>
      </c>
      <c r="DN235" s="64">
        <f t="shared" si="178"/>
        <v>0</v>
      </c>
      <c r="DO235" s="64">
        <f t="shared" si="179"/>
        <v>0</v>
      </c>
      <c r="DP235" s="263"/>
      <c r="DQ235" s="238"/>
      <c r="DR235" s="238"/>
      <c r="DS235" s="64"/>
      <c r="DT235" s="64"/>
      <c r="DU235" s="64"/>
      <c r="DV235" s="64"/>
      <c r="DW235" s="64"/>
      <c r="DX235" s="64"/>
    </row>
    <row r="236" spans="30:131" ht="17.25" customHeight="1">
      <c r="AD236" s="64"/>
      <c r="AE236" s="238">
        <v>10</v>
      </c>
      <c r="AF236" s="238">
        <f t="shared" ref="AF236:AH237" si="184">AF$235</f>
        <v>0</v>
      </c>
      <c r="AG236" s="238">
        <f t="shared" si="184"/>
        <v>0</v>
      </c>
      <c r="AH236" s="238">
        <f t="shared" si="184"/>
        <v>0</v>
      </c>
      <c r="AI236" s="64" t="e">
        <f t="shared" si="155"/>
        <v>#REF!</v>
      </c>
      <c r="AJ236" s="64" t="e">
        <f t="shared" si="156"/>
        <v>#REF!</v>
      </c>
      <c r="AK236" s="64" t="e">
        <f t="shared" si="157"/>
        <v>#REF!</v>
      </c>
      <c r="AL236" s="64">
        <f t="shared" si="158"/>
        <v>0</v>
      </c>
      <c r="AM236" s="238">
        <f t="shared" si="159"/>
        <v>0</v>
      </c>
      <c r="AN236" s="64">
        <f t="shared" si="160"/>
        <v>0</v>
      </c>
      <c r="AO236" s="238">
        <f t="shared" si="161"/>
        <v>0</v>
      </c>
      <c r="AP236" s="238">
        <f t="shared" si="162"/>
        <v>0</v>
      </c>
      <c r="AQ236" s="238">
        <f t="shared" si="163"/>
        <v>0</v>
      </c>
      <c r="AS236" s="278" t="s">
        <v>530</v>
      </c>
      <c r="AT236" s="238" t="e">
        <f>$AT$235</f>
        <v>#REF!</v>
      </c>
      <c r="AU236" s="238">
        <f>AU235+1</f>
        <v>1</v>
      </c>
      <c r="AV236" s="36">
        <v>0</v>
      </c>
      <c r="AW236" s="36">
        <v>0</v>
      </c>
      <c r="AX236" s="36">
        <v>600</v>
      </c>
      <c r="AY236" s="36">
        <v>2400</v>
      </c>
      <c r="AZ236" s="36">
        <v>5400</v>
      </c>
      <c r="BA236" s="36">
        <v>9900</v>
      </c>
      <c r="BB236" s="36">
        <v>20900</v>
      </c>
      <c r="BC236" s="36">
        <v>32900</v>
      </c>
      <c r="BD236" s="36">
        <v>50900</v>
      </c>
      <c r="BE236" s="36">
        <v>80900</v>
      </c>
      <c r="BF236" s="16">
        <v>10000</v>
      </c>
      <c r="BG236" s="16">
        <v>20000</v>
      </c>
      <c r="BH236" s="16">
        <v>30000</v>
      </c>
      <c r="BI236" s="16">
        <v>40000</v>
      </c>
      <c r="BJ236" s="16">
        <v>50000</v>
      </c>
      <c r="BK236" s="16">
        <v>60000</v>
      </c>
      <c r="BL236" s="16">
        <v>70000</v>
      </c>
      <c r="BM236" s="16">
        <v>80000</v>
      </c>
      <c r="BN236" s="16">
        <v>90000</v>
      </c>
      <c r="BO236" s="16">
        <v>100000</v>
      </c>
      <c r="BP236" s="36">
        <f t="shared" si="164"/>
        <v>122</v>
      </c>
      <c r="BQ236" s="16">
        <f t="shared" si="165"/>
        <v>304</v>
      </c>
      <c r="BR236" s="36">
        <f t="shared" si="166"/>
        <v>392</v>
      </c>
      <c r="BS236" s="16">
        <f t="shared" si="167"/>
        <v>526</v>
      </c>
      <c r="BT236" s="36">
        <f t="shared" si="168"/>
        <v>729</v>
      </c>
      <c r="BV236" s="153">
        <f t="shared" si="169"/>
        <v>121.35</v>
      </c>
      <c r="BW236" s="153">
        <f t="shared" si="170"/>
        <v>303.375</v>
      </c>
      <c r="BX236" s="153">
        <f t="shared" si="171"/>
        <v>391.01663970000004</v>
      </c>
      <c r="BY236" s="153">
        <f t="shared" si="172"/>
        <v>525.85</v>
      </c>
      <c r="BZ236" s="153">
        <f t="shared" si="173"/>
        <v>728.1</v>
      </c>
      <c r="CB236" s="262"/>
      <c r="CC236" s="256"/>
      <c r="CF236" s="236"/>
      <c r="CG236" s="236"/>
      <c r="CS236" s="64"/>
      <c r="CT236" s="255"/>
      <c r="CU236" s="255"/>
      <c r="DF236" s="263" t="s">
        <v>416</v>
      </c>
      <c r="DG236" s="238">
        <f t="shared" si="180"/>
        <v>0</v>
      </c>
      <c r="DH236" s="238">
        <f t="shared" si="181"/>
        <v>0</v>
      </c>
      <c r="DI236" s="238">
        <f t="shared" si="182"/>
        <v>9</v>
      </c>
      <c r="DJ236" s="64">
        <v>22000</v>
      </c>
      <c r="DK236" s="64">
        <v>0</v>
      </c>
      <c r="DL236" s="64">
        <v>0</v>
      </c>
      <c r="DM236" s="64">
        <f t="shared" si="177"/>
        <v>0</v>
      </c>
      <c r="DN236" s="64">
        <f t="shared" si="178"/>
        <v>0</v>
      </c>
      <c r="DO236" s="64">
        <f t="shared" si="179"/>
        <v>0</v>
      </c>
      <c r="DP236" s="263"/>
      <c r="DQ236" s="238"/>
      <c r="DR236" s="238"/>
      <c r="DS236" s="64"/>
      <c r="DT236" s="64"/>
      <c r="DU236" s="64"/>
      <c r="DV236" s="64"/>
      <c r="DW236" s="64"/>
      <c r="DX236" s="64"/>
    </row>
    <row r="237" spans="30:131" ht="17.25" customHeight="1">
      <c r="AD237" s="64"/>
      <c r="AE237" s="238">
        <v>11</v>
      </c>
      <c r="AF237" s="238">
        <f t="shared" si="184"/>
        <v>0</v>
      </c>
      <c r="AG237" s="238">
        <f t="shared" si="184"/>
        <v>0</v>
      </c>
      <c r="AH237" s="238">
        <f t="shared" si="184"/>
        <v>0</v>
      </c>
      <c r="AI237" s="64" t="e">
        <f t="shared" si="155"/>
        <v>#REF!</v>
      </c>
      <c r="AJ237" s="64" t="e">
        <f t="shared" si="156"/>
        <v>#REF!</v>
      </c>
      <c r="AK237" s="64" t="e">
        <f t="shared" si="157"/>
        <v>#REF!</v>
      </c>
      <c r="AL237" s="64">
        <f t="shared" si="158"/>
        <v>0</v>
      </c>
      <c r="AM237" s="238">
        <f t="shared" si="159"/>
        <v>0</v>
      </c>
      <c r="AN237" s="64">
        <f t="shared" si="160"/>
        <v>0</v>
      </c>
      <c r="AO237" s="238">
        <f t="shared" si="161"/>
        <v>0</v>
      </c>
      <c r="AP237" s="238">
        <f t="shared" si="162"/>
        <v>0</v>
      </c>
      <c r="AQ237" s="238">
        <f t="shared" si="163"/>
        <v>0</v>
      </c>
      <c r="AS237" s="278" t="s">
        <v>618</v>
      </c>
      <c r="AT237" s="238" t="e">
        <f>$AT$235</f>
        <v>#REF!</v>
      </c>
      <c r="AU237" s="238">
        <f>AU236+1</f>
        <v>2</v>
      </c>
      <c r="AV237" s="36">
        <v>0</v>
      </c>
      <c r="AW237" s="36">
        <v>0</v>
      </c>
      <c r="AX237" s="36">
        <v>1400</v>
      </c>
      <c r="AY237" s="36">
        <v>3700</v>
      </c>
      <c r="AZ237" s="36">
        <v>8200</v>
      </c>
      <c r="BA237" s="36">
        <v>15000</v>
      </c>
      <c r="BB237" s="36">
        <v>26000</v>
      </c>
      <c r="BC237" s="36">
        <v>44000</v>
      </c>
      <c r="BD237" s="36">
        <v>71000</v>
      </c>
      <c r="BE237" s="36">
        <v>116000</v>
      </c>
      <c r="BF237" s="16">
        <v>15000</v>
      </c>
      <c r="BG237" s="16">
        <v>30000</v>
      </c>
      <c r="BH237" s="16">
        <v>45000</v>
      </c>
      <c r="BI237" s="16">
        <v>60000</v>
      </c>
      <c r="BJ237" s="16">
        <v>75000</v>
      </c>
      <c r="BK237" s="16">
        <v>90000</v>
      </c>
      <c r="BL237" s="16">
        <v>105000</v>
      </c>
      <c r="BM237" s="16">
        <v>120000</v>
      </c>
      <c r="BN237" s="16">
        <v>135000</v>
      </c>
      <c r="BO237" s="16">
        <v>150000</v>
      </c>
      <c r="BP237" s="36">
        <f t="shared" si="164"/>
        <v>174</v>
      </c>
      <c r="BQ237" s="16">
        <f t="shared" si="165"/>
        <v>435</v>
      </c>
      <c r="BR237" s="36">
        <f t="shared" si="166"/>
        <v>561</v>
      </c>
      <c r="BS237" s="16">
        <f t="shared" si="167"/>
        <v>754</v>
      </c>
      <c r="BT237" s="36">
        <f t="shared" si="168"/>
        <v>1044</v>
      </c>
      <c r="BV237" s="153">
        <f t="shared" si="169"/>
        <v>174</v>
      </c>
      <c r="BW237" s="153">
        <f t="shared" si="170"/>
        <v>435</v>
      </c>
      <c r="BX237" s="153">
        <f t="shared" si="171"/>
        <v>560.66662799999995</v>
      </c>
      <c r="BY237" s="153">
        <f t="shared" si="172"/>
        <v>754</v>
      </c>
      <c r="BZ237" s="153">
        <f t="shared" si="173"/>
        <v>1044</v>
      </c>
      <c r="CH237" s="64"/>
      <c r="CL237" s="64"/>
      <c r="CN237" s="64"/>
      <c r="CO237" s="64"/>
      <c r="CS237" s="255"/>
      <c r="CT237" s="255"/>
      <c r="CU237" s="255"/>
      <c r="DF237" s="263" t="s">
        <v>419</v>
      </c>
      <c r="DG237" s="238">
        <f t="shared" si="180"/>
        <v>0</v>
      </c>
      <c r="DH237" s="238">
        <f t="shared" si="181"/>
        <v>0</v>
      </c>
      <c r="DI237" s="238">
        <f t="shared" si="182"/>
        <v>10</v>
      </c>
      <c r="DJ237" s="64">
        <v>3000</v>
      </c>
      <c r="DK237" s="64">
        <v>0</v>
      </c>
      <c r="DL237" s="64">
        <v>0</v>
      </c>
      <c r="DM237" s="64">
        <f t="shared" si="177"/>
        <v>0</v>
      </c>
      <c r="DN237" s="64">
        <f t="shared" si="178"/>
        <v>0</v>
      </c>
      <c r="DO237" s="64">
        <f t="shared" si="179"/>
        <v>0</v>
      </c>
      <c r="DP237" s="263"/>
      <c r="DQ237" s="238"/>
      <c r="DR237" s="238"/>
      <c r="DS237" s="64"/>
      <c r="DT237" s="64"/>
      <c r="DU237" s="64"/>
      <c r="DV237" s="64"/>
      <c r="DW237" s="64"/>
      <c r="DX237" s="64"/>
    </row>
    <row r="238" spans="30:131" ht="17.25" customHeight="1">
      <c r="AD238" s="64"/>
      <c r="AE238" s="238">
        <v>12</v>
      </c>
      <c r="AF238" s="238">
        <f>D96</f>
        <v>0</v>
      </c>
      <c r="AG238" s="238" t="e">
        <f>#REF!</f>
        <v>#REF!</v>
      </c>
      <c r="AH238" s="238" t="e">
        <f>#REF!</f>
        <v>#REF!</v>
      </c>
      <c r="AI238" s="64" t="e">
        <f t="shared" si="155"/>
        <v>#REF!</v>
      </c>
      <c r="AJ238" s="64" t="e">
        <f t="shared" si="156"/>
        <v>#REF!</v>
      </c>
      <c r="AK238" s="64" t="e">
        <f t="shared" si="157"/>
        <v>#REF!</v>
      </c>
      <c r="AL238" s="64" t="e">
        <f t="shared" si="158"/>
        <v>#REF!</v>
      </c>
      <c r="AM238" s="238" t="e">
        <f t="shared" si="159"/>
        <v>#REF!</v>
      </c>
      <c r="AN238" s="64" t="e">
        <f t="shared" si="160"/>
        <v>#REF!</v>
      </c>
      <c r="AO238" s="238" t="e">
        <f t="shared" si="161"/>
        <v>#REF!</v>
      </c>
      <c r="AP238" s="238" t="e">
        <f t="shared" si="162"/>
        <v>#REF!</v>
      </c>
      <c r="AQ238" s="238" t="e">
        <f t="shared" si="163"/>
        <v>#REF!</v>
      </c>
      <c r="AS238" s="286" t="s">
        <v>308</v>
      </c>
      <c r="AT238" s="238" t="e">
        <f>VLOOKUP(#REF!, AS238:AU241, 3, FALSE)</f>
        <v>#REF!</v>
      </c>
      <c r="AU238" s="238">
        <v>0</v>
      </c>
      <c r="AV238" s="36">
        <v>0</v>
      </c>
      <c r="AW238" s="36">
        <v>0</v>
      </c>
      <c r="AX238" s="36">
        <v>900</v>
      </c>
      <c r="AY238" s="36">
        <v>2700</v>
      </c>
      <c r="AZ238" s="36">
        <v>5700</v>
      </c>
      <c r="BA238" s="36">
        <v>10200</v>
      </c>
      <c r="BB238" s="36">
        <v>17700</v>
      </c>
      <c r="BC238" s="36">
        <v>29700</v>
      </c>
      <c r="BD238" s="36">
        <v>47700</v>
      </c>
      <c r="BE238" s="36">
        <v>77700</v>
      </c>
      <c r="BF238" s="16">
        <v>10000</v>
      </c>
      <c r="BG238" s="16">
        <v>20000</v>
      </c>
      <c r="BH238" s="16">
        <v>30000</v>
      </c>
      <c r="BI238" s="16">
        <v>40000</v>
      </c>
      <c r="BJ238" s="16">
        <v>50000</v>
      </c>
      <c r="BK238" s="16">
        <v>60000</v>
      </c>
      <c r="BL238" s="16">
        <v>70000</v>
      </c>
      <c r="BM238" s="16">
        <v>80000</v>
      </c>
      <c r="BN238" s="16">
        <v>90000</v>
      </c>
      <c r="BO238" s="16">
        <v>100000</v>
      </c>
      <c r="BP238" s="36">
        <f t="shared" si="164"/>
        <v>117</v>
      </c>
      <c r="BQ238" s="16">
        <f t="shared" si="165"/>
        <v>292</v>
      </c>
      <c r="BR238" s="36">
        <f t="shared" si="166"/>
        <v>376</v>
      </c>
      <c r="BS238" s="16">
        <f t="shared" si="167"/>
        <v>506</v>
      </c>
      <c r="BT238" s="36">
        <f t="shared" si="168"/>
        <v>700</v>
      </c>
      <c r="BV238" s="153">
        <f t="shared" si="169"/>
        <v>116.55</v>
      </c>
      <c r="BW238" s="153">
        <f t="shared" si="170"/>
        <v>291.375</v>
      </c>
      <c r="BX238" s="153">
        <f t="shared" si="171"/>
        <v>375.54997410000004</v>
      </c>
      <c r="BY238" s="153">
        <f t="shared" si="172"/>
        <v>505.05</v>
      </c>
      <c r="BZ238" s="153">
        <f t="shared" si="173"/>
        <v>699.3</v>
      </c>
      <c r="CF238" s="95"/>
      <c r="CG238" s="95"/>
      <c r="CH238" s="64"/>
      <c r="CJ238" s="64"/>
      <c r="CK238" s="64"/>
      <c r="CL238" s="64"/>
      <c r="CN238" s="64"/>
      <c r="CO238" s="64"/>
      <c r="CP238" s="64"/>
      <c r="CQ238" s="64"/>
      <c r="CR238" s="64"/>
      <c r="CS238" s="64"/>
      <c r="CT238" s="256"/>
      <c r="CU238" s="256"/>
      <c r="DF238" s="263" t="s">
        <v>423</v>
      </c>
      <c r="DG238" s="238">
        <f t="shared" si="180"/>
        <v>0</v>
      </c>
      <c r="DH238" s="238">
        <f t="shared" si="181"/>
        <v>0</v>
      </c>
      <c r="DI238" s="238">
        <f t="shared" si="182"/>
        <v>11</v>
      </c>
      <c r="DJ238" s="64">
        <v>15000</v>
      </c>
      <c r="DK238" s="64">
        <v>0</v>
      </c>
      <c r="DL238" s="64">
        <v>0</v>
      </c>
      <c r="DM238" s="64">
        <f t="shared" si="177"/>
        <v>0</v>
      </c>
      <c r="DN238" s="64">
        <f t="shared" si="178"/>
        <v>0</v>
      </c>
      <c r="DO238" s="64">
        <f t="shared" si="179"/>
        <v>0</v>
      </c>
      <c r="DP238" s="263"/>
      <c r="DQ238" s="238"/>
      <c r="DR238" s="238"/>
      <c r="DS238" s="64"/>
      <c r="DT238" s="64"/>
      <c r="DU238" s="64"/>
      <c r="DV238" s="64"/>
      <c r="DW238" s="64"/>
      <c r="DX238" s="64"/>
    </row>
    <row r="239" spans="30:131" ht="17.25" customHeight="1">
      <c r="AD239" s="64"/>
      <c r="AE239" s="238">
        <v>13</v>
      </c>
      <c r="AF239" s="238">
        <f t="shared" ref="AF239:AH241" si="185">AF$238</f>
        <v>0</v>
      </c>
      <c r="AG239" s="238" t="e">
        <f t="shared" si="185"/>
        <v>#REF!</v>
      </c>
      <c r="AH239" s="238" t="e">
        <f t="shared" si="185"/>
        <v>#REF!</v>
      </c>
      <c r="AI239" s="64" t="e">
        <f t="shared" si="155"/>
        <v>#REF!</v>
      </c>
      <c r="AJ239" s="64" t="e">
        <f t="shared" si="156"/>
        <v>#REF!</v>
      </c>
      <c r="AK239" s="64" t="e">
        <f t="shared" si="157"/>
        <v>#REF!</v>
      </c>
      <c r="AL239" s="64" t="e">
        <f t="shared" si="158"/>
        <v>#REF!</v>
      </c>
      <c r="AM239" s="238" t="e">
        <f t="shared" si="159"/>
        <v>#REF!</v>
      </c>
      <c r="AN239" s="64" t="e">
        <f t="shared" si="160"/>
        <v>#REF!</v>
      </c>
      <c r="AO239" s="238" t="e">
        <f t="shared" si="161"/>
        <v>#REF!</v>
      </c>
      <c r="AP239" s="238" t="e">
        <f t="shared" si="162"/>
        <v>#REF!</v>
      </c>
      <c r="AQ239" s="238" t="e">
        <f t="shared" si="163"/>
        <v>#REF!</v>
      </c>
      <c r="AS239" s="286" t="s">
        <v>309</v>
      </c>
      <c r="AT239" s="238" t="e">
        <f>$AT$238</f>
        <v>#REF!</v>
      </c>
      <c r="AU239" s="238">
        <f>AU238+1</f>
        <v>1</v>
      </c>
      <c r="AV239" s="36">
        <v>0</v>
      </c>
      <c r="AW239" s="36">
        <v>0</v>
      </c>
      <c r="AX239" s="36">
        <v>600</v>
      </c>
      <c r="AY239" s="36">
        <v>3000</v>
      </c>
      <c r="AZ239" s="36">
        <v>7200</v>
      </c>
      <c r="BA239" s="36">
        <v>13800</v>
      </c>
      <c r="BB239" s="36">
        <v>23800</v>
      </c>
      <c r="BC239" s="36">
        <v>38800</v>
      </c>
      <c r="BD239" s="36">
        <v>62800</v>
      </c>
      <c r="BE239" s="36">
        <v>98800</v>
      </c>
      <c r="BF239" s="16">
        <v>16000</v>
      </c>
      <c r="BG239" s="16">
        <v>32000</v>
      </c>
      <c r="BH239" s="16">
        <v>48000</v>
      </c>
      <c r="BI239" s="16">
        <v>64000</v>
      </c>
      <c r="BJ239" s="16">
        <v>80000</v>
      </c>
      <c r="BK239" s="16">
        <v>96000</v>
      </c>
      <c r="BL239" s="16">
        <v>112000</v>
      </c>
      <c r="BM239" s="16">
        <v>128000</v>
      </c>
      <c r="BN239" s="16">
        <v>144000</v>
      </c>
      <c r="BO239" s="16">
        <v>160000</v>
      </c>
      <c r="BP239" s="36">
        <f t="shared" si="164"/>
        <v>149</v>
      </c>
      <c r="BQ239" s="16">
        <f t="shared" si="165"/>
        <v>371</v>
      </c>
      <c r="BR239" s="36">
        <f t="shared" si="166"/>
        <v>478</v>
      </c>
      <c r="BS239" s="16">
        <f t="shared" si="167"/>
        <v>643</v>
      </c>
      <c r="BT239" s="36">
        <f t="shared" si="168"/>
        <v>890</v>
      </c>
      <c r="BV239" s="153">
        <f t="shared" si="169"/>
        <v>148.19999999999999</v>
      </c>
      <c r="BW239" s="153">
        <f t="shared" si="170"/>
        <v>370.5</v>
      </c>
      <c r="BX239" s="153">
        <f t="shared" si="171"/>
        <v>477.53330039999997</v>
      </c>
      <c r="BY239" s="153">
        <f t="shared" si="172"/>
        <v>642.20000000000005</v>
      </c>
      <c r="BZ239" s="153">
        <f t="shared" si="173"/>
        <v>889.2</v>
      </c>
      <c r="CF239" s="95"/>
      <c r="CG239" s="95"/>
      <c r="CH239" s="64"/>
      <c r="CJ239" s="64"/>
      <c r="CK239" s="64"/>
      <c r="CL239" s="64"/>
      <c r="CN239" s="64"/>
      <c r="CO239" s="64"/>
      <c r="CS239" s="256"/>
      <c r="CT239" s="256"/>
      <c r="CU239" s="256"/>
      <c r="DF239" s="263" t="s">
        <v>427</v>
      </c>
      <c r="DG239" s="238">
        <f t="shared" si="180"/>
        <v>0</v>
      </c>
      <c r="DH239" s="238">
        <f t="shared" si="181"/>
        <v>0</v>
      </c>
      <c r="DI239" s="238">
        <f t="shared" si="182"/>
        <v>12</v>
      </c>
      <c r="DJ239" s="64">
        <v>12000</v>
      </c>
      <c r="DK239" s="64">
        <v>0</v>
      </c>
      <c r="DL239" s="64">
        <v>0</v>
      </c>
      <c r="DM239" s="64">
        <f t="shared" si="177"/>
        <v>0</v>
      </c>
      <c r="DN239" s="64">
        <f t="shared" si="178"/>
        <v>0</v>
      </c>
      <c r="DO239" s="64">
        <f t="shared" si="179"/>
        <v>0</v>
      </c>
      <c r="DP239" s="263"/>
      <c r="DQ239" s="238"/>
      <c r="DR239" s="238"/>
      <c r="DS239" s="64"/>
      <c r="DT239" s="64"/>
      <c r="DU239" s="64"/>
      <c r="DV239" s="64"/>
      <c r="DW239" s="64"/>
      <c r="DX239" s="64"/>
    </row>
    <row r="240" spans="30:131" ht="17.25" customHeight="1">
      <c r="AD240" s="64"/>
      <c r="AE240" s="238">
        <v>14</v>
      </c>
      <c r="AF240" s="238">
        <f t="shared" si="185"/>
        <v>0</v>
      </c>
      <c r="AG240" s="238" t="e">
        <f t="shared" si="185"/>
        <v>#REF!</v>
      </c>
      <c r="AH240" s="238" t="e">
        <f t="shared" si="185"/>
        <v>#REF!</v>
      </c>
      <c r="AI240" s="64" t="e">
        <f t="shared" si="155"/>
        <v>#REF!</v>
      </c>
      <c r="AJ240" s="64" t="e">
        <f t="shared" si="156"/>
        <v>#REF!</v>
      </c>
      <c r="AK240" s="64" t="e">
        <f t="shared" si="157"/>
        <v>#REF!</v>
      </c>
      <c r="AL240" s="64" t="e">
        <f t="shared" si="158"/>
        <v>#REF!</v>
      </c>
      <c r="AM240" s="238" t="e">
        <f t="shared" si="159"/>
        <v>#REF!</v>
      </c>
      <c r="AN240" s="64" t="e">
        <f t="shared" si="160"/>
        <v>#REF!</v>
      </c>
      <c r="AO240" s="238" t="e">
        <f t="shared" si="161"/>
        <v>#REF!</v>
      </c>
      <c r="AP240" s="238" t="e">
        <f t="shared" si="162"/>
        <v>#REF!</v>
      </c>
      <c r="AQ240" s="238" t="e">
        <f t="shared" si="163"/>
        <v>#REF!</v>
      </c>
      <c r="AS240" s="286" t="s">
        <v>310</v>
      </c>
      <c r="AT240" s="238" t="e">
        <f>$AT$238</f>
        <v>#REF!</v>
      </c>
      <c r="AU240" s="238">
        <f>AU239+1</f>
        <v>2</v>
      </c>
      <c r="AV240" s="36">
        <v>0</v>
      </c>
      <c r="AW240" s="36">
        <v>0</v>
      </c>
      <c r="AX240" s="36">
        <v>170</v>
      </c>
      <c r="AY240" s="36">
        <v>850</v>
      </c>
      <c r="AZ240" s="36">
        <v>2550</v>
      </c>
      <c r="BA240" s="36">
        <v>5050</v>
      </c>
      <c r="BB240" s="36">
        <v>9250</v>
      </c>
      <c r="BC240" s="36">
        <v>16050</v>
      </c>
      <c r="BD240" s="36">
        <v>26050</v>
      </c>
      <c r="BE240" s="36">
        <v>43050</v>
      </c>
      <c r="BF240" s="16">
        <v>4500</v>
      </c>
      <c r="BG240" s="16">
        <v>9000</v>
      </c>
      <c r="BH240" s="16">
        <v>13500</v>
      </c>
      <c r="BI240" s="16">
        <v>18000</v>
      </c>
      <c r="BJ240" s="16">
        <v>22500</v>
      </c>
      <c r="BK240" s="16">
        <v>27000</v>
      </c>
      <c r="BL240" s="16">
        <v>31500</v>
      </c>
      <c r="BM240" s="16">
        <v>36000</v>
      </c>
      <c r="BN240" s="16">
        <v>40500</v>
      </c>
      <c r="BO240" s="16">
        <v>45000</v>
      </c>
      <c r="BP240" s="36">
        <f t="shared" si="164"/>
        <v>65</v>
      </c>
      <c r="BQ240" s="16">
        <f t="shared" si="165"/>
        <v>162</v>
      </c>
      <c r="BR240" s="36">
        <f t="shared" si="166"/>
        <v>209</v>
      </c>
      <c r="BS240" s="16">
        <f t="shared" si="167"/>
        <v>280</v>
      </c>
      <c r="BT240" s="36">
        <f t="shared" si="168"/>
        <v>388</v>
      </c>
      <c r="BU240" s="95"/>
      <c r="BV240" s="153">
        <f t="shared" si="169"/>
        <v>64.575000000000003</v>
      </c>
      <c r="BW240" s="153">
        <f t="shared" si="170"/>
        <v>161.4375</v>
      </c>
      <c r="BX240" s="153">
        <f t="shared" si="171"/>
        <v>208.07498565000003</v>
      </c>
      <c r="BY240" s="153">
        <f t="shared" si="172"/>
        <v>279.82499999999999</v>
      </c>
      <c r="BZ240" s="153">
        <f t="shared" si="173"/>
        <v>387.45</v>
      </c>
      <c r="CB240" s="64"/>
      <c r="CC240" s="64"/>
      <c r="CG240" s="256"/>
      <c r="CH240" s="256"/>
      <c r="CI240" s="256"/>
      <c r="CM240" s="236"/>
      <c r="CN240" s="236"/>
      <c r="CO240" s="236"/>
      <c r="CS240" s="256"/>
      <c r="CT240" s="256"/>
      <c r="CU240" s="256"/>
      <c r="CY240" s="236"/>
      <c r="CZ240" s="236"/>
      <c r="DA240" s="236"/>
      <c r="DF240" s="236" t="s">
        <v>430</v>
      </c>
      <c r="DG240" s="236"/>
      <c r="DH240" s="235"/>
      <c r="DI240" s="235"/>
      <c r="DJ240" s="237"/>
      <c r="DK240" s="237"/>
      <c r="DL240" s="237"/>
      <c r="DM240" s="237"/>
      <c r="DN240" s="237"/>
      <c r="DO240" s="237"/>
      <c r="DP240" s="263"/>
      <c r="DQ240" s="238"/>
      <c r="DR240" s="238"/>
      <c r="DS240" s="64"/>
      <c r="DT240" s="64"/>
      <c r="DU240" s="64"/>
      <c r="DV240" s="64"/>
      <c r="DW240" s="64"/>
      <c r="DX240" s="64"/>
    </row>
    <row r="241" spans="30:128" ht="17.25" customHeight="1">
      <c r="AD241" s="64"/>
      <c r="AE241" s="238">
        <v>15</v>
      </c>
      <c r="AF241" s="238">
        <f t="shared" si="185"/>
        <v>0</v>
      </c>
      <c r="AG241" s="238" t="e">
        <f t="shared" si="185"/>
        <v>#REF!</v>
      </c>
      <c r="AH241" s="238" t="e">
        <f t="shared" si="185"/>
        <v>#REF!</v>
      </c>
      <c r="AI241" s="64" t="e">
        <f t="shared" si="155"/>
        <v>#REF!</v>
      </c>
      <c r="AJ241" s="64" t="e">
        <f t="shared" si="156"/>
        <v>#REF!</v>
      </c>
      <c r="AK241" s="64" t="e">
        <f t="shared" si="157"/>
        <v>#REF!</v>
      </c>
      <c r="AL241" s="64" t="e">
        <f t="shared" si="158"/>
        <v>#REF!</v>
      </c>
      <c r="AM241" s="238" t="e">
        <f t="shared" si="159"/>
        <v>#REF!</v>
      </c>
      <c r="AN241" s="64" t="e">
        <f t="shared" si="160"/>
        <v>#REF!</v>
      </c>
      <c r="AO241" s="238" t="e">
        <f t="shared" si="161"/>
        <v>#REF!</v>
      </c>
      <c r="AP241" s="238" t="e">
        <f t="shared" si="162"/>
        <v>#REF!</v>
      </c>
      <c r="AQ241" s="238" t="e">
        <f t="shared" si="163"/>
        <v>#REF!</v>
      </c>
      <c r="AS241" s="286" t="s">
        <v>303</v>
      </c>
      <c r="AT241" s="238" t="e">
        <f>$AT$238</f>
        <v>#REF!</v>
      </c>
      <c r="AU241" s="238">
        <f>AU240+1</f>
        <v>3</v>
      </c>
      <c r="AV241" s="36">
        <v>7000</v>
      </c>
      <c r="AW241" s="36">
        <v>7200</v>
      </c>
      <c r="AX241" s="36">
        <v>7600</v>
      </c>
      <c r="AY241" s="36">
        <v>9200</v>
      </c>
      <c r="AZ241" s="36">
        <v>13200</v>
      </c>
      <c r="BA241" s="36">
        <v>21200</v>
      </c>
      <c r="BB241" s="36">
        <v>37200</v>
      </c>
      <c r="BC241" s="36">
        <v>71200</v>
      </c>
      <c r="BD241" s="36">
        <v>116200</v>
      </c>
      <c r="BE241" s="36">
        <v>171200</v>
      </c>
      <c r="BF241" s="16">
        <v>7000</v>
      </c>
      <c r="BG241" s="16">
        <v>16000</v>
      </c>
      <c r="BH241" s="16">
        <v>25000</v>
      </c>
      <c r="BI241" s="16">
        <v>34000</v>
      </c>
      <c r="BJ241" s="16">
        <v>43000</v>
      </c>
      <c r="BK241" s="16">
        <v>52000</v>
      </c>
      <c r="BL241" s="16">
        <v>61000</v>
      </c>
      <c r="BM241" s="16">
        <v>70000</v>
      </c>
      <c r="BN241" s="16">
        <v>79000</v>
      </c>
      <c r="BO241" s="16">
        <v>88000</v>
      </c>
      <c r="BP241" s="36">
        <f t="shared" si="164"/>
        <v>257</v>
      </c>
      <c r="BQ241" s="16">
        <f t="shared" si="165"/>
        <v>642</v>
      </c>
      <c r="BR241" s="36">
        <f t="shared" si="166"/>
        <v>828</v>
      </c>
      <c r="BS241" s="16">
        <f t="shared" si="167"/>
        <v>1113</v>
      </c>
      <c r="BT241" s="36">
        <f t="shared" si="168"/>
        <v>1541</v>
      </c>
      <c r="BV241" s="153">
        <f t="shared" si="169"/>
        <v>256.8</v>
      </c>
      <c r="BW241" s="153">
        <f t="shared" si="170"/>
        <v>642</v>
      </c>
      <c r="BX241" s="153">
        <f t="shared" si="171"/>
        <v>827.46660960000008</v>
      </c>
      <c r="BY241" s="153">
        <f t="shared" si="172"/>
        <v>1112.8</v>
      </c>
      <c r="BZ241" s="153">
        <f t="shared" si="173"/>
        <v>1540.8</v>
      </c>
      <c r="CB241" s="237"/>
      <c r="CC241" s="237"/>
      <c r="CG241" s="256"/>
      <c r="CH241" s="256"/>
      <c r="CI241" s="256"/>
      <c r="CM241" s="237"/>
      <c r="CN241" s="237"/>
      <c r="CO241" s="237"/>
      <c r="CS241" s="256"/>
      <c r="CT241" s="256"/>
      <c r="CU241" s="256"/>
      <c r="CY241" s="237"/>
      <c r="CZ241" s="237"/>
      <c r="DA241" s="237"/>
      <c r="DF241" s="287" t="s">
        <v>433</v>
      </c>
      <c r="DG241" s="238">
        <v>0</v>
      </c>
      <c r="DH241" s="238">
        <f>VLOOKUP(X89, DF241:DI254, 4, FALSE)</f>
        <v>0</v>
      </c>
      <c r="DI241" s="238">
        <v>0</v>
      </c>
      <c r="DJ241" s="3">
        <v>0</v>
      </c>
      <c r="DK241" s="3">
        <v>0</v>
      </c>
      <c r="DL241" s="3">
        <v>0</v>
      </c>
      <c r="DM241" s="64">
        <f t="shared" ref="DM241:DM282" si="186">ROUNDUP((DJ241*$DG241),0)</f>
        <v>0</v>
      </c>
      <c r="DN241" s="64">
        <f t="shared" ref="DN241:DN282" si="187">ROUNDUP((DK241*$DG241),0)</f>
        <v>0</v>
      </c>
      <c r="DO241" s="64">
        <f t="shared" ref="DO241:DO282" si="188">ROUNDUP((DL241*$DG241),0)</f>
        <v>0</v>
      </c>
      <c r="DP241" s="263"/>
      <c r="DQ241" s="238"/>
      <c r="DR241" s="238"/>
      <c r="DS241" s="64"/>
      <c r="DT241" s="64"/>
      <c r="DU241" s="64"/>
      <c r="DV241" s="64"/>
      <c r="DW241" s="64"/>
      <c r="DX241" s="64"/>
    </row>
    <row r="242" spans="30:128" ht="17.25" customHeight="1">
      <c r="AD242" s="64"/>
      <c r="AE242" s="238"/>
      <c r="AT242" s="236"/>
      <c r="AU242" s="152"/>
      <c r="AV242" s="236"/>
      <c r="AW242" s="95"/>
      <c r="AX242" s="311"/>
      <c r="AY242" s="311"/>
      <c r="AZ242" s="64"/>
      <c r="BA242" s="64"/>
      <c r="BB242" s="238"/>
      <c r="BC242" s="238"/>
      <c r="BD242" s="256"/>
      <c r="BE242" s="238"/>
      <c r="BF242" s="238"/>
      <c r="BG242" s="95"/>
      <c r="BH242" s="311"/>
      <c r="BI242" s="311"/>
      <c r="BK242" s="64"/>
      <c r="BL242" s="238"/>
      <c r="BM242" s="256"/>
      <c r="BN242" s="256"/>
      <c r="BO242" s="238"/>
      <c r="BP242" s="238"/>
      <c r="BQ242" s="236"/>
      <c r="BR242" s="236"/>
      <c r="BS242" s="236"/>
      <c r="BT242" s="238"/>
      <c r="BU242" s="238"/>
      <c r="BV242" s="237"/>
      <c r="BX242" s="237"/>
      <c r="BY242" s="237"/>
      <c r="BZ242" s="237"/>
      <c r="CB242" s="238"/>
      <c r="CC242" s="238"/>
      <c r="CM242" s="238"/>
      <c r="DF242" s="287" t="s">
        <v>619</v>
      </c>
      <c r="DG242" s="238">
        <f t="shared" ref="DG242:DG260" si="189">IF((DH242=DI242),$Z$89,0)</f>
        <v>0</v>
      </c>
      <c r="DH242" s="238">
        <f t="shared" ref="DH242:DH260" si="190">$DH$241</f>
        <v>0</v>
      </c>
      <c r="DI242" s="238">
        <f t="shared" ref="DI242:DI260" si="191">DI241+1</f>
        <v>1</v>
      </c>
      <c r="DJ242" s="3">
        <v>0</v>
      </c>
      <c r="DK242" s="3">
        <v>25</v>
      </c>
      <c r="DL242" s="3">
        <v>0</v>
      </c>
      <c r="DM242" s="64">
        <f t="shared" si="186"/>
        <v>0</v>
      </c>
      <c r="DN242" s="64">
        <f t="shared" si="187"/>
        <v>0</v>
      </c>
      <c r="DO242" s="64">
        <f t="shared" si="188"/>
        <v>0</v>
      </c>
      <c r="DP242" s="263"/>
      <c r="DQ242" s="238"/>
      <c r="DR242" s="238"/>
      <c r="DS242" s="64"/>
      <c r="DT242" s="64"/>
      <c r="DU242" s="64"/>
      <c r="DV242" s="64"/>
      <c r="DW242" s="64"/>
      <c r="DX242" s="64"/>
    </row>
    <row r="243" spans="30:128" ht="17.25" customHeight="1">
      <c r="AD243" s="64"/>
      <c r="AE243" s="238"/>
      <c r="AT243" s="249"/>
      <c r="AU243" s="152"/>
      <c r="AV243" s="236"/>
      <c r="AW243" s="238"/>
      <c r="AX243" s="237"/>
      <c r="AY243" s="237"/>
      <c r="AZ243" s="237"/>
      <c r="BA243" s="237"/>
      <c r="BB243" s="238"/>
      <c r="BC243" s="238"/>
      <c r="BD243" s="256"/>
      <c r="BE243" s="238"/>
      <c r="BF243" s="238"/>
      <c r="BG243" s="238"/>
      <c r="BI243" s="237"/>
      <c r="BK243" s="237"/>
      <c r="BL243" s="238"/>
      <c r="BM243" s="256"/>
      <c r="BN243" s="256"/>
      <c r="BO243" s="238"/>
      <c r="BP243" s="238"/>
      <c r="BQ243" s="237"/>
      <c r="BR243" s="237"/>
      <c r="BS243" s="237"/>
      <c r="BT243" s="238"/>
      <c r="BU243" s="238"/>
      <c r="BV243" s="238"/>
      <c r="BX243" s="238"/>
      <c r="BY243" s="238"/>
      <c r="BZ243" s="238"/>
      <c r="CB243" s="64"/>
      <c r="CC243" s="64"/>
      <c r="CM243" s="238"/>
      <c r="DF243" s="287" t="s">
        <v>620</v>
      </c>
      <c r="DG243" s="238">
        <f t="shared" si="189"/>
        <v>0</v>
      </c>
      <c r="DH243" s="238">
        <f t="shared" si="190"/>
        <v>0</v>
      </c>
      <c r="DI243" s="238">
        <f t="shared" si="191"/>
        <v>2</v>
      </c>
      <c r="DJ243" s="3">
        <v>0</v>
      </c>
      <c r="DK243" s="3">
        <v>60</v>
      </c>
      <c r="DL243" s="3">
        <v>0</v>
      </c>
      <c r="DM243" s="64">
        <f t="shared" si="186"/>
        <v>0</v>
      </c>
      <c r="DN243" s="64">
        <f t="shared" si="187"/>
        <v>0</v>
      </c>
      <c r="DO243" s="64">
        <f t="shared" si="188"/>
        <v>0</v>
      </c>
      <c r="DP243" s="263"/>
      <c r="DQ243" s="238"/>
      <c r="DR243" s="238"/>
      <c r="DS243" s="64"/>
      <c r="DT243" s="64"/>
      <c r="DU243" s="64"/>
      <c r="DV243" s="64"/>
      <c r="DW243" s="64"/>
      <c r="DX243" s="64"/>
    </row>
    <row r="244" spans="30:128" ht="17.25" customHeight="1">
      <c r="AD244" s="236"/>
      <c r="AE244" s="238"/>
      <c r="AT244" s="262"/>
      <c r="AU244" s="152"/>
      <c r="AV244" s="238"/>
      <c r="AW244" s="238"/>
      <c r="AX244" s="238"/>
      <c r="AY244" s="238"/>
      <c r="AZ244" s="238"/>
      <c r="BA244" s="238"/>
      <c r="BB244" s="238"/>
      <c r="BC244" s="238"/>
      <c r="BE244" s="238"/>
      <c r="BF244" s="238"/>
      <c r="BG244" s="238"/>
      <c r="BI244" s="238"/>
      <c r="BK244" s="238"/>
      <c r="BL244" s="238"/>
      <c r="BO244" s="238"/>
      <c r="BP244" s="238"/>
      <c r="BQ244" s="238"/>
      <c r="BR244" s="238"/>
      <c r="BS244" s="238"/>
      <c r="BT244" s="238"/>
      <c r="BU244" s="236"/>
      <c r="BV244" s="64"/>
      <c r="BX244" s="64"/>
      <c r="BY244" s="64"/>
      <c r="BZ244" s="64"/>
      <c r="CA244" s="256"/>
      <c r="CB244" s="64"/>
      <c r="CC244" s="64"/>
      <c r="CM244" s="238"/>
      <c r="DF244" s="287" t="s">
        <v>621</v>
      </c>
      <c r="DG244" s="238">
        <f t="shared" si="189"/>
        <v>0</v>
      </c>
      <c r="DH244" s="238">
        <f t="shared" si="190"/>
        <v>0</v>
      </c>
      <c r="DI244" s="238">
        <f t="shared" si="191"/>
        <v>3</v>
      </c>
      <c r="DJ244" s="3">
        <v>3</v>
      </c>
      <c r="DK244" s="3">
        <v>30</v>
      </c>
      <c r="DL244" s="3">
        <v>0</v>
      </c>
      <c r="DM244" s="64">
        <f t="shared" si="186"/>
        <v>0</v>
      </c>
      <c r="DN244" s="64">
        <f t="shared" si="187"/>
        <v>0</v>
      </c>
      <c r="DO244" s="64">
        <f t="shared" si="188"/>
        <v>0</v>
      </c>
      <c r="DP244" s="263"/>
      <c r="DQ244" s="238"/>
      <c r="DR244" s="238"/>
      <c r="DS244" s="64"/>
      <c r="DT244" s="64"/>
      <c r="DU244" s="64"/>
      <c r="DV244" s="64"/>
      <c r="DW244" s="64"/>
      <c r="DX244" s="64"/>
    </row>
    <row r="245" spans="30:128" ht="17.25" customHeight="1">
      <c r="AD245" s="236"/>
      <c r="AE245" s="238"/>
      <c r="AU245" s="152"/>
      <c r="AV245" s="238"/>
      <c r="AW245" s="236"/>
      <c r="AX245" s="64"/>
      <c r="AY245" s="64"/>
      <c r="AZ245" s="64"/>
      <c r="BA245" s="64"/>
      <c r="BB245" s="238"/>
      <c r="BC245" s="238"/>
      <c r="BE245" s="238"/>
      <c r="BF245" s="236"/>
      <c r="BG245" s="236"/>
      <c r="BI245" s="64"/>
      <c r="BK245" s="64"/>
      <c r="BL245" s="238"/>
      <c r="BO245" s="238"/>
      <c r="BP245" s="238"/>
      <c r="BQ245" s="238"/>
      <c r="BR245" s="238"/>
      <c r="BS245" s="238"/>
      <c r="BT245" s="238"/>
      <c r="BU245" s="95"/>
      <c r="BV245" s="64"/>
      <c r="BW245" s="247"/>
      <c r="BX245" s="64"/>
      <c r="BY245" s="64"/>
      <c r="BZ245" s="64"/>
      <c r="CA245" s="256"/>
      <c r="CB245" s="64"/>
      <c r="CC245" s="64"/>
      <c r="CM245" s="238"/>
      <c r="DF245" s="287" t="s">
        <v>622</v>
      </c>
      <c r="DG245" s="238">
        <f t="shared" si="189"/>
        <v>0</v>
      </c>
      <c r="DH245" s="238">
        <f t="shared" si="190"/>
        <v>0</v>
      </c>
      <c r="DI245" s="238">
        <f t="shared" si="191"/>
        <v>4</v>
      </c>
      <c r="DJ245" s="3">
        <v>12</v>
      </c>
      <c r="DK245" s="3">
        <v>0</v>
      </c>
      <c r="DL245" s="3">
        <v>0</v>
      </c>
      <c r="DM245" s="64">
        <f t="shared" si="186"/>
        <v>0</v>
      </c>
      <c r="DN245" s="64">
        <f t="shared" si="187"/>
        <v>0</v>
      </c>
      <c r="DO245" s="64">
        <f t="shared" si="188"/>
        <v>0</v>
      </c>
      <c r="DP245" s="263"/>
      <c r="DQ245" s="238"/>
      <c r="DR245" s="238"/>
      <c r="DS245" s="64"/>
      <c r="DT245" s="64"/>
      <c r="DU245" s="64"/>
      <c r="DV245" s="64"/>
      <c r="DW245" s="64"/>
      <c r="DX245" s="64"/>
    </row>
    <row r="246" spans="30:128" ht="17.25" customHeight="1">
      <c r="AD246" s="64"/>
      <c r="AE246" s="238"/>
      <c r="AU246" s="152"/>
      <c r="AV246" s="238"/>
      <c r="AW246" s="95"/>
      <c r="AX246" s="64"/>
      <c r="AY246" s="64"/>
      <c r="AZ246" s="64"/>
      <c r="BA246" s="64"/>
      <c r="BB246" s="238"/>
      <c r="BC246" s="238"/>
      <c r="BE246" s="238"/>
      <c r="BF246" s="95"/>
      <c r="BG246" s="95"/>
      <c r="BH246" s="247"/>
      <c r="BI246" s="64"/>
      <c r="BJ246" s="256"/>
      <c r="BK246" s="64"/>
      <c r="BL246" s="238"/>
      <c r="BO246" s="238"/>
      <c r="BP246" s="238"/>
      <c r="BQ246" s="238"/>
      <c r="BR246" s="238"/>
      <c r="BS246" s="238"/>
      <c r="BT246" s="238"/>
      <c r="BU246" s="236"/>
      <c r="BV246" s="64"/>
      <c r="BW246" s="247"/>
      <c r="BX246" s="64"/>
      <c r="BY246" s="64"/>
      <c r="BZ246" s="64"/>
      <c r="CA246" s="256"/>
      <c r="CB246" s="64"/>
      <c r="CC246" s="64"/>
      <c r="CM246" s="238"/>
      <c r="DF246" s="287" t="s">
        <v>623</v>
      </c>
      <c r="DG246" s="238">
        <f t="shared" si="189"/>
        <v>0</v>
      </c>
      <c r="DH246" s="238">
        <f t="shared" si="190"/>
        <v>0</v>
      </c>
      <c r="DI246" s="238">
        <f t="shared" si="191"/>
        <v>5</v>
      </c>
      <c r="DJ246" s="3">
        <v>0</v>
      </c>
      <c r="DK246" s="3">
        <v>60</v>
      </c>
      <c r="DL246" s="3">
        <v>0</v>
      </c>
      <c r="DM246" s="64">
        <f t="shared" si="186"/>
        <v>0</v>
      </c>
      <c r="DN246" s="64">
        <f t="shared" si="187"/>
        <v>0</v>
      </c>
      <c r="DO246" s="64">
        <f t="shared" si="188"/>
        <v>0</v>
      </c>
      <c r="DP246" s="263"/>
      <c r="DQ246" s="238"/>
      <c r="DR246" s="238"/>
      <c r="DS246" s="64"/>
      <c r="DT246" s="64"/>
      <c r="DU246" s="64"/>
      <c r="DV246" s="64"/>
      <c r="DW246" s="64"/>
      <c r="DX246" s="64"/>
    </row>
    <row r="247" spans="30:128" ht="17.25" customHeight="1">
      <c r="AD247" s="64"/>
      <c r="AE247" s="238"/>
      <c r="AU247" s="152"/>
      <c r="AV247" s="238"/>
      <c r="AW247" s="236"/>
      <c r="AX247" s="64"/>
      <c r="AY247" s="64"/>
      <c r="AZ247" s="64"/>
      <c r="BA247" s="64"/>
      <c r="BB247" s="238"/>
      <c r="BC247" s="238"/>
      <c r="BE247" s="238"/>
      <c r="BF247" s="236"/>
      <c r="BG247" s="236"/>
      <c r="BH247" s="247"/>
      <c r="BI247" s="64"/>
      <c r="BJ247" s="256"/>
      <c r="BK247" s="64"/>
      <c r="BL247" s="238"/>
      <c r="BO247" s="238"/>
      <c r="BP247" s="238"/>
      <c r="BQ247" s="238"/>
      <c r="BR247" s="238"/>
      <c r="BS247" s="238"/>
      <c r="BU247" s="238"/>
      <c r="BV247" s="64"/>
      <c r="BW247" s="247"/>
      <c r="BX247" s="64"/>
      <c r="BY247" s="64"/>
      <c r="BZ247" s="64"/>
      <c r="CA247" s="256"/>
      <c r="CB247" s="64"/>
      <c r="CC247" s="64"/>
      <c r="CM247" s="238"/>
      <c r="DF247" s="287" t="s">
        <v>624</v>
      </c>
      <c r="DG247" s="238">
        <f t="shared" si="189"/>
        <v>0</v>
      </c>
      <c r="DH247" s="238">
        <f t="shared" si="190"/>
        <v>0</v>
      </c>
      <c r="DI247" s="238">
        <f t="shared" si="191"/>
        <v>6</v>
      </c>
      <c r="DJ247" s="3">
        <v>3</v>
      </c>
      <c r="DK247" s="3">
        <v>30</v>
      </c>
      <c r="DL247" s="3">
        <v>0</v>
      </c>
      <c r="DM247" s="64">
        <f t="shared" si="186"/>
        <v>0</v>
      </c>
      <c r="DN247" s="64">
        <f t="shared" si="187"/>
        <v>0</v>
      </c>
      <c r="DO247" s="64">
        <f t="shared" si="188"/>
        <v>0</v>
      </c>
      <c r="DP247" s="263"/>
      <c r="DQ247" s="238"/>
      <c r="DR247" s="238"/>
      <c r="DS247" s="64"/>
      <c r="DT247" s="64"/>
      <c r="DU247" s="64"/>
      <c r="DV247" s="64"/>
      <c r="DW247" s="64"/>
      <c r="DX247" s="64"/>
    </row>
    <row r="248" spans="30:128" ht="17.25" customHeight="1">
      <c r="AD248" s="64"/>
      <c r="AE248" s="238"/>
      <c r="AV248" s="238"/>
      <c r="AW248" s="238"/>
      <c r="AX248" s="64"/>
      <c r="AY248" s="64"/>
      <c r="AZ248" s="64"/>
      <c r="BA248" s="64"/>
      <c r="BB248" s="238"/>
      <c r="BC248" s="238"/>
      <c r="BE248" s="238"/>
      <c r="BF248" s="238"/>
      <c r="BG248" s="238"/>
      <c r="BH248" s="247"/>
      <c r="BI248" s="64"/>
      <c r="BJ248" s="256"/>
      <c r="BK248" s="64"/>
      <c r="BL248" s="238"/>
      <c r="BO248" s="238"/>
      <c r="BP248" s="238"/>
      <c r="BQ248" s="238"/>
      <c r="BR248" s="238"/>
      <c r="BS248" s="238"/>
      <c r="BT248" s="238"/>
      <c r="BU248" s="238"/>
      <c r="BV248" s="64"/>
      <c r="BW248" s="247"/>
      <c r="BX248" s="64"/>
      <c r="BY248" s="64"/>
      <c r="BZ248" s="64"/>
      <c r="CB248" s="238"/>
      <c r="CC248" s="238"/>
      <c r="CM248" s="238"/>
      <c r="DF248" s="287" t="s">
        <v>625</v>
      </c>
      <c r="DG248" s="238">
        <f t="shared" si="189"/>
        <v>0</v>
      </c>
      <c r="DH248" s="238">
        <f t="shared" si="190"/>
        <v>0</v>
      </c>
      <c r="DI248" s="238">
        <f t="shared" si="191"/>
        <v>7</v>
      </c>
      <c r="DJ248" s="3">
        <v>12</v>
      </c>
      <c r="DK248" s="3">
        <v>0</v>
      </c>
      <c r="DL248" s="3">
        <v>0</v>
      </c>
      <c r="DM248" s="64">
        <f t="shared" si="186"/>
        <v>0</v>
      </c>
      <c r="DN248" s="64">
        <f t="shared" si="187"/>
        <v>0</v>
      </c>
      <c r="DO248" s="64">
        <f t="shared" si="188"/>
        <v>0</v>
      </c>
      <c r="DP248" s="263"/>
      <c r="DQ248" s="238"/>
      <c r="DR248" s="238"/>
      <c r="DS248" s="64"/>
      <c r="DT248" s="64"/>
      <c r="DU248" s="64"/>
      <c r="DV248" s="64"/>
      <c r="DW248" s="64"/>
      <c r="DX248" s="64"/>
    </row>
    <row r="249" spans="30:128" ht="17.25" customHeight="1">
      <c r="AD249" s="64"/>
      <c r="AE249" s="238"/>
      <c r="AU249" s="152"/>
      <c r="AV249" s="238"/>
      <c r="AW249" s="238"/>
      <c r="AX249" s="64"/>
      <c r="AY249" s="64"/>
      <c r="AZ249" s="64"/>
      <c r="BA249" s="64"/>
      <c r="BB249" s="238"/>
      <c r="BC249" s="238"/>
      <c r="BE249" s="238"/>
      <c r="BF249" s="238"/>
      <c r="BG249" s="238"/>
      <c r="BH249" s="247"/>
      <c r="BI249" s="64"/>
      <c r="BJ249" s="256"/>
      <c r="BK249" s="64"/>
      <c r="BL249" s="238"/>
      <c r="BO249" s="238"/>
      <c r="BP249" s="238"/>
      <c r="BQ249" s="238"/>
      <c r="BR249" s="238"/>
      <c r="BS249" s="238"/>
      <c r="BT249" s="238"/>
      <c r="BU249" s="236"/>
      <c r="BV249" s="238"/>
      <c r="BX249" s="238"/>
      <c r="BY249" s="238"/>
      <c r="BZ249" s="238"/>
      <c r="CA249" s="256"/>
      <c r="CB249" s="64"/>
      <c r="CC249" s="64"/>
      <c r="CM249" s="238"/>
      <c r="DF249" s="287" t="s">
        <v>626</v>
      </c>
      <c r="DG249" s="238">
        <f t="shared" si="189"/>
        <v>0</v>
      </c>
      <c r="DH249" s="238">
        <f t="shared" si="190"/>
        <v>0</v>
      </c>
      <c r="DI249" s="238">
        <f t="shared" si="191"/>
        <v>8</v>
      </c>
      <c r="DJ249" s="3">
        <v>0</v>
      </c>
      <c r="DK249" s="3">
        <v>60</v>
      </c>
      <c r="DL249" s="3">
        <v>0</v>
      </c>
      <c r="DM249" s="64">
        <f t="shared" si="186"/>
        <v>0</v>
      </c>
      <c r="DN249" s="64">
        <f t="shared" si="187"/>
        <v>0</v>
      </c>
      <c r="DO249" s="64">
        <f t="shared" si="188"/>
        <v>0</v>
      </c>
      <c r="DP249" s="263"/>
      <c r="DQ249" s="238"/>
      <c r="DR249" s="238"/>
      <c r="DS249" s="64"/>
      <c r="DT249" s="64"/>
      <c r="DU249" s="64"/>
      <c r="DV249" s="64"/>
      <c r="DW249" s="64"/>
      <c r="DX249" s="64"/>
    </row>
    <row r="250" spans="30:128" ht="17.25" customHeight="1">
      <c r="AD250" s="64"/>
      <c r="AE250" s="238"/>
      <c r="AT250" s="262"/>
      <c r="AU250" s="152"/>
      <c r="AV250" s="238"/>
      <c r="AW250" s="236"/>
      <c r="AX250" s="238"/>
      <c r="AY250" s="238"/>
      <c r="AZ250" s="238"/>
      <c r="BA250" s="238"/>
      <c r="BB250" s="238"/>
      <c r="BC250" s="238"/>
      <c r="BE250" s="238"/>
      <c r="BF250" s="236"/>
      <c r="BG250" s="236"/>
      <c r="BI250" s="238"/>
      <c r="BK250" s="238"/>
      <c r="BL250" s="238"/>
      <c r="BO250" s="238"/>
      <c r="BP250" s="238"/>
      <c r="BQ250" s="238"/>
      <c r="BR250" s="238"/>
      <c r="BS250" s="238"/>
      <c r="BT250" s="238"/>
      <c r="BU250" s="238"/>
      <c r="BV250" s="64"/>
      <c r="BW250" s="247"/>
      <c r="BX250" s="64"/>
      <c r="BY250" s="64"/>
      <c r="BZ250" s="64"/>
      <c r="CB250" s="238"/>
      <c r="CC250" s="238"/>
      <c r="CM250" s="238"/>
      <c r="DF250" s="287" t="s">
        <v>627</v>
      </c>
      <c r="DG250" s="238">
        <f t="shared" si="189"/>
        <v>0</v>
      </c>
      <c r="DH250" s="238">
        <f t="shared" si="190"/>
        <v>0</v>
      </c>
      <c r="DI250" s="238">
        <f t="shared" si="191"/>
        <v>9</v>
      </c>
      <c r="DJ250" s="3">
        <v>3</v>
      </c>
      <c r="DK250" s="3">
        <v>30</v>
      </c>
      <c r="DL250" s="3">
        <v>0</v>
      </c>
      <c r="DM250" s="64">
        <f t="shared" si="186"/>
        <v>0</v>
      </c>
      <c r="DN250" s="64">
        <f t="shared" si="187"/>
        <v>0</v>
      </c>
      <c r="DO250" s="64">
        <f t="shared" si="188"/>
        <v>0</v>
      </c>
      <c r="DP250" s="263"/>
      <c r="DQ250" s="238"/>
      <c r="DR250" s="238"/>
      <c r="DS250" s="64"/>
      <c r="DT250" s="64"/>
      <c r="DU250" s="64"/>
      <c r="DV250" s="64"/>
      <c r="DW250" s="64"/>
      <c r="DX250" s="64"/>
    </row>
    <row r="251" spans="30:128" ht="17.25" customHeight="1">
      <c r="AD251" s="64"/>
      <c r="AE251" s="238"/>
      <c r="AF251" s="238"/>
      <c r="AG251" s="238"/>
      <c r="AH251" s="238"/>
      <c r="AU251" s="152"/>
      <c r="AV251" s="238"/>
      <c r="AW251" s="238"/>
      <c r="AX251" s="64"/>
      <c r="AY251" s="64"/>
      <c r="AZ251" s="64"/>
      <c r="BA251" s="64"/>
      <c r="BB251" s="238"/>
      <c r="BC251" s="238"/>
      <c r="BE251" s="238"/>
      <c r="BF251" s="238"/>
      <c r="BG251" s="238"/>
      <c r="BH251" s="247"/>
      <c r="BI251" s="64"/>
      <c r="BJ251" s="256"/>
      <c r="BK251" s="64"/>
      <c r="BL251" s="238"/>
      <c r="BO251" s="238"/>
      <c r="BP251" s="238"/>
      <c r="BQ251" s="238"/>
      <c r="BR251" s="238"/>
      <c r="BS251" s="238"/>
      <c r="BT251" s="238"/>
      <c r="BU251" s="238"/>
      <c r="BV251" s="238"/>
      <c r="BX251" s="238"/>
      <c r="BY251" s="238"/>
      <c r="BZ251" s="238"/>
      <c r="CB251" s="238"/>
      <c r="CC251" s="238"/>
      <c r="CM251" s="238"/>
      <c r="DF251" s="287" t="s">
        <v>628</v>
      </c>
      <c r="DG251" s="238">
        <f t="shared" si="189"/>
        <v>0</v>
      </c>
      <c r="DH251" s="238">
        <f t="shared" si="190"/>
        <v>0</v>
      </c>
      <c r="DI251" s="238">
        <f t="shared" si="191"/>
        <v>10</v>
      </c>
      <c r="DJ251" s="3">
        <v>12</v>
      </c>
      <c r="DK251" s="3">
        <v>0</v>
      </c>
      <c r="DL251" s="3">
        <v>0</v>
      </c>
      <c r="DM251" s="64">
        <f t="shared" si="186"/>
        <v>0</v>
      </c>
      <c r="DN251" s="64">
        <f t="shared" si="187"/>
        <v>0</v>
      </c>
      <c r="DO251" s="64">
        <f t="shared" si="188"/>
        <v>0</v>
      </c>
      <c r="DP251" s="263"/>
      <c r="DQ251" s="238"/>
      <c r="DR251" s="238"/>
      <c r="DS251" s="64"/>
      <c r="DT251" s="64"/>
      <c r="DU251" s="64"/>
      <c r="DV251" s="64"/>
      <c r="DW251" s="64"/>
      <c r="DX251" s="64"/>
    </row>
    <row r="252" spans="30:128" ht="17.25" customHeight="1">
      <c r="AD252" s="64"/>
      <c r="AE252" s="238"/>
      <c r="AF252" s="238"/>
      <c r="AG252" s="238"/>
      <c r="AH252" s="238"/>
      <c r="AU252" s="152"/>
      <c r="AV252" s="238"/>
      <c r="AW252" s="238"/>
      <c r="AX252" s="238"/>
      <c r="AY252" s="238"/>
      <c r="AZ252" s="238"/>
      <c r="BA252" s="238"/>
      <c r="BB252" s="238"/>
      <c r="BC252" s="238"/>
      <c r="BE252" s="238"/>
      <c r="BF252" s="238"/>
      <c r="BG252" s="238"/>
      <c r="BI252" s="238"/>
      <c r="BK252" s="238"/>
      <c r="BL252" s="238"/>
      <c r="BO252" s="238"/>
      <c r="BP252" s="238"/>
      <c r="BQ252" s="238"/>
      <c r="BR252" s="238"/>
      <c r="BS252" s="238"/>
      <c r="BT252" s="238"/>
      <c r="BU252" s="238"/>
      <c r="BV252" s="238"/>
      <c r="BX252" s="238"/>
      <c r="BY252" s="238"/>
      <c r="BZ252" s="238"/>
      <c r="CB252" s="238"/>
      <c r="CC252" s="238"/>
      <c r="CM252" s="238"/>
      <c r="DF252" s="287" t="s">
        <v>629</v>
      </c>
      <c r="DG252" s="238">
        <f t="shared" si="189"/>
        <v>0</v>
      </c>
      <c r="DH252" s="238">
        <f t="shared" si="190"/>
        <v>0</v>
      </c>
      <c r="DI252" s="238">
        <f t="shared" si="191"/>
        <v>11</v>
      </c>
      <c r="DJ252" s="3">
        <v>0</v>
      </c>
      <c r="DK252" s="3">
        <v>60</v>
      </c>
      <c r="DL252" s="3">
        <v>0</v>
      </c>
      <c r="DM252" s="64">
        <f t="shared" si="186"/>
        <v>0</v>
      </c>
      <c r="DN252" s="64">
        <f t="shared" si="187"/>
        <v>0</v>
      </c>
      <c r="DO252" s="64">
        <f t="shared" si="188"/>
        <v>0</v>
      </c>
      <c r="DP252" s="263"/>
      <c r="DQ252" s="238"/>
      <c r="DR252" s="238"/>
      <c r="DS252" s="64"/>
      <c r="DT252" s="64"/>
      <c r="DU252" s="64"/>
      <c r="DV252" s="64"/>
      <c r="DW252" s="64"/>
      <c r="DX252" s="64"/>
    </row>
    <row r="253" spans="30:128" ht="17.25" customHeight="1">
      <c r="AD253" s="64"/>
      <c r="AE253" s="238"/>
      <c r="AF253" s="238"/>
      <c r="AG253" s="238"/>
      <c r="AH253" s="238"/>
      <c r="AU253" s="152"/>
      <c r="AV253" s="238"/>
      <c r="AW253" s="238"/>
      <c r="AX253" s="238"/>
      <c r="AY253" s="238"/>
      <c r="AZ253" s="238"/>
      <c r="BA253" s="238"/>
      <c r="BB253" s="238"/>
      <c r="BC253" s="238"/>
      <c r="BE253" s="238"/>
      <c r="BF253" s="238"/>
      <c r="BG253" s="238"/>
      <c r="BI253" s="238"/>
      <c r="BK253" s="238"/>
      <c r="BL253" s="238"/>
      <c r="BO253" s="238"/>
      <c r="BP253" s="238"/>
      <c r="BQ253" s="238"/>
      <c r="BR253" s="238"/>
      <c r="BS253" s="238"/>
      <c r="BT253" s="238"/>
      <c r="BU253" s="238"/>
      <c r="BV253" s="238"/>
      <c r="BX253" s="238"/>
      <c r="BY253" s="238"/>
      <c r="BZ253" s="238"/>
      <c r="CB253" s="238"/>
      <c r="CC253" s="238"/>
      <c r="CM253" s="238"/>
      <c r="DF253" s="287" t="s">
        <v>630</v>
      </c>
      <c r="DG253" s="238">
        <f t="shared" si="189"/>
        <v>0</v>
      </c>
      <c r="DH253" s="238">
        <f t="shared" si="190"/>
        <v>0</v>
      </c>
      <c r="DI253" s="238">
        <f t="shared" si="191"/>
        <v>12</v>
      </c>
      <c r="DJ253" s="3">
        <v>3</v>
      </c>
      <c r="DK253" s="3">
        <v>30</v>
      </c>
      <c r="DL253" s="3">
        <v>0</v>
      </c>
      <c r="DM253" s="64">
        <f t="shared" si="186"/>
        <v>0</v>
      </c>
      <c r="DN253" s="64">
        <f t="shared" si="187"/>
        <v>0</v>
      </c>
      <c r="DO253" s="64">
        <f t="shared" si="188"/>
        <v>0</v>
      </c>
      <c r="DP253" s="263"/>
      <c r="DQ253" s="238"/>
      <c r="DR253" s="238"/>
      <c r="DS253" s="64"/>
      <c r="DT253" s="64"/>
      <c r="DU253" s="64"/>
      <c r="DV253" s="64"/>
      <c r="DW253" s="64"/>
      <c r="DX253" s="64"/>
    </row>
    <row r="254" spans="30:128" ht="17.25" customHeight="1">
      <c r="AD254" s="64"/>
      <c r="AE254" s="238"/>
      <c r="AF254" s="152"/>
      <c r="AG254" s="152"/>
      <c r="AH254" s="152"/>
      <c r="AU254" s="152"/>
      <c r="AV254" s="238"/>
      <c r="AW254" s="238"/>
      <c r="AX254" s="238"/>
      <c r="AY254" s="238"/>
      <c r="AZ254" s="238"/>
      <c r="BA254" s="238"/>
      <c r="BB254" s="238"/>
      <c r="BC254" s="238"/>
      <c r="BE254" s="238"/>
      <c r="BF254" s="238"/>
      <c r="BG254" s="238"/>
      <c r="BI254" s="238"/>
      <c r="BK254" s="238"/>
      <c r="BL254" s="238"/>
      <c r="BO254" s="238"/>
      <c r="BP254" s="238"/>
      <c r="BQ254" s="238"/>
      <c r="BR254" s="238"/>
      <c r="BS254" s="238"/>
      <c r="BT254" s="238"/>
      <c r="BU254" s="238"/>
      <c r="BV254" s="238"/>
      <c r="BX254" s="238"/>
      <c r="BY254" s="238"/>
      <c r="BZ254" s="238"/>
      <c r="CB254" s="238"/>
      <c r="CC254" s="238"/>
      <c r="CM254" s="238"/>
      <c r="DF254" s="287" t="s">
        <v>631</v>
      </c>
      <c r="DG254" s="238">
        <f t="shared" si="189"/>
        <v>0</v>
      </c>
      <c r="DH254" s="238">
        <f t="shared" si="190"/>
        <v>0</v>
      </c>
      <c r="DI254" s="238">
        <f t="shared" si="191"/>
        <v>13</v>
      </c>
      <c r="DJ254" s="3">
        <v>12</v>
      </c>
      <c r="DK254" s="3">
        <v>0</v>
      </c>
      <c r="DL254" s="3">
        <v>0</v>
      </c>
      <c r="DM254" s="64">
        <f t="shared" si="186"/>
        <v>0</v>
      </c>
      <c r="DN254" s="64">
        <f t="shared" si="187"/>
        <v>0</v>
      </c>
      <c r="DO254" s="64">
        <f t="shared" si="188"/>
        <v>0</v>
      </c>
      <c r="DP254" s="263"/>
      <c r="DQ254" s="238"/>
      <c r="DR254" s="238"/>
      <c r="DS254" s="64"/>
      <c r="DT254" s="64"/>
      <c r="DU254" s="64"/>
      <c r="DV254" s="64"/>
      <c r="DW254" s="64"/>
      <c r="DX254" s="64"/>
    </row>
    <row r="255" spans="30:128" ht="17.25" customHeight="1">
      <c r="AD255" s="83"/>
      <c r="AE255" s="238"/>
      <c r="AF255" s="152"/>
      <c r="AG255" s="152"/>
      <c r="AH255" s="152"/>
      <c r="AU255" s="152"/>
      <c r="AV255" s="238"/>
      <c r="AW255" s="238"/>
      <c r="AX255" s="238"/>
      <c r="AY255" s="238"/>
      <c r="AZ255" s="238"/>
      <c r="BA255" s="238"/>
      <c r="BB255" s="238"/>
      <c r="BC255" s="238"/>
      <c r="BE255" s="238"/>
      <c r="BF255" s="238"/>
      <c r="BG255" s="238"/>
      <c r="BI255" s="238"/>
      <c r="BK255" s="238"/>
      <c r="BL255" s="238"/>
      <c r="BO255" s="238"/>
      <c r="BP255" s="238"/>
      <c r="BQ255" s="238"/>
      <c r="BR255" s="238"/>
      <c r="BS255" s="238"/>
      <c r="BT255" s="238"/>
      <c r="BU255" s="238"/>
      <c r="BV255" s="238"/>
      <c r="BX255" s="238"/>
      <c r="BY255" s="238"/>
      <c r="BZ255" s="238"/>
      <c r="CB255" s="238"/>
      <c r="CC255" s="238"/>
      <c r="CM255" s="238"/>
      <c r="DF255" s="263" t="s">
        <v>632</v>
      </c>
      <c r="DG255" s="238">
        <f t="shared" si="189"/>
        <v>0</v>
      </c>
      <c r="DH255" s="238">
        <f t="shared" si="190"/>
        <v>0</v>
      </c>
      <c r="DI255" s="238">
        <f t="shared" si="191"/>
        <v>14</v>
      </c>
      <c r="DJ255" s="3">
        <v>0</v>
      </c>
      <c r="DK255" s="3">
        <v>10</v>
      </c>
      <c r="DL255" s="3">
        <v>0</v>
      </c>
      <c r="DM255" s="64">
        <f t="shared" si="186"/>
        <v>0</v>
      </c>
      <c r="DN255" s="64">
        <f t="shared" si="187"/>
        <v>0</v>
      </c>
      <c r="DO255" s="64">
        <f t="shared" si="188"/>
        <v>0</v>
      </c>
      <c r="DP255" s="263"/>
      <c r="DQ255" s="238"/>
      <c r="DR255" s="238"/>
      <c r="DS255" s="64"/>
      <c r="DT255" s="64"/>
      <c r="DU255" s="64"/>
      <c r="DV255" s="64"/>
      <c r="DW255" s="64"/>
      <c r="DX255" s="64"/>
    </row>
    <row r="256" spans="30:128" ht="17.25" customHeight="1">
      <c r="AD256" s="83"/>
      <c r="AE256" s="238"/>
      <c r="AF256" s="152"/>
      <c r="AG256" s="152"/>
      <c r="AH256" s="152"/>
      <c r="AU256" s="152"/>
      <c r="AV256" s="238"/>
      <c r="AW256" s="238"/>
      <c r="AX256" s="238"/>
      <c r="AY256" s="238"/>
      <c r="AZ256" s="238"/>
      <c r="BA256" s="238"/>
      <c r="BB256" s="238"/>
      <c r="BC256" s="238"/>
      <c r="BE256" s="238"/>
      <c r="BF256" s="238"/>
      <c r="BG256" s="238"/>
      <c r="BI256" s="238"/>
      <c r="BK256" s="238"/>
      <c r="BL256" s="238"/>
      <c r="BO256" s="238"/>
      <c r="BP256" s="238"/>
      <c r="BQ256" s="238"/>
      <c r="BR256" s="238"/>
      <c r="BS256" s="238"/>
      <c r="BT256" s="238"/>
      <c r="BU256" s="238"/>
      <c r="BV256" s="238"/>
      <c r="BX256" s="238"/>
      <c r="BY256" s="238"/>
      <c r="BZ256" s="238"/>
      <c r="CB256" s="238"/>
      <c r="CC256" s="238"/>
      <c r="CM256" s="238"/>
      <c r="DF256" s="263" t="s">
        <v>633</v>
      </c>
      <c r="DG256" s="238">
        <f t="shared" si="189"/>
        <v>0</v>
      </c>
      <c r="DH256" s="238">
        <f t="shared" si="190"/>
        <v>0</v>
      </c>
      <c r="DI256" s="238">
        <f t="shared" si="191"/>
        <v>15</v>
      </c>
      <c r="DJ256" s="3">
        <v>2</v>
      </c>
      <c r="DK256" s="3">
        <v>10</v>
      </c>
      <c r="DL256" s="3">
        <v>0</v>
      </c>
      <c r="DM256" s="64">
        <f t="shared" si="186"/>
        <v>0</v>
      </c>
      <c r="DN256" s="64">
        <f t="shared" si="187"/>
        <v>0</v>
      </c>
      <c r="DO256" s="64">
        <f t="shared" si="188"/>
        <v>0</v>
      </c>
      <c r="DP256" s="263"/>
      <c r="DQ256" s="238"/>
      <c r="DR256" s="238"/>
      <c r="DS256" s="64"/>
      <c r="DT256" s="64"/>
      <c r="DU256" s="64"/>
      <c r="DV256" s="64"/>
      <c r="DW256" s="64"/>
      <c r="DX256" s="64"/>
    </row>
    <row r="257" spans="30:128" ht="17.25" customHeight="1">
      <c r="AD257" s="83"/>
      <c r="AE257" s="238"/>
      <c r="AF257" s="152"/>
      <c r="AG257" s="152"/>
      <c r="AH257" s="152"/>
      <c r="AU257" s="152"/>
      <c r="AV257" s="238"/>
      <c r="AW257" s="238"/>
      <c r="AX257" s="238"/>
      <c r="AY257" s="238"/>
      <c r="AZ257" s="238"/>
      <c r="BA257" s="238"/>
      <c r="BB257" s="238"/>
      <c r="BC257" s="238"/>
      <c r="BE257" s="238"/>
      <c r="BF257" s="238"/>
      <c r="BG257" s="238"/>
      <c r="BI257" s="238"/>
      <c r="BK257" s="238"/>
      <c r="BL257" s="238"/>
      <c r="BO257" s="238"/>
      <c r="BP257" s="238"/>
      <c r="BQ257" s="238"/>
      <c r="BR257" s="238"/>
      <c r="BS257" s="238"/>
      <c r="BT257" s="238"/>
      <c r="BU257" s="238"/>
      <c r="BV257" s="238"/>
      <c r="BX257" s="238"/>
      <c r="BY257" s="238"/>
      <c r="BZ257" s="238"/>
      <c r="CB257" s="238"/>
      <c r="CC257" s="238"/>
      <c r="CM257" s="238"/>
      <c r="DE257" s="238"/>
      <c r="DF257" s="263" t="s">
        <v>634</v>
      </c>
      <c r="DG257" s="238">
        <f t="shared" si="189"/>
        <v>0</v>
      </c>
      <c r="DH257" s="238">
        <f t="shared" si="190"/>
        <v>0</v>
      </c>
      <c r="DI257" s="238">
        <f t="shared" si="191"/>
        <v>16</v>
      </c>
      <c r="DJ257" s="3">
        <v>4</v>
      </c>
      <c r="DK257" s="3">
        <v>0</v>
      </c>
      <c r="DL257" s="3">
        <v>0</v>
      </c>
      <c r="DM257" s="64">
        <f t="shared" si="186"/>
        <v>0</v>
      </c>
      <c r="DN257" s="64">
        <f t="shared" si="187"/>
        <v>0</v>
      </c>
      <c r="DO257" s="64">
        <f t="shared" si="188"/>
        <v>0</v>
      </c>
      <c r="DP257" s="263"/>
      <c r="DQ257" s="238"/>
      <c r="DR257" s="238"/>
      <c r="DS257" s="64"/>
      <c r="DT257" s="64"/>
      <c r="DU257" s="64"/>
      <c r="DV257" s="64"/>
      <c r="DW257" s="64"/>
      <c r="DX257" s="64"/>
    </row>
    <row r="258" spans="30:128" ht="17.25" customHeight="1">
      <c r="AD258" s="152"/>
      <c r="AE258" s="238"/>
      <c r="AF258" s="152"/>
      <c r="AG258" s="152"/>
      <c r="AH258" s="152"/>
      <c r="AU258" s="152"/>
      <c r="AV258" s="238"/>
      <c r="AW258" s="238"/>
      <c r="AX258" s="238"/>
      <c r="AY258" s="238"/>
      <c r="AZ258" s="238"/>
      <c r="BA258" s="238"/>
      <c r="BB258" s="238"/>
      <c r="BC258" s="238"/>
      <c r="BE258" s="238"/>
      <c r="BF258" s="238"/>
      <c r="BG258" s="238"/>
      <c r="BI258" s="238"/>
      <c r="BK258" s="238"/>
      <c r="BL258" s="238"/>
      <c r="BO258" s="238"/>
      <c r="BP258" s="238"/>
      <c r="BQ258" s="238"/>
      <c r="BR258" s="238"/>
      <c r="BS258" s="238"/>
      <c r="BT258" s="238"/>
      <c r="BU258" s="238"/>
      <c r="BV258" s="238"/>
      <c r="BX258" s="238"/>
      <c r="BY258" s="238"/>
      <c r="BZ258" s="238"/>
      <c r="DF258" s="263" t="s">
        <v>635</v>
      </c>
      <c r="DG258" s="238">
        <f t="shared" si="189"/>
        <v>0</v>
      </c>
      <c r="DH258" s="238">
        <f t="shared" si="190"/>
        <v>0</v>
      </c>
      <c r="DI258" s="238">
        <f t="shared" si="191"/>
        <v>17</v>
      </c>
      <c r="DJ258" s="3">
        <v>10</v>
      </c>
      <c r="DK258" s="3">
        <v>0</v>
      </c>
      <c r="DL258" s="3">
        <v>0</v>
      </c>
      <c r="DM258" s="64">
        <f t="shared" si="186"/>
        <v>0</v>
      </c>
      <c r="DN258" s="64">
        <f t="shared" si="187"/>
        <v>0</v>
      </c>
      <c r="DO258" s="64">
        <f t="shared" si="188"/>
        <v>0</v>
      </c>
      <c r="DP258" s="263"/>
      <c r="DQ258" s="238"/>
      <c r="DR258" s="238"/>
      <c r="DS258" s="64"/>
      <c r="DT258" s="64"/>
      <c r="DU258" s="64"/>
      <c r="DV258" s="64"/>
      <c r="DW258" s="64"/>
      <c r="DX258" s="64"/>
    </row>
    <row r="259" spans="30:128" ht="17.25" customHeight="1">
      <c r="AD259" s="152"/>
      <c r="AE259" s="238"/>
      <c r="AF259" s="152"/>
      <c r="AG259" s="152"/>
      <c r="AH259" s="152"/>
      <c r="AR259" s="291"/>
      <c r="AU259" s="152"/>
      <c r="AV259" s="238"/>
      <c r="AW259" s="238"/>
      <c r="AX259" s="238"/>
      <c r="AY259" s="238"/>
      <c r="AZ259" s="238"/>
      <c r="BA259" s="238"/>
      <c r="BB259" s="238"/>
      <c r="BC259" s="238"/>
      <c r="BE259" s="238"/>
      <c r="BF259" s="238"/>
      <c r="BG259" s="238"/>
      <c r="BI259" s="238"/>
      <c r="BK259" s="238"/>
      <c r="BL259" s="238"/>
      <c r="BO259" s="238"/>
      <c r="BP259" s="238"/>
      <c r="BQ259" s="238"/>
      <c r="BR259" s="238"/>
      <c r="BS259" s="238"/>
      <c r="BT259" s="238"/>
      <c r="CC259" s="292"/>
      <c r="DF259" s="263" t="s">
        <v>636</v>
      </c>
      <c r="DG259" s="238">
        <f t="shared" si="189"/>
        <v>0</v>
      </c>
      <c r="DH259" s="238">
        <f t="shared" si="190"/>
        <v>0</v>
      </c>
      <c r="DI259" s="238">
        <f t="shared" si="191"/>
        <v>18</v>
      </c>
      <c r="DJ259" s="3">
        <v>5</v>
      </c>
      <c r="DK259" s="3">
        <v>25</v>
      </c>
      <c r="DL259" s="3">
        <v>0</v>
      </c>
      <c r="DM259" s="64">
        <f t="shared" si="186"/>
        <v>0</v>
      </c>
      <c r="DN259" s="64">
        <f t="shared" si="187"/>
        <v>0</v>
      </c>
      <c r="DO259" s="64">
        <f t="shared" si="188"/>
        <v>0</v>
      </c>
      <c r="DP259" s="263"/>
      <c r="DQ259" s="238"/>
      <c r="DR259" s="238"/>
      <c r="DS259" s="64"/>
      <c r="DT259" s="64"/>
      <c r="DU259" s="64"/>
      <c r="DV259" s="64"/>
      <c r="DW259" s="64"/>
      <c r="DX259" s="64"/>
    </row>
    <row r="260" spans="30:128" ht="17.25" customHeight="1">
      <c r="AD260" s="152"/>
      <c r="AE260" s="238"/>
      <c r="AF260" s="152"/>
      <c r="AG260" s="152"/>
      <c r="AH260" s="152"/>
      <c r="AR260" s="291"/>
      <c r="CC260" s="292"/>
      <c r="DF260" s="263" t="s">
        <v>637</v>
      </c>
      <c r="DG260" s="238">
        <f t="shared" si="189"/>
        <v>0</v>
      </c>
      <c r="DH260" s="238">
        <f t="shared" si="190"/>
        <v>0</v>
      </c>
      <c r="DI260" s="238">
        <f t="shared" si="191"/>
        <v>19</v>
      </c>
      <c r="DJ260" s="3">
        <v>0</v>
      </c>
      <c r="DK260" s="3">
        <v>25</v>
      </c>
      <c r="DL260" s="3">
        <v>0</v>
      </c>
      <c r="DM260" s="64">
        <f t="shared" si="186"/>
        <v>0</v>
      </c>
      <c r="DN260" s="64">
        <f t="shared" si="187"/>
        <v>0</v>
      </c>
      <c r="DO260" s="64">
        <f t="shared" si="188"/>
        <v>0</v>
      </c>
      <c r="DP260" s="263"/>
      <c r="DQ260" s="238"/>
      <c r="DR260" s="238"/>
      <c r="DS260" s="64"/>
      <c r="DT260" s="64"/>
      <c r="DU260" s="64"/>
      <c r="DV260" s="64"/>
      <c r="DW260" s="64"/>
      <c r="DX260" s="64"/>
    </row>
    <row r="261" spans="30:128" ht="17.25" customHeight="1">
      <c r="AD261" s="152"/>
      <c r="AE261" s="238"/>
      <c r="CC261" s="292"/>
      <c r="DF261" s="287" t="s">
        <v>366</v>
      </c>
      <c r="DG261" s="64">
        <v>0</v>
      </c>
      <c r="DH261" s="238">
        <f>VLOOKUP(X90, DF261:DI274, 4, FALSE)</f>
        <v>0</v>
      </c>
      <c r="DI261" s="238">
        <v>0</v>
      </c>
      <c r="DJ261" s="3">
        <v>0</v>
      </c>
      <c r="DK261" s="3">
        <v>0</v>
      </c>
      <c r="DL261" s="3">
        <v>0</v>
      </c>
      <c r="DM261" s="64">
        <f t="shared" si="186"/>
        <v>0</v>
      </c>
      <c r="DN261" s="64">
        <f t="shared" si="187"/>
        <v>0</v>
      </c>
      <c r="DO261" s="64">
        <f t="shared" si="188"/>
        <v>0</v>
      </c>
      <c r="DP261" s="263"/>
      <c r="DQ261" s="238"/>
      <c r="DR261" s="238"/>
      <c r="DS261" s="64"/>
      <c r="DT261" s="64"/>
      <c r="DU261" s="64"/>
      <c r="DV261" s="64"/>
      <c r="DW261" s="64"/>
      <c r="DX261" s="64"/>
    </row>
    <row r="262" spans="30:128" ht="17.25" customHeight="1">
      <c r="AD262" s="152"/>
      <c r="AE262" s="238"/>
      <c r="CC262" s="292"/>
      <c r="DF262" s="263" t="s">
        <v>638</v>
      </c>
      <c r="DG262" s="238">
        <f>IF((DH262=DI262),$Z$90,0)</f>
        <v>0</v>
      </c>
      <c r="DH262" s="238">
        <f>$DH$261</f>
        <v>0</v>
      </c>
      <c r="DI262" s="238">
        <f>DI261+1</f>
        <v>1</v>
      </c>
      <c r="DJ262" s="3">
        <v>0</v>
      </c>
      <c r="DK262" s="3">
        <v>100</v>
      </c>
      <c r="DL262" s="3">
        <v>0</v>
      </c>
      <c r="DM262" s="64">
        <f t="shared" si="186"/>
        <v>0</v>
      </c>
      <c r="DN262" s="64">
        <f t="shared" si="187"/>
        <v>0</v>
      </c>
      <c r="DO262" s="64">
        <f t="shared" si="188"/>
        <v>0</v>
      </c>
      <c r="DP262" s="263"/>
      <c r="DQ262" s="152"/>
      <c r="DR262" s="152"/>
      <c r="DS262" s="152"/>
      <c r="DT262" s="152"/>
      <c r="DU262" s="64"/>
      <c r="DV262" s="64"/>
      <c r="DW262" s="64"/>
      <c r="DX262" s="64"/>
    </row>
    <row r="263" spans="30:128" ht="17.25" customHeight="1">
      <c r="AD263" s="152"/>
      <c r="CC263" s="292"/>
      <c r="DF263" s="263" t="s">
        <v>639</v>
      </c>
      <c r="DG263" s="238">
        <f>IF((DH263=DI263),$Z$90,0)</f>
        <v>0</v>
      </c>
      <c r="DH263" s="238">
        <f>$DH$261</f>
        <v>0</v>
      </c>
      <c r="DI263" s="238">
        <f>DI262+1</f>
        <v>2</v>
      </c>
      <c r="DJ263" s="3">
        <v>25</v>
      </c>
      <c r="DK263" s="3">
        <v>100</v>
      </c>
      <c r="DL263" s="3">
        <v>0</v>
      </c>
      <c r="DM263" s="64">
        <f t="shared" si="186"/>
        <v>0</v>
      </c>
      <c r="DN263" s="64">
        <f t="shared" si="187"/>
        <v>0</v>
      </c>
      <c r="DO263" s="64">
        <f t="shared" si="188"/>
        <v>0</v>
      </c>
    </row>
    <row r="264" spans="30:128" ht="17.25" customHeight="1">
      <c r="CC264" s="292"/>
      <c r="DF264" s="263" t="s">
        <v>640</v>
      </c>
      <c r="DG264" s="238">
        <f>IF((DH264=DI264),$Z$90,0)</f>
        <v>0</v>
      </c>
      <c r="DH264" s="238">
        <f>$DH$261</f>
        <v>0</v>
      </c>
      <c r="DI264" s="238">
        <f>DI263+1</f>
        <v>3</v>
      </c>
      <c r="DJ264" s="3">
        <v>50</v>
      </c>
      <c r="DK264" s="3">
        <v>0</v>
      </c>
      <c r="DL264" s="3">
        <v>0</v>
      </c>
      <c r="DM264" s="64">
        <f t="shared" si="186"/>
        <v>0</v>
      </c>
      <c r="DN264" s="64">
        <f t="shared" si="187"/>
        <v>0</v>
      </c>
      <c r="DO264" s="64">
        <f t="shared" si="188"/>
        <v>0</v>
      </c>
    </row>
    <row r="265" spans="30:128" ht="17.25" customHeight="1">
      <c r="DF265" s="263" t="s">
        <v>641</v>
      </c>
      <c r="DG265" s="238">
        <f>IF((DH265=DI265),$Z$90,0)</f>
        <v>0</v>
      </c>
      <c r="DH265" s="238">
        <f>$DH$261</f>
        <v>0</v>
      </c>
      <c r="DI265" s="238">
        <f>DI264+1</f>
        <v>4</v>
      </c>
      <c r="DJ265" s="3">
        <v>0</v>
      </c>
      <c r="DK265" s="3">
        <v>0</v>
      </c>
      <c r="DL265" s="3">
        <v>1000</v>
      </c>
      <c r="DM265" s="64">
        <f t="shared" si="186"/>
        <v>0</v>
      </c>
      <c r="DN265" s="64">
        <f t="shared" si="187"/>
        <v>0</v>
      </c>
      <c r="DO265" s="64">
        <f t="shared" si="188"/>
        <v>0</v>
      </c>
    </row>
    <row r="266" spans="30:128" ht="17.25" customHeight="1">
      <c r="DF266" s="263" t="s">
        <v>502</v>
      </c>
      <c r="DG266" s="238">
        <v>0</v>
      </c>
      <c r="DH266" s="238">
        <f>VLOOKUP(X91, DF266:DI269, 4, FALSE)</f>
        <v>0</v>
      </c>
      <c r="DI266" s="238">
        <v>0</v>
      </c>
      <c r="DJ266" s="3">
        <v>0</v>
      </c>
      <c r="DK266" s="3">
        <v>0</v>
      </c>
      <c r="DL266" s="3">
        <v>0</v>
      </c>
      <c r="DM266" s="64">
        <f t="shared" si="186"/>
        <v>0</v>
      </c>
      <c r="DN266" s="64">
        <f t="shared" si="187"/>
        <v>0</v>
      </c>
      <c r="DO266" s="64">
        <f t="shared" si="188"/>
        <v>0</v>
      </c>
    </row>
    <row r="267" spans="30:128" ht="17.25" customHeight="1">
      <c r="DF267" s="263" t="s">
        <v>642</v>
      </c>
      <c r="DG267" s="238">
        <f>IF((DH267=DI267),$Z$91,0)</f>
        <v>0</v>
      </c>
      <c r="DH267" s="238">
        <f>$DH$266</f>
        <v>0</v>
      </c>
      <c r="DI267" s="238">
        <f>DI266+1</f>
        <v>1</v>
      </c>
      <c r="DJ267" s="3">
        <v>0</v>
      </c>
      <c r="DK267" s="3">
        <v>300</v>
      </c>
      <c r="DL267" s="3">
        <v>0</v>
      </c>
      <c r="DM267" s="64">
        <f t="shared" si="186"/>
        <v>0</v>
      </c>
      <c r="DN267" s="64">
        <f t="shared" si="187"/>
        <v>0</v>
      </c>
      <c r="DO267" s="64">
        <f t="shared" si="188"/>
        <v>0</v>
      </c>
    </row>
    <row r="268" spans="30:128" ht="17.25" customHeight="1">
      <c r="DF268" s="263" t="s">
        <v>643</v>
      </c>
      <c r="DG268" s="238">
        <f>IF((DH268=DI268),$Z$91,0)</f>
        <v>0</v>
      </c>
      <c r="DH268" s="238">
        <f>$DH$266</f>
        <v>0</v>
      </c>
      <c r="DI268" s="238">
        <f>DI267+1</f>
        <v>2</v>
      </c>
      <c r="DJ268" s="3">
        <v>125</v>
      </c>
      <c r="DK268" s="3">
        <v>0</v>
      </c>
      <c r="DL268" s="3">
        <v>0</v>
      </c>
      <c r="DM268" s="64">
        <f t="shared" si="186"/>
        <v>0</v>
      </c>
      <c r="DN268" s="64">
        <f t="shared" si="187"/>
        <v>0</v>
      </c>
      <c r="DO268" s="64">
        <f t="shared" si="188"/>
        <v>0</v>
      </c>
    </row>
    <row r="269" spans="30:128" ht="17.25" customHeight="1">
      <c r="DF269" s="263" t="s">
        <v>644</v>
      </c>
      <c r="DG269" s="238">
        <f>IF((DH269=DI269),$Z$91,0)</f>
        <v>0</v>
      </c>
      <c r="DH269" s="238">
        <f>$DH$266</f>
        <v>0</v>
      </c>
      <c r="DI269" s="238">
        <f>DI268+1</f>
        <v>3</v>
      </c>
      <c r="DJ269" s="3">
        <v>0</v>
      </c>
      <c r="DK269" s="3">
        <v>0</v>
      </c>
      <c r="DL269" s="3">
        <v>150</v>
      </c>
      <c r="DM269" s="64">
        <f t="shared" si="186"/>
        <v>0</v>
      </c>
      <c r="DN269" s="64">
        <f t="shared" si="187"/>
        <v>0</v>
      </c>
      <c r="DO269" s="64">
        <f t="shared" si="188"/>
        <v>0</v>
      </c>
    </row>
    <row r="270" spans="30:128" ht="17.25" customHeight="1">
      <c r="DF270" s="263" t="s">
        <v>460</v>
      </c>
      <c r="DG270" s="238">
        <v>0</v>
      </c>
      <c r="DH270" s="238">
        <f>VLOOKUP(X92, DF270:DI273, 4, FALSE)</f>
        <v>0</v>
      </c>
      <c r="DI270" s="238">
        <v>0</v>
      </c>
      <c r="DJ270" s="3">
        <v>0</v>
      </c>
      <c r="DK270" s="3">
        <v>0</v>
      </c>
      <c r="DL270" s="3">
        <v>0</v>
      </c>
      <c r="DM270" s="64">
        <f t="shared" si="186"/>
        <v>0</v>
      </c>
      <c r="DN270" s="64">
        <f t="shared" si="187"/>
        <v>0</v>
      </c>
      <c r="DO270" s="64">
        <f t="shared" si="188"/>
        <v>0</v>
      </c>
    </row>
    <row r="271" spans="30:128" ht="17.25" customHeight="1">
      <c r="DF271" s="263" t="s">
        <v>645</v>
      </c>
      <c r="DG271" s="238">
        <f>IF((DH271=DI271),$Z$92,0)</f>
        <v>0</v>
      </c>
      <c r="DH271" s="238">
        <f>$DH$270</f>
        <v>0</v>
      </c>
      <c r="DI271" s="238">
        <f>DI270+1</f>
        <v>1</v>
      </c>
      <c r="DJ271" s="3">
        <v>60</v>
      </c>
      <c r="DK271" s="3">
        <v>0</v>
      </c>
      <c r="DL271" s="3">
        <v>0</v>
      </c>
      <c r="DM271" s="64">
        <f t="shared" si="186"/>
        <v>0</v>
      </c>
      <c r="DN271" s="64">
        <f t="shared" si="187"/>
        <v>0</v>
      </c>
      <c r="DO271" s="64">
        <f t="shared" si="188"/>
        <v>0</v>
      </c>
    </row>
    <row r="272" spans="30:128" ht="17.25" customHeight="1">
      <c r="DF272" s="263" t="s">
        <v>646</v>
      </c>
      <c r="DG272" s="238">
        <f>IF((DH272=DI272),$Z$92,0)</f>
        <v>0</v>
      </c>
      <c r="DH272" s="238">
        <f>$DH$270</f>
        <v>0</v>
      </c>
      <c r="DI272" s="238">
        <f>DI271+1</f>
        <v>2</v>
      </c>
      <c r="DJ272" s="3">
        <v>90</v>
      </c>
      <c r="DK272" s="3">
        <v>0</v>
      </c>
      <c r="DL272" s="3">
        <v>0</v>
      </c>
      <c r="DM272" s="64">
        <f t="shared" si="186"/>
        <v>0</v>
      </c>
      <c r="DN272" s="64">
        <f t="shared" si="187"/>
        <v>0</v>
      </c>
      <c r="DO272" s="64">
        <f t="shared" si="188"/>
        <v>0</v>
      </c>
    </row>
    <row r="273" spans="110:119" ht="17.25" customHeight="1">
      <c r="DF273" s="263" t="s">
        <v>647</v>
      </c>
      <c r="DG273" s="238">
        <f>IF((DH273=DI273),$Z$92,0)</f>
        <v>0</v>
      </c>
      <c r="DH273" s="238">
        <f>$DH$270</f>
        <v>0</v>
      </c>
      <c r="DI273" s="238">
        <f>DI272+1</f>
        <v>3</v>
      </c>
      <c r="DJ273" s="3">
        <v>120</v>
      </c>
      <c r="DK273" s="3">
        <v>0</v>
      </c>
      <c r="DL273" s="3">
        <v>0</v>
      </c>
      <c r="DM273" s="64">
        <f t="shared" si="186"/>
        <v>0</v>
      </c>
      <c r="DN273" s="64">
        <f t="shared" si="187"/>
        <v>0</v>
      </c>
      <c r="DO273" s="64">
        <f t="shared" si="188"/>
        <v>0</v>
      </c>
    </row>
    <row r="274" spans="110:119" ht="17.25" customHeight="1">
      <c r="DF274" s="263" t="s">
        <v>393</v>
      </c>
      <c r="DG274" s="238">
        <v>0</v>
      </c>
      <c r="DH274" s="238">
        <f>VLOOKUP(X93, DF274:DI275, 4, FALSE)</f>
        <v>0</v>
      </c>
      <c r="DI274" s="238">
        <v>0</v>
      </c>
      <c r="DJ274" s="3">
        <v>0</v>
      </c>
      <c r="DK274" s="3">
        <v>0</v>
      </c>
      <c r="DL274" s="3">
        <v>0</v>
      </c>
      <c r="DM274" s="64">
        <f t="shared" si="186"/>
        <v>0</v>
      </c>
      <c r="DN274" s="64">
        <f t="shared" si="187"/>
        <v>0</v>
      </c>
      <c r="DO274" s="64">
        <f t="shared" si="188"/>
        <v>0</v>
      </c>
    </row>
    <row r="275" spans="110:119" ht="17.25" customHeight="1">
      <c r="DF275" s="263" t="s">
        <v>648</v>
      </c>
      <c r="DG275" s="238">
        <f>IF((DH275=DI275),$Z$93,0)</f>
        <v>0</v>
      </c>
      <c r="DH275" s="238">
        <f>$DH$274</f>
        <v>0</v>
      </c>
      <c r="DI275" s="238">
        <f>DI274+1</f>
        <v>1</v>
      </c>
      <c r="DJ275" s="3">
        <v>200</v>
      </c>
      <c r="DK275" s="3">
        <v>0</v>
      </c>
      <c r="DL275" s="3">
        <v>0</v>
      </c>
      <c r="DM275" s="64">
        <f t="shared" si="186"/>
        <v>0</v>
      </c>
      <c r="DN275" s="64">
        <f t="shared" si="187"/>
        <v>0</v>
      </c>
      <c r="DO275" s="64">
        <f t="shared" si="188"/>
        <v>0</v>
      </c>
    </row>
    <row r="276" spans="110:119" ht="17.25" customHeight="1">
      <c r="DF276" s="263" t="s">
        <v>397</v>
      </c>
      <c r="DG276" s="238">
        <v>0</v>
      </c>
      <c r="DH276" s="238">
        <f>VLOOKUP(X94, DF276:DI282, 4, FALSE)</f>
        <v>0</v>
      </c>
      <c r="DI276" s="238">
        <v>0</v>
      </c>
      <c r="DJ276" s="3">
        <v>0</v>
      </c>
      <c r="DK276" s="3">
        <v>0</v>
      </c>
      <c r="DL276" s="3">
        <v>0</v>
      </c>
      <c r="DM276" s="64">
        <f t="shared" si="186"/>
        <v>0</v>
      </c>
      <c r="DN276" s="64">
        <f t="shared" si="187"/>
        <v>0</v>
      </c>
      <c r="DO276" s="64">
        <f t="shared" si="188"/>
        <v>0</v>
      </c>
    </row>
    <row r="277" spans="110:119" ht="17.25" customHeight="1">
      <c r="DF277" s="263" t="s">
        <v>514</v>
      </c>
      <c r="DG277" s="238">
        <f t="shared" ref="DG277:DG282" si="192">IF((DH277=DI277),$Z$94,0)</f>
        <v>0</v>
      </c>
      <c r="DH277" s="238">
        <f t="shared" ref="DH277:DH282" si="193">$DH$276</f>
        <v>0</v>
      </c>
      <c r="DI277" s="238">
        <f t="shared" ref="DI277:DI282" si="194">DI276+1</f>
        <v>1</v>
      </c>
      <c r="DJ277" s="3">
        <v>0.1</v>
      </c>
      <c r="DK277" s="3">
        <v>0</v>
      </c>
      <c r="DL277" s="3">
        <v>0</v>
      </c>
      <c r="DM277" s="64">
        <f t="shared" si="186"/>
        <v>0</v>
      </c>
      <c r="DN277" s="64">
        <f t="shared" si="187"/>
        <v>0</v>
      </c>
      <c r="DO277" s="64">
        <f t="shared" si="188"/>
        <v>0</v>
      </c>
    </row>
    <row r="278" spans="110:119" ht="17.25" customHeight="1">
      <c r="DF278" s="263" t="s">
        <v>515</v>
      </c>
      <c r="DG278" s="238">
        <f t="shared" si="192"/>
        <v>0</v>
      </c>
      <c r="DH278" s="238">
        <f t="shared" si="193"/>
        <v>0</v>
      </c>
      <c r="DI278" s="238">
        <f t="shared" si="194"/>
        <v>2</v>
      </c>
      <c r="DJ278" s="3">
        <v>0.1</v>
      </c>
      <c r="DK278" s="3">
        <v>0</v>
      </c>
      <c r="DL278" s="3">
        <v>0</v>
      </c>
      <c r="DM278" s="64">
        <f t="shared" si="186"/>
        <v>0</v>
      </c>
      <c r="DN278" s="64">
        <f t="shared" si="187"/>
        <v>0</v>
      </c>
      <c r="DO278" s="64">
        <f t="shared" si="188"/>
        <v>0</v>
      </c>
    </row>
    <row r="279" spans="110:119" ht="17.25" customHeight="1">
      <c r="DF279" s="263" t="s">
        <v>517</v>
      </c>
      <c r="DG279" s="238">
        <f t="shared" si="192"/>
        <v>0</v>
      </c>
      <c r="DH279" s="238">
        <f t="shared" si="193"/>
        <v>0</v>
      </c>
      <c r="DI279" s="238">
        <f t="shared" si="194"/>
        <v>3</v>
      </c>
      <c r="DJ279" s="3">
        <v>1000</v>
      </c>
      <c r="DK279" s="3">
        <v>0</v>
      </c>
      <c r="DL279" s="3">
        <v>0</v>
      </c>
      <c r="DM279" s="64">
        <f t="shared" si="186"/>
        <v>0</v>
      </c>
      <c r="DN279" s="64">
        <f t="shared" si="187"/>
        <v>0</v>
      </c>
      <c r="DO279" s="64">
        <f t="shared" si="188"/>
        <v>0</v>
      </c>
    </row>
    <row r="280" spans="110:119" ht="17.25" customHeight="1">
      <c r="DF280" s="263" t="s">
        <v>518</v>
      </c>
      <c r="DG280" s="238">
        <f t="shared" si="192"/>
        <v>0</v>
      </c>
      <c r="DH280" s="238">
        <f t="shared" si="193"/>
        <v>0</v>
      </c>
      <c r="DI280" s="238">
        <f t="shared" si="194"/>
        <v>4</v>
      </c>
      <c r="DJ280" s="3">
        <v>300</v>
      </c>
      <c r="DK280" s="3">
        <v>0</v>
      </c>
      <c r="DL280" s="3">
        <v>0</v>
      </c>
      <c r="DM280" s="64">
        <f t="shared" si="186"/>
        <v>0</v>
      </c>
      <c r="DN280" s="64">
        <f t="shared" si="187"/>
        <v>0</v>
      </c>
      <c r="DO280" s="64">
        <f t="shared" si="188"/>
        <v>0</v>
      </c>
    </row>
    <row r="281" spans="110:119" ht="17.25" customHeight="1">
      <c r="DF281" s="263" t="s">
        <v>519</v>
      </c>
      <c r="DG281" s="238">
        <f t="shared" si="192"/>
        <v>0</v>
      </c>
      <c r="DH281" s="238">
        <f t="shared" si="193"/>
        <v>0</v>
      </c>
      <c r="DI281" s="238">
        <f t="shared" si="194"/>
        <v>5</v>
      </c>
      <c r="DJ281" s="3">
        <v>300</v>
      </c>
      <c r="DK281" s="3">
        <v>0</v>
      </c>
      <c r="DL281" s="3">
        <v>0</v>
      </c>
      <c r="DM281" s="64">
        <f t="shared" si="186"/>
        <v>0</v>
      </c>
      <c r="DN281" s="64">
        <f t="shared" si="187"/>
        <v>0</v>
      </c>
      <c r="DO281" s="64">
        <f t="shared" si="188"/>
        <v>0</v>
      </c>
    </row>
    <row r="282" spans="110:119" ht="17.25" customHeight="1">
      <c r="DF282" s="263" t="s">
        <v>520</v>
      </c>
      <c r="DG282" s="238">
        <f t="shared" si="192"/>
        <v>0</v>
      </c>
      <c r="DH282" s="238">
        <f t="shared" si="193"/>
        <v>0</v>
      </c>
      <c r="DI282" s="238">
        <f t="shared" si="194"/>
        <v>6</v>
      </c>
      <c r="DJ282" s="3">
        <v>500</v>
      </c>
      <c r="DK282" s="3">
        <v>0</v>
      </c>
      <c r="DL282" s="3">
        <v>0</v>
      </c>
      <c r="DM282" s="64">
        <f t="shared" si="186"/>
        <v>0</v>
      </c>
      <c r="DN282" s="64">
        <f t="shared" si="187"/>
        <v>0</v>
      </c>
      <c r="DO282" s="64">
        <f t="shared" si="188"/>
        <v>0</v>
      </c>
    </row>
    <row r="283" spans="110:119" ht="17.25" customHeight="1">
      <c r="DI283" s="3"/>
    </row>
    <row r="284" spans="110:119" ht="17.25" customHeight="1">
      <c r="DF284" s="287" t="s">
        <v>522</v>
      </c>
      <c r="DG284" s="238">
        <v>0</v>
      </c>
      <c r="DH284" s="238"/>
      <c r="DI284" s="238"/>
      <c r="DJ284" s="3">
        <v>6</v>
      </c>
      <c r="DK284" s="3">
        <v>60</v>
      </c>
      <c r="DL284" s="3">
        <v>0</v>
      </c>
      <c r="DM284" s="64">
        <v>0</v>
      </c>
      <c r="DN284" s="64">
        <v>0</v>
      </c>
      <c r="DO284" s="64">
        <v>0</v>
      </c>
    </row>
    <row r="285" spans="110:119" ht="17.25" customHeight="1">
      <c r="DF285" s="287" t="s">
        <v>523</v>
      </c>
      <c r="DG285" s="238">
        <v>0</v>
      </c>
      <c r="DH285" s="238"/>
      <c r="DI285" s="238"/>
      <c r="DJ285" s="3">
        <v>6</v>
      </c>
      <c r="DK285" s="3">
        <v>60</v>
      </c>
      <c r="DL285" s="3">
        <v>0</v>
      </c>
      <c r="DM285" s="64">
        <v>0</v>
      </c>
      <c r="DN285" s="64">
        <v>0</v>
      </c>
      <c r="DO285" s="64">
        <v>0</v>
      </c>
    </row>
    <row r="286" spans="110:119" ht="17.25" customHeight="1">
      <c r="DF286" s="287" t="s">
        <v>524</v>
      </c>
      <c r="DG286" s="238">
        <v>0</v>
      </c>
      <c r="DH286" s="238"/>
      <c r="DI286" s="238"/>
      <c r="DJ286" s="3">
        <v>6</v>
      </c>
      <c r="DK286" s="3">
        <v>60</v>
      </c>
      <c r="DL286" s="3">
        <v>0</v>
      </c>
      <c r="DM286" s="64">
        <v>0</v>
      </c>
      <c r="DN286" s="64">
        <v>0</v>
      </c>
      <c r="DO286" s="64">
        <v>0</v>
      </c>
    </row>
    <row r="287" spans="110:119" ht="17.25" customHeight="1">
      <c r="DF287" s="287" t="s">
        <v>527</v>
      </c>
      <c r="DG287" s="238">
        <v>0</v>
      </c>
      <c r="DH287" s="238"/>
      <c r="DI287" s="238"/>
      <c r="DJ287" s="3">
        <v>6</v>
      </c>
      <c r="DK287" s="3">
        <v>60</v>
      </c>
      <c r="DL287" s="3">
        <v>0</v>
      </c>
      <c r="DM287" s="64">
        <v>0</v>
      </c>
      <c r="DN287" s="64">
        <v>0</v>
      </c>
      <c r="DO287" s="64">
        <v>0</v>
      </c>
    </row>
    <row r="288" spans="110:119" ht="17.25" customHeight="1"/>
    <row r="289" ht="17.25" customHeight="1"/>
    <row r="290" ht="17.25" customHeight="1"/>
    <row r="291" ht="17.25" customHeight="1"/>
    <row r="292" ht="17.25" customHeight="1"/>
    <row r="293" ht="17.25" customHeight="1"/>
    <row r="294" ht="17.25" customHeight="1"/>
    <row r="295" ht="17.25" customHeight="1"/>
    <row r="296" ht="17.25" customHeight="1"/>
    <row r="297" ht="17.25" customHeight="1"/>
    <row r="298" ht="17.25" customHeight="1"/>
    <row r="299" ht="17.25" customHeight="1"/>
    <row r="300" ht="17.25" customHeight="1"/>
    <row r="301" ht="17.25" customHeight="1"/>
    <row r="302" ht="17.25" customHeight="1"/>
    <row r="303" ht="17.25" customHeight="1"/>
    <row r="304" ht="17.25" customHeight="1"/>
    <row r="305" ht="17.25" customHeight="1"/>
    <row r="306" ht="17.25" customHeight="1"/>
    <row r="307" ht="17.25" customHeight="1"/>
    <row r="308" ht="17.25" customHeight="1"/>
    <row r="309" ht="17.25" customHeight="1"/>
    <row r="310" ht="17.25" customHeight="1"/>
    <row r="311" ht="17.25" customHeight="1"/>
    <row r="312" ht="17.25" customHeight="1"/>
    <row r="313" ht="17.25" customHeight="1"/>
    <row r="314" ht="17.25" customHeight="1"/>
    <row r="315" ht="17.25" customHeight="1"/>
    <row r="316" ht="17.25" customHeight="1"/>
    <row r="317" ht="17.25" customHeight="1"/>
    <row r="318" ht="17.25" customHeight="1"/>
    <row r="319" ht="17.25" customHeight="1"/>
    <row r="320"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7.25" customHeight="1"/>
    <row r="341" ht="17.25" customHeight="1"/>
    <row r="342" ht="17.25" customHeight="1"/>
    <row r="343" ht="17.25" customHeight="1"/>
    <row r="344" ht="17.25" customHeight="1"/>
    <row r="345" ht="17.25" customHeight="1"/>
    <row r="346" ht="17.25" customHeight="1"/>
    <row r="347" ht="17.25" customHeight="1"/>
    <row r="348" ht="17.25" customHeight="1"/>
    <row r="349" ht="17.25" customHeight="1"/>
    <row r="350" ht="17.25" customHeight="1"/>
  </sheetData>
  <sheetProtection password="8B71" sheet="1" objects="1" scenarios="1" selectLockedCells="1" selectUnlockedCells="1"/>
  <mergeCells count="308">
    <mergeCell ref="A10:A11"/>
    <mergeCell ref="A37:A38"/>
    <mergeCell ref="A64:A65"/>
    <mergeCell ref="A87:A88"/>
    <mergeCell ref="CH226:CI226"/>
    <mergeCell ref="CL226:CM226"/>
    <mergeCell ref="DQ224:DQ225"/>
    <mergeCell ref="DR224:DR225"/>
    <mergeCell ref="DS224:DU224"/>
    <mergeCell ref="CH159:CI159"/>
    <mergeCell ref="CL159:CM159"/>
    <mergeCell ref="CH173:CK173"/>
    <mergeCell ref="AE224:AE225"/>
    <mergeCell ref="AF224:AF225"/>
    <mergeCell ref="AG224:AH224"/>
    <mergeCell ref="AI224:AK224"/>
    <mergeCell ref="CE224:CG225"/>
    <mergeCell ref="CH224:CO224"/>
    <mergeCell ref="DQ157:DQ158"/>
    <mergeCell ref="DR157:DR158"/>
    <mergeCell ref="DS157:DU157"/>
    <mergeCell ref="L113:R113"/>
    <mergeCell ref="L114:R114"/>
    <mergeCell ref="L115:R115"/>
    <mergeCell ref="DV224:DX224"/>
    <mergeCell ref="AL225:AM225"/>
    <mergeCell ref="AN225:AO225"/>
    <mergeCell ref="AP225:AQ225"/>
    <mergeCell ref="CH225:CK225"/>
    <mergeCell ref="CL225:CO225"/>
    <mergeCell ref="CP224:CU224"/>
    <mergeCell ref="CV224:CX224"/>
    <mergeCell ref="CY224:DA224"/>
    <mergeCell ref="DB224:DD224"/>
    <mergeCell ref="DF224:DF225"/>
    <mergeCell ref="DH224:DH225"/>
    <mergeCell ref="DI224:DI225"/>
    <mergeCell ref="DJ224:DL224"/>
    <mergeCell ref="DM224:DO224"/>
    <mergeCell ref="AL224:AQ224"/>
    <mergeCell ref="AS224:AS225"/>
    <mergeCell ref="AT224:AT225"/>
    <mergeCell ref="AU224:AU225"/>
    <mergeCell ref="AV224:BE224"/>
    <mergeCell ref="BF224:BO224"/>
    <mergeCell ref="BV224:BZ224"/>
    <mergeCell ref="CB224:CC225"/>
    <mergeCell ref="CD224:CD225"/>
    <mergeCell ref="DV157:DX157"/>
    <mergeCell ref="AL158:AM158"/>
    <mergeCell ref="AN158:AO158"/>
    <mergeCell ref="AP158:AQ158"/>
    <mergeCell ref="CH158:CK158"/>
    <mergeCell ref="CL158:CO158"/>
    <mergeCell ref="CP157:CU157"/>
    <mergeCell ref="CV157:CX157"/>
    <mergeCell ref="CY157:DA157"/>
    <mergeCell ref="DB157:DD157"/>
    <mergeCell ref="DF157:DF158"/>
    <mergeCell ref="DH157:DH158"/>
    <mergeCell ref="DI157:DI158"/>
    <mergeCell ref="DJ157:DL157"/>
    <mergeCell ref="DM157:DO157"/>
    <mergeCell ref="AT157:AT158"/>
    <mergeCell ref="AU157:AU158"/>
    <mergeCell ref="AV157:BE157"/>
    <mergeCell ref="BF157:BO157"/>
    <mergeCell ref="BV157:BZ157"/>
    <mergeCell ref="CB157:CC158"/>
    <mergeCell ref="CD157:CD158"/>
    <mergeCell ref="CE157:CG158"/>
    <mergeCell ref="CH157:CO157"/>
    <mergeCell ref="AE157:AE158"/>
    <mergeCell ref="AF157:AF158"/>
    <mergeCell ref="AG157:AH157"/>
    <mergeCell ref="AI157:AK157"/>
    <mergeCell ref="AL157:AQ157"/>
    <mergeCell ref="AS157:AS158"/>
    <mergeCell ref="H95:H96"/>
    <mergeCell ref="I95:I96"/>
    <mergeCell ref="J95:J96"/>
    <mergeCell ref="X95:Y95"/>
    <mergeCell ref="CH108:CK108"/>
    <mergeCell ref="L109:V110"/>
    <mergeCell ref="L111:R111"/>
    <mergeCell ref="L112:R112"/>
    <mergeCell ref="DH92:DH93"/>
    <mergeCell ref="DI92:DI93"/>
    <mergeCell ref="DJ92:DL92"/>
    <mergeCell ref="DM92:DO92"/>
    <mergeCell ref="DQ92:DQ93"/>
    <mergeCell ref="CY92:DA92"/>
    <mergeCell ref="DB92:DD92"/>
    <mergeCell ref="DF92:DF93"/>
    <mergeCell ref="AG92:AH92"/>
    <mergeCell ref="AI92:AK92"/>
    <mergeCell ref="AL92:AQ92"/>
    <mergeCell ref="AS92:AS93"/>
    <mergeCell ref="AT92:AT93"/>
    <mergeCell ref="AU92:AU93"/>
    <mergeCell ref="AV92:BE92"/>
    <mergeCell ref="BF92:BO92"/>
    <mergeCell ref="BV92:BZ92"/>
    <mergeCell ref="AE92:AE93"/>
    <mergeCell ref="AF92:AF93"/>
    <mergeCell ref="DS92:DU92"/>
    <mergeCell ref="DV92:DX92"/>
    <mergeCell ref="H93:H94"/>
    <mergeCell ref="I93:I94"/>
    <mergeCell ref="J93:J94"/>
    <mergeCell ref="L93:R93"/>
    <mergeCell ref="X93:Y93"/>
    <mergeCell ref="AL93:AM93"/>
    <mergeCell ref="AN93:AO93"/>
    <mergeCell ref="AP93:AQ93"/>
    <mergeCell ref="CH93:CK93"/>
    <mergeCell ref="CL93:CO93"/>
    <mergeCell ref="L94:R94"/>
    <mergeCell ref="X94:Y94"/>
    <mergeCell ref="CH94:CI94"/>
    <mergeCell ref="CL94:CM94"/>
    <mergeCell ref="CB92:CC93"/>
    <mergeCell ref="CD92:CD93"/>
    <mergeCell ref="CE92:CG93"/>
    <mergeCell ref="CH92:CO92"/>
    <mergeCell ref="CP92:CU92"/>
    <mergeCell ref="CV92:CX92"/>
    <mergeCell ref="H91:H92"/>
    <mergeCell ref="I91:I92"/>
    <mergeCell ref="DR92:DR93"/>
    <mergeCell ref="D87:D88"/>
    <mergeCell ref="H87:J87"/>
    <mergeCell ref="L87:V88"/>
    <mergeCell ref="X87:AC87"/>
    <mergeCell ref="X88:Y88"/>
    <mergeCell ref="H89:H90"/>
    <mergeCell ref="I89:I90"/>
    <mergeCell ref="J89:J90"/>
    <mergeCell ref="X89:Y89"/>
    <mergeCell ref="L90:R90"/>
    <mergeCell ref="X90:Y90"/>
    <mergeCell ref="E87:G87"/>
    <mergeCell ref="H76:H77"/>
    <mergeCell ref="I76:I77"/>
    <mergeCell ref="J76:J77"/>
    <mergeCell ref="H78:H79"/>
    <mergeCell ref="I78:I79"/>
    <mergeCell ref="J78:J79"/>
    <mergeCell ref="J91:J92"/>
    <mergeCell ref="X91:Y91"/>
    <mergeCell ref="L92:R92"/>
    <mergeCell ref="X92:Y92"/>
    <mergeCell ref="H72:H73"/>
    <mergeCell ref="I72:I73"/>
    <mergeCell ref="J72:J73"/>
    <mergeCell ref="X72:Y72"/>
    <mergeCell ref="X73:Y73"/>
    <mergeCell ref="H74:H75"/>
    <mergeCell ref="I74:I75"/>
    <mergeCell ref="J74:J75"/>
    <mergeCell ref="X74:Y74"/>
    <mergeCell ref="H68:H69"/>
    <mergeCell ref="I68:I69"/>
    <mergeCell ref="J68:J69"/>
    <mergeCell ref="X68:Y68"/>
    <mergeCell ref="L69:R69"/>
    <mergeCell ref="X69:Y69"/>
    <mergeCell ref="H70:H71"/>
    <mergeCell ref="I70:I71"/>
    <mergeCell ref="J70:J71"/>
    <mergeCell ref="L70:R70"/>
    <mergeCell ref="X70:Y70"/>
    <mergeCell ref="L71:R71"/>
    <mergeCell ref="X71:Y71"/>
    <mergeCell ref="H51:H52"/>
    <mergeCell ref="I51:I52"/>
    <mergeCell ref="J51:J52"/>
    <mergeCell ref="D64:D65"/>
    <mergeCell ref="H64:J64"/>
    <mergeCell ref="L64:V65"/>
    <mergeCell ref="X64:AC64"/>
    <mergeCell ref="X65:Y65"/>
    <mergeCell ref="H66:H67"/>
    <mergeCell ref="I66:I67"/>
    <mergeCell ref="J66:J67"/>
    <mergeCell ref="X66:Y66"/>
    <mergeCell ref="L67:R67"/>
    <mergeCell ref="X67:Y67"/>
    <mergeCell ref="E64:G64"/>
    <mergeCell ref="H47:H48"/>
    <mergeCell ref="I47:I48"/>
    <mergeCell ref="J47:J48"/>
    <mergeCell ref="X47:Y47"/>
    <mergeCell ref="X48:Y48"/>
    <mergeCell ref="H49:H50"/>
    <mergeCell ref="I49:I50"/>
    <mergeCell ref="J49:J50"/>
    <mergeCell ref="X49:Y49"/>
    <mergeCell ref="H43:H44"/>
    <mergeCell ref="I43:I44"/>
    <mergeCell ref="J43:J44"/>
    <mergeCell ref="L43:R43"/>
    <mergeCell ref="X43:Y43"/>
    <mergeCell ref="L44:R44"/>
    <mergeCell ref="X44:Y44"/>
    <mergeCell ref="H45:H46"/>
    <mergeCell ref="I45:I46"/>
    <mergeCell ref="J45:J46"/>
    <mergeCell ref="X45:Y45"/>
    <mergeCell ref="X46:Y46"/>
    <mergeCell ref="H39:H40"/>
    <mergeCell ref="I39:I40"/>
    <mergeCell ref="J39:J40"/>
    <mergeCell ref="X39:Y39"/>
    <mergeCell ref="L40:R40"/>
    <mergeCell ref="X40:Y40"/>
    <mergeCell ref="H41:H42"/>
    <mergeCell ref="I41:I42"/>
    <mergeCell ref="J41:J42"/>
    <mergeCell ref="X41:Y41"/>
    <mergeCell ref="L42:R42"/>
    <mergeCell ref="X42:Y42"/>
    <mergeCell ref="H24:H25"/>
    <mergeCell ref="I24:I25"/>
    <mergeCell ref="J24:J25"/>
    <mergeCell ref="CH27:CK27"/>
    <mergeCell ref="D37:D38"/>
    <mergeCell ref="H37:J37"/>
    <mergeCell ref="L37:V38"/>
    <mergeCell ref="X37:AC37"/>
    <mergeCell ref="X38:Y38"/>
    <mergeCell ref="E37:G37"/>
    <mergeCell ref="H20:H21"/>
    <mergeCell ref="I20:I21"/>
    <mergeCell ref="J20:J21"/>
    <mergeCell ref="X20:Y20"/>
    <mergeCell ref="X21:Y21"/>
    <mergeCell ref="H22:H23"/>
    <mergeCell ref="I22:I23"/>
    <mergeCell ref="J22:J23"/>
    <mergeCell ref="X22:Y22"/>
    <mergeCell ref="X23:Y23"/>
    <mergeCell ref="CH12:CI12"/>
    <mergeCell ref="CL12:CM12"/>
    <mergeCell ref="L13:R13"/>
    <mergeCell ref="X13:Y13"/>
    <mergeCell ref="H14:H15"/>
    <mergeCell ref="I14:I15"/>
    <mergeCell ref="J14:J15"/>
    <mergeCell ref="X14:Y14"/>
    <mergeCell ref="L15:R15"/>
    <mergeCell ref="X15:Y15"/>
    <mergeCell ref="DI10:DI11"/>
    <mergeCell ref="DJ10:DL10"/>
    <mergeCell ref="DM10:DO10"/>
    <mergeCell ref="DQ10:DQ11"/>
    <mergeCell ref="DR10:DR11"/>
    <mergeCell ref="DS10:DU10"/>
    <mergeCell ref="DV10:DX10"/>
    <mergeCell ref="X11:Y11"/>
    <mergeCell ref="AL11:AM11"/>
    <mergeCell ref="AN11:AO11"/>
    <mergeCell ref="AP11:AQ11"/>
    <mergeCell ref="CH11:CK11"/>
    <mergeCell ref="CL11:CO11"/>
    <mergeCell ref="CD10:CD11"/>
    <mergeCell ref="CE10:CG11"/>
    <mergeCell ref="CH10:CO10"/>
    <mergeCell ref="CP10:CU10"/>
    <mergeCell ref="CV10:CX10"/>
    <mergeCell ref="CY10:DA10"/>
    <mergeCell ref="DB10:DD10"/>
    <mergeCell ref="DF10:DF11"/>
    <mergeCell ref="DH10:DH11"/>
    <mergeCell ref="AI10:AK10"/>
    <mergeCell ref="AL10:AQ10"/>
    <mergeCell ref="BF10:BO10"/>
    <mergeCell ref="BV10:BZ10"/>
    <mergeCell ref="CB10:CC11"/>
    <mergeCell ref="D10:D11"/>
    <mergeCell ref="H10:J10"/>
    <mergeCell ref="L10:V11"/>
    <mergeCell ref="X10:AC10"/>
    <mergeCell ref="AE10:AE11"/>
    <mergeCell ref="AF10:AF11"/>
    <mergeCell ref="AG10:AH10"/>
    <mergeCell ref="E10:G10"/>
    <mergeCell ref="B10:B11"/>
    <mergeCell ref="AS10:AS11"/>
    <mergeCell ref="AT10:AT11"/>
    <mergeCell ref="AU10:AU11"/>
    <mergeCell ref="AV10:BE10"/>
    <mergeCell ref="H12:H13"/>
    <mergeCell ref="I12:I13"/>
    <mergeCell ref="J12:J13"/>
    <mergeCell ref="X12:Y12"/>
    <mergeCell ref="H16:H17"/>
    <mergeCell ref="I16:I17"/>
    <mergeCell ref="J16:J17"/>
    <mergeCell ref="L16:R16"/>
    <mergeCell ref="X16:Y16"/>
    <mergeCell ref="L17:R17"/>
    <mergeCell ref="X17:Y17"/>
    <mergeCell ref="H18:H19"/>
    <mergeCell ref="I18:I19"/>
    <mergeCell ref="J18:J19"/>
    <mergeCell ref="X18:Y18"/>
    <mergeCell ref="X19:Y19"/>
  </mergeCells>
  <dataValidations xWindow="447" yWindow="626" count="72">
    <dataValidation type="list" allowBlank="1" showInputMessage="1" showErrorMessage="1" prompt="Select the level you wish to upgrade your gear to. You can't downgrade your gear and 15 is max." sqref="B82:B84">
      <formula1>'Reference Card'!AD201:AD215</formula1>
    </dataValidation>
    <dataValidation type="list" allowBlank="1" showInputMessage="1" showErrorMessage="1" prompt="Choose the level you're equipment is at the moment. Select 0 if you have to buy it first." sqref="A82:A84">
      <formula1>'Reference Card'!AD200:AD214</formula1>
    </dataValidation>
    <dataValidation type="list" allowBlank="1" showInputMessage="1" showErrorMessage="1" prompt="Select the level you wish to upgrade your gear to. You can't downgrade your gear and 15 is max." sqref="B61 B2 B34:B35">
      <formula1>'Reference Card'!AD5:AD18</formula1>
    </dataValidation>
    <dataValidation type="list" allowBlank="1" showInputMessage="1" showErrorMessage="1" prompt="Choose the level you're equipment is at the moment." sqref="A61 A34:A35 A2">
      <formula1>'Reference Card'!AD4:AD17</formula1>
    </dataValidation>
    <dataValidation type="list" allowBlank="1" showInputMessage="1" showErrorMessage="1" prompt="Select the level you wish to upgrade your gear to. You can't downgrade your gear and 15 is max." sqref="B3:B8 B28:B33 B55:B60">
      <formula1>'Reference Card'!AD4:AD18</formula1>
    </dataValidation>
    <dataValidation type="list" allowBlank="1" showInputMessage="1" showErrorMessage="1" prompt="Choose the level you're equipment is at the moment. Select 0 if you have to buy it first." sqref="A3:A8 A55:A60 A28:A33">
      <formula1>'Reference Card'!AD3:AD17</formula1>
    </dataValidation>
    <dataValidation type="list" allowBlank="1" showErrorMessage="1" sqref="X12:Y12">
      <formula1>'Reference Card'!DE18:DE31</formula1>
    </dataValidation>
    <dataValidation type="list" errorStyle="warning" allowBlank="1" showErrorMessage="1" sqref="Z12 Z89 Z66 Z39">
      <formula1>"0,1000,2000,3000,4000,5000,10000,20000,50000,100000"</formula1>
    </dataValidation>
    <dataValidation type="list" errorStyle="warning" allowBlank="1" showInputMessage="1" showErrorMessage="1" prompt="You can enter any number you like, but you can't install more then 5 on any strike ship." sqref="D13 D15 D17 D19 D21 D23 D25">
      <formula1>'Reference Card'!AD3:AD8</formula1>
    </dataValidation>
    <dataValidation type="list" allowBlank="1" showErrorMessage="1" sqref="L13">
      <formula1>'Reference Card'!CA3:CA8</formula1>
    </dataValidation>
    <dataValidation type="list" allowBlank="1" showErrorMessage="1" sqref="X13">
      <formula1>'Reference Card'!DE32:DE36</formula1>
    </dataValidation>
    <dataValidation type="list" errorStyle="warning" allowBlank="1" showErrorMessage="1" sqref="Z13:Z18 Z90:Z95 Z67:Z71 Z40:Z45">
      <formula1>"0,10,20,30,40,50,100,200,500,1000"</formula1>
    </dataValidation>
    <dataValidation type="list" allowBlank="1" showInputMessage="1" showErrorMessage="1" prompt="Select 'Yes' if you wish to buy the Standard version of this ship type." sqref="N14 N91 N68 N41">
      <formula1>"No,Yes"</formula1>
    </dataValidation>
    <dataValidation type="list" allowBlank="1" showInputMessage="1" showErrorMessage="1" prompt="Select 'Yes' if you wish to buy the Advanced version of this ship type." sqref="P14 P68 P41">
      <formula1>"No,Yes"</formula1>
    </dataValidation>
    <dataValidation type="list" allowBlank="1" showInputMessage="1" showErrorMessage="1" prompt="Select 'Yes' if you wish to buy the Fleet Reconnaissance version of this ship type (only for the &quot;Raptor / Heavy Raider&quot; at this moment)." sqref="R14">
      <formula1>"No,Yes"</formula1>
    </dataValidation>
    <dataValidation type="list" allowBlank="1" showErrorMessage="1" sqref="X14">
      <formula1>'Reference Card'!DE37:DE40</formula1>
    </dataValidation>
    <dataValidation type="list" allowBlank="1" showErrorMessage="1" sqref="X15">
      <formula1>'Reference Card'!DE41:DE44</formula1>
    </dataValidation>
    <dataValidation type="list" allowBlank="1" showErrorMessage="1" sqref="X16">
      <formula1>'Reference Card'!DE45:DE48</formula1>
    </dataValidation>
    <dataValidation type="list" allowBlank="1" showErrorMessage="1" sqref="X17:Y17">
      <formula1>'Reference Card'!DE49:DE52</formula1>
    </dataValidation>
    <dataValidation type="list" errorStyle="warning" allowBlank="1" showErrorMessage="1" sqref="X18:Y18">
      <formula1>'Reference Card'!DE53:DE59</formula1>
    </dataValidation>
    <dataValidation type="list" allowBlank="1" showErrorMessage="1" sqref="X19 X72">
      <formula1>'Reference Card'!DE4:DE16</formula1>
    </dataValidation>
    <dataValidation type="list" errorStyle="warning" allowBlank="1" showErrorMessage="1" sqref="Z19 Z72 Z46">
      <formula1>"0,1,2,3,4,5,10"</formula1>
    </dataValidation>
    <dataValidation type="list" allowBlank="1" showErrorMessage="1" sqref="X20:Y20">
      <formula1>'Reference Card'!DO3:DO11</formula1>
    </dataValidation>
    <dataValidation type="list" allowBlank="1" showErrorMessage="1" sqref="Z20:Z23 Z73:Z74 Z47:Z49">
      <formula1>"0,1"</formula1>
    </dataValidation>
    <dataValidation type="list" allowBlank="1" showErrorMessage="1" sqref="X21">
      <formula1>'Reference Card'!DO13:DO23</formula1>
    </dataValidation>
    <dataValidation type="list" allowBlank="1" showErrorMessage="1" sqref="X22">
      <formula1>'Reference Card'!DO27:DO29</formula1>
    </dataValidation>
    <dataValidation type="list" allowBlank="1" showErrorMessage="1" sqref="X23">
      <formula1>'Reference Card'!DO31:DO38</formula1>
    </dataValidation>
    <dataValidation type="list" allowBlank="1" showErrorMessage="1" sqref="X39:Y39">
      <formula1>'Reference Card'!DE83:DE96</formula1>
    </dataValidation>
    <dataValidation type="list" errorStyle="warning" allowBlank="1" showInputMessage="1" showErrorMessage="1" prompt="You can enter any number you like, but you can't install more then 7 on any escort ship." sqref="D40 D52">
      <formula1>'Reference Card'!AD3:AD10</formula1>
    </dataValidation>
    <dataValidation type="list" allowBlank="1" showErrorMessage="1" sqref="L40:R40">
      <formula1>'Reference Card'!CA68:CA72</formula1>
    </dataValidation>
    <dataValidation type="list" allowBlank="1" showErrorMessage="1" sqref="X40:Y40">
      <formula1>'Reference Card'!DE97:DE101</formula1>
    </dataValidation>
    <dataValidation type="list" allowBlank="1" showInputMessage="1" showErrorMessage="1" prompt="There are no Fleet Reconnaissance ships of this class available at the moment." sqref="R41 R91 R68">
      <formula1>"No"</formula1>
    </dataValidation>
    <dataValidation type="list" allowBlank="1" showErrorMessage="1" sqref="X41:Y41">
      <formula1>'Reference Card'!DE102:DE105</formula1>
    </dataValidation>
    <dataValidation type="list" errorStyle="warning" allowBlank="1" showInputMessage="1" showErrorMessage="1" prompt="You can enter any number you like, but you can't install more then 5 on any escort ship." sqref="D42 D44 D46 D48 D50">
      <formula1>'Reference Card'!AD3:AD8</formula1>
    </dataValidation>
    <dataValidation type="list" allowBlank="1" showErrorMessage="1" sqref="X42">
      <formula1>'Reference Card'!DE106:DE109</formula1>
    </dataValidation>
    <dataValidation type="list" allowBlank="1" showErrorMessage="1" sqref="X43">
      <formula1>'Reference Card'!DE110:DE113</formula1>
    </dataValidation>
    <dataValidation type="list" allowBlank="1" showErrorMessage="1" sqref="EA43 EA250">
      <formula1>'Reference Card'!DO25</formula1>
    </dataValidation>
    <dataValidation type="list" allowBlank="1" showErrorMessage="1" sqref="X44:Y44">
      <formula1>'Reference Card'!DE114:DE117</formula1>
    </dataValidation>
    <dataValidation type="list" errorStyle="warning" allowBlank="1" showErrorMessage="1" sqref="X45:Y45">
      <formula1>'Reference Card'!DE118:DE124</formula1>
    </dataValidation>
    <dataValidation type="list" allowBlank="1" showErrorMessage="1" sqref="X46:Y46">
      <formula1>'Reference Card'!DE69:DE81</formula1>
    </dataValidation>
    <dataValidation type="list" allowBlank="1" showErrorMessage="1" sqref="X47:Y47">
      <formula1>'Reference Card'!DO3:DO6</formula1>
    </dataValidation>
    <dataValidation type="list" allowBlank="1" showErrorMessage="1" sqref="X48">
      <formula1>'Reference Card'!DO8:DO10</formula1>
    </dataValidation>
    <dataValidation type="list" allowBlank="1" showErrorMessage="1" sqref="X49">
      <formula1>'Reference Card'!DO12:DO16</formula1>
    </dataValidation>
    <dataValidation type="list" allowBlank="1" showErrorMessage="1" sqref="X66:Y66">
      <formula1>'Reference Card'!DE18:DE37</formula1>
    </dataValidation>
    <dataValidation type="list" errorStyle="warning" allowBlank="1" showInputMessage="1" showErrorMessage="1" prompt="You can enter any number you like, but you can't install more then 9 on the Gungnir / Nidhogg." sqref="D67 D79">
      <formula1>'Reference Card'!AD3:AD12</formula1>
    </dataValidation>
    <dataValidation type="list" allowBlank="1" showErrorMessage="1" sqref="L67:R67">
      <formula1>'Reference Card'!CA133:CA137</formula1>
    </dataValidation>
    <dataValidation type="list" allowBlank="1" showErrorMessage="1" sqref="X67">
      <formula1>'Reference Card'!DE168:DE172</formula1>
    </dataValidation>
    <dataValidation type="list" allowBlank="1" showErrorMessage="1" sqref="X68">
      <formula1>'Reference Card'!DE173:DE176</formula1>
    </dataValidation>
    <dataValidation type="list" errorStyle="warning" allowBlank="1" showInputMessage="1" showErrorMessage="1" prompt="You can enter any number you like, but you can't install more then 5 on a Jotunn / Jormung." sqref="D69">
      <formula1>'Reference Card'!AD3:AD8</formula1>
    </dataValidation>
    <dataValidation type="list" allowBlank="1" showErrorMessage="1" sqref="X69">
      <formula1>'Reference Card'!DE177:DE180</formula1>
    </dataValidation>
    <dataValidation type="list" allowBlank="1" showErrorMessage="1" sqref="X70:Y70">
      <formula1>'Reference Card'!DE181:DE184</formula1>
    </dataValidation>
    <dataValidation type="list" errorStyle="warning" allowBlank="1" showInputMessage="1" showErrorMessage="1" prompt="You can enter any number you like, but you can't install more then 5 on an Aesir / Fenrir." sqref="D71">
      <formula1>'Reference Card'!AD3:AD8</formula1>
    </dataValidation>
    <dataValidation type="list" errorStyle="warning" allowBlank="1" showErrorMessage="1" sqref="X71:Y71">
      <formula1>'Reference Card'!DE185:DE191</formula1>
    </dataValidation>
    <dataValidation type="list" errorStyle="warning" allowBlank="1" showInputMessage="1" showErrorMessage="1" prompt="You can enter any number you like, but you can't install more then 5 on a Vanir / Hel." sqref="D73 D75 D77">
      <formula1>'Reference Card'!AD3:AD8</formula1>
    </dataValidation>
    <dataValidation type="list" allowBlank="1" showErrorMessage="1" sqref="X73:Y73">
      <formula1>'Reference Card'!DO137:DO138</formula1>
    </dataValidation>
    <dataValidation type="list" allowBlank="1" showErrorMessage="1" sqref="X74:Y74">
      <formula1>'Reference Card'!DO140:DO142</formula1>
    </dataValidation>
    <dataValidation type="list" allowBlank="1" showErrorMessage="1" sqref="X89:Y89">
      <formula1>'Reference Card'!DE215:DE234</formula1>
    </dataValidation>
    <dataValidation type="list" errorStyle="warning" allowBlank="1" showInputMessage="1" showErrorMessage="1" prompt="You can enter any number you like, but you can't install more then 4 on a Carrier." sqref="D90">
      <formula1>'Reference Card'!AD200:AD204</formula1>
    </dataValidation>
    <dataValidation type="list" allowBlank="1" showErrorMessage="1" sqref="L90:R90">
      <formula1>'Reference Card'!CA200:CA201</formula1>
    </dataValidation>
    <dataValidation type="list" allowBlank="1" showErrorMessage="1" sqref="X90:Y90">
      <formula1>'Reference Card'!DE235:DE239</formula1>
    </dataValidation>
    <dataValidation type="list" allowBlank="1" showInputMessage="1" showErrorMessage="1" prompt="Carriers can not be Advanced at the moment." sqref="P91">
      <formula1>"No"</formula1>
    </dataValidation>
    <dataValidation type="list" allowBlank="1" showErrorMessage="1" sqref="X91:Y91">
      <formula1>'Reference Card'!DE240:DE243</formula1>
    </dataValidation>
    <dataValidation type="list" errorStyle="warning" allowBlank="1" showInputMessage="1" showErrorMessage="1" prompt="You can enter any number you like, but you can't install more then 6 on a Carrier." sqref="D92">
      <formula1>'Reference Card'!AD200:AD206</formula1>
    </dataValidation>
    <dataValidation type="list" allowBlank="1" showErrorMessage="1" sqref="X92:Y92">
      <formula1>'Reference Card'!DE244:DE247</formula1>
    </dataValidation>
    <dataValidation type="list" allowBlank="1" showErrorMessage="1" sqref="X93:Y93">
      <formula1>'Reference Card'!DE248:DE249</formula1>
    </dataValidation>
    <dataValidation type="list" errorStyle="warning" allowBlank="1" showInputMessage="1" showErrorMessage="1" prompt="You can enter any number you like, but you can't install more then 2 on a Carrier." sqref="D94">
      <formula1>'Reference Card'!AD200:AD202</formula1>
    </dataValidation>
    <dataValidation type="list" allowBlank="1" showErrorMessage="1" sqref="X94:Y94">
      <formula1>'Reference Card'!DE250:DE256</formula1>
    </dataValidation>
    <dataValidation type="list" allowBlank="1" showErrorMessage="1" sqref="X95:Y95">
      <formula1>'Reference Card'!DE201:DE213</formula1>
    </dataValidation>
    <dataValidation type="list" errorStyle="warning" allowBlank="1" showInputMessage="1" showErrorMessage="1" prompt="You can enter any number you like, but you can't install more then 3 computers and only 1 of each type, on a Carrier." sqref="D96">
      <formula1>'Reference Card'!AD200:AD201</formula1>
    </dataValidation>
    <dataValidation type="list" allowBlank="1" showErrorMessage="1" sqref="DZ109">
      <formula1>'Reference Card'!DO18:DO19</formula1>
    </dataValidation>
    <dataValidation type="list" allowBlank="1" showErrorMessage="1" sqref="EA159 EA161">
      <formula1>'Reference Card'!DO3</formula1>
    </dataValidation>
    <dataValidation type="list" allowBlank="1" showErrorMessage="1" sqref="EA226">
      <formula1>'Reference Card'!DO200:DO202</formula1>
    </dataValidation>
  </dataValidations>
  <pageMargins left="0.7" right="0.7" top="0.75" bottom="0.75" header="0.3" footer="0.3"/>
  <pageSetup paperSize="9" orientation="portrait" horizontalDpi="4294967293" verticalDpi="0" r:id="rId1"/>
  <drawing r:id="rId2"/>
  <legacyDrawing r:id="rId3"/>
</worksheet>
</file>

<file path=xl/worksheets/sheet7.xml><?xml version="1.0" encoding="utf-8"?>
<worksheet xmlns="http://schemas.openxmlformats.org/spreadsheetml/2006/main" xmlns:r="http://schemas.openxmlformats.org/officeDocument/2006/relationships">
  <sheetPr codeName="Feuil1"/>
  <dimension ref="A1:F21"/>
  <sheetViews>
    <sheetView topLeftCell="A4" zoomScale="115" zoomScaleNormal="115" workbookViewId="0">
      <selection activeCell="E7" sqref="E7"/>
    </sheetView>
  </sheetViews>
  <sheetFormatPr baseColWidth="10" defaultRowHeight="12.75"/>
  <cols>
    <col min="1" max="2" width="11.42578125" style="367"/>
    <col min="3" max="3" width="47.7109375" style="1301" customWidth="1"/>
    <col min="4" max="4" width="11.7109375" style="367" customWidth="1"/>
    <col min="5" max="5" width="18.7109375" style="367" customWidth="1"/>
    <col min="6" max="16384" width="11.42578125" style="367"/>
  </cols>
  <sheetData>
    <row r="1" spans="1:6">
      <c r="B1" s="1609"/>
      <c r="C1" s="1609"/>
      <c r="D1" s="1609"/>
    </row>
    <row r="2" spans="1:6">
      <c r="B2" s="1609"/>
      <c r="C2" s="1609"/>
      <c r="D2" s="1609"/>
    </row>
    <row r="3" spans="1:6" ht="225" customHeight="1">
      <c r="B3" s="1610" t="s">
        <v>1165</v>
      </c>
      <c r="C3" s="1609"/>
      <c r="D3" s="1609"/>
    </row>
    <row r="4" spans="1:6">
      <c r="B4" s="1609"/>
      <c r="C4" s="1609"/>
      <c r="D4" s="1609"/>
    </row>
    <row r="5" spans="1:6">
      <c r="B5" s="1609"/>
      <c r="C5" s="1609"/>
      <c r="D5" s="1609"/>
    </row>
    <row r="6" spans="1:6">
      <c r="C6" s="1534"/>
      <c r="F6" s="1104"/>
    </row>
    <row r="7" spans="1:6" ht="189.75" customHeight="1">
      <c r="A7" s="367">
        <v>1</v>
      </c>
      <c r="B7" s="1104" t="s">
        <v>1101</v>
      </c>
      <c r="C7" s="1534"/>
      <c r="D7" s="367" t="str">
        <f ca="1">CELL("adresse",C7)</f>
        <v>$C$7</v>
      </c>
    </row>
    <row r="8" spans="1:6" ht="225" customHeight="1">
      <c r="A8" s="367">
        <v>2</v>
      </c>
      <c r="B8" s="1104" t="s">
        <v>1102</v>
      </c>
      <c r="C8" s="1534"/>
      <c r="D8" s="367" t="str">
        <f t="shared" ref="D8" ca="1" si="0">CELL("adresse",C8)</f>
        <v>$C$8</v>
      </c>
    </row>
    <row r="9" spans="1:6" ht="225" customHeight="1">
      <c r="A9" s="367">
        <v>3</v>
      </c>
      <c r="B9" s="1104" t="s">
        <v>1103</v>
      </c>
      <c r="C9" s="1534"/>
      <c r="D9" s="367" t="str">
        <f ca="1">CELL("adresse",C9)</f>
        <v>$C$9</v>
      </c>
    </row>
    <row r="10" spans="1:6" ht="225" customHeight="1">
      <c r="A10" s="367">
        <v>4</v>
      </c>
      <c r="B10" s="1104" t="s">
        <v>1104</v>
      </c>
      <c r="C10" s="1534"/>
      <c r="D10" s="367" t="str">
        <f t="shared" ref="D10:D21" ca="1" si="1">CELL("adresse",C10)</f>
        <v>$C$10</v>
      </c>
    </row>
    <row r="11" spans="1:6" ht="225" customHeight="1">
      <c r="A11" s="367">
        <v>5</v>
      </c>
      <c r="B11" s="1104" t="s">
        <v>1105</v>
      </c>
      <c r="C11" s="1534"/>
      <c r="D11" s="367" t="str">
        <f t="shared" ca="1" si="1"/>
        <v>$C$11</v>
      </c>
    </row>
    <row r="12" spans="1:6" ht="225" customHeight="1">
      <c r="A12" s="367">
        <v>6</v>
      </c>
      <c r="B12" s="1104" t="s">
        <v>802</v>
      </c>
      <c r="C12" s="1534"/>
      <c r="D12" s="367" t="str">
        <f t="shared" ca="1" si="1"/>
        <v>$C$12</v>
      </c>
    </row>
    <row r="13" spans="1:6" ht="225" customHeight="1">
      <c r="A13" s="367">
        <v>7</v>
      </c>
      <c r="B13" s="1104" t="s">
        <v>1106</v>
      </c>
      <c r="C13" s="1534"/>
      <c r="D13" s="367" t="str">
        <f t="shared" ca="1" si="1"/>
        <v>$C$13</v>
      </c>
    </row>
    <row r="14" spans="1:6" ht="225" customHeight="1">
      <c r="A14" s="367">
        <v>8</v>
      </c>
      <c r="B14" s="1104" t="s">
        <v>1107</v>
      </c>
      <c r="C14" s="1534"/>
      <c r="D14" s="367" t="str">
        <f t="shared" ca="1" si="1"/>
        <v>$C$14</v>
      </c>
    </row>
    <row r="15" spans="1:6" ht="225" customHeight="1">
      <c r="A15" s="367">
        <v>9</v>
      </c>
      <c r="B15" s="1104" t="s">
        <v>1108</v>
      </c>
      <c r="C15" s="1534"/>
      <c r="D15" s="367" t="str">
        <f t="shared" ca="1" si="1"/>
        <v>$C$15</v>
      </c>
    </row>
    <row r="16" spans="1:6" ht="225" customHeight="1">
      <c r="A16" s="367">
        <v>10</v>
      </c>
      <c r="B16" s="1104" t="s">
        <v>1109</v>
      </c>
      <c r="C16" s="1534"/>
      <c r="D16" s="367" t="str">
        <f t="shared" ca="1" si="1"/>
        <v>$C$16</v>
      </c>
    </row>
    <row r="17" spans="1:4" ht="225" customHeight="1">
      <c r="A17" s="367">
        <v>11</v>
      </c>
      <c r="B17" s="1104" t="s">
        <v>1110</v>
      </c>
      <c r="C17" s="1534"/>
      <c r="D17" s="367" t="str">
        <f t="shared" ca="1" si="1"/>
        <v>$C$17</v>
      </c>
    </row>
    <row r="18" spans="1:4" ht="225" customHeight="1">
      <c r="A18" s="367">
        <v>12</v>
      </c>
      <c r="B18" s="1104" t="s">
        <v>1111</v>
      </c>
      <c r="C18" s="1534"/>
      <c r="D18" s="367" t="str">
        <f t="shared" ca="1" si="1"/>
        <v>$C$18</v>
      </c>
    </row>
    <row r="19" spans="1:4" ht="225" customHeight="1">
      <c r="A19" s="367">
        <v>13</v>
      </c>
      <c r="B19" s="1104" t="s">
        <v>945</v>
      </c>
      <c r="C19" s="1534"/>
      <c r="D19" s="367" t="str">
        <f t="shared" ca="1" si="1"/>
        <v>$C$19</v>
      </c>
    </row>
    <row r="20" spans="1:4" ht="225" customHeight="1">
      <c r="A20" s="367">
        <v>14</v>
      </c>
      <c r="B20" s="1104" t="s">
        <v>1113</v>
      </c>
      <c r="C20" s="1534"/>
      <c r="D20" s="367" t="str">
        <f t="shared" ca="1" si="1"/>
        <v>$C$20</v>
      </c>
    </row>
    <row r="21" spans="1:4" ht="225" customHeight="1">
      <c r="A21" s="367">
        <v>15</v>
      </c>
      <c r="B21" s="1104" t="s">
        <v>1112</v>
      </c>
      <c r="C21" s="1534"/>
      <c r="D21" s="367" t="str">
        <f t="shared" ca="1" si="1"/>
        <v>$C$21</v>
      </c>
    </row>
  </sheetData>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sheetPr codeName="Feuil8"/>
  <dimension ref="A1:AQ469"/>
  <sheetViews>
    <sheetView topLeftCell="A204" zoomScaleNormal="100" workbookViewId="0">
      <selection activeCell="E211" sqref="E211:AF231"/>
    </sheetView>
  </sheetViews>
  <sheetFormatPr baseColWidth="10" defaultRowHeight="12.75"/>
  <cols>
    <col min="1" max="1" width="11.42578125" style="368"/>
    <col min="2" max="3" width="0" style="368" hidden="1" customWidth="1"/>
    <col min="4" max="4" width="15.7109375" style="1711" customWidth="1"/>
    <col min="5" max="5" width="57" style="368" bestFit="1" customWidth="1"/>
    <col min="6" max="7" width="0" style="368" hidden="1" customWidth="1"/>
    <col min="8" max="11" width="11.42578125" style="368"/>
    <col min="12" max="12" width="11.140625" style="368" customWidth="1"/>
    <col min="13" max="32" width="11.42578125" style="368"/>
    <col min="33" max="43" width="0" style="368" hidden="1" customWidth="1"/>
    <col min="44" max="16384" width="11.42578125" style="368"/>
  </cols>
  <sheetData>
    <row r="1" spans="1:43" hidden="1">
      <c r="B1" s="676" t="s">
        <v>835</v>
      </c>
      <c r="H1" s="368">
        <v>1</v>
      </c>
      <c r="I1" s="368">
        <v>2</v>
      </c>
      <c r="J1" s="368">
        <v>3</v>
      </c>
      <c r="K1" s="368">
        <v>4</v>
      </c>
      <c r="L1" s="368">
        <v>5</v>
      </c>
      <c r="M1" s="368">
        <v>6</v>
      </c>
      <c r="N1" s="368">
        <v>7</v>
      </c>
      <c r="O1" s="368">
        <v>8</v>
      </c>
      <c r="P1" s="368">
        <v>9</v>
      </c>
      <c r="Q1" s="368">
        <v>10</v>
      </c>
      <c r="R1" s="368">
        <v>1</v>
      </c>
      <c r="S1" s="368">
        <v>2</v>
      </c>
      <c r="T1" s="368">
        <v>3</v>
      </c>
      <c r="U1" s="368">
        <v>4</v>
      </c>
      <c r="V1" s="368">
        <v>5</v>
      </c>
      <c r="W1" s="368">
        <v>6</v>
      </c>
      <c r="X1" s="368">
        <v>7</v>
      </c>
      <c r="Y1" s="368">
        <v>8</v>
      </c>
      <c r="Z1" s="368">
        <v>9</v>
      </c>
      <c r="AA1" s="368">
        <v>10</v>
      </c>
      <c r="AB1" s="368">
        <v>11</v>
      </c>
      <c r="AC1" s="368">
        <v>12</v>
      </c>
      <c r="AD1" s="368">
        <v>13</v>
      </c>
      <c r="AE1" s="368">
        <v>14</v>
      </c>
      <c r="AF1" s="368">
        <v>15</v>
      </c>
      <c r="AG1" s="368">
        <v>0</v>
      </c>
    </row>
    <row r="2" spans="1:43" hidden="1">
      <c r="C2" s="368">
        <v>1</v>
      </c>
      <c r="D2" s="1711">
        <v>2</v>
      </c>
      <c r="E2" s="368">
        <v>3</v>
      </c>
      <c r="F2" s="368">
        <v>4</v>
      </c>
      <c r="G2" s="368">
        <v>5</v>
      </c>
      <c r="H2" s="368">
        <v>6</v>
      </c>
      <c r="I2" s="368">
        <v>7</v>
      </c>
      <c r="J2" s="368">
        <v>8</v>
      </c>
      <c r="K2" s="368">
        <v>9</v>
      </c>
      <c r="L2" s="368">
        <v>10</v>
      </c>
      <c r="M2" s="368">
        <v>11</v>
      </c>
      <c r="N2" s="368">
        <v>12</v>
      </c>
      <c r="O2" s="368">
        <v>13</v>
      </c>
      <c r="P2" s="368">
        <v>14</v>
      </c>
      <c r="Q2" s="368">
        <v>15</v>
      </c>
      <c r="R2" s="368">
        <v>16</v>
      </c>
      <c r="S2" s="368">
        <v>17</v>
      </c>
      <c r="T2" s="368">
        <v>18</v>
      </c>
      <c r="U2" s="368">
        <v>19</v>
      </c>
      <c r="V2" s="368">
        <v>20</v>
      </c>
      <c r="W2" s="368">
        <v>21</v>
      </c>
      <c r="X2" s="368">
        <v>22</v>
      </c>
      <c r="Y2" s="368">
        <v>23</v>
      </c>
      <c r="Z2" s="368">
        <v>24</v>
      </c>
      <c r="AA2" s="368">
        <v>25</v>
      </c>
      <c r="AB2" s="368">
        <v>26</v>
      </c>
      <c r="AC2" s="368">
        <v>27</v>
      </c>
      <c r="AD2" s="368">
        <v>28</v>
      </c>
      <c r="AE2" s="368">
        <v>29</v>
      </c>
      <c r="AF2" s="368">
        <v>30</v>
      </c>
      <c r="AG2" s="368">
        <v>31</v>
      </c>
    </row>
    <row r="3" spans="1:43" ht="15">
      <c r="A3" s="2482" t="s">
        <v>865</v>
      </c>
      <c r="E3" s="2447" t="s">
        <v>319</v>
      </c>
      <c r="F3" s="2263" t="s">
        <v>320</v>
      </c>
      <c r="G3" s="2263" t="s">
        <v>321</v>
      </c>
      <c r="H3" s="2448" t="s">
        <v>322</v>
      </c>
      <c r="I3" s="2448"/>
      <c r="J3" s="2448"/>
      <c r="K3" s="2448"/>
      <c r="L3" s="2448"/>
      <c r="M3" s="2448"/>
      <c r="N3" s="2448"/>
      <c r="O3" s="2448"/>
      <c r="P3" s="2448"/>
      <c r="Q3" s="2448"/>
      <c r="R3" s="2448" t="s">
        <v>323</v>
      </c>
      <c r="S3" s="2448"/>
      <c r="T3" s="2448"/>
      <c r="U3" s="2448"/>
      <c r="V3" s="2448"/>
      <c r="W3" s="2448"/>
      <c r="X3" s="2448"/>
      <c r="Y3" s="2448"/>
      <c r="Z3" s="2448"/>
      <c r="AA3" s="2448"/>
      <c r="AB3" s="246" t="s">
        <v>73</v>
      </c>
      <c r="AC3" s="246" t="s">
        <v>74</v>
      </c>
      <c r="AD3" s="246" t="s">
        <v>75</v>
      </c>
      <c r="AE3" s="246" t="s">
        <v>76</v>
      </c>
      <c r="AF3" s="246" t="s">
        <v>77</v>
      </c>
      <c r="AG3" s="683" t="s">
        <v>829</v>
      </c>
      <c r="AH3" s="2485" t="s">
        <v>867</v>
      </c>
      <c r="AI3" s="2485"/>
      <c r="AJ3" s="2485"/>
      <c r="AK3" s="2485"/>
      <c r="AL3" s="2485"/>
      <c r="AM3" s="2485"/>
      <c r="AN3" s="2485"/>
      <c r="AO3" s="2485"/>
      <c r="AP3" s="2485"/>
      <c r="AQ3" s="2485"/>
    </row>
    <row r="4" spans="1:43" ht="15">
      <c r="A4" s="2482"/>
      <c r="C4" s="368">
        <v>100</v>
      </c>
      <c r="E4" s="2447"/>
      <c r="F4" s="2263"/>
      <c r="G4" s="2263"/>
      <c r="H4" s="1701" t="s">
        <v>347</v>
      </c>
      <c r="I4" s="1701" t="s">
        <v>348</v>
      </c>
      <c r="J4" s="1701" t="s">
        <v>349</v>
      </c>
      <c r="K4" s="1701" t="s">
        <v>350</v>
      </c>
      <c r="L4" s="1701" t="s">
        <v>351</v>
      </c>
      <c r="M4" s="1701" t="s">
        <v>352</v>
      </c>
      <c r="N4" s="1701" t="s">
        <v>353</v>
      </c>
      <c r="O4" s="1701" t="s">
        <v>354</v>
      </c>
      <c r="P4" s="1701" t="s">
        <v>355</v>
      </c>
      <c r="Q4" s="1701" t="s">
        <v>356</v>
      </c>
      <c r="R4" s="1701" t="s">
        <v>347</v>
      </c>
      <c r="S4" s="1701" t="s">
        <v>348</v>
      </c>
      <c r="T4" s="1701" t="s">
        <v>349</v>
      </c>
      <c r="U4" s="1701" t="s">
        <v>350</v>
      </c>
      <c r="V4" s="1701" t="s">
        <v>351</v>
      </c>
      <c r="W4" s="1701" t="s">
        <v>352</v>
      </c>
      <c r="X4" s="1701" t="s">
        <v>353</v>
      </c>
      <c r="Y4" s="1701" t="s">
        <v>354</v>
      </c>
      <c r="Z4" s="1701" t="s">
        <v>355</v>
      </c>
      <c r="AA4" s="1701" t="s">
        <v>356</v>
      </c>
      <c r="AB4" s="1700" t="s">
        <v>357</v>
      </c>
      <c r="AC4" s="1700" t="s">
        <v>357</v>
      </c>
      <c r="AD4" s="1700" t="s">
        <v>357</v>
      </c>
      <c r="AE4" s="1700" t="s">
        <v>357</v>
      </c>
      <c r="AF4" s="1700" t="s">
        <v>357</v>
      </c>
      <c r="AG4" s="683" t="s">
        <v>338</v>
      </c>
      <c r="AH4" s="1710" t="s">
        <v>868</v>
      </c>
      <c r="AI4" s="1710" t="s">
        <v>869</v>
      </c>
      <c r="AJ4" s="1710" t="s">
        <v>870</v>
      </c>
      <c r="AK4" s="1710" t="s">
        <v>871</v>
      </c>
      <c r="AL4" s="1710" t="s">
        <v>872</v>
      </c>
      <c r="AM4" s="1710" t="s">
        <v>873</v>
      </c>
      <c r="AN4" s="1710" t="s">
        <v>874</v>
      </c>
      <c r="AO4" s="1710" t="s">
        <v>875</v>
      </c>
      <c r="AP4" s="1710" t="s">
        <v>876</v>
      </c>
      <c r="AQ4" s="1710" t="s">
        <v>877</v>
      </c>
    </row>
    <row r="5" spans="1:43" ht="15">
      <c r="A5" s="2482"/>
      <c r="B5" s="368">
        <v>5</v>
      </c>
      <c r="C5" s="368">
        <f>$C$4+F5+B5</f>
        <v>106</v>
      </c>
      <c r="D5" s="2475" t="s">
        <v>815</v>
      </c>
      <c r="E5" s="1083" t="s">
        <v>61</v>
      </c>
      <c r="F5" s="678">
        <v>1</v>
      </c>
      <c r="G5" s="1698">
        <v>0</v>
      </c>
      <c r="H5" s="1701">
        <v>0</v>
      </c>
      <c r="I5" s="1701">
        <v>0</v>
      </c>
      <c r="J5" s="1701">
        <v>0</v>
      </c>
      <c r="K5" s="1701">
        <v>0</v>
      </c>
      <c r="L5" s="1701">
        <v>0</v>
      </c>
      <c r="M5" s="1701">
        <v>0</v>
      </c>
      <c r="N5" s="1701">
        <v>0</v>
      </c>
      <c r="O5" s="1701">
        <v>0</v>
      </c>
      <c r="P5" s="1701">
        <v>0</v>
      </c>
      <c r="Q5" s="1701">
        <v>0</v>
      </c>
      <c r="R5" s="1701">
        <v>0</v>
      </c>
      <c r="S5" s="1701">
        <v>0</v>
      </c>
      <c r="T5" s="1701">
        <v>0</v>
      </c>
      <c r="U5" s="1701">
        <v>0</v>
      </c>
      <c r="V5" s="1701">
        <v>0</v>
      </c>
      <c r="W5" s="1701">
        <v>0</v>
      </c>
      <c r="X5" s="1701">
        <v>0</v>
      </c>
      <c r="Y5" s="1701">
        <v>0</v>
      </c>
      <c r="Z5" s="1701">
        <v>0</v>
      </c>
      <c r="AA5" s="1701">
        <v>0</v>
      </c>
      <c r="AB5" s="1701">
        <v>0</v>
      </c>
      <c r="AC5" s="1701">
        <v>0</v>
      </c>
      <c r="AD5" s="1701">
        <v>0</v>
      </c>
      <c r="AE5" s="1701">
        <v>0</v>
      </c>
      <c r="AF5" s="1701">
        <v>0</v>
      </c>
      <c r="AG5" s="1701">
        <v>0</v>
      </c>
    </row>
    <row r="6" spans="1:43" ht="15">
      <c r="A6" s="2482"/>
      <c r="B6" s="368">
        <v>5</v>
      </c>
      <c r="C6" s="368">
        <f t="shared" ref="C6:C21" si="0">$C$4+F6+B6</f>
        <v>107</v>
      </c>
      <c r="D6" s="2475"/>
      <c r="E6" s="1083" t="s">
        <v>1036</v>
      </c>
      <c r="F6" s="678">
        <v>2</v>
      </c>
      <c r="G6" s="1698">
        <v>1</v>
      </c>
      <c r="H6" s="1701">
        <v>0</v>
      </c>
      <c r="I6" s="1701">
        <v>1000</v>
      </c>
      <c r="J6" s="1701">
        <v>2000</v>
      </c>
      <c r="K6" s="1701">
        <v>4000</v>
      </c>
      <c r="L6" s="1701">
        <v>6000</v>
      </c>
      <c r="M6" s="1701">
        <v>10000</v>
      </c>
      <c r="N6" s="1701">
        <v>15000</v>
      </c>
      <c r="O6" s="1701">
        <v>21000</v>
      </c>
      <c r="P6" s="1701">
        <v>31000</v>
      </c>
      <c r="Q6" s="1701">
        <v>46000</v>
      </c>
      <c r="R6" s="1701">
        <v>95000</v>
      </c>
      <c r="S6" s="1701">
        <v>0</v>
      </c>
      <c r="T6" s="1701">
        <v>0</v>
      </c>
      <c r="U6" s="1701">
        <v>0</v>
      </c>
      <c r="V6" s="1701">
        <v>0</v>
      </c>
      <c r="W6" s="1701">
        <v>0</v>
      </c>
      <c r="X6" s="1701">
        <v>0</v>
      </c>
      <c r="Y6" s="1701">
        <v>0</v>
      </c>
      <c r="Z6" s="1701">
        <v>0</v>
      </c>
      <c r="AA6" s="1701">
        <v>0</v>
      </c>
      <c r="AB6" s="1700"/>
      <c r="AC6" s="1700"/>
      <c r="AD6" s="1700"/>
      <c r="AE6" s="1700"/>
      <c r="AF6" s="1700"/>
    </row>
    <row r="7" spans="1:43" ht="15">
      <c r="A7" s="2482"/>
      <c r="B7" s="368">
        <v>5</v>
      </c>
      <c r="C7" s="368">
        <f t="shared" si="0"/>
        <v>108</v>
      </c>
      <c r="D7" s="2475"/>
      <c r="E7" s="693" t="s">
        <v>838</v>
      </c>
      <c r="F7" s="678">
        <v>3</v>
      </c>
      <c r="G7" s="1698">
        <v>2</v>
      </c>
      <c r="H7" s="36">
        <v>0</v>
      </c>
      <c r="I7" s="36">
        <v>0</v>
      </c>
      <c r="J7" s="36">
        <v>300</v>
      </c>
      <c r="K7" s="36">
        <v>1500</v>
      </c>
      <c r="L7" s="36">
        <v>4500</v>
      </c>
      <c r="M7" s="36">
        <v>9000</v>
      </c>
      <c r="N7" s="36">
        <v>16500</v>
      </c>
      <c r="O7" s="36">
        <v>28500</v>
      </c>
      <c r="P7" s="36">
        <v>46500</v>
      </c>
      <c r="Q7" s="36">
        <v>76500</v>
      </c>
      <c r="R7" s="16">
        <v>10000</v>
      </c>
      <c r="S7" s="16">
        <v>20000</v>
      </c>
      <c r="T7" s="16">
        <v>30000</v>
      </c>
      <c r="U7" s="16">
        <v>40000</v>
      </c>
      <c r="V7" s="16">
        <v>50000</v>
      </c>
      <c r="W7" s="16">
        <v>60000</v>
      </c>
      <c r="X7" s="16">
        <v>70000</v>
      </c>
      <c r="Y7" s="16">
        <v>80000</v>
      </c>
      <c r="Z7" s="16">
        <v>90000</v>
      </c>
      <c r="AA7" s="16">
        <v>100000</v>
      </c>
      <c r="AB7" s="36">
        <v>45</v>
      </c>
      <c r="AC7" s="16">
        <v>68</v>
      </c>
      <c r="AD7" s="36">
        <v>100</v>
      </c>
      <c r="AE7" s="16">
        <v>150</v>
      </c>
      <c r="AF7" s="36">
        <v>225</v>
      </c>
      <c r="AG7" s="368">
        <v>0</v>
      </c>
    </row>
    <row r="8" spans="1:43" ht="15">
      <c r="A8" s="2482"/>
      <c r="B8" s="368">
        <v>5</v>
      </c>
      <c r="C8" s="368">
        <f t="shared" si="0"/>
        <v>109</v>
      </c>
      <c r="D8" s="2475"/>
      <c r="E8" s="693" t="s">
        <v>841</v>
      </c>
      <c r="F8" s="678">
        <v>4</v>
      </c>
      <c r="G8" s="1698">
        <v>3</v>
      </c>
      <c r="H8" s="36">
        <v>0</v>
      </c>
      <c r="I8" s="36">
        <v>0</v>
      </c>
      <c r="J8" s="36">
        <v>300</v>
      </c>
      <c r="K8" s="36">
        <v>1500</v>
      </c>
      <c r="L8" s="36">
        <v>4500</v>
      </c>
      <c r="M8" s="36">
        <v>9000</v>
      </c>
      <c r="N8" s="36">
        <v>16500</v>
      </c>
      <c r="O8" s="36">
        <v>28500</v>
      </c>
      <c r="P8" s="36">
        <v>46500</v>
      </c>
      <c r="Q8" s="36">
        <v>76500</v>
      </c>
      <c r="R8" s="16">
        <v>10000</v>
      </c>
      <c r="S8" s="16">
        <v>20000</v>
      </c>
      <c r="T8" s="16">
        <v>30000</v>
      </c>
      <c r="U8" s="16">
        <v>40000</v>
      </c>
      <c r="V8" s="16">
        <v>50000</v>
      </c>
      <c r="W8" s="16">
        <v>60000</v>
      </c>
      <c r="X8" s="16">
        <v>70000</v>
      </c>
      <c r="Y8" s="16">
        <v>80000</v>
      </c>
      <c r="Z8" s="16">
        <v>90000</v>
      </c>
      <c r="AA8" s="16">
        <v>100000</v>
      </c>
      <c r="AB8" s="36">
        <v>45</v>
      </c>
      <c r="AC8" s="16">
        <v>68</v>
      </c>
      <c r="AD8" s="36">
        <v>100</v>
      </c>
      <c r="AE8" s="16">
        <v>150</v>
      </c>
      <c r="AF8" s="36">
        <v>225</v>
      </c>
      <c r="AG8" s="368">
        <v>0</v>
      </c>
    </row>
    <row r="9" spans="1:43" ht="15">
      <c r="A9" s="2482"/>
      <c r="B9" s="368">
        <v>5</v>
      </c>
      <c r="C9" s="368">
        <f t="shared" si="0"/>
        <v>110</v>
      </c>
      <c r="D9" s="2475"/>
      <c r="E9" s="693" t="s">
        <v>842</v>
      </c>
      <c r="F9" s="678">
        <v>5</v>
      </c>
      <c r="G9" s="1698">
        <v>4</v>
      </c>
      <c r="H9" s="36">
        <v>300</v>
      </c>
      <c r="I9" s="36">
        <v>450</v>
      </c>
      <c r="J9" s="36">
        <v>750</v>
      </c>
      <c r="K9" s="36">
        <v>1950</v>
      </c>
      <c r="L9" s="36">
        <v>4950</v>
      </c>
      <c r="M9" s="36">
        <v>9450</v>
      </c>
      <c r="N9" s="36">
        <v>16950</v>
      </c>
      <c r="O9" s="36">
        <v>28950</v>
      </c>
      <c r="P9" s="36">
        <v>46950</v>
      </c>
      <c r="Q9" s="36">
        <v>76950</v>
      </c>
      <c r="R9" s="16">
        <v>10000</v>
      </c>
      <c r="S9" s="16">
        <v>20000</v>
      </c>
      <c r="T9" s="16">
        <v>30000</v>
      </c>
      <c r="U9" s="16">
        <v>40000</v>
      </c>
      <c r="V9" s="16">
        <v>50000</v>
      </c>
      <c r="W9" s="16">
        <v>60000</v>
      </c>
      <c r="X9" s="16">
        <v>70000</v>
      </c>
      <c r="Y9" s="16">
        <v>80000</v>
      </c>
      <c r="Z9" s="16">
        <v>90000</v>
      </c>
      <c r="AA9" s="16">
        <v>100000</v>
      </c>
      <c r="AB9" s="36">
        <v>45</v>
      </c>
      <c r="AC9" s="16">
        <v>68</v>
      </c>
      <c r="AD9" s="36">
        <v>100</v>
      </c>
      <c r="AE9" s="16">
        <v>150</v>
      </c>
      <c r="AF9" s="36">
        <v>225</v>
      </c>
      <c r="AG9" s="368">
        <v>0</v>
      </c>
    </row>
    <row r="10" spans="1:43" ht="15">
      <c r="A10" s="2482"/>
      <c r="B10" s="368">
        <v>5</v>
      </c>
      <c r="C10" s="368">
        <f t="shared" si="0"/>
        <v>111</v>
      </c>
      <c r="D10" s="2475"/>
      <c r="E10" s="693" t="s">
        <v>839</v>
      </c>
      <c r="F10" s="678">
        <v>6</v>
      </c>
      <c r="G10" s="1698">
        <v>5</v>
      </c>
      <c r="H10" s="36">
        <v>0</v>
      </c>
      <c r="I10" s="36">
        <v>0</v>
      </c>
      <c r="J10" s="36">
        <v>300</v>
      </c>
      <c r="K10" s="36">
        <v>1500</v>
      </c>
      <c r="L10" s="36">
        <v>4500</v>
      </c>
      <c r="M10" s="36">
        <v>9000</v>
      </c>
      <c r="N10" s="36">
        <v>16500</v>
      </c>
      <c r="O10" s="36">
        <v>28500</v>
      </c>
      <c r="P10" s="36">
        <v>46500</v>
      </c>
      <c r="Q10" s="36">
        <v>76500</v>
      </c>
      <c r="R10" s="16">
        <v>10000</v>
      </c>
      <c r="S10" s="16">
        <v>20000</v>
      </c>
      <c r="T10" s="16">
        <v>30000</v>
      </c>
      <c r="U10" s="16">
        <v>40000</v>
      </c>
      <c r="V10" s="16">
        <v>50000</v>
      </c>
      <c r="W10" s="16">
        <v>60000</v>
      </c>
      <c r="X10" s="16">
        <v>70000</v>
      </c>
      <c r="Y10" s="16">
        <v>80000</v>
      </c>
      <c r="Z10" s="16">
        <v>90000</v>
      </c>
      <c r="AA10" s="16">
        <v>100000</v>
      </c>
      <c r="AB10" s="36">
        <v>45</v>
      </c>
      <c r="AC10" s="16">
        <v>68</v>
      </c>
      <c r="AD10" s="36">
        <v>100</v>
      </c>
      <c r="AE10" s="16">
        <v>150</v>
      </c>
      <c r="AF10" s="36">
        <v>225</v>
      </c>
      <c r="AG10" s="368">
        <v>0</v>
      </c>
    </row>
    <row r="11" spans="1:43" ht="15">
      <c r="A11" s="2482"/>
      <c r="B11" s="368">
        <v>5</v>
      </c>
      <c r="C11" s="368">
        <f t="shared" si="0"/>
        <v>112</v>
      </c>
      <c r="D11" s="2475"/>
      <c r="E11" s="693" t="s">
        <v>840</v>
      </c>
      <c r="F11" s="678">
        <v>7</v>
      </c>
      <c r="G11" s="1698">
        <v>6</v>
      </c>
      <c r="H11" s="36">
        <v>0</v>
      </c>
      <c r="I11" s="36">
        <v>0</v>
      </c>
      <c r="J11" s="36">
        <v>300</v>
      </c>
      <c r="K11" s="36">
        <v>1500</v>
      </c>
      <c r="L11" s="36">
        <v>4500</v>
      </c>
      <c r="M11" s="36">
        <v>9000</v>
      </c>
      <c r="N11" s="36">
        <v>16500</v>
      </c>
      <c r="O11" s="36">
        <v>28500</v>
      </c>
      <c r="P11" s="36">
        <v>46500</v>
      </c>
      <c r="Q11" s="36">
        <v>76500</v>
      </c>
      <c r="R11" s="16">
        <v>10000</v>
      </c>
      <c r="S11" s="16">
        <v>20000</v>
      </c>
      <c r="T11" s="16">
        <v>30000</v>
      </c>
      <c r="U11" s="16">
        <v>40000</v>
      </c>
      <c r="V11" s="16">
        <v>50000</v>
      </c>
      <c r="W11" s="16">
        <v>60000</v>
      </c>
      <c r="X11" s="16">
        <v>70000</v>
      </c>
      <c r="Y11" s="16">
        <v>80000</v>
      </c>
      <c r="Z11" s="16">
        <v>90000</v>
      </c>
      <c r="AA11" s="16">
        <v>100000</v>
      </c>
      <c r="AB11" s="36">
        <v>45</v>
      </c>
      <c r="AC11" s="16">
        <v>68</v>
      </c>
      <c r="AD11" s="36">
        <v>100</v>
      </c>
      <c r="AE11" s="16">
        <v>150</v>
      </c>
      <c r="AF11" s="36">
        <v>225</v>
      </c>
      <c r="AG11" s="368">
        <v>0</v>
      </c>
    </row>
    <row r="12" spans="1:43" ht="15">
      <c r="A12" s="2482"/>
      <c r="B12" s="368">
        <v>5</v>
      </c>
      <c r="C12" s="368">
        <f t="shared" si="0"/>
        <v>113</v>
      </c>
      <c r="D12" s="2475"/>
      <c r="E12" s="693" t="s">
        <v>843</v>
      </c>
      <c r="F12" s="678">
        <v>8</v>
      </c>
      <c r="G12" s="1698">
        <v>7</v>
      </c>
      <c r="H12" s="36">
        <v>0</v>
      </c>
      <c r="I12" s="36">
        <v>0</v>
      </c>
      <c r="J12" s="36">
        <v>300</v>
      </c>
      <c r="K12" s="36">
        <v>1500</v>
      </c>
      <c r="L12" s="36">
        <v>4500</v>
      </c>
      <c r="M12" s="36">
        <v>9000</v>
      </c>
      <c r="N12" s="36">
        <v>16500</v>
      </c>
      <c r="O12" s="36">
        <v>28500</v>
      </c>
      <c r="P12" s="36">
        <v>46500</v>
      </c>
      <c r="Q12" s="36">
        <v>76500</v>
      </c>
      <c r="R12" s="16">
        <v>10000</v>
      </c>
      <c r="S12" s="16">
        <v>20000</v>
      </c>
      <c r="T12" s="16">
        <v>30000</v>
      </c>
      <c r="U12" s="16">
        <v>40000</v>
      </c>
      <c r="V12" s="16">
        <v>50000</v>
      </c>
      <c r="W12" s="16">
        <v>60000</v>
      </c>
      <c r="X12" s="16">
        <v>70000</v>
      </c>
      <c r="Y12" s="16">
        <v>80000</v>
      </c>
      <c r="Z12" s="16">
        <v>90000</v>
      </c>
      <c r="AA12" s="16">
        <v>100000</v>
      </c>
      <c r="AB12" s="36">
        <v>45</v>
      </c>
      <c r="AC12" s="16">
        <v>68</v>
      </c>
      <c r="AD12" s="36">
        <v>100</v>
      </c>
      <c r="AE12" s="16">
        <v>150</v>
      </c>
      <c r="AF12" s="36">
        <v>225</v>
      </c>
      <c r="AG12" s="368">
        <v>0</v>
      </c>
    </row>
    <row r="13" spans="1:43" ht="15">
      <c r="A13" s="2482"/>
      <c r="B13" s="368">
        <v>5</v>
      </c>
      <c r="C13" s="368">
        <f t="shared" si="0"/>
        <v>114</v>
      </c>
      <c r="D13" s="2475"/>
      <c r="E13" s="693" t="s">
        <v>844</v>
      </c>
      <c r="F13" s="678">
        <v>9</v>
      </c>
      <c r="G13" s="1698">
        <v>8</v>
      </c>
      <c r="H13" s="36">
        <v>0</v>
      </c>
      <c r="I13" s="36">
        <v>0</v>
      </c>
      <c r="J13" s="36">
        <v>300</v>
      </c>
      <c r="K13" s="36">
        <v>1500</v>
      </c>
      <c r="L13" s="36">
        <v>4500</v>
      </c>
      <c r="M13" s="36">
        <v>9000</v>
      </c>
      <c r="N13" s="36">
        <v>16500</v>
      </c>
      <c r="O13" s="36">
        <v>28500</v>
      </c>
      <c r="P13" s="36">
        <v>46500</v>
      </c>
      <c r="Q13" s="36">
        <v>76500</v>
      </c>
      <c r="R13" s="16">
        <v>10000</v>
      </c>
      <c r="S13" s="16">
        <v>20000</v>
      </c>
      <c r="T13" s="16">
        <v>30000</v>
      </c>
      <c r="U13" s="16">
        <v>40000</v>
      </c>
      <c r="V13" s="16">
        <v>50000</v>
      </c>
      <c r="W13" s="16">
        <v>60000</v>
      </c>
      <c r="X13" s="16">
        <v>70000</v>
      </c>
      <c r="Y13" s="16">
        <v>80000</v>
      </c>
      <c r="Z13" s="16">
        <v>90000</v>
      </c>
      <c r="AA13" s="16">
        <v>100000</v>
      </c>
      <c r="AB13" s="36">
        <v>45</v>
      </c>
      <c r="AC13" s="16">
        <v>68</v>
      </c>
      <c r="AD13" s="36">
        <v>100</v>
      </c>
      <c r="AE13" s="16">
        <v>150</v>
      </c>
      <c r="AF13" s="36">
        <v>225</v>
      </c>
      <c r="AG13" s="368">
        <v>0</v>
      </c>
    </row>
    <row r="14" spans="1:43" ht="15">
      <c r="A14" s="2482"/>
      <c r="B14" s="368">
        <v>5</v>
      </c>
      <c r="C14" s="368">
        <f t="shared" si="0"/>
        <v>115</v>
      </c>
      <c r="D14" s="2475"/>
      <c r="E14" s="693" t="s">
        <v>813</v>
      </c>
      <c r="F14" s="678">
        <v>10</v>
      </c>
      <c r="G14" s="1698">
        <v>9</v>
      </c>
      <c r="H14" s="36">
        <v>0</v>
      </c>
      <c r="I14" s="36">
        <v>0</v>
      </c>
      <c r="J14" s="36">
        <v>300</v>
      </c>
      <c r="K14" s="36">
        <v>1500</v>
      </c>
      <c r="L14" s="36">
        <v>4500</v>
      </c>
      <c r="M14" s="36">
        <v>9000</v>
      </c>
      <c r="N14" s="36">
        <v>16500</v>
      </c>
      <c r="O14" s="36">
        <v>28500</v>
      </c>
      <c r="P14" s="36">
        <v>46500</v>
      </c>
      <c r="Q14" s="36">
        <v>76500</v>
      </c>
      <c r="R14" s="16">
        <v>5000</v>
      </c>
      <c r="S14" s="16">
        <v>5000</v>
      </c>
      <c r="T14" s="16">
        <v>10000</v>
      </c>
      <c r="U14" s="16">
        <v>15000</v>
      </c>
      <c r="V14" s="16">
        <v>20000</v>
      </c>
      <c r="W14" s="16">
        <v>25000</v>
      </c>
      <c r="X14" s="16">
        <v>30000</v>
      </c>
      <c r="Y14" s="16">
        <v>35000</v>
      </c>
      <c r="Z14" s="16">
        <v>40000</v>
      </c>
      <c r="AA14" s="16">
        <v>45000</v>
      </c>
      <c r="AB14" s="36">
        <v>45</v>
      </c>
      <c r="AC14" s="16">
        <v>68</v>
      </c>
      <c r="AD14" s="36">
        <v>100</v>
      </c>
      <c r="AE14" s="16">
        <v>150</v>
      </c>
      <c r="AF14" s="36">
        <v>225</v>
      </c>
      <c r="AG14" s="368">
        <v>0</v>
      </c>
    </row>
    <row r="15" spans="1:43" ht="15">
      <c r="A15" s="2482"/>
      <c r="B15" s="368">
        <v>5</v>
      </c>
      <c r="C15" s="368">
        <f t="shared" si="0"/>
        <v>116</v>
      </c>
      <c r="D15" s="2475"/>
      <c r="E15" s="693" t="s">
        <v>845</v>
      </c>
      <c r="F15" s="678">
        <v>11</v>
      </c>
      <c r="G15" s="1698">
        <v>10</v>
      </c>
      <c r="H15" s="36">
        <v>150</v>
      </c>
      <c r="I15" s="36">
        <v>150</v>
      </c>
      <c r="J15" s="36">
        <v>600</v>
      </c>
      <c r="K15" s="36">
        <v>2400</v>
      </c>
      <c r="L15" s="36">
        <v>6900</v>
      </c>
      <c r="M15" s="36">
        <v>13650</v>
      </c>
      <c r="N15" s="36">
        <v>24900</v>
      </c>
      <c r="O15" s="36">
        <v>42900</v>
      </c>
      <c r="P15" s="36">
        <v>69900</v>
      </c>
      <c r="Q15" s="36">
        <v>114900</v>
      </c>
      <c r="R15" s="16">
        <v>7500</v>
      </c>
      <c r="S15" s="16">
        <v>15000</v>
      </c>
      <c r="T15" s="16">
        <v>22500</v>
      </c>
      <c r="U15" s="16">
        <v>30000</v>
      </c>
      <c r="V15" s="16">
        <v>37500</v>
      </c>
      <c r="W15" s="16">
        <v>45000</v>
      </c>
      <c r="X15" s="16">
        <v>52500</v>
      </c>
      <c r="Y15" s="16">
        <v>60000</v>
      </c>
      <c r="Z15" s="16">
        <v>67500</v>
      </c>
      <c r="AA15" s="16">
        <v>75000</v>
      </c>
      <c r="AB15" s="36">
        <v>45</v>
      </c>
      <c r="AC15" s="16">
        <v>68</v>
      </c>
      <c r="AD15" s="36">
        <v>100</v>
      </c>
      <c r="AE15" s="16">
        <v>150</v>
      </c>
      <c r="AF15" s="36">
        <v>225</v>
      </c>
      <c r="AG15" s="368">
        <v>0</v>
      </c>
    </row>
    <row r="16" spans="1:43" ht="15">
      <c r="A16" s="2482"/>
      <c r="B16" s="368">
        <v>5</v>
      </c>
      <c r="C16" s="368">
        <f t="shared" si="0"/>
        <v>117</v>
      </c>
      <c r="D16" s="2475"/>
      <c r="E16" s="693" t="s">
        <v>846</v>
      </c>
      <c r="F16" s="678">
        <v>12</v>
      </c>
      <c r="G16" s="1698">
        <v>11</v>
      </c>
      <c r="H16" s="36">
        <v>0</v>
      </c>
      <c r="I16" s="36">
        <v>0</v>
      </c>
      <c r="J16" s="36">
        <v>300</v>
      </c>
      <c r="K16" s="36">
        <v>1500</v>
      </c>
      <c r="L16" s="36">
        <v>4500</v>
      </c>
      <c r="M16" s="36">
        <v>9000</v>
      </c>
      <c r="N16" s="36">
        <v>16500</v>
      </c>
      <c r="O16" s="36">
        <v>28500</v>
      </c>
      <c r="P16" s="36">
        <v>46500</v>
      </c>
      <c r="Q16" s="36">
        <v>76500</v>
      </c>
      <c r="R16" s="16">
        <v>10000</v>
      </c>
      <c r="S16" s="16">
        <v>20000</v>
      </c>
      <c r="T16" s="16">
        <v>30000</v>
      </c>
      <c r="U16" s="16">
        <v>40000</v>
      </c>
      <c r="V16" s="16">
        <v>50000</v>
      </c>
      <c r="W16" s="16">
        <v>60000</v>
      </c>
      <c r="X16" s="16">
        <v>70000</v>
      </c>
      <c r="Y16" s="16">
        <v>80000</v>
      </c>
      <c r="Z16" s="16">
        <v>90000</v>
      </c>
      <c r="AA16" s="16">
        <v>100000</v>
      </c>
      <c r="AB16" s="36">
        <v>45</v>
      </c>
      <c r="AC16" s="16">
        <v>68</v>
      </c>
      <c r="AD16" s="36">
        <v>100</v>
      </c>
      <c r="AE16" s="16">
        <v>150</v>
      </c>
      <c r="AF16" s="36">
        <v>225</v>
      </c>
      <c r="AG16" s="368">
        <v>0</v>
      </c>
    </row>
    <row r="17" spans="1:33" ht="15">
      <c r="A17" s="2482"/>
      <c r="B17" s="368">
        <v>5</v>
      </c>
      <c r="C17" s="368">
        <f t="shared" si="0"/>
        <v>118</v>
      </c>
      <c r="D17" s="2475"/>
      <c r="E17" s="693" t="s">
        <v>847</v>
      </c>
      <c r="F17" s="678">
        <v>13</v>
      </c>
      <c r="G17" s="1698">
        <v>12</v>
      </c>
      <c r="H17" s="36">
        <v>0</v>
      </c>
      <c r="I17" s="36">
        <v>0</v>
      </c>
      <c r="J17" s="36">
        <v>300</v>
      </c>
      <c r="K17" s="36">
        <v>1500</v>
      </c>
      <c r="L17" s="36">
        <v>4500</v>
      </c>
      <c r="M17" s="36">
        <v>9000</v>
      </c>
      <c r="N17" s="36">
        <v>16500</v>
      </c>
      <c r="O17" s="36">
        <v>28500</v>
      </c>
      <c r="P17" s="36">
        <v>46500</v>
      </c>
      <c r="Q17" s="36">
        <v>76500</v>
      </c>
      <c r="R17" s="16">
        <v>10000</v>
      </c>
      <c r="S17" s="16">
        <v>20000</v>
      </c>
      <c r="T17" s="16">
        <v>30000</v>
      </c>
      <c r="U17" s="16">
        <v>40000</v>
      </c>
      <c r="V17" s="16">
        <v>50000</v>
      </c>
      <c r="W17" s="16">
        <v>60000</v>
      </c>
      <c r="X17" s="16">
        <v>70000</v>
      </c>
      <c r="Y17" s="16">
        <v>80000</v>
      </c>
      <c r="Z17" s="16">
        <v>90000</v>
      </c>
      <c r="AA17" s="16">
        <v>100000</v>
      </c>
      <c r="AB17" s="36">
        <v>45</v>
      </c>
      <c r="AC17" s="16">
        <v>68</v>
      </c>
      <c r="AD17" s="36">
        <v>100</v>
      </c>
      <c r="AE17" s="16">
        <v>150</v>
      </c>
      <c r="AF17" s="36">
        <v>225</v>
      </c>
      <c r="AG17" s="368">
        <v>0</v>
      </c>
    </row>
    <row r="18" spans="1:33" ht="15">
      <c r="A18" s="2482"/>
      <c r="B18" s="368">
        <v>5</v>
      </c>
      <c r="C18" s="368">
        <f t="shared" si="0"/>
        <v>119</v>
      </c>
      <c r="D18" s="2475"/>
      <c r="E18" s="693" t="s">
        <v>848</v>
      </c>
      <c r="F18" s="678">
        <v>14</v>
      </c>
      <c r="G18" s="1698">
        <v>13</v>
      </c>
      <c r="H18" s="36">
        <v>0</v>
      </c>
      <c r="I18" s="36">
        <v>0</v>
      </c>
      <c r="J18" s="36">
        <v>300</v>
      </c>
      <c r="K18" s="36">
        <v>1500</v>
      </c>
      <c r="L18" s="36">
        <v>4500</v>
      </c>
      <c r="M18" s="36">
        <v>9000</v>
      </c>
      <c r="N18" s="36">
        <v>16500</v>
      </c>
      <c r="O18" s="36">
        <v>28500</v>
      </c>
      <c r="P18" s="36">
        <v>46500</v>
      </c>
      <c r="Q18" s="36">
        <v>76500</v>
      </c>
      <c r="R18" s="16">
        <v>10000</v>
      </c>
      <c r="S18" s="16">
        <v>20000</v>
      </c>
      <c r="T18" s="16">
        <v>30000</v>
      </c>
      <c r="U18" s="16">
        <v>40000</v>
      </c>
      <c r="V18" s="16">
        <v>50000</v>
      </c>
      <c r="W18" s="16">
        <v>60000</v>
      </c>
      <c r="X18" s="16">
        <v>70000</v>
      </c>
      <c r="Y18" s="16">
        <v>80000</v>
      </c>
      <c r="Z18" s="16">
        <v>90000</v>
      </c>
      <c r="AA18" s="16">
        <v>100000</v>
      </c>
      <c r="AB18" s="36">
        <v>45</v>
      </c>
      <c r="AC18" s="16">
        <v>68</v>
      </c>
      <c r="AD18" s="36">
        <v>100</v>
      </c>
      <c r="AE18" s="16">
        <v>150</v>
      </c>
      <c r="AF18" s="36">
        <v>225</v>
      </c>
      <c r="AG18" s="368">
        <v>0</v>
      </c>
    </row>
    <row r="19" spans="1:33" ht="15">
      <c r="A19" s="2482"/>
      <c r="B19" s="368">
        <v>5</v>
      </c>
      <c r="C19" s="368">
        <f t="shared" si="0"/>
        <v>120</v>
      </c>
      <c r="D19" s="2475"/>
      <c r="E19" s="261" t="s">
        <v>487</v>
      </c>
      <c r="F19" s="678">
        <v>15</v>
      </c>
      <c r="G19" s="1698">
        <v>14</v>
      </c>
      <c r="H19" s="36">
        <v>300</v>
      </c>
      <c r="I19" s="36">
        <v>600</v>
      </c>
      <c r="J19" s="36">
        <v>1350</v>
      </c>
      <c r="K19" s="36">
        <v>2550</v>
      </c>
      <c r="L19" s="36">
        <v>5550</v>
      </c>
      <c r="M19" s="36">
        <v>10050</v>
      </c>
      <c r="N19" s="36">
        <v>17550</v>
      </c>
      <c r="O19" s="36">
        <v>29550</v>
      </c>
      <c r="P19" s="36">
        <v>47550</v>
      </c>
      <c r="Q19" s="36">
        <v>77550</v>
      </c>
      <c r="R19" s="16">
        <v>10000</v>
      </c>
      <c r="S19" s="16">
        <v>20000</v>
      </c>
      <c r="T19" s="16">
        <v>30000</v>
      </c>
      <c r="U19" s="16">
        <v>40000</v>
      </c>
      <c r="V19" s="16">
        <v>50000</v>
      </c>
      <c r="W19" s="16">
        <v>60000</v>
      </c>
      <c r="X19" s="16">
        <v>70000</v>
      </c>
      <c r="Y19" s="16">
        <v>80000</v>
      </c>
      <c r="Z19" s="16">
        <v>90000</v>
      </c>
      <c r="AA19" s="16">
        <v>100000</v>
      </c>
      <c r="AB19" s="36">
        <v>45</v>
      </c>
      <c r="AC19" s="16">
        <v>68</v>
      </c>
      <c r="AD19" s="36">
        <v>100</v>
      </c>
      <c r="AE19" s="16">
        <v>150</v>
      </c>
      <c r="AF19" s="36">
        <v>225</v>
      </c>
      <c r="AG19" s="368">
        <v>0</v>
      </c>
    </row>
    <row r="20" spans="1:33" ht="15">
      <c r="A20" s="2482"/>
      <c r="B20" s="368">
        <v>5</v>
      </c>
      <c r="C20" s="368">
        <f t="shared" si="0"/>
        <v>121</v>
      </c>
      <c r="D20" s="2475"/>
      <c r="E20" s="693" t="s">
        <v>849</v>
      </c>
      <c r="F20" s="678">
        <v>16</v>
      </c>
      <c r="G20" s="1698">
        <v>15</v>
      </c>
      <c r="H20" s="36">
        <v>0</v>
      </c>
      <c r="I20" s="36">
        <v>0</v>
      </c>
      <c r="J20" s="36">
        <v>300</v>
      </c>
      <c r="K20" s="36">
        <v>1500</v>
      </c>
      <c r="L20" s="36">
        <v>4500</v>
      </c>
      <c r="M20" s="36">
        <v>9000</v>
      </c>
      <c r="N20" s="36">
        <v>16500</v>
      </c>
      <c r="O20" s="36">
        <v>28500</v>
      </c>
      <c r="P20" s="36">
        <v>46500</v>
      </c>
      <c r="Q20" s="36">
        <v>76500</v>
      </c>
      <c r="R20" s="16">
        <v>10000</v>
      </c>
      <c r="S20" s="16">
        <v>20000</v>
      </c>
      <c r="T20" s="16">
        <v>30000</v>
      </c>
      <c r="U20" s="16">
        <v>40000</v>
      </c>
      <c r="V20" s="16">
        <v>50000</v>
      </c>
      <c r="W20" s="16">
        <v>60000</v>
      </c>
      <c r="X20" s="16">
        <v>70000</v>
      </c>
      <c r="Y20" s="16">
        <v>80000</v>
      </c>
      <c r="Z20" s="16">
        <v>90000</v>
      </c>
      <c r="AA20" s="16">
        <v>100000</v>
      </c>
      <c r="AB20" s="36">
        <v>45</v>
      </c>
      <c r="AC20" s="16">
        <v>68</v>
      </c>
      <c r="AD20" s="36">
        <v>100</v>
      </c>
      <c r="AE20" s="16">
        <v>150</v>
      </c>
      <c r="AF20" s="36">
        <v>225</v>
      </c>
      <c r="AG20" s="368">
        <v>0</v>
      </c>
    </row>
    <row r="21" spans="1:33" ht="15">
      <c r="A21" s="2482"/>
      <c r="B21" s="368">
        <v>5</v>
      </c>
      <c r="C21" s="368">
        <f t="shared" si="0"/>
        <v>122</v>
      </c>
      <c r="D21" s="2475"/>
      <c r="E21" s="693" t="s">
        <v>850</v>
      </c>
      <c r="F21" s="678">
        <v>17</v>
      </c>
      <c r="G21" s="1698">
        <v>16</v>
      </c>
      <c r="H21" s="36">
        <v>0</v>
      </c>
      <c r="I21" s="36">
        <v>0</v>
      </c>
      <c r="J21" s="36">
        <v>300</v>
      </c>
      <c r="K21" s="36">
        <v>1500</v>
      </c>
      <c r="L21" s="36">
        <v>4500</v>
      </c>
      <c r="M21" s="36">
        <v>9000</v>
      </c>
      <c r="N21" s="36">
        <v>16500</v>
      </c>
      <c r="O21" s="36">
        <v>28500</v>
      </c>
      <c r="P21" s="36">
        <v>46500</v>
      </c>
      <c r="Q21" s="36">
        <v>76500</v>
      </c>
      <c r="R21" s="16">
        <v>10000</v>
      </c>
      <c r="S21" s="16">
        <v>20000</v>
      </c>
      <c r="T21" s="16">
        <v>30000</v>
      </c>
      <c r="U21" s="16">
        <v>40000</v>
      </c>
      <c r="V21" s="16">
        <v>50000</v>
      </c>
      <c r="W21" s="16">
        <v>60000</v>
      </c>
      <c r="X21" s="16">
        <v>70000</v>
      </c>
      <c r="Y21" s="16">
        <v>80000</v>
      </c>
      <c r="Z21" s="16">
        <v>90000</v>
      </c>
      <c r="AA21" s="16">
        <v>100000</v>
      </c>
      <c r="AB21" s="36">
        <v>45</v>
      </c>
      <c r="AC21" s="16">
        <v>68</v>
      </c>
      <c r="AD21" s="36">
        <v>100</v>
      </c>
      <c r="AE21" s="16">
        <v>150</v>
      </c>
      <c r="AF21" s="36">
        <v>225</v>
      </c>
      <c r="AG21" s="368">
        <v>0</v>
      </c>
    </row>
    <row r="22" spans="1:33" ht="15">
      <c r="A22" s="2482"/>
      <c r="B22" s="368">
        <v>25</v>
      </c>
      <c r="C22" s="368">
        <f>$C$4+F22+B22</f>
        <v>126</v>
      </c>
      <c r="D22" s="2475" t="s">
        <v>698</v>
      </c>
      <c r="E22" s="1604" t="s">
        <v>61</v>
      </c>
      <c r="F22" s="671">
        <v>1</v>
      </c>
      <c r="G22" s="694">
        <v>0</v>
      </c>
      <c r="H22" s="36"/>
      <c r="I22" s="36"/>
      <c r="J22" s="36"/>
      <c r="K22" s="36"/>
      <c r="L22" s="36"/>
      <c r="M22" s="36"/>
      <c r="N22" s="36"/>
      <c r="O22" s="36"/>
      <c r="P22" s="36"/>
      <c r="Q22" s="36"/>
      <c r="R22" s="16"/>
      <c r="S22" s="16"/>
      <c r="T22" s="16"/>
      <c r="U22" s="16"/>
      <c r="V22" s="16"/>
      <c r="W22" s="16"/>
      <c r="X22" s="16"/>
      <c r="Y22" s="16"/>
      <c r="Z22" s="16"/>
      <c r="AA22" s="16"/>
      <c r="AB22" s="36"/>
      <c r="AC22" s="16"/>
      <c r="AD22" s="36"/>
      <c r="AE22" s="16"/>
      <c r="AF22" s="36"/>
      <c r="AG22" s="368">
        <v>0</v>
      </c>
    </row>
    <row r="23" spans="1:33" ht="15">
      <c r="A23" s="2482"/>
      <c r="B23" s="368">
        <v>25</v>
      </c>
      <c r="C23" s="368">
        <f>$C$4+F23+B23</f>
        <v>127</v>
      </c>
      <c r="D23" s="2475"/>
      <c r="E23" s="668" t="s">
        <v>718</v>
      </c>
      <c r="F23" s="671">
        <v>2</v>
      </c>
      <c r="G23" s="1699">
        <v>1</v>
      </c>
      <c r="H23" s="36">
        <v>0</v>
      </c>
      <c r="I23" s="36">
        <v>0</v>
      </c>
      <c r="J23" s="36">
        <v>300</v>
      </c>
      <c r="K23" s="36">
        <v>1500</v>
      </c>
      <c r="L23" s="36">
        <v>3600</v>
      </c>
      <c r="M23" s="36">
        <v>6900</v>
      </c>
      <c r="N23" s="36">
        <v>12000</v>
      </c>
      <c r="O23" s="36">
        <v>19500</v>
      </c>
      <c r="P23" s="36">
        <v>31500</v>
      </c>
      <c r="Q23" s="36">
        <v>49500</v>
      </c>
      <c r="R23" s="16">
        <v>8000</v>
      </c>
      <c r="S23" s="16">
        <v>16000</v>
      </c>
      <c r="T23" s="16">
        <v>24000</v>
      </c>
      <c r="U23" s="16">
        <v>32000</v>
      </c>
      <c r="V23" s="16">
        <v>40000</v>
      </c>
      <c r="W23" s="16">
        <v>48000</v>
      </c>
      <c r="X23" s="16">
        <v>56000</v>
      </c>
      <c r="Y23" s="16">
        <v>64000</v>
      </c>
      <c r="Z23" s="16">
        <v>72000</v>
      </c>
      <c r="AA23" s="16">
        <v>80000</v>
      </c>
      <c r="AB23" s="36">
        <v>75</v>
      </c>
      <c r="AC23" s="16">
        <v>186</v>
      </c>
      <c r="AD23" s="36">
        <v>240</v>
      </c>
      <c r="AE23" s="16">
        <v>322</v>
      </c>
      <c r="AF23" s="36">
        <v>446</v>
      </c>
      <c r="AG23" s="368">
        <v>0</v>
      </c>
    </row>
    <row r="24" spans="1:33" ht="15">
      <c r="A24" s="2482"/>
      <c r="B24" s="368">
        <v>25</v>
      </c>
      <c r="C24" s="368">
        <f t="shared" ref="C24:C27" si="1">$C$4+F24+B24</f>
        <v>128</v>
      </c>
      <c r="D24" s="2475"/>
      <c r="E24" s="668" t="s">
        <v>658</v>
      </c>
      <c r="F24" s="671">
        <v>3</v>
      </c>
      <c r="G24" s="694">
        <v>2</v>
      </c>
      <c r="H24" s="36">
        <v>0</v>
      </c>
      <c r="I24" s="36">
        <v>0</v>
      </c>
      <c r="J24" s="36">
        <v>300</v>
      </c>
      <c r="K24" s="36">
        <v>1500</v>
      </c>
      <c r="L24" s="36">
        <v>3600</v>
      </c>
      <c r="M24" s="36">
        <v>6900</v>
      </c>
      <c r="N24" s="36">
        <v>12000</v>
      </c>
      <c r="O24" s="36">
        <v>19500</v>
      </c>
      <c r="P24" s="36">
        <v>31500</v>
      </c>
      <c r="Q24" s="36">
        <v>49500</v>
      </c>
      <c r="R24" s="16">
        <v>8000</v>
      </c>
      <c r="S24" s="16">
        <v>16000</v>
      </c>
      <c r="T24" s="16">
        <v>24000</v>
      </c>
      <c r="U24" s="16">
        <v>32000</v>
      </c>
      <c r="V24" s="16">
        <v>40000</v>
      </c>
      <c r="W24" s="16">
        <v>48000</v>
      </c>
      <c r="X24" s="16">
        <v>56000</v>
      </c>
      <c r="Y24" s="16">
        <v>64000</v>
      </c>
      <c r="Z24" s="16">
        <v>72000</v>
      </c>
      <c r="AA24" s="16">
        <v>80000</v>
      </c>
      <c r="AB24" s="36">
        <v>75</v>
      </c>
      <c r="AC24" s="16">
        <v>186</v>
      </c>
      <c r="AD24" s="36">
        <v>240</v>
      </c>
      <c r="AE24" s="16">
        <v>322</v>
      </c>
      <c r="AF24" s="36">
        <v>446</v>
      </c>
      <c r="AG24" s="368">
        <v>0</v>
      </c>
    </row>
    <row r="25" spans="1:33" ht="15">
      <c r="A25" s="2482"/>
      <c r="B25" s="368">
        <v>25</v>
      </c>
      <c r="C25" s="368">
        <f t="shared" si="1"/>
        <v>129</v>
      </c>
      <c r="D25" s="2475"/>
      <c r="E25" s="668" t="s">
        <v>851</v>
      </c>
      <c r="F25" s="671">
        <v>4</v>
      </c>
      <c r="G25" s="1699">
        <v>3</v>
      </c>
      <c r="H25" s="36">
        <v>0</v>
      </c>
      <c r="I25" s="36">
        <v>0</v>
      </c>
      <c r="J25" s="36">
        <v>300</v>
      </c>
      <c r="K25" s="36">
        <v>1500</v>
      </c>
      <c r="L25" s="36">
        <v>3600</v>
      </c>
      <c r="M25" s="36">
        <v>6900</v>
      </c>
      <c r="N25" s="36">
        <v>12000</v>
      </c>
      <c r="O25" s="36">
        <v>19500</v>
      </c>
      <c r="P25" s="36">
        <v>31500</v>
      </c>
      <c r="Q25" s="36">
        <v>49500</v>
      </c>
      <c r="R25" s="16">
        <v>8000</v>
      </c>
      <c r="S25" s="16">
        <v>16000</v>
      </c>
      <c r="T25" s="16">
        <v>24000</v>
      </c>
      <c r="U25" s="16">
        <v>32000</v>
      </c>
      <c r="V25" s="16">
        <v>40000</v>
      </c>
      <c r="W25" s="16">
        <v>48000</v>
      </c>
      <c r="X25" s="16">
        <v>56000</v>
      </c>
      <c r="Y25" s="16">
        <v>64000</v>
      </c>
      <c r="Z25" s="16">
        <v>72000</v>
      </c>
      <c r="AA25" s="16">
        <v>80000</v>
      </c>
      <c r="AB25" s="36">
        <v>75</v>
      </c>
      <c r="AC25" s="16">
        <v>186</v>
      </c>
      <c r="AD25" s="36">
        <v>240</v>
      </c>
      <c r="AE25" s="16">
        <v>322</v>
      </c>
      <c r="AF25" s="36">
        <v>446</v>
      </c>
      <c r="AG25" s="368">
        <v>0</v>
      </c>
    </row>
    <row r="26" spans="1:33" ht="15">
      <c r="A26" s="2482"/>
      <c r="B26" s="368">
        <v>25</v>
      </c>
      <c r="C26" s="368">
        <f t="shared" si="1"/>
        <v>130</v>
      </c>
      <c r="D26" s="2475"/>
      <c r="E26" s="668" t="s">
        <v>852</v>
      </c>
      <c r="F26" s="671">
        <v>5</v>
      </c>
      <c r="G26" s="694">
        <v>4</v>
      </c>
      <c r="H26" s="36">
        <v>0</v>
      </c>
      <c r="I26" s="36">
        <v>0</v>
      </c>
      <c r="J26" s="36">
        <v>300</v>
      </c>
      <c r="K26" s="36">
        <v>1500</v>
      </c>
      <c r="L26" s="36">
        <v>3600</v>
      </c>
      <c r="M26" s="36">
        <v>6900</v>
      </c>
      <c r="N26" s="36">
        <v>12000</v>
      </c>
      <c r="O26" s="36">
        <v>19500</v>
      </c>
      <c r="P26" s="36">
        <v>31500</v>
      </c>
      <c r="Q26" s="36">
        <v>49500</v>
      </c>
      <c r="R26" s="16">
        <v>8000</v>
      </c>
      <c r="S26" s="16">
        <v>16000</v>
      </c>
      <c r="T26" s="16">
        <v>24000</v>
      </c>
      <c r="U26" s="16">
        <v>32000</v>
      </c>
      <c r="V26" s="16">
        <v>40000</v>
      </c>
      <c r="W26" s="16">
        <v>48000</v>
      </c>
      <c r="X26" s="16">
        <v>56000</v>
      </c>
      <c r="Y26" s="16">
        <v>64000</v>
      </c>
      <c r="Z26" s="16">
        <v>72000</v>
      </c>
      <c r="AA26" s="16">
        <v>80000</v>
      </c>
      <c r="AB26" s="36">
        <v>75</v>
      </c>
      <c r="AC26" s="16">
        <v>186</v>
      </c>
      <c r="AD26" s="36">
        <v>240</v>
      </c>
      <c r="AE26" s="16">
        <v>322</v>
      </c>
      <c r="AF26" s="36">
        <v>446</v>
      </c>
      <c r="AG26" s="368">
        <v>0</v>
      </c>
    </row>
    <row r="27" spans="1:33" ht="15">
      <c r="A27" s="2482"/>
      <c r="B27" s="368">
        <v>25</v>
      </c>
      <c r="C27" s="368">
        <f t="shared" si="1"/>
        <v>131</v>
      </c>
      <c r="D27" s="2475"/>
      <c r="E27" s="668" t="s">
        <v>853</v>
      </c>
      <c r="F27" s="671">
        <v>6</v>
      </c>
      <c r="G27" s="1699">
        <v>5</v>
      </c>
      <c r="H27" s="36">
        <v>0</v>
      </c>
      <c r="I27" s="36">
        <v>0</v>
      </c>
      <c r="J27" s="36">
        <v>300</v>
      </c>
      <c r="K27" s="36">
        <v>1500</v>
      </c>
      <c r="L27" s="36">
        <v>3600</v>
      </c>
      <c r="M27" s="36">
        <v>6900</v>
      </c>
      <c r="N27" s="36">
        <v>12000</v>
      </c>
      <c r="O27" s="36">
        <v>19500</v>
      </c>
      <c r="P27" s="36">
        <v>31500</v>
      </c>
      <c r="Q27" s="36">
        <v>49500</v>
      </c>
      <c r="R27" s="16">
        <v>8000</v>
      </c>
      <c r="S27" s="16">
        <v>16000</v>
      </c>
      <c r="T27" s="16">
        <v>24000</v>
      </c>
      <c r="U27" s="16">
        <v>32000</v>
      </c>
      <c r="V27" s="16">
        <v>40000</v>
      </c>
      <c r="W27" s="16">
        <v>48000</v>
      </c>
      <c r="X27" s="16">
        <v>56000</v>
      </c>
      <c r="Y27" s="16">
        <v>64000</v>
      </c>
      <c r="Z27" s="16">
        <v>72000</v>
      </c>
      <c r="AA27" s="16">
        <v>80000</v>
      </c>
      <c r="AB27" s="36">
        <v>75</v>
      </c>
      <c r="AC27" s="16">
        <v>186</v>
      </c>
      <c r="AD27" s="36">
        <v>240</v>
      </c>
      <c r="AE27" s="16">
        <v>322</v>
      </c>
      <c r="AF27" s="36">
        <v>446</v>
      </c>
      <c r="AG27" s="368">
        <v>0</v>
      </c>
    </row>
    <row r="28" spans="1:33" ht="15">
      <c r="A28" s="2482"/>
      <c r="B28" s="368">
        <v>25</v>
      </c>
      <c r="C28" s="368">
        <f t="shared" ref="C28:C29" si="2">$C$4+F28+B28</f>
        <v>132</v>
      </c>
      <c r="D28" s="2475"/>
      <c r="E28" s="668" t="s">
        <v>854</v>
      </c>
      <c r="F28" s="671">
        <v>7</v>
      </c>
      <c r="G28" s="694">
        <v>6</v>
      </c>
      <c r="H28" s="36">
        <v>0</v>
      </c>
      <c r="I28" s="36">
        <v>0</v>
      </c>
      <c r="J28" s="36">
        <v>300</v>
      </c>
      <c r="K28" s="36">
        <v>1500</v>
      </c>
      <c r="L28" s="36">
        <v>3600</v>
      </c>
      <c r="M28" s="36">
        <v>6900</v>
      </c>
      <c r="N28" s="36">
        <v>12000</v>
      </c>
      <c r="O28" s="36">
        <v>19500</v>
      </c>
      <c r="P28" s="36">
        <v>31500</v>
      </c>
      <c r="Q28" s="36">
        <v>49500</v>
      </c>
      <c r="R28" s="16">
        <v>8000</v>
      </c>
      <c r="S28" s="16">
        <v>16000</v>
      </c>
      <c r="T28" s="16">
        <v>24000</v>
      </c>
      <c r="U28" s="16">
        <v>32000</v>
      </c>
      <c r="V28" s="16">
        <v>40000</v>
      </c>
      <c r="W28" s="16">
        <v>48000</v>
      </c>
      <c r="X28" s="16">
        <v>56000</v>
      </c>
      <c r="Y28" s="16">
        <v>64000</v>
      </c>
      <c r="Z28" s="16">
        <v>72000</v>
      </c>
      <c r="AA28" s="16">
        <v>80000</v>
      </c>
      <c r="AB28" s="36">
        <v>75</v>
      </c>
      <c r="AC28" s="16">
        <v>186</v>
      </c>
      <c r="AD28" s="36">
        <v>240</v>
      </c>
      <c r="AE28" s="16">
        <v>322</v>
      </c>
      <c r="AF28" s="36">
        <v>446</v>
      </c>
      <c r="AG28" s="368">
        <v>0</v>
      </c>
    </row>
    <row r="29" spans="1:33" ht="15">
      <c r="A29" s="2482"/>
      <c r="B29" s="368">
        <v>25</v>
      </c>
      <c r="C29" s="368">
        <f t="shared" si="2"/>
        <v>133</v>
      </c>
      <c r="D29" s="2475"/>
      <c r="E29" s="668" t="s">
        <v>855</v>
      </c>
      <c r="F29" s="671">
        <v>8</v>
      </c>
      <c r="G29" s="1699">
        <v>7</v>
      </c>
      <c r="H29" s="36">
        <v>0</v>
      </c>
      <c r="I29" s="36">
        <v>0</v>
      </c>
      <c r="J29" s="36">
        <v>300</v>
      </c>
      <c r="K29" s="36">
        <v>1500</v>
      </c>
      <c r="L29" s="36">
        <v>3600</v>
      </c>
      <c r="M29" s="36">
        <v>6900</v>
      </c>
      <c r="N29" s="36">
        <v>12000</v>
      </c>
      <c r="O29" s="36">
        <v>19500</v>
      </c>
      <c r="P29" s="36">
        <v>31500</v>
      </c>
      <c r="Q29" s="36">
        <v>49500</v>
      </c>
      <c r="R29" s="16">
        <v>8000</v>
      </c>
      <c r="S29" s="16">
        <v>16000</v>
      </c>
      <c r="T29" s="16">
        <v>24000</v>
      </c>
      <c r="U29" s="16">
        <v>32000</v>
      </c>
      <c r="V29" s="16">
        <v>40000</v>
      </c>
      <c r="W29" s="16">
        <v>48000</v>
      </c>
      <c r="X29" s="16">
        <v>56000</v>
      </c>
      <c r="Y29" s="16">
        <v>64000</v>
      </c>
      <c r="Z29" s="16">
        <v>72000</v>
      </c>
      <c r="AA29" s="16">
        <v>80000</v>
      </c>
      <c r="AB29" s="36">
        <v>75</v>
      </c>
      <c r="AC29" s="16">
        <v>186</v>
      </c>
      <c r="AD29" s="36">
        <v>240</v>
      </c>
      <c r="AE29" s="16">
        <v>322</v>
      </c>
      <c r="AF29" s="36">
        <v>446</v>
      </c>
      <c r="AG29" s="368">
        <v>0</v>
      </c>
    </row>
    <row r="30" spans="1:33" ht="15">
      <c r="A30" s="2482"/>
      <c r="B30" s="368">
        <v>25</v>
      </c>
      <c r="C30" s="368">
        <f t="shared" ref="C30:C62" si="3">$C$4+F30+B30</f>
        <v>134</v>
      </c>
      <c r="D30" s="2475"/>
      <c r="E30" s="269" t="s">
        <v>394</v>
      </c>
      <c r="F30" s="671">
        <v>9</v>
      </c>
      <c r="G30" s="694">
        <v>8</v>
      </c>
      <c r="H30" s="36">
        <v>0</v>
      </c>
      <c r="I30" s="36">
        <v>0</v>
      </c>
      <c r="J30" s="36">
        <v>300</v>
      </c>
      <c r="K30" s="36">
        <v>1500</v>
      </c>
      <c r="L30" s="36">
        <v>3600</v>
      </c>
      <c r="M30" s="36">
        <v>6900</v>
      </c>
      <c r="N30" s="36">
        <v>12000</v>
      </c>
      <c r="O30" s="36">
        <v>19500</v>
      </c>
      <c r="P30" s="36">
        <v>31500</v>
      </c>
      <c r="Q30" s="36">
        <v>49500</v>
      </c>
      <c r="R30" s="16">
        <v>8000</v>
      </c>
      <c r="S30" s="16">
        <v>16000</v>
      </c>
      <c r="T30" s="16">
        <v>24000</v>
      </c>
      <c r="U30" s="16">
        <v>32000</v>
      </c>
      <c r="V30" s="16">
        <v>40000</v>
      </c>
      <c r="W30" s="16">
        <v>48000</v>
      </c>
      <c r="X30" s="16">
        <v>56000</v>
      </c>
      <c r="Y30" s="16">
        <v>64000</v>
      </c>
      <c r="Z30" s="16">
        <v>72000</v>
      </c>
      <c r="AA30" s="16">
        <v>80000</v>
      </c>
      <c r="AB30" s="36">
        <v>75</v>
      </c>
      <c r="AC30" s="16">
        <v>186</v>
      </c>
      <c r="AD30" s="36">
        <v>240</v>
      </c>
      <c r="AE30" s="16">
        <v>322</v>
      </c>
      <c r="AF30" s="36">
        <v>446</v>
      </c>
      <c r="AG30" s="368">
        <v>0</v>
      </c>
    </row>
    <row r="31" spans="1:33" ht="15">
      <c r="A31" s="2482"/>
      <c r="B31" s="368">
        <v>25</v>
      </c>
      <c r="C31" s="368">
        <f t="shared" si="3"/>
        <v>135</v>
      </c>
      <c r="D31" s="2475"/>
      <c r="E31" s="269" t="s">
        <v>388</v>
      </c>
      <c r="F31" s="671">
        <v>10</v>
      </c>
      <c r="G31" s="1699">
        <v>9</v>
      </c>
      <c r="H31" s="36">
        <v>0</v>
      </c>
      <c r="I31" s="36">
        <v>0</v>
      </c>
      <c r="J31" s="36">
        <v>300</v>
      </c>
      <c r="K31" s="36">
        <v>1200</v>
      </c>
      <c r="L31" s="36">
        <v>2700</v>
      </c>
      <c r="M31" s="36">
        <v>5000</v>
      </c>
      <c r="N31" s="36">
        <v>10300</v>
      </c>
      <c r="O31" s="36">
        <v>16300</v>
      </c>
      <c r="P31" s="36">
        <v>25300</v>
      </c>
      <c r="Q31" s="36">
        <v>40300</v>
      </c>
      <c r="R31" s="16">
        <v>5000</v>
      </c>
      <c r="S31" s="16">
        <v>10000</v>
      </c>
      <c r="T31" s="16">
        <v>15000</v>
      </c>
      <c r="U31" s="16">
        <v>20000</v>
      </c>
      <c r="V31" s="16">
        <v>25000</v>
      </c>
      <c r="W31" s="16">
        <v>30000</v>
      </c>
      <c r="X31" s="16">
        <v>35000</v>
      </c>
      <c r="Y31" s="16">
        <v>40000</v>
      </c>
      <c r="Z31" s="16">
        <v>45000</v>
      </c>
      <c r="AA31" s="16">
        <v>50000</v>
      </c>
      <c r="AB31" s="1833">
        <v>61</v>
      </c>
      <c r="AC31" s="1834">
        <v>152</v>
      </c>
      <c r="AD31" s="1833">
        <v>195</v>
      </c>
      <c r="AE31" s="1834">
        <v>262</v>
      </c>
      <c r="AF31" s="1833">
        <v>363</v>
      </c>
      <c r="AG31" s="368">
        <v>0</v>
      </c>
    </row>
    <row r="32" spans="1:33" ht="15">
      <c r="A32" s="2482"/>
      <c r="B32" s="368">
        <v>25</v>
      </c>
      <c r="C32" s="368">
        <f t="shared" si="3"/>
        <v>136</v>
      </c>
      <c r="D32" s="2475"/>
      <c r="E32" s="269" t="s">
        <v>398</v>
      </c>
      <c r="F32" s="671">
        <v>11</v>
      </c>
      <c r="G32" s="694">
        <v>10</v>
      </c>
      <c r="H32" s="36">
        <v>0</v>
      </c>
      <c r="I32" s="36">
        <v>0</v>
      </c>
      <c r="J32" s="36">
        <v>300</v>
      </c>
      <c r="K32" s="36">
        <v>2100</v>
      </c>
      <c r="L32" s="36">
        <v>5100</v>
      </c>
      <c r="M32" s="36">
        <v>9600</v>
      </c>
      <c r="N32" s="36">
        <v>17100</v>
      </c>
      <c r="O32" s="36">
        <v>29100</v>
      </c>
      <c r="P32" s="36">
        <v>47100</v>
      </c>
      <c r="Q32" s="36">
        <v>77100</v>
      </c>
      <c r="R32" s="16">
        <v>10000</v>
      </c>
      <c r="S32" s="16">
        <v>20000</v>
      </c>
      <c r="T32" s="16">
        <v>30000</v>
      </c>
      <c r="U32" s="16">
        <v>40000</v>
      </c>
      <c r="V32" s="16">
        <v>50000</v>
      </c>
      <c r="W32" s="16">
        <v>60000</v>
      </c>
      <c r="X32" s="16">
        <v>70000</v>
      </c>
      <c r="Y32" s="16">
        <v>80000</v>
      </c>
      <c r="Z32" s="16">
        <v>90000</v>
      </c>
      <c r="AA32" s="16">
        <v>100000</v>
      </c>
      <c r="AB32" s="1833">
        <v>116</v>
      </c>
      <c r="AC32" s="1834">
        <v>290</v>
      </c>
      <c r="AD32" s="1833">
        <v>373</v>
      </c>
      <c r="AE32" s="1834">
        <v>502</v>
      </c>
      <c r="AF32" s="1833">
        <v>694</v>
      </c>
      <c r="AG32" s="368">
        <v>0</v>
      </c>
    </row>
    <row r="33" spans="1:33" ht="15">
      <c r="A33" s="2482"/>
      <c r="B33" s="368">
        <v>25</v>
      </c>
      <c r="C33" s="368">
        <f t="shared" si="3"/>
        <v>137</v>
      </c>
      <c r="D33" s="2475"/>
      <c r="E33" s="269" t="s">
        <v>402</v>
      </c>
      <c r="F33" s="671">
        <v>12</v>
      </c>
      <c r="G33" s="1699">
        <v>11</v>
      </c>
      <c r="H33" s="36">
        <v>0</v>
      </c>
      <c r="I33" s="36">
        <v>0</v>
      </c>
      <c r="J33" s="36">
        <v>300</v>
      </c>
      <c r="K33" s="36">
        <v>1800</v>
      </c>
      <c r="L33" s="36">
        <v>5000</v>
      </c>
      <c r="M33" s="36">
        <v>11000</v>
      </c>
      <c r="N33" s="36">
        <v>20000</v>
      </c>
      <c r="O33" s="36">
        <v>33500</v>
      </c>
      <c r="P33" s="36">
        <v>51500</v>
      </c>
      <c r="Q33" s="36">
        <v>74000</v>
      </c>
      <c r="R33" s="16">
        <v>10000</v>
      </c>
      <c r="S33" s="16">
        <v>20000</v>
      </c>
      <c r="T33" s="16">
        <v>30000</v>
      </c>
      <c r="U33" s="16">
        <v>40000</v>
      </c>
      <c r="V33" s="16">
        <v>50000</v>
      </c>
      <c r="W33" s="16">
        <v>60000</v>
      </c>
      <c r="X33" s="16">
        <v>70000</v>
      </c>
      <c r="Y33" s="16">
        <v>80000</v>
      </c>
      <c r="Z33" s="16">
        <v>90000</v>
      </c>
      <c r="AA33" s="16">
        <v>100000</v>
      </c>
      <c r="AB33" s="1833">
        <v>111</v>
      </c>
      <c r="AC33" s="1834">
        <v>278</v>
      </c>
      <c r="AD33" s="1833">
        <v>358</v>
      </c>
      <c r="AE33" s="1834">
        <v>481</v>
      </c>
      <c r="AF33" s="1833">
        <v>666</v>
      </c>
      <c r="AG33" s="368">
        <v>0</v>
      </c>
    </row>
    <row r="34" spans="1:33" ht="15">
      <c r="A34" s="2482"/>
      <c r="B34" s="368">
        <v>45</v>
      </c>
      <c r="C34" s="368">
        <f t="shared" si="3"/>
        <v>146</v>
      </c>
      <c r="D34" s="2475" t="s">
        <v>700</v>
      </c>
      <c r="E34" s="1605" t="s">
        <v>61</v>
      </c>
      <c r="F34" s="669">
        <v>1</v>
      </c>
      <c r="G34" s="1699"/>
      <c r="H34" s="36"/>
      <c r="I34" s="36"/>
      <c r="J34" s="36"/>
      <c r="K34" s="36"/>
      <c r="L34" s="36"/>
      <c r="M34" s="36"/>
      <c r="N34" s="36"/>
      <c r="O34" s="36"/>
      <c r="P34" s="36"/>
      <c r="Q34" s="36"/>
      <c r="R34" s="16"/>
      <c r="S34" s="16"/>
      <c r="T34" s="16"/>
      <c r="U34" s="16"/>
      <c r="V34" s="16"/>
      <c r="W34" s="16"/>
      <c r="X34" s="16"/>
      <c r="Y34" s="16"/>
      <c r="Z34" s="16"/>
      <c r="AA34" s="16"/>
      <c r="AB34" s="1833"/>
      <c r="AC34" s="1834"/>
      <c r="AD34" s="1833"/>
      <c r="AE34" s="1834"/>
      <c r="AF34" s="1833"/>
      <c r="AG34" s="368">
        <v>0</v>
      </c>
    </row>
    <row r="35" spans="1:33" ht="15">
      <c r="A35" s="2482"/>
      <c r="B35" s="368">
        <v>45</v>
      </c>
      <c r="C35" s="368">
        <f t="shared" si="3"/>
        <v>147</v>
      </c>
      <c r="D35" s="2475"/>
      <c r="E35" s="278" t="s">
        <v>406</v>
      </c>
      <c r="F35" s="669">
        <v>2</v>
      </c>
      <c r="G35" s="1699">
        <v>0</v>
      </c>
      <c r="H35" s="36">
        <v>0</v>
      </c>
      <c r="I35" s="36">
        <v>0</v>
      </c>
      <c r="J35" s="36">
        <v>300</v>
      </c>
      <c r="K35" s="36">
        <v>1200</v>
      </c>
      <c r="L35" s="36">
        <v>2700</v>
      </c>
      <c r="M35" s="36">
        <v>5000</v>
      </c>
      <c r="N35" s="36">
        <v>10300</v>
      </c>
      <c r="O35" s="36">
        <v>16300</v>
      </c>
      <c r="P35" s="36">
        <v>25300</v>
      </c>
      <c r="Q35" s="36">
        <v>40300</v>
      </c>
      <c r="R35" s="16">
        <v>5000</v>
      </c>
      <c r="S35" s="16">
        <v>10000</v>
      </c>
      <c r="T35" s="16">
        <v>15000</v>
      </c>
      <c r="U35" s="16">
        <v>20000</v>
      </c>
      <c r="V35" s="16">
        <v>25000</v>
      </c>
      <c r="W35" s="16">
        <v>30000</v>
      </c>
      <c r="X35" s="16">
        <v>35000</v>
      </c>
      <c r="Y35" s="16">
        <v>40000</v>
      </c>
      <c r="Z35" s="16">
        <v>45000</v>
      </c>
      <c r="AA35" s="16">
        <v>50000</v>
      </c>
      <c r="AB35" s="1833">
        <v>61</v>
      </c>
      <c r="AC35" s="1834">
        <v>152</v>
      </c>
      <c r="AD35" s="1833">
        <v>195</v>
      </c>
      <c r="AE35" s="1834">
        <v>262</v>
      </c>
      <c r="AF35" s="1833">
        <v>363</v>
      </c>
      <c r="AG35" s="368">
        <v>0</v>
      </c>
    </row>
    <row r="36" spans="1:33" ht="15">
      <c r="A36" s="2482"/>
      <c r="B36" s="368">
        <v>45</v>
      </c>
      <c r="C36" s="368">
        <f t="shared" si="3"/>
        <v>148</v>
      </c>
      <c r="D36" s="2475"/>
      <c r="E36" s="278" t="s">
        <v>411</v>
      </c>
      <c r="F36" s="669">
        <v>3</v>
      </c>
      <c r="G36" s="1699">
        <v>1</v>
      </c>
      <c r="H36" s="36">
        <v>0</v>
      </c>
      <c r="I36" s="36">
        <v>0</v>
      </c>
      <c r="J36" s="36">
        <v>300</v>
      </c>
      <c r="K36" s="36">
        <v>1200</v>
      </c>
      <c r="L36" s="36">
        <v>2700</v>
      </c>
      <c r="M36" s="36">
        <v>5000</v>
      </c>
      <c r="N36" s="36">
        <v>10300</v>
      </c>
      <c r="O36" s="36">
        <v>16300</v>
      </c>
      <c r="P36" s="36">
        <v>25300</v>
      </c>
      <c r="Q36" s="36">
        <v>40300</v>
      </c>
      <c r="R36" s="16">
        <v>5000</v>
      </c>
      <c r="S36" s="16">
        <v>10000</v>
      </c>
      <c r="T36" s="16">
        <v>15000</v>
      </c>
      <c r="U36" s="16">
        <v>20000</v>
      </c>
      <c r="V36" s="16">
        <v>25000</v>
      </c>
      <c r="W36" s="16">
        <v>30000</v>
      </c>
      <c r="X36" s="16">
        <v>35000</v>
      </c>
      <c r="Y36" s="16">
        <v>40000</v>
      </c>
      <c r="Z36" s="16">
        <v>45000</v>
      </c>
      <c r="AA36" s="16">
        <v>50000</v>
      </c>
      <c r="AB36" s="1833">
        <v>23</v>
      </c>
      <c r="AC36" s="1834">
        <v>34</v>
      </c>
      <c r="AD36" s="1833">
        <v>50</v>
      </c>
      <c r="AE36" s="1834">
        <v>75</v>
      </c>
      <c r="AF36" s="1833">
        <v>113</v>
      </c>
      <c r="AG36" s="368">
        <v>0</v>
      </c>
    </row>
    <row r="37" spans="1:33" ht="15">
      <c r="A37" s="2482"/>
      <c r="B37" s="368">
        <v>45</v>
      </c>
      <c r="C37" s="368">
        <f t="shared" si="3"/>
        <v>149</v>
      </c>
      <c r="D37" s="2475"/>
      <c r="E37" s="278" t="s">
        <v>415</v>
      </c>
      <c r="F37" s="669">
        <v>4</v>
      </c>
      <c r="G37" s="1699">
        <v>2</v>
      </c>
      <c r="H37" s="36">
        <v>0</v>
      </c>
      <c r="I37" s="36">
        <v>0</v>
      </c>
      <c r="J37" s="36">
        <v>450</v>
      </c>
      <c r="K37" s="36">
        <v>1350</v>
      </c>
      <c r="L37" s="36">
        <v>2850</v>
      </c>
      <c r="M37" s="36">
        <v>5150</v>
      </c>
      <c r="N37" s="36">
        <v>10450</v>
      </c>
      <c r="O37" s="36">
        <v>16450</v>
      </c>
      <c r="P37" s="36">
        <v>25450</v>
      </c>
      <c r="Q37" s="36">
        <v>40450</v>
      </c>
      <c r="R37" s="16">
        <v>5000</v>
      </c>
      <c r="S37" s="16">
        <v>10000</v>
      </c>
      <c r="T37" s="16">
        <v>15000</v>
      </c>
      <c r="U37" s="16">
        <v>20000</v>
      </c>
      <c r="V37" s="16">
        <v>25000</v>
      </c>
      <c r="W37" s="16">
        <v>30000</v>
      </c>
      <c r="X37" s="16">
        <v>35000</v>
      </c>
      <c r="Y37" s="16">
        <v>40000</v>
      </c>
      <c r="Z37" s="16">
        <v>45000</v>
      </c>
      <c r="AA37" s="16">
        <v>50000</v>
      </c>
      <c r="AB37" s="1833">
        <v>23</v>
      </c>
      <c r="AC37" s="1834">
        <v>34</v>
      </c>
      <c r="AD37" s="1833">
        <v>50</v>
      </c>
      <c r="AE37" s="1834">
        <v>75</v>
      </c>
      <c r="AF37" s="1833">
        <v>113</v>
      </c>
      <c r="AG37" s="368">
        <v>0</v>
      </c>
    </row>
    <row r="38" spans="1:33" ht="15">
      <c r="A38" s="2482"/>
      <c r="B38" s="368">
        <v>45</v>
      </c>
      <c r="C38" s="368">
        <f t="shared" si="3"/>
        <v>150</v>
      </c>
      <c r="D38" s="2475"/>
      <c r="E38" s="278" t="s">
        <v>392</v>
      </c>
      <c r="F38" s="669">
        <v>5</v>
      </c>
      <c r="G38" s="1699">
        <v>3</v>
      </c>
      <c r="H38" s="36">
        <v>0</v>
      </c>
      <c r="I38" s="36">
        <v>0</v>
      </c>
      <c r="J38" s="36">
        <v>450</v>
      </c>
      <c r="K38" s="36">
        <v>1350</v>
      </c>
      <c r="L38" s="36">
        <v>2850</v>
      </c>
      <c r="M38" s="36">
        <v>5150</v>
      </c>
      <c r="N38" s="36">
        <v>10450</v>
      </c>
      <c r="O38" s="36">
        <v>16450</v>
      </c>
      <c r="P38" s="36">
        <v>25450</v>
      </c>
      <c r="Q38" s="36">
        <v>40450</v>
      </c>
      <c r="R38" s="16">
        <v>5000</v>
      </c>
      <c r="S38" s="16">
        <v>10000</v>
      </c>
      <c r="T38" s="16">
        <v>15000</v>
      </c>
      <c r="U38" s="16">
        <v>20000</v>
      </c>
      <c r="V38" s="16">
        <v>25000</v>
      </c>
      <c r="W38" s="16">
        <v>30000</v>
      </c>
      <c r="X38" s="16">
        <v>35000</v>
      </c>
      <c r="Y38" s="16">
        <v>40000</v>
      </c>
      <c r="Z38" s="16">
        <v>45000</v>
      </c>
      <c r="AA38" s="16">
        <v>50000</v>
      </c>
      <c r="AB38" s="1833">
        <v>23</v>
      </c>
      <c r="AC38" s="1834">
        <v>34</v>
      </c>
      <c r="AD38" s="1833">
        <v>50</v>
      </c>
      <c r="AE38" s="1834">
        <v>75</v>
      </c>
      <c r="AF38" s="1833">
        <v>113</v>
      </c>
      <c r="AG38" s="368">
        <v>0</v>
      </c>
    </row>
    <row r="39" spans="1:33" ht="15">
      <c r="A39" s="2482"/>
      <c r="B39" s="368">
        <v>45</v>
      </c>
      <c r="C39" s="368">
        <f t="shared" si="3"/>
        <v>151</v>
      </c>
      <c r="D39" s="2475"/>
      <c r="E39" s="278" t="s">
        <v>422</v>
      </c>
      <c r="F39" s="669">
        <v>6</v>
      </c>
      <c r="G39" s="1699">
        <v>4</v>
      </c>
      <c r="H39" s="36">
        <v>0</v>
      </c>
      <c r="I39" s="36">
        <v>0</v>
      </c>
      <c r="J39" s="36">
        <v>450</v>
      </c>
      <c r="K39" s="36">
        <v>1350</v>
      </c>
      <c r="L39" s="36">
        <v>2850</v>
      </c>
      <c r="M39" s="36">
        <v>5150</v>
      </c>
      <c r="N39" s="36">
        <v>10450</v>
      </c>
      <c r="O39" s="36">
        <v>16450</v>
      </c>
      <c r="P39" s="36">
        <v>25450</v>
      </c>
      <c r="Q39" s="36">
        <v>40450</v>
      </c>
      <c r="R39" s="16">
        <v>5000</v>
      </c>
      <c r="S39" s="16">
        <v>10000</v>
      </c>
      <c r="T39" s="16">
        <v>15000</v>
      </c>
      <c r="U39" s="16">
        <v>20000</v>
      </c>
      <c r="V39" s="16">
        <v>25000</v>
      </c>
      <c r="W39" s="16">
        <v>30000</v>
      </c>
      <c r="X39" s="16">
        <v>35000</v>
      </c>
      <c r="Y39" s="16">
        <v>40000</v>
      </c>
      <c r="Z39" s="16">
        <v>45000</v>
      </c>
      <c r="AA39" s="16">
        <v>50000</v>
      </c>
      <c r="AB39" s="1833">
        <v>61</v>
      </c>
      <c r="AC39" s="1834">
        <v>152</v>
      </c>
      <c r="AD39" s="1833">
        <v>196</v>
      </c>
      <c r="AE39" s="1834">
        <v>263</v>
      </c>
      <c r="AF39" s="1833">
        <v>365</v>
      </c>
      <c r="AG39" s="368">
        <v>0</v>
      </c>
    </row>
    <row r="40" spans="1:33" ht="15">
      <c r="A40" s="2482"/>
      <c r="B40" s="368">
        <v>45</v>
      </c>
      <c r="C40" s="368">
        <f t="shared" si="3"/>
        <v>152</v>
      </c>
      <c r="D40" s="2475"/>
      <c r="E40" s="278" t="s">
        <v>490</v>
      </c>
      <c r="F40" s="669">
        <v>7</v>
      </c>
      <c r="G40" s="1699">
        <v>3</v>
      </c>
      <c r="H40" s="36">
        <v>125</v>
      </c>
      <c r="I40" s="36">
        <v>350</v>
      </c>
      <c r="J40" s="36">
        <v>800</v>
      </c>
      <c r="K40" s="36">
        <v>1700</v>
      </c>
      <c r="L40" s="36">
        <v>3200</v>
      </c>
      <c r="M40" s="36">
        <v>5500</v>
      </c>
      <c r="N40" s="36">
        <v>10800</v>
      </c>
      <c r="O40" s="36">
        <v>16800</v>
      </c>
      <c r="P40" s="36">
        <v>25800</v>
      </c>
      <c r="Q40" s="36">
        <v>40800</v>
      </c>
      <c r="R40" s="16">
        <v>7500</v>
      </c>
      <c r="S40" s="16">
        <v>15000</v>
      </c>
      <c r="T40" s="16">
        <v>22500</v>
      </c>
      <c r="U40" s="16">
        <v>30000</v>
      </c>
      <c r="V40" s="16">
        <v>37500</v>
      </c>
      <c r="W40" s="16">
        <v>45000</v>
      </c>
      <c r="X40" s="16">
        <v>52500</v>
      </c>
      <c r="Y40" s="16">
        <v>60000</v>
      </c>
      <c r="Z40" s="16">
        <v>67500</v>
      </c>
      <c r="AA40" s="16">
        <v>75000</v>
      </c>
      <c r="AB40" s="1833">
        <v>62</v>
      </c>
      <c r="AC40" s="1834">
        <v>153</v>
      </c>
      <c r="AD40" s="1833">
        <v>198</v>
      </c>
      <c r="AE40" s="1834">
        <v>266</v>
      </c>
      <c r="AF40" s="1833">
        <v>368</v>
      </c>
      <c r="AG40" s="368">
        <v>0</v>
      </c>
    </row>
    <row r="41" spans="1:33" ht="15">
      <c r="A41" s="2482"/>
      <c r="B41" s="368">
        <v>45</v>
      </c>
      <c r="C41" s="368">
        <f t="shared" si="3"/>
        <v>153</v>
      </c>
      <c r="D41" s="2475"/>
      <c r="E41" s="278" t="s">
        <v>426</v>
      </c>
      <c r="F41" s="669">
        <v>8</v>
      </c>
      <c r="G41" s="1699">
        <v>6</v>
      </c>
      <c r="H41" s="36">
        <v>0</v>
      </c>
      <c r="I41" s="36">
        <v>0</v>
      </c>
      <c r="J41" s="36">
        <v>450</v>
      </c>
      <c r="K41" s="36">
        <v>1350</v>
      </c>
      <c r="L41" s="36">
        <v>2850</v>
      </c>
      <c r="M41" s="36">
        <v>5150</v>
      </c>
      <c r="N41" s="36">
        <v>10450</v>
      </c>
      <c r="O41" s="36">
        <v>16450</v>
      </c>
      <c r="P41" s="36">
        <v>25450</v>
      </c>
      <c r="Q41" s="36">
        <v>40450</v>
      </c>
      <c r="R41" s="16">
        <v>5000</v>
      </c>
      <c r="S41" s="16">
        <v>10000</v>
      </c>
      <c r="T41" s="16">
        <v>15000</v>
      </c>
      <c r="U41" s="16">
        <v>20000</v>
      </c>
      <c r="V41" s="16">
        <v>25000</v>
      </c>
      <c r="W41" s="16">
        <v>30000</v>
      </c>
      <c r="X41" s="16">
        <v>35000</v>
      </c>
      <c r="Y41" s="16">
        <v>40000</v>
      </c>
      <c r="Z41" s="16">
        <v>45000</v>
      </c>
      <c r="AA41" s="16">
        <v>50000</v>
      </c>
      <c r="AB41" s="1833">
        <v>61</v>
      </c>
      <c r="AC41" s="1834">
        <v>152</v>
      </c>
      <c r="AD41" s="1833">
        <v>196</v>
      </c>
      <c r="AE41" s="1834">
        <v>263</v>
      </c>
      <c r="AF41" s="1833">
        <v>365</v>
      </c>
      <c r="AG41" s="368">
        <v>0</v>
      </c>
    </row>
    <row r="42" spans="1:33" ht="15">
      <c r="A42" s="2482"/>
      <c r="B42" s="368">
        <v>45</v>
      </c>
      <c r="C42" s="368">
        <f t="shared" si="3"/>
        <v>154</v>
      </c>
      <c r="D42" s="2475"/>
      <c r="E42" s="278" t="s">
        <v>429</v>
      </c>
      <c r="F42" s="669">
        <v>9</v>
      </c>
      <c r="G42" s="1699">
        <v>7</v>
      </c>
      <c r="H42" s="36">
        <v>0</v>
      </c>
      <c r="I42" s="36">
        <v>0</v>
      </c>
      <c r="J42" s="36">
        <v>300</v>
      </c>
      <c r="K42" s="36">
        <v>1500</v>
      </c>
      <c r="L42" s="36">
        <v>4500</v>
      </c>
      <c r="M42" s="36">
        <v>9000</v>
      </c>
      <c r="N42" s="36">
        <v>16500</v>
      </c>
      <c r="O42" s="36">
        <v>28500</v>
      </c>
      <c r="P42" s="36">
        <v>46500</v>
      </c>
      <c r="Q42" s="36">
        <v>76500</v>
      </c>
      <c r="R42" s="16">
        <v>10000</v>
      </c>
      <c r="S42" s="16">
        <v>20000</v>
      </c>
      <c r="T42" s="16">
        <v>30000</v>
      </c>
      <c r="U42" s="16">
        <v>40000</v>
      </c>
      <c r="V42" s="16">
        <v>50000</v>
      </c>
      <c r="W42" s="16">
        <v>60000</v>
      </c>
      <c r="X42" s="16">
        <v>70000</v>
      </c>
      <c r="Y42" s="16">
        <v>80000</v>
      </c>
      <c r="Z42" s="16">
        <v>90000</v>
      </c>
      <c r="AA42" s="16">
        <v>100000</v>
      </c>
      <c r="AB42" s="1833">
        <v>115</v>
      </c>
      <c r="AC42" s="1834">
        <v>287</v>
      </c>
      <c r="AD42" s="1833">
        <v>370</v>
      </c>
      <c r="AE42" s="1834">
        <v>498</v>
      </c>
      <c r="AF42" s="1833">
        <v>689</v>
      </c>
      <c r="AG42" s="368">
        <v>0</v>
      </c>
    </row>
    <row r="43" spans="1:33" ht="15">
      <c r="A43" s="2482"/>
      <c r="B43" s="368">
        <v>55</v>
      </c>
      <c r="C43" s="368">
        <f t="shared" si="3"/>
        <v>156</v>
      </c>
      <c r="D43" s="2475" t="s">
        <v>699</v>
      </c>
      <c r="E43" s="1606" t="s">
        <v>61</v>
      </c>
      <c r="F43" s="673">
        <v>1</v>
      </c>
      <c r="G43" s="1699"/>
      <c r="H43" s="36"/>
      <c r="I43" s="36"/>
      <c r="J43" s="36"/>
      <c r="K43" s="36"/>
      <c r="L43" s="36"/>
      <c r="M43" s="36"/>
      <c r="N43" s="36"/>
      <c r="O43" s="36"/>
      <c r="P43" s="36"/>
      <c r="Q43" s="36"/>
      <c r="R43" s="16"/>
      <c r="S43" s="16"/>
      <c r="T43" s="16"/>
      <c r="U43" s="16"/>
      <c r="V43" s="16"/>
      <c r="W43" s="16"/>
      <c r="X43" s="16"/>
      <c r="Y43" s="16"/>
      <c r="Z43" s="16"/>
      <c r="AA43" s="16"/>
      <c r="AB43" s="1833"/>
      <c r="AC43" s="1834"/>
      <c r="AD43" s="1833"/>
      <c r="AE43" s="1834"/>
      <c r="AF43" s="1833"/>
      <c r="AG43" s="368">
        <v>0</v>
      </c>
    </row>
    <row r="44" spans="1:33" ht="15">
      <c r="A44" s="2482"/>
      <c r="B44" s="368">
        <v>55</v>
      </c>
      <c r="C44" s="368">
        <f t="shared" si="3"/>
        <v>157</v>
      </c>
      <c r="D44" s="2475"/>
      <c r="E44" s="286" t="s">
        <v>432</v>
      </c>
      <c r="F44" s="673">
        <v>2</v>
      </c>
      <c r="G44" s="1699">
        <v>0</v>
      </c>
      <c r="H44" s="36">
        <v>0</v>
      </c>
      <c r="I44" s="36">
        <v>0</v>
      </c>
      <c r="J44" s="36">
        <v>300</v>
      </c>
      <c r="K44" s="36">
        <v>900</v>
      </c>
      <c r="L44" s="36">
        <v>2000</v>
      </c>
      <c r="M44" s="36">
        <v>3800</v>
      </c>
      <c r="N44" s="36">
        <v>6800</v>
      </c>
      <c r="O44" s="36">
        <v>11300</v>
      </c>
      <c r="P44" s="36">
        <v>18800</v>
      </c>
      <c r="Q44" s="36">
        <v>30800</v>
      </c>
      <c r="R44" s="16">
        <v>2500</v>
      </c>
      <c r="S44" s="16">
        <v>5000</v>
      </c>
      <c r="T44" s="16">
        <v>7500</v>
      </c>
      <c r="U44" s="16">
        <v>10000</v>
      </c>
      <c r="V44" s="16">
        <v>12500</v>
      </c>
      <c r="W44" s="16">
        <v>15000</v>
      </c>
      <c r="X44" s="16">
        <v>17500</v>
      </c>
      <c r="Y44" s="16">
        <v>20000</v>
      </c>
      <c r="Z44" s="16">
        <v>22500</v>
      </c>
      <c r="AA44" s="16">
        <v>25000</v>
      </c>
      <c r="AB44" s="1833">
        <v>47</v>
      </c>
      <c r="AC44" s="1834">
        <v>116</v>
      </c>
      <c r="AD44" s="1833">
        <v>149</v>
      </c>
      <c r="AE44" s="1834">
        <v>201</v>
      </c>
      <c r="AF44" s="1833">
        <v>278</v>
      </c>
      <c r="AG44" s="368">
        <v>0</v>
      </c>
    </row>
    <row r="45" spans="1:33" ht="15">
      <c r="A45" s="2482"/>
      <c r="B45" s="368">
        <v>55</v>
      </c>
      <c r="C45" s="368">
        <f t="shared" si="3"/>
        <v>158</v>
      </c>
      <c r="D45" s="2475"/>
      <c r="E45" s="286" t="s">
        <v>435</v>
      </c>
      <c r="F45" s="673">
        <v>3</v>
      </c>
      <c r="G45" s="1699">
        <v>1</v>
      </c>
      <c r="H45" s="36">
        <v>0</v>
      </c>
      <c r="I45" s="36">
        <v>0</v>
      </c>
      <c r="J45" s="36">
        <v>300</v>
      </c>
      <c r="K45" s="36">
        <v>900</v>
      </c>
      <c r="L45" s="36">
        <v>2000</v>
      </c>
      <c r="M45" s="36">
        <v>3800</v>
      </c>
      <c r="N45" s="36">
        <v>6800</v>
      </c>
      <c r="O45" s="36">
        <v>11300</v>
      </c>
      <c r="P45" s="36">
        <v>18800</v>
      </c>
      <c r="Q45" s="36">
        <v>30800</v>
      </c>
      <c r="R45" s="16">
        <v>2500</v>
      </c>
      <c r="S45" s="16">
        <v>5000</v>
      </c>
      <c r="T45" s="16">
        <v>7500</v>
      </c>
      <c r="U45" s="16">
        <v>10000</v>
      </c>
      <c r="V45" s="16">
        <v>12500</v>
      </c>
      <c r="W45" s="16">
        <v>15000</v>
      </c>
      <c r="X45" s="16">
        <v>17500</v>
      </c>
      <c r="Y45" s="16">
        <v>20000</v>
      </c>
      <c r="Z45" s="16">
        <v>22500</v>
      </c>
      <c r="AA45" s="16">
        <v>25000</v>
      </c>
      <c r="AB45" s="1833">
        <v>47</v>
      </c>
      <c r="AC45" s="1834">
        <v>116</v>
      </c>
      <c r="AD45" s="1833">
        <v>149</v>
      </c>
      <c r="AE45" s="1834">
        <v>201</v>
      </c>
      <c r="AF45" s="1833">
        <v>278</v>
      </c>
      <c r="AG45" s="368">
        <v>0</v>
      </c>
    </row>
    <row r="46" spans="1:33" ht="15">
      <c r="A46" s="2482"/>
      <c r="B46" s="368">
        <v>55</v>
      </c>
      <c r="C46" s="368">
        <f t="shared" si="3"/>
        <v>159</v>
      </c>
      <c r="D46" s="2475"/>
      <c r="E46" s="286" t="s">
        <v>438</v>
      </c>
      <c r="F46" s="673">
        <v>4</v>
      </c>
      <c r="G46" s="1699">
        <v>2</v>
      </c>
      <c r="H46" s="36">
        <v>0</v>
      </c>
      <c r="I46" s="36">
        <v>0</v>
      </c>
      <c r="J46" s="36">
        <v>75</v>
      </c>
      <c r="K46" s="36">
        <v>375</v>
      </c>
      <c r="L46" s="36">
        <v>1125</v>
      </c>
      <c r="M46" s="36">
        <v>2225</v>
      </c>
      <c r="N46" s="36">
        <v>4125</v>
      </c>
      <c r="O46" s="36">
        <v>7125</v>
      </c>
      <c r="P46" s="36">
        <v>11625</v>
      </c>
      <c r="Q46" s="36">
        <v>19125</v>
      </c>
      <c r="R46" s="16">
        <v>2000</v>
      </c>
      <c r="S46" s="16">
        <v>4000</v>
      </c>
      <c r="T46" s="16">
        <v>6000</v>
      </c>
      <c r="U46" s="16">
        <v>8000</v>
      </c>
      <c r="V46" s="16">
        <v>10000</v>
      </c>
      <c r="W46" s="16">
        <v>12000</v>
      </c>
      <c r="X46" s="16">
        <v>14000</v>
      </c>
      <c r="Y46" s="16">
        <v>16000</v>
      </c>
      <c r="Z46" s="16">
        <v>18000</v>
      </c>
      <c r="AA46" s="16">
        <v>20000</v>
      </c>
      <c r="AB46" s="1833">
        <v>29</v>
      </c>
      <c r="AC46" s="1834">
        <v>72</v>
      </c>
      <c r="AD46" s="1833">
        <v>93</v>
      </c>
      <c r="AE46" s="1834">
        <v>125</v>
      </c>
      <c r="AF46" s="1833">
        <v>173</v>
      </c>
      <c r="AG46" s="368">
        <v>0</v>
      </c>
    </row>
    <row r="47" spans="1:33" ht="15">
      <c r="A47" s="2482"/>
      <c r="B47" s="368">
        <v>55</v>
      </c>
      <c r="C47" s="368">
        <f t="shared" si="3"/>
        <v>160</v>
      </c>
      <c r="D47" s="2475"/>
      <c r="E47" s="286" t="s">
        <v>442</v>
      </c>
      <c r="F47" s="673">
        <v>5</v>
      </c>
      <c r="G47" s="1699">
        <v>3</v>
      </c>
      <c r="H47" s="36">
        <v>5000</v>
      </c>
      <c r="I47" s="36">
        <v>5075</v>
      </c>
      <c r="J47" s="36">
        <v>5225</v>
      </c>
      <c r="K47" s="36">
        <v>5825</v>
      </c>
      <c r="L47" s="36">
        <v>7325</v>
      </c>
      <c r="M47" s="36">
        <v>9525</v>
      </c>
      <c r="N47" s="36">
        <v>13325</v>
      </c>
      <c r="O47" s="36">
        <v>19325</v>
      </c>
      <c r="P47" s="36">
        <v>28325</v>
      </c>
      <c r="Q47" s="36">
        <v>43325</v>
      </c>
      <c r="R47" s="16">
        <v>4000</v>
      </c>
      <c r="S47" s="16">
        <v>8000</v>
      </c>
      <c r="T47" s="16">
        <v>12000</v>
      </c>
      <c r="U47" s="16">
        <v>16000</v>
      </c>
      <c r="V47" s="16">
        <v>20000</v>
      </c>
      <c r="W47" s="16">
        <v>24000</v>
      </c>
      <c r="X47" s="16">
        <v>28000</v>
      </c>
      <c r="Y47" s="16">
        <v>32000</v>
      </c>
      <c r="Z47" s="16">
        <v>36000</v>
      </c>
      <c r="AA47" s="16">
        <v>40000</v>
      </c>
      <c r="AB47" s="1833">
        <v>65</v>
      </c>
      <c r="AC47" s="1834">
        <v>163</v>
      </c>
      <c r="AD47" s="1833">
        <v>210</v>
      </c>
      <c r="AE47" s="1834">
        <v>282</v>
      </c>
      <c r="AF47" s="1833">
        <v>390</v>
      </c>
      <c r="AG47" s="368">
        <v>0</v>
      </c>
    </row>
    <row r="48" spans="1:33" ht="15">
      <c r="A48" s="2482"/>
      <c r="B48" s="368">
        <v>55</v>
      </c>
      <c r="C48" s="368">
        <f t="shared" si="3"/>
        <v>161</v>
      </c>
      <c r="D48" s="2475"/>
      <c r="E48" s="286" t="s">
        <v>445</v>
      </c>
      <c r="F48" s="673">
        <v>6</v>
      </c>
      <c r="G48" s="1699">
        <v>4</v>
      </c>
      <c r="H48" s="36">
        <v>0</v>
      </c>
      <c r="I48" s="36">
        <v>0</v>
      </c>
      <c r="J48" s="36">
        <v>300</v>
      </c>
      <c r="K48" s="36">
        <v>900</v>
      </c>
      <c r="L48" s="36">
        <v>2000</v>
      </c>
      <c r="M48" s="36">
        <v>3800</v>
      </c>
      <c r="N48" s="36">
        <v>6800</v>
      </c>
      <c r="O48" s="36">
        <v>11300</v>
      </c>
      <c r="P48" s="36">
        <v>18800</v>
      </c>
      <c r="Q48" s="36">
        <v>30800</v>
      </c>
      <c r="R48" s="16">
        <v>3000</v>
      </c>
      <c r="S48" s="16">
        <v>6000</v>
      </c>
      <c r="T48" s="16">
        <v>9000</v>
      </c>
      <c r="U48" s="16">
        <v>12000</v>
      </c>
      <c r="V48" s="16">
        <v>15000</v>
      </c>
      <c r="W48" s="16">
        <v>18000</v>
      </c>
      <c r="X48" s="16">
        <v>21000</v>
      </c>
      <c r="Y48" s="16">
        <v>24000</v>
      </c>
      <c r="Z48" s="16">
        <v>27000</v>
      </c>
      <c r="AA48" s="16">
        <v>30000</v>
      </c>
      <c r="AB48" s="1833">
        <v>47</v>
      </c>
      <c r="AC48" s="1834">
        <v>116</v>
      </c>
      <c r="AD48" s="1833">
        <v>149</v>
      </c>
      <c r="AE48" s="1834">
        <v>201</v>
      </c>
      <c r="AF48" s="1833">
        <v>278</v>
      </c>
      <c r="AG48" s="368">
        <v>0</v>
      </c>
    </row>
    <row r="49" spans="1:43" ht="15">
      <c r="A49" s="2482"/>
      <c r="B49" s="368">
        <v>55</v>
      </c>
      <c r="C49" s="368">
        <f t="shared" si="3"/>
        <v>162</v>
      </c>
      <c r="D49" s="2475"/>
      <c r="E49" s="286" t="s">
        <v>449</v>
      </c>
      <c r="F49" s="673">
        <v>7</v>
      </c>
      <c r="G49" s="1699">
        <v>5</v>
      </c>
      <c r="H49" s="36">
        <v>0</v>
      </c>
      <c r="I49" s="36">
        <v>0</v>
      </c>
      <c r="J49" s="36">
        <v>300</v>
      </c>
      <c r="K49" s="36">
        <v>1800</v>
      </c>
      <c r="L49" s="36">
        <v>5000</v>
      </c>
      <c r="M49" s="36">
        <v>11000</v>
      </c>
      <c r="N49" s="36">
        <v>20000</v>
      </c>
      <c r="O49" s="36">
        <v>33500</v>
      </c>
      <c r="P49" s="36">
        <v>51500</v>
      </c>
      <c r="Q49" s="36">
        <v>74000</v>
      </c>
      <c r="R49" s="16">
        <v>10000</v>
      </c>
      <c r="S49" s="16">
        <v>20000</v>
      </c>
      <c r="T49" s="16">
        <v>30000</v>
      </c>
      <c r="U49" s="16">
        <v>40000</v>
      </c>
      <c r="V49" s="16">
        <v>50000</v>
      </c>
      <c r="W49" s="16">
        <v>60000</v>
      </c>
      <c r="X49" s="16">
        <v>70000</v>
      </c>
      <c r="Y49" s="16">
        <v>80000</v>
      </c>
      <c r="Z49" s="16">
        <v>90000</v>
      </c>
      <c r="AA49" s="16">
        <v>100000</v>
      </c>
      <c r="AB49" s="1833">
        <v>111</v>
      </c>
      <c r="AC49" s="1834">
        <v>278</v>
      </c>
      <c r="AD49" s="1833">
        <v>358</v>
      </c>
      <c r="AE49" s="1834">
        <v>481</v>
      </c>
      <c r="AF49" s="1833">
        <v>666</v>
      </c>
      <c r="AG49" s="368">
        <v>0</v>
      </c>
    </row>
    <row r="50" spans="1:43" ht="15">
      <c r="A50" s="2482"/>
      <c r="B50" s="368">
        <v>55</v>
      </c>
      <c r="C50" s="368">
        <f t="shared" si="3"/>
        <v>163</v>
      </c>
      <c r="D50" s="2475"/>
      <c r="E50" s="286" t="s">
        <v>455</v>
      </c>
      <c r="F50" s="673">
        <v>8</v>
      </c>
      <c r="G50" s="1699">
        <v>6</v>
      </c>
      <c r="H50" s="36">
        <v>0</v>
      </c>
      <c r="I50" s="36">
        <v>0</v>
      </c>
      <c r="J50" s="36">
        <v>300</v>
      </c>
      <c r="K50" s="36">
        <v>1800</v>
      </c>
      <c r="L50" s="36">
        <v>5000</v>
      </c>
      <c r="M50" s="36">
        <v>11000</v>
      </c>
      <c r="N50" s="36">
        <v>20000</v>
      </c>
      <c r="O50" s="36">
        <v>33500</v>
      </c>
      <c r="P50" s="36">
        <v>51500</v>
      </c>
      <c r="Q50" s="36">
        <v>74000</v>
      </c>
      <c r="R50" s="16">
        <v>10000</v>
      </c>
      <c r="S50" s="16">
        <v>20000</v>
      </c>
      <c r="T50" s="16">
        <v>30000</v>
      </c>
      <c r="U50" s="16">
        <v>40000</v>
      </c>
      <c r="V50" s="16">
        <v>50000</v>
      </c>
      <c r="W50" s="16">
        <v>60000</v>
      </c>
      <c r="X50" s="16">
        <v>70000</v>
      </c>
      <c r="Y50" s="16">
        <v>80000</v>
      </c>
      <c r="Z50" s="16">
        <v>90000</v>
      </c>
      <c r="AA50" s="16">
        <v>100000</v>
      </c>
      <c r="AB50" s="1833">
        <v>111</v>
      </c>
      <c r="AC50" s="1834">
        <v>278</v>
      </c>
      <c r="AD50" s="1833">
        <v>358</v>
      </c>
      <c r="AE50" s="1834">
        <v>481</v>
      </c>
      <c r="AF50" s="1833">
        <v>666</v>
      </c>
      <c r="AG50" s="368">
        <v>0</v>
      </c>
    </row>
    <row r="51" spans="1:43" ht="15">
      <c r="A51" s="2482"/>
      <c r="B51" s="368">
        <v>55</v>
      </c>
      <c r="C51" s="368">
        <f t="shared" si="3"/>
        <v>164</v>
      </c>
      <c r="D51" s="2475"/>
      <c r="E51" s="695" t="s">
        <v>856</v>
      </c>
      <c r="F51" s="673">
        <v>9</v>
      </c>
      <c r="G51" s="1699">
        <v>7</v>
      </c>
      <c r="H51" s="36">
        <v>0</v>
      </c>
      <c r="I51" s="36">
        <v>0</v>
      </c>
      <c r="J51" s="36">
        <v>300</v>
      </c>
      <c r="K51" s="36">
        <v>900</v>
      </c>
      <c r="L51" s="36">
        <v>2000</v>
      </c>
      <c r="M51" s="36">
        <v>3800</v>
      </c>
      <c r="N51" s="36">
        <v>6800</v>
      </c>
      <c r="O51" s="36">
        <v>11300</v>
      </c>
      <c r="P51" s="36">
        <v>18800</v>
      </c>
      <c r="Q51" s="36">
        <v>30800</v>
      </c>
      <c r="R51" s="16">
        <v>3000</v>
      </c>
      <c r="S51" s="16">
        <v>6000</v>
      </c>
      <c r="T51" s="16">
        <v>9000</v>
      </c>
      <c r="U51" s="16">
        <v>12000</v>
      </c>
      <c r="V51" s="16">
        <v>15000</v>
      </c>
      <c r="W51" s="16">
        <v>18000</v>
      </c>
      <c r="X51" s="16">
        <v>21000</v>
      </c>
      <c r="Y51" s="16">
        <v>24000</v>
      </c>
      <c r="Z51" s="16">
        <v>27000</v>
      </c>
      <c r="AA51" s="16">
        <v>30000</v>
      </c>
      <c r="AB51" s="1833">
        <v>47</v>
      </c>
      <c r="AC51" s="1834">
        <v>116</v>
      </c>
      <c r="AD51" s="1833">
        <v>149</v>
      </c>
      <c r="AE51" s="1834">
        <v>201</v>
      </c>
      <c r="AF51" s="1833">
        <v>278</v>
      </c>
      <c r="AG51" s="368">
        <v>0</v>
      </c>
    </row>
    <row r="52" spans="1:43" ht="15">
      <c r="A52" s="2482"/>
      <c r="B52" s="368">
        <v>55</v>
      </c>
      <c r="C52" s="368">
        <f t="shared" si="3"/>
        <v>165</v>
      </c>
      <c r="D52" s="2475"/>
      <c r="E52" s="695" t="s">
        <v>857</v>
      </c>
      <c r="F52" s="673">
        <v>10</v>
      </c>
      <c r="G52" s="1699">
        <v>7</v>
      </c>
      <c r="H52" s="36">
        <v>0</v>
      </c>
      <c r="I52" s="36">
        <v>0</v>
      </c>
      <c r="J52" s="36">
        <v>300</v>
      </c>
      <c r="K52" s="36">
        <v>900</v>
      </c>
      <c r="L52" s="36">
        <v>2000</v>
      </c>
      <c r="M52" s="36">
        <v>3800</v>
      </c>
      <c r="N52" s="36">
        <v>6800</v>
      </c>
      <c r="O52" s="36">
        <v>11300</v>
      </c>
      <c r="P52" s="36">
        <v>18800</v>
      </c>
      <c r="Q52" s="36">
        <v>30800</v>
      </c>
      <c r="R52" s="16">
        <v>3000</v>
      </c>
      <c r="S52" s="16">
        <v>6000</v>
      </c>
      <c r="T52" s="16">
        <v>9000</v>
      </c>
      <c r="U52" s="16">
        <v>12000</v>
      </c>
      <c r="V52" s="16">
        <v>15000</v>
      </c>
      <c r="W52" s="16">
        <v>18000</v>
      </c>
      <c r="X52" s="16">
        <v>21000</v>
      </c>
      <c r="Y52" s="16">
        <v>24000</v>
      </c>
      <c r="Z52" s="16">
        <v>27000</v>
      </c>
      <c r="AA52" s="16">
        <v>30000</v>
      </c>
      <c r="AB52" s="1833">
        <v>47</v>
      </c>
      <c r="AC52" s="1834">
        <v>116</v>
      </c>
      <c r="AD52" s="1833">
        <v>149</v>
      </c>
      <c r="AE52" s="1834">
        <v>201</v>
      </c>
      <c r="AF52" s="1833">
        <v>278</v>
      </c>
      <c r="AG52" s="368">
        <v>0</v>
      </c>
    </row>
    <row r="53" spans="1:43" ht="15">
      <c r="A53" s="2482"/>
      <c r="B53" s="368">
        <v>55</v>
      </c>
      <c r="C53" s="368">
        <f t="shared" si="3"/>
        <v>166</v>
      </c>
      <c r="D53" s="2475"/>
      <c r="E53" s="695" t="s">
        <v>858</v>
      </c>
      <c r="F53" s="673">
        <v>11</v>
      </c>
      <c r="G53" s="1699">
        <v>7</v>
      </c>
      <c r="H53" s="36">
        <v>0</v>
      </c>
      <c r="I53" s="36">
        <v>0</v>
      </c>
      <c r="J53" s="36">
        <v>300</v>
      </c>
      <c r="K53" s="36">
        <v>900</v>
      </c>
      <c r="L53" s="36">
        <v>2000</v>
      </c>
      <c r="M53" s="36">
        <v>3800</v>
      </c>
      <c r="N53" s="36">
        <v>6800</v>
      </c>
      <c r="O53" s="36">
        <v>11300</v>
      </c>
      <c r="P53" s="36">
        <v>18800</v>
      </c>
      <c r="Q53" s="36">
        <v>30800</v>
      </c>
      <c r="R53" s="16">
        <v>3000</v>
      </c>
      <c r="S53" s="16">
        <v>6000</v>
      </c>
      <c r="T53" s="16">
        <v>9000</v>
      </c>
      <c r="U53" s="16">
        <v>12000</v>
      </c>
      <c r="V53" s="16">
        <v>15000</v>
      </c>
      <c r="W53" s="16">
        <v>18000</v>
      </c>
      <c r="X53" s="16">
        <v>21000</v>
      </c>
      <c r="Y53" s="16">
        <v>24000</v>
      </c>
      <c r="Z53" s="16">
        <v>27000</v>
      </c>
      <c r="AA53" s="16">
        <v>30000</v>
      </c>
      <c r="AB53" s="1833">
        <v>47</v>
      </c>
      <c r="AC53" s="1834">
        <v>116</v>
      </c>
      <c r="AD53" s="1833">
        <v>149</v>
      </c>
      <c r="AE53" s="1834">
        <v>201</v>
      </c>
      <c r="AF53" s="1833">
        <v>278</v>
      </c>
      <c r="AG53" s="368">
        <v>0</v>
      </c>
    </row>
    <row r="54" spans="1:43" ht="15">
      <c r="A54" s="2482"/>
      <c r="B54" s="368">
        <v>55</v>
      </c>
      <c r="C54" s="368">
        <f t="shared" si="3"/>
        <v>167</v>
      </c>
      <c r="D54" s="2475"/>
      <c r="E54" s="269" t="s">
        <v>409</v>
      </c>
      <c r="F54" s="673">
        <v>12</v>
      </c>
      <c r="G54" s="1699">
        <v>0</v>
      </c>
      <c r="H54" s="36">
        <v>0</v>
      </c>
      <c r="I54" s="36">
        <v>0</v>
      </c>
      <c r="J54" s="36">
        <v>300</v>
      </c>
      <c r="K54" s="36">
        <v>1200</v>
      </c>
      <c r="L54" s="36">
        <v>2700</v>
      </c>
      <c r="M54" s="36">
        <v>5000</v>
      </c>
      <c r="N54" s="36">
        <v>10300</v>
      </c>
      <c r="O54" s="36">
        <v>16300</v>
      </c>
      <c r="P54" s="36">
        <v>25300</v>
      </c>
      <c r="Q54" s="36">
        <v>40300</v>
      </c>
      <c r="R54" s="16">
        <v>5000</v>
      </c>
      <c r="S54" s="16">
        <v>10000</v>
      </c>
      <c r="T54" s="16">
        <v>15000</v>
      </c>
      <c r="U54" s="16">
        <v>20000</v>
      </c>
      <c r="V54" s="16">
        <v>25000</v>
      </c>
      <c r="W54" s="16">
        <v>30000</v>
      </c>
      <c r="X54" s="16">
        <v>35000</v>
      </c>
      <c r="Y54" s="16">
        <v>40000</v>
      </c>
      <c r="Z54" s="16">
        <v>45000</v>
      </c>
      <c r="AA54" s="16">
        <v>50000</v>
      </c>
      <c r="AB54" s="1833">
        <v>61</v>
      </c>
      <c r="AC54" s="1834">
        <v>152</v>
      </c>
      <c r="AD54" s="1833">
        <v>195</v>
      </c>
      <c r="AE54" s="1834">
        <v>262</v>
      </c>
      <c r="AF54" s="1833">
        <v>363</v>
      </c>
      <c r="AG54" s="368">
        <v>0</v>
      </c>
    </row>
    <row r="55" spans="1:43" ht="15">
      <c r="A55" s="2482"/>
      <c r="B55" s="368">
        <v>55</v>
      </c>
      <c r="C55" s="368">
        <f t="shared" si="3"/>
        <v>168</v>
      </c>
      <c r="D55" s="2475"/>
      <c r="E55" s="696" t="s">
        <v>492</v>
      </c>
      <c r="F55" s="673">
        <v>13</v>
      </c>
      <c r="G55" s="1699">
        <v>4</v>
      </c>
      <c r="H55" s="36">
        <v>1000</v>
      </c>
      <c r="I55" s="36">
        <v>1300</v>
      </c>
      <c r="J55" s="36">
        <v>1900</v>
      </c>
      <c r="K55" s="36">
        <v>2800</v>
      </c>
      <c r="L55" s="36">
        <v>4300</v>
      </c>
      <c r="M55" s="36">
        <v>6600</v>
      </c>
      <c r="N55" s="36">
        <v>11900</v>
      </c>
      <c r="O55" s="36">
        <v>17900</v>
      </c>
      <c r="P55" s="36">
        <v>26900</v>
      </c>
      <c r="Q55" s="36">
        <v>41900</v>
      </c>
      <c r="R55" s="16">
        <v>5000</v>
      </c>
      <c r="S55" s="16">
        <v>10000</v>
      </c>
      <c r="T55" s="16">
        <v>15000</v>
      </c>
      <c r="U55" s="16">
        <v>20000</v>
      </c>
      <c r="V55" s="16">
        <v>25000</v>
      </c>
      <c r="W55" s="16">
        <v>30000</v>
      </c>
      <c r="X55" s="16">
        <v>35000</v>
      </c>
      <c r="Y55" s="16">
        <v>40000</v>
      </c>
      <c r="Z55" s="16">
        <v>45000</v>
      </c>
      <c r="AA55" s="16">
        <v>50000</v>
      </c>
      <c r="AB55" s="1833">
        <v>63</v>
      </c>
      <c r="AC55" s="1834">
        <v>158</v>
      </c>
      <c r="AD55" s="1833">
        <v>203</v>
      </c>
      <c r="AE55" s="1834">
        <v>273</v>
      </c>
      <c r="AF55" s="1833">
        <v>378</v>
      </c>
      <c r="AG55" s="368">
        <v>0</v>
      </c>
    </row>
    <row r="56" spans="1:43" ht="15">
      <c r="A56" s="2482"/>
      <c r="B56" s="368">
        <v>55</v>
      </c>
      <c r="C56" s="368">
        <f t="shared" si="3"/>
        <v>169</v>
      </c>
      <c r="D56" s="2475"/>
      <c r="E56" s="269" t="s">
        <v>461</v>
      </c>
      <c r="F56" s="673">
        <v>14</v>
      </c>
      <c r="G56" s="1699">
        <v>1</v>
      </c>
      <c r="H56" s="36">
        <v>0</v>
      </c>
      <c r="I56" s="36">
        <v>0</v>
      </c>
      <c r="J56" s="36">
        <v>300</v>
      </c>
      <c r="K56" s="36">
        <v>1200</v>
      </c>
      <c r="L56" s="36">
        <v>2700</v>
      </c>
      <c r="M56" s="36">
        <v>5200</v>
      </c>
      <c r="N56" s="36">
        <v>10200</v>
      </c>
      <c r="O56" s="36">
        <v>16800</v>
      </c>
      <c r="P56" s="36">
        <v>26400</v>
      </c>
      <c r="Q56" s="36">
        <v>39900</v>
      </c>
      <c r="R56" s="16">
        <v>5000</v>
      </c>
      <c r="S56" s="16">
        <v>10000</v>
      </c>
      <c r="T56" s="16">
        <v>15000</v>
      </c>
      <c r="U56" s="16">
        <v>20000</v>
      </c>
      <c r="V56" s="16">
        <v>25000</v>
      </c>
      <c r="W56" s="16">
        <v>30000</v>
      </c>
      <c r="X56" s="16">
        <v>35000</v>
      </c>
      <c r="Y56" s="16">
        <v>40000</v>
      </c>
      <c r="Z56" s="16">
        <v>45000</v>
      </c>
      <c r="AA56" s="16">
        <v>50000</v>
      </c>
      <c r="AB56" s="1833">
        <v>60</v>
      </c>
      <c r="AC56" s="1834">
        <v>150</v>
      </c>
      <c r="AD56" s="1833">
        <v>193</v>
      </c>
      <c r="AE56" s="1834">
        <v>260</v>
      </c>
      <c r="AF56" s="1833">
        <v>360</v>
      </c>
      <c r="AG56" s="368">
        <v>0</v>
      </c>
    </row>
    <row r="57" spans="1:43" ht="15">
      <c r="A57" s="2482"/>
      <c r="B57" s="368">
        <v>55</v>
      </c>
      <c r="C57" s="368">
        <f t="shared" si="3"/>
        <v>170</v>
      </c>
      <c r="D57" s="2475"/>
      <c r="E57" s="269" t="s">
        <v>463</v>
      </c>
      <c r="F57" s="673">
        <v>15</v>
      </c>
      <c r="G57" s="1699">
        <v>2</v>
      </c>
      <c r="H57" s="36">
        <v>0</v>
      </c>
      <c r="I57" s="36">
        <v>0</v>
      </c>
      <c r="J57" s="36">
        <v>300</v>
      </c>
      <c r="K57" s="36">
        <v>1200</v>
      </c>
      <c r="L57" s="36">
        <v>2700</v>
      </c>
      <c r="M57" s="36">
        <v>5000</v>
      </c>
      <c r="N57" s="36">
        <v>10300</v>
      </c>
      <c r="O57" s="36">
        <v>16300</v>
      </c>
      <c r="P57" s="36">
        <v>25300</v>
      </c>
      <c r="Q57" s="36">
        <v>40300</v>
      </c>
      <c r="R57" s="16">
        <v>5000</v>
      </c>
      <c r="S57" s="16">
        <v>10000</v>
      </c>
      <c r="T57" s="16">
        <v>15000</v>
      </c>
      <c r="U57" s="16">
        <v>20000</v>
      </c>
      <c r="V57" s="16">
        <v>25000</v>
      </c>
      <c r="W57" s="16">
        <v>30000</v>
      </c>
      <c r="X57" s="16">
        <v>35000</v>
      </c>
      <c r="Y57" s="16">
        <v>40000</v>
      </c>
      <c r="Z57" s="16">
        <v>45000</v>
      </c>
      <c r="AA57" s="16">
        <v>50000</v>
      </c>
      <c r="AB57" s="1833">
        <v>61</v>
      </c>
      <c r="AC57" s="1834">
        <v>152</v>
      </c>
      <c r="AD57" s="1833">
        <v>195</v>
      </c>
      <c r="AE57" s="1834">
        <v>262</v>
      </c>
      <c r="AF57" s="1833">
        <v>363</v>
      </c>
      <c r="AG57" s="368">
        <v>0</v>
      </c>
    </row>
    <row r="58" spans="1:43" ht="15">
      <c r="A58" s="2482"/>
      <c r="B58" s="368">
        <v>55</v>
      </c>
      <c r="C58" s="368">
        <f t="shared" si="3"/>
        <v>171</v>
      </c>
      <c r="D58" s="2475"/>
      <c r="E58" s="269" t="s">
        <v>466</v>
      </c>
      <c r="F58" s="673">
        <v>16</v>
      </c>
      <c r="G58" s="1699">
        <v>3</v>
      </c>
      <c r="H58" s="36">
        <v>0</v>
      </c>
      <c r="I58" s="36">
        <v>0</v>
      </c>
      <c r="J58" s="36">
        <v>300</v>
      </c>
      <c r="K58" s="36">
        <v>900</v>
      </c>
      <c r="L58" s="36">
        <v>2000</v>
      </c>
      <c r="M58" s="36">
        <v>3800</v>
      </c>
      <c r="N58" s="36">
        <v>6800</v>
      </c>
      <c r="O58" s="36">
        <v>11300</v>
      </c>
      <c r="P58" s="36">
        <v>18800</v>
      </c>
      <c r="Q58" s="36">
        <v>30800</v>
      </c>
      <c r="R58" s="16">
        <v>2500</v>
      </c>
      <c r="S58" s="16">
        <v>5000</v>
      </c>
      <c r="T58" s="16">
        <v>7500</v>
      </c>
      <c r="U58" s="16">
        <v>10000</v>
      </c>
      <c r="V58" s="16">
        <v>12500</v>
      </c>
      <c r="W58" s="16">
        <v>15000</v>
      </c>
      <c r="X58" s="16">
        <v>17500</v>
      </c>
      <c r="Y58" s="16">
        <v>20000</v>
      </c>
      <c r="Z58" s="16">
        <v>22500</v>
      </c>
      <c r="AA58" s="16">
        <v>25000</v>
      </c>
      <c r="AB58" s="1833">
        <v>18</v>
      </c>
      <c r="AC58" s="1834">
        <v>27</v>
      </c>
      <c r="AD58" s="1833">
        <v>40</v>
      </c>
      <c r="AE58" s="1834">
        <v>60</v>
      </c>
      <c r="AF58" s="1833">
        <v>90</v>
      </c>
      <c r="AG58" s="368">
        <v>0</v>
      </c>
    </row>
    <row r="59" spans="1:43" ht="15">
      <c r="A59" s="2482"/>
      <c r="B59" s="368">
        <v>55</v>
      </c>
      <c r="C59" s="368">
        <f t="shared" si="3"/>
        <v>172</v>
      </c>
      <c r="D59" s="2475"/>
      <c r="E59" s="278" t="s">
        <v>417</v>
      </c>
      <c r="F59" s="673">
        <v>17</v>
      </c>
      <c r="G59" s="1699">
        <v>0</v>
      </c>
      <c r="H59" s="36">
        <v>0</v>
      </c>
      <c r="I59" s="36">
        <v>0</v>
      </c>
      <c r="J59" s="36">
        <v>300</v>
      </c>
      <c r="K59" s="36">
        <v>1200</v>
      </c>
      <c r="L59" s="36">
        <v>2700</v>
      </c>
      <c r="M59" s="36">
        <v>5000</v>
      </c>
      <c r="N59" s="36">
        <v>10300</v>
      </c>
      <c r="O59" s="36">
        <v>16300</v>
      </c>
      <c r="P59" s="36">
        <v>25300</v>
      </c>
      <c r="Q59" s="36">
        <v>40300</v>
      </c>
      <c r="R59" s="16">
        <v>5000</v>
      </c>
      <c r="S59" s="16">
        <v>10000</v>
      </c>
      <c r="T59" s="16">
        <v>15000</v>
      </c>
      <c r="U59" s="16">
        <v>20000</v>
      </c>
      <c r="V59" s="16">
        <v>25000</v>
      </c>
      <c r="W59" s="16">
        <v>30000</v>
      </c>
      <c r="X59" s="16">
        <v>35000</v>
      </c>
      <c r="Y59" s="16">
        <v>40000</v>
      </c>
      <c r="Z59" s="16">
        <v>45000</v>
      </c>
      <c r="AA59" s="16">
        <v>50000</v>
      </c>
      <c r="AB59" s="1833">
        <v>61</v>
      </c>
      <c r="AC59" s="1834">
        <v>152</v>
      </c>
      <c r="AD59" s="1833">
        <v>195</v>
      </c>
      <c r="AE59" s="1834">
        <v>262</v>
      </c>
      <c r="AF59" s="1833">
        <v>363</v>
      </c>
      <c r="AG59" s="368">
        <v>0</v>
      </c>
    </row>
    <row r="60" spans="1:43" ht="15">
      <c r="A60" s="2482"/>
      <c r="B60" s="368">
        <v>55</v>
      </c>
      <c r="C60" s="368">
        <f t="shared" si="3"/>
        <v>173</v>
      </c>
      <c r="D60" s="2475"/>
      <c r="E60" s="278" t="s">
        <v>472</v>
      </c>
      <c r="F60" s="673">
        <v>18</v>
      </c>
      <c r="G60" s="1699">
        <v>1</v>
      </c>
      <c r="H60" s="36">
        <v>0</v>
      </c>
      <c r="I60" s="36">
        <v>0</v>
      </c>
      <c r="J60" s="36">
        <v>300</v>
      </c>
      <c r="K60" s="36">
        <v>1200</v>
      </c>
      <c r="L60" s="36">
        <v>2700</v>
      </c>
      <c r="M60" s="36">
        <v>5200</v>
      </c>
      <c r="N60" s="36">
        <v>10200</v>
      </c>
      <c r="O60" s="36">
        <v>16800</v>
      </c>
      <c r="P60" s="36">
        <v>26400</v>
      </c>
      <c r="Q60" s="36">
        <v>39900</v>
      </c>
      <c r="R60" s="16">
        <v>5000</v>
      </c>
      <c r="S60" s="16">
        <v>10000</v>
      </c>
      <c r="T60" s="16">
        <v>15000</v>
      </c>
      <c r="U60" s="16">
        <v>20000</v>
      </c>
      <c r="V60" s="16">
        <v>25000</v>
      </c>
      <c r="W60" s="16">
        <v>30000</v>
      </c>
      <c r="X60" s="16">
        <v>35000</v>
      </c>
      <c r="Y60" s="16">
        <v>40000</v>
      </c>
      <c r="Z60" s="16">
        <v>45000</v>
      </c>
      <c r="AA60" s="16">
        <v>50000</v>
      </c>
      <c r="AB60" s="1833">
        <v>60</v>
      </c>
      <c r="AC60" s="1834">
        <v>150</v>
      </c>
      <c r="AD60" s="1833">
        <v>193</v>
      </c>
      <c r="AE60" s="1834">
        <v>260</v>
      </c>
      <c r="AF60" s="1833">
        <v>360</v>
      </c>
      <c r="AG60" s="368">
        <v>0</v>
      </c>
    </row>
    <row r="61" spans="1:43" ht="15">
      <c r="A61" s="2482"/>
      <c r="B61" s="368">
        <v>55</v>
      </c>
      <c r="C61" s="368">
        <f t="shared" si="3"/>
        <v>174</v>
      </c>
      <c r="D61" s="2475"/>
      <c r="E61" s="278" t="s">
        <v>475</v>
      </c>
      <c r="F61" s="673">
        <v>19</v>
      </c>
      <c r="G61" s="1699">
        <v>2</v>
      </c>
      <c r="H61" s="36">
        <v>0</v>
      </c>
      <c r="I61" s="36">
        <v>0</v>
      </c>
      <c r="J61" s="36">
        <v>300</v>
      </c>
      <c r="K61" s="36">
        <v>1200</v>
      </c>
      <c r="L61" s="36">
        <v>2700</v>
      </c>
      <c r="M61" s="36">
        <v>5000</v>
      </c>
      <c r="N61" s="36">
        <v>10300</v>
      </c>
      <c r="O61" s="36">
        <v>16300</v>
      </c>
      <c r="P61" s="36">
        <v>25300</v>
      </c>
      <c r="Q61" s="36">
        <v>40300</v>
      </c>
      <c r="R61" s="16">
        <v>5000</v>
      </c>
      <c r="S61" s="16">
        <v>10000</v>
      </c>
      <c r="T61" s="16">
        <v>15000</v>
      </c>
      <c r="U61" s="16">
        <v>20000</v>
      </c>
      <c r="V61" s="16">
        <v>25000</v>
      </c>
      <c r="W61" s="16">
        <v>30000</v>
      </c>
      <c r="X61" s="16">
        <v>35000</v>
      </c>
      <c r="Y61" s="16">
        <v>40000</v>
      </c>
      <c r="Z61" s="16">
        <v>45000</v>
      </c>
      <c r="AA61" s="16">
        <v>50000</v>
      </c>
      <c r="AB61" s="1833">
        <v>61</v>
      </c>
      <c r="AC61" s="1834">
        <v>152</v>
      </c>
      <c r="AD61" s="1833">
        <v>195</v>
      </c>
      <c r="AE61" s="1834">
        <v>262</v>
      </c>
      <c r="AF61" s="1833">
        <v>363</v>
      </c>
      <c r="AG61" s="368">
        <v>0</v>
      </c>
    </row>
    <row r="62" spans="1:43" ht="15">
      <c r="A62" s="2482"/>
      <c r="B62" s="368">
        <v>55</v>
      </c>
      <c r="C62" s="368">
        <f t="shared" si="3"/>
        <v>175</v>
      </c>
      <c r="D62" s="2475"/>
      <c r="E62" s="278" t="s">
        <v>478</v>
      </c>
      <c r="F62" s="673">
        <v>20</v>
      </c>
      <c r="G62" s="1699">
        <v>3</v>
      </c>
      <c r="H62" s="36">
        <v>0</v>
      </c>
      <c r="I62" s="36">
        <v>0</v>
      </c>
      <c r="J62" s="36">
        <v>300</v>
      </c>
      <c r="K62" s="36">
        <v>900</v>
      </c>
      <c r="L62" s="36">
        <v>2000</v>
      </c>
      <c r="M62" s="36">
        <v>3800</v>
      </c>
      <c r="N62" s="36">
        <v>6800</v>
      </c>
      <c r="O62" s="36">
        <v>11300</v>
      </c>
      <c r="P62" s="36">
        <v>18800</v>
      </c>
      <c r="Q62" s="36">
        <v>30800</v>
      </c>
      <c r="R62" s="16">
        <v>2500</v>
      </c>
      <c r="S62" s="16">
        <v>5000</v>
      </c>
      <c r="T62" s="16">
        <v>7500</v>
      </c>
      <c r="U62" s="16">
        <v>10000</v>
      </c>
      <c r="V62" s="16">
        <v>12500</v>
      </c>
      <c r="W62" s="16">
        <v>15000</v>
      </c>
      <c r="X62" s="16">
        <v>17500</v>
      </c>
      <c r="Y62" s="16">
        <v>20000</v>
      </c>
      <c r="Z62" s="16">
        <v>22500</v>
      </c>
      <c r="AA62" s="16">
        <v>25000</v>
      </c>
      <c r="AB62" s="1833">
        <v>18</v>
      </c>
      <c r="AC62" s="1834">
        <v>27</v>
      </c>
      <c r="AD62" s="1833">
        <v>40</v>
      </c>
      <c r="AE62" s="1834">
        <v>60</v>
      </c>
      <c r="AF62" s="1833">
        <v>90</v>
      </c>
      <c r="AG62" s="368">
        <v>0</v>
      </c>
    </row>
    <row r="63" spans="1:43" ht="15">
      <c r="A63" s="2482" t="s">
        <v>865</v>
      </c>
      <c r="E63" s="2447" t="s">
        <v>529</v>
      </c>
      <c r="F63" s="2477" t="s">
        <v>320</v>
      </c>
      <c r="G63" s="2263" t="s">
        <v>321</v>
      </c>
      <c r="H63" s="2448" t="s">
        <v>322</v>
      </c>
      <c r="I63" s="2448"/>
      <c r="J63" s="2448"/>
      <c r="K63" s="2448"/>
      <c r="L63" s="2448"/>
      <c r="M63" s="2448"/>
      <c r="N63" s="2448"/>
      <c r="O63" s="2448"/>
      <c r="P63" s="2448"/>
      <c r="Q63" s="2448"/>
      <c r="R63" s="2448" t="s">
        <v>323</v>
      </c>
      <c r="S63" s="2448"/>
      <c r="T63" s="2448"/>
      <c r="U63" s="2448"/>
      <c r="V63" s="2448"/>
      <c r="W63" s="2448"/>
      <c r="X63" s="2448"/>
      <c r="Y63" s="2448"/>
      <c r="Z63" s="2448"/>
      <c r="AA63" s="2448"/>
      <c r="AB63" s="246" t="s">
        <v>73</v>
      </c>
      <c r="AC63" s="246" t="s">
        <v>74</v>
      </c>
      <c r="AD63" s="246" t="s">
        <v>75</v>
      </c>
      <c r="AE63" s="246" t="s">
        <v>76</v>
      </c>
      <c r="AF63" s="246" t="s">
        <v>77</v>
      </c>
      <c r="AH63" s="2485" t="s">
        <v>867</v>
      </c>
      <c r="AI63" s="2485"/>
      <c r="AJ63" s="2485"/>
      <c r="AK63" s="2485"/>
      <c r="AL63" s="2485"/>
      <c r="AM63" s="2485"/>
      <c r="AN63" s="2485"/>
      <c r="AO63" s="2485"/>
      <c r="AP63" s="2485"/>
      <c r="AQ63" s="2485"/>
    </row>
    <row r="64" spans="1:43" ht="15">
      <c r="A64" s="2482"/>
      <c r="C64" s="368">
        <v>200</v>
      </c>
      <c r="E64" s="2447"/>
      <c r="F64" s="2477"/>
      <c r="G64" s="2263"/>
      <c r="H64" s="1701" t="s">
        <v>347</v>
      </c>
      <c r="I64" s="1701" t="s">
        <v>348</v>
      </c>
      <c r="J64" s="1701" t="s">
        <v>349</v>
      </c>
      <c r="K64" s="1701" t="s">
        <v>350</v>
      </c>
      <c r="L64" s="1701" t="s">
        <v>351</v>
      </c>
      <c r="M64" s="1701" t="s">
        <v>352</v>
      </c>
      <c r="N64" s="1701" t="s">
        <v>353</v>
      </c>
      <c r="O64" s="1701" t="s">
        <v>354</v>
      </c>
      <c r="P64" s="1701" t="s">
        <v>355</v>
      </c>
      <c r="Q64" s="1701" t="s">
        <v>356</v>
      </c>
      <c r="R64" s="1701" t="s">
        <v>347</v>
      </c>
      <c r="S64" s="1701" t="s">
        <v>348</v>
      </c>
      <c r="T64" s="1701" t="s">
        <v>349</v>
      </c>
      <c r="U64" s="1701" t="s">
        <v>350</v>
      </c>
      <c r="V64" s="1701" t="s">
        <v>351</v>
      </c>
      <c r="W64" s="1701" t="s">
        <v>352</v>
      </c>
      <c r="X64" s="1701" t="s">
        <v>353</v>
      </c>
      <c r="Y64" s="1701" t="s">
        <v>354</v>
      </c>
      <c r="Z64" s="1701" t="s">
        <v>355</v>
      </c>
      <c r="AA64" s="1701" t="s">
        <v>356</v>
      </c>
      <c r="AB64" s="1700" t="s">
        <v>357</v>
      </c>
      <c r="AC64" s="1700" t="s">
        <v>357</v>
      </c>
      <c r="AD64" s="1700" t="s">
        <v>357</v>
      </c>
      <c r="AE64" s="1700" t="s">
        <v>357</v>
      </c>
      <c r="AF64" s="1700" t="s">
        <v>357</v>
      </c>
      <c r="AH64" s="1710" t="s">
        <v>868</v>
      </c>
      <c r="AI64" s="1710" t="s">
        <v>869</v>
      </c>
      <c r="AJ64" s="1710" t="s">
        <v>870</v>
      </c>
      <c r="AK64" s="1710" t="s">
        <v>871</v>
      </c>
      <c r="AL64" s="1710" t="s">
        <v>872</v>
      </c>
      <c r="AM64" s="1710" t="s">
        <v>873</v>
      </c>
      <c r="AN64" s="1710" t="s">
        <v>874</v>
      </c>
      <c r="AO64" s="1710" t="s">
        <v>875</v>
      </c>
      <c r="AP64" s="1710" t="s">
        <v>876</v>
      </c>
      <c r="AQ64" s="1710" t="s">
        <v>877</v>
      </c>
    </row>
    <row r="65" spans="1:33" ht="15">
      <c r="A65" s="2482"/>
      <c r="B65" s="368">
        <v>5</v>
      </c>
      <c r="C65" s="368">
        <f>$C$64+F65+B65</f>
        <v>206</v>
      </c>
      <c r="D65" s="2475" t="s">
        <v>683</v>
      </c>
      <c r="E65" s="1083" t="s">
        <v>61</v>
      </c>
      <c r="F65" s="679">
        <v>1</v>
      </c>
      <c r="G65" s="1698">
        <v>0</v>
      </c>
      <c r="H65" s="1701">
        <v>0</v>
      </c>
      <c r="I65" s="1701">
        <v>0</v>
      </c>
      <c r="J65" s="1701">
        <v>0</v>
      </c>
      <c r="K65" s="1701">
        <v>0</v>
      </c>
      <c r="L65" s="1701">
        <v>0</v>
      </c>
      <c r="M65" s="1701">
        <v>0</v>
      </c>
      <c r="N65" s="1701">
        <v>0</v>
      </c>
      <c r="O65" s="1701">
        <v>0</v>
      </c>
      <c r="P65" s="1701">
        <v>0</v>
      </c>
      <c r="Q65" s="1701">
        <v>0</v>
      </c>
      <c r="R65" s="1701">
        <v>0</v>
      </c>
      <c r="S65" s="1701">
        <v>0</v>
      </c>
      <c r="T65" s="1701">
        <v>0</v>
      </c>
      <c r="U65" s="1701">
        <v>0</v>
      </c>
      <c r="V65" s="1701">
        <v>0</v>
      </c>
      <c r="W65" s="1701">
        <v>0</v>
      </c>
      <c r="X65" s="1701">
        <v>0</v>
      </c>
      <c r="Y65" s="1701">
        <v>0</v>
      </c>
      <c r="Z65" s="1701">
        <v>0</v>
      </c>
      <c r="AA65" s="1701">
        <v>0</v>
      </c>
      <c r="AB65" s="1701">
        <v>0</v>
      </c>
      <c r="AC65" s="1701">
        <v>0</v>
      </c>
      <c r="AD65" s="1701">
        <v>0</v>
      </c>
      <c r="AE65" s="1701">
        <v>0</v>
      </c>
      <c r="AF65" s="1701">
        <v>0</v>
      </c>
    </row>
    <row r="66" spans="1:33" ht="15">
      <c r="A66" s="2482"/>
      <c r="B66" s="368">
        <v>5</v>
      </c>
      <c r="C66" s="368">
        <f t="shared" ref="C66:C119" si="4">$C$64+F66+B66</f>
        <v>207</v>
      </c>
      <c r="D66" s="2475"/>
      <c r="E66" s="693" t="s">
        <v>838</v>
      </c>
      <c r="F66" s="675">
        <v>2</v>
      </c>
      <c r="G66" s="1699">
        <v>1</v>
      </c>
      <c r="H66" s="36">
        <v>0</v>
      </c>
      <c r="I66" s="36">
        <v>0</v>
      </c>
      <c r="J66" s="36">
        <v>450</v>
      </c>
      <c r="K66" s="36">
        <v>2250</v>
      </c>
      <c r="L66" s="36">
        <v>6750</v>
      </c>
      <c r="M66" s="36">
        <v>13550</v>
      </c>
      <c r="N66" s="36">
        <v>24550</v>
      </c>
      <c r="O66" s="36">
        <v>42550</v>
      </c>
      <c r="P66" s="36">
        <v>69550</v>
      </c>
      <c r="Q66" s="36">
        <v>114550</v>
      </c>
      <c r="R66" s="16">
        <v>15000</v>
      </c>
      <c r="S66" s="16">
        <v>30000</v>
      </c>
      <c r="T66" s="16">
        <v>45000</v>
      </c>
      <c r="U66" s="16">
        <v>60000</v>
      </c>
      <c r="V66" s="16">
        <v>75000</v>
      </c>
      <c r="W66" s="16">
        <v>90000</v>
      </c>
      <c r="X66" s="16">
        <v>105000</v>
      </c>
      <c r="Y66" s="16">
        <v>120000</v>
      </c>
      <c r="Z66" s="16">
        <v>135000</v>
      </c>
      <c r="AA66" s="16">
        <v>150000</v>
      </c>
      <c r="AB66" s="36">
        <v>68</v>
      </c>
      <c r="AC66" s="16">
        <v>102</v>
      </c>
      <c r="AD66" s="36">
        <v>150</v>
      </c>
      <c r="AE66" s="16">
        <v>225</v>
      </c>
      <c r="AF66" s="36">
        <v>338</v>
      </c>
      <c r="AG66" s="368">
        <v>0</v>
      </c>
    </row>
    <row r="67" spans="1:33" ht="15">
      <c r="A67" s="2482"/>
      <c r="B67" s="368">
        <v>5</v>
      </c>
      <c r="C67" s="368">
        <f t="shared" ref="C67" si="5">$C$64+F67+B67</f>
        <v>208</v>
      </c>
      <c r="D67" s="2475"/>
      <c r="E67" s="693" t="s">
        <v>841</v>
      </c>
      <c r="F67" s="679">
        <v>3</v>
      </c>
      <c r="G67" s="1698">
        <v>2</v>
      </c>
      <c r="H67" s="36">
        <v>0</v>
      </c>
      <c r="I67" s="36">
        <v>0</v>
      </c>
      <c r="J67" s="36">
        <v>450</v>
      </c>
      <c r="K67" s="36">
        <v>2250</v>
      </c>
      <c r="L67" s="36">
        <v>6750</v>
      </c>
      <c r="M67" s="36">
        <v>13550</v>
      </c>
      <c r="N67" s="36">
        <v>24550</v>
      </c>
      <c r="O67" s="36">
        <v>42550</v>
      </c>
      <c r="P67" s="36">
        <v>69550</v>
      </c>
      <c r="Q67" s="36">
        <v>114550</v>
      </c>
      <c r="R67" s="16">
        <v>15000</v>
      </c>
      <c r="S67" s="16">
        <v>30000</v>
      </c>
      <c r="T67" s="16">
        <v>45000</v>
      </c>
      <c r="U67" s="16">
        <v>60000</v>
      </c>
      <c r="V67" s="16">
        <v>75000</v>
      </c>
      <c r="W67" s="16">
        <v>90000</v>
      </c>
      <c r="X67" s="16">
        <v>105000</v>
      </c>
      <c r="Y67" s="16">
        <v>120000</v>
      </c>
      <c r="Z67" s="16">
        <v>135000</v>
      </c>
      <c r="AA67" s="16">
        <v>150000</v>
      </c>
      <c r="AB67" s="36">
        <v>68</v>
      </c>
      <c r="AC67" s="16">
        <v>102</v>
      </c>
      <c r="AD67" s="36">
        <v>150</v>
      </c>
      <c r="AE67" s="16">
        <v>225</v>
      </c>
      <c r="AF67" s="36">
        <v>338</v>
      </c>
      <c r="AG67" s="368">
        <v>0</v>
      </c>
    </row>
    <row r="68" spans="1:33" ht="15">
      <c r="A68" s="2482"/>
      <c r="B68" s="368">
        <v>5</v>
      </c>
      <c r="C68" s="368">
        <f>$C$64+F68+B68</f>
        <v>209</v>
      </c>
      <c r="D68" s="2475"/>
      <c r="E68" s="693" t="s">
        <v>842</v>
      </c>
      <c r="F68" s="675">
        <v>4</v>
      </c>
      <c r="G68" s="1699">
        <v>3</v>
      </c>
      <c r="H68" s="36">
        <v>450</v>
      </c>
      <c r="I68" s="36">
        <v>900</v>
      </c>
      <c r="J68" s="36">
        <v>1800</v>
      </c>
      <c r="K68" s="36">
        <v>3600</v>
      </c>
      <c r="L68" s="36">
        <v>8100</v>
      </c>
      <c r="M68" s="36">
        <v>14900</v>
      </c>
      <c r="N68" s="36">
        <v>25900</v>
      </c>
      <c r="O68" s="36">
        <v>43900</v>
      </c>
      <c r="P68" s="36">
        <v>70900</v>
      </c>
      <c r="Q68" s="36">
        <v>115900</v>
      </c>
      <c r="R68" s="16">
        <v>15000</v>
      </c>
      <c r="S68" s="16">
        <v>30000</v>
      </c>
      <c r="T68" s="16">
        <v>45000</v>
      </c>
      <c r="U68" s="16">
        <v>60000</v>
      </c>
      <c r="V68" s="16">
        <v>75000</v>
      </c>
      <c r="W68" s="16">
        <v>90000</v>
      </c>
      <c r="X68" s="16">
        <v>105000</v>
      </c>
      <c r="Y68" s="16">
        <v>120000</v>
      </c>
      <c r="Z68" s="16">
        <v>135000</v>
      </c>
      <c r="AA68" s="16">
        <v>150000</v>
      </c>
      <c r="AB68" s="36">
        <v>174</v>
      </c>
      <c r="AC68" s="16">
        <v>435</v>
      </c>
      <c r="AD68" s="36">
        <v>561</v>
      </c>
      <c r="AE68" s="16">
        <v>754</v>
      </c>
      <c r="AF68" s="36">
        <v>1044</v>
      </c>
      <c r="AG68" s="368">
        <v>0</v>
      </c>
    </row>
    <row r="69" spans="1:33" ht="15">
      <c r="A69" s="2482"/>
      <c r="B69" s="368">
        <v>5</v>
      </c>
      <c r="C69" s="368">
        <f t="shared" ref="C69:C70" si="6">$C$64+F69+B69</f>
        <v>210</v>
      </c>
      <c r="D69" s="2475"/>
      <c r="E69" s="693" t="s">
        <v>839</v>
      </c>
      <c r="F69" s="679">
        <v>5</v>
      </c>
      <c r="G69" s="1698">
        <v>4</v>
      </c>
      <c r="H69" s="36">
        <v>0</v>
      </c>
      <c r="I69" s="36">
        <v>0</v>
      </c>
      <c r="J69" s="36">
        <v>450</v>
      </c>
      <c r="K69" s="36">
        <v>2250</v>
      </c>
      <c r="L69" s="36">
        <v>6750</v>
      </c>
      <c r="M69" s="36">
        <v>13550</v>
      </c>
      <c r="N69" s="36">
        <v>24550</v>
      </c>
      <c r="O69" s="36">
        <v>42550</v>
      </c>
      <c r="P69" s="36">
        <v>69550</v>
      </c>
      <c r="Q69" s="36">
        <v>114550</v>
      </c>
      <c r="R69" s="16">
        <v>15000</v>
      </c>
      <c r="S69" s="16">
        <v>30000</v>
      </c>
      <c r="T69" s="16">
        <v>45000</v>
      </c>
      <c r="U69" s="16">
        <v>60000</v>
      </c>
      <c r="V69" s="16">
        <v>75000</v>
      </c>
      <c r="W69" s="16">
        <v>90000</v>
      </c>
      <c r="X69" s="16">
        <v>105000</v>
      </c>
      <c r="Y69" s="16">
        <v>120000</v>
      </c>
      <c r="Z69" s="16">
        <v>135000</v>
      </c>
      <c r="AA69" s="16">
        <v>150000</v>
      </c>
      <c r="AB69" s="36">
        <v>68</v>
      </c>
      <c r="AC69" s="16">
        <v>102</v>
      </c>
      <c r="AD69" s="36">
        <v>150</v>
      </c>
      <c r="AE69" s="16">
        <v>225</v>
      </c>
      <c r="AF69" s="36">
        <v>338</v>
      </c>
      <c r="AG69" s="368">
        <v>0</v>
      </c>
    </row>
    <row r="70" spans="1:33" ht="15">
      <c r="A70" s="2482"/>
      <c r="B70" s="368">
        <v>5</v>
      </c>
      <c r="C70" s="368">
        <f t="shared" si="6"/>
        <v>211</v>
      </c>
      <c r="D70" s="2475"/>
      <c r="E70" s="693" t="s">
        <v>840</v>
      </c>
      <c r="F70" s="675">
        <v>6</v>
      </c>
      <c r="G70" s="1699">
        <v>5</v>
      </c>
      <c r="H70" s="36">
        <v>0</v>
      </c>
      <c r="I70" s="36">
        <v>0</v>
      </c>
      <c r="J70" s="36">
        <v>450</v>
      </c>
      <c r="K70" s="36">
        <v>2250</v>
      </c>
      <c r="L70" s="36">
        <v>6750</v>
      </c>
      <c r="M70" s="36">
        <v>13550</v>
      </c>
      <c r="N70" s="36">
        <v>24550</v>
      </c>
      <c r="O70" s="36">
        <v>42550</v>
      </c>
      <c r="P70" s="36">
        <v>69550</v>
      </c>
      <c r="Q70" s="36">
        <v>114550</v>
      </c>
      <c r="R70" s="16">
        <v>15000</v>
      </c>
      <c r="S70" s="16">
        <v>30000</v>
      </c>
      <c r="T70" s="16">
        <v>45000</v>
      </c>
      <c r="U70" s="16">
        <v>60000</v>
      </c>
      <c r="V70" s="16">
        <v>75000</v>
      </c>
      <c r="W70" s="16">
        <v>90000</v>
      </c>
      <c r="X70" s="16">
        <v>105000</v>
      </c>
      <c r="Y70" s="16">
        <v>120000</v>
      </c>
      <c r="Z70" s="16">
        <v>135000</v>
      </c>
      <c r="AA70" s="16">
        <v>150000</v>
      </c>
      <c r="AB70" s="36">
        <v>68</v>
      </c>
      <c r="AC70" s="16">
        <v>102</v>
      </c>
      <c r="AD70" s="36">
        <v>150</v>
      </c>
      <c r="AE70" s="16">
        <v>225</v>
      </c>
      <c r="AF70" s="36">
        <v>338</v>
      </c>
      <c r="AG70" s="368">
        <v>0</v>
      </c>
    </row>
    <row r="71" spans="1:33" ht="15">
      <c r="A71" s="2482"/>
      <c r="B71" s="368">
        <v>5</v>
      </c>
      <c r="C71" s="368">
        <f t="shared" ref="C71:C72" si="7">$C$64+F71+B71</f>
        <v>212</v>
      </c>
      <c r="D71" s="2475"/>
      <c r="E71" s="693" t="s">
        <v>843</v>
      </c>
      <c r="F71" s="679">
        <v>7</v>
      </c>
      <c r="G71" s="1698">
        <v>6</v>
      </c>
      <c r="H71" s="36">
        <v>0</v>
      </c>
      <c r="I71" s="36">
        <v>0</v>
      </c>
      <c r="J71" s="36">
        <v>450</v>
      </c>
      <c r="K71" s="36">
        <v>2250</v>
      </c>
      <c r="L71" s="36">
        <v>6750</v>
      </c>
      <c r="M71" s="36">
        <v>13550</v>
      </c>
      <c r="N71" s="36">
        <v>24550</v>
      </c>
      <c r="O71" s="36">
        <v>42550</v>
      </c>
      <c r="P71" s="36">
        <v>69550</v>
      </c>
      <c r="Q71" s="36">
        <v>114550</v>
      </c>
      <c r="R71" s="16">
        <v>15000</v>
      </c>
      <c r="S71" s="16">
        <v>30000</v>
      </c>
      <c r="T71" s="16">
        <v>45000</v>
      </c>
      <c r="U71" s="16">
        <v>60000</v>
      </c>
      <c r="V71" s="16">
        <v>75000</v>
      </c>
      <c r="W71" s="16">
        <v>90000</v>
      </c>
      <c r="X71" s="16">
        <v>105000</v>
      </c>
      <c r="Y71" s="16">
        <v>120000</v>
      </c>
      <c r="Z71" s="16">
        <v>135000</v>
      </c>
      <c r="AA71" s="16">
        <v>150000</v>
      </c>
      <c r="AB71" s="36">
        <v>68</v>
      </c>
      <c r="AC71" s="16">
        <v>102</v>
      </c>
      <c r="AD71" s="36">
        <v>150</v>
      </c>
      <c r="AE71" s="16">
        <v>225</v>
      </c>
      <c r="AF71" s="36">
        <v>338</v>
      </c>
      <c r="AG71" s="368">
        <v>0</v>
      </c>
    </row>
    <row r="72" spans="1:33" ht="15">
      <c r="A72" s="2482"/>
      <c r="B72" s="368">
        <v>5</v>
      </c>
      <c r="C72" s="368">
        <f t="shared" si="7"/>
        <v>213</v>
      </c>
      <c r="D72" s="2475"/>
      <c r="E72" s="693" t="s">
        <v>844</v>
      </c>
      <c r="F72" s="675">
        <v>8</v>
      </c>
      <c r="G72" s="1699">
        <v>7</v>
      </c>
      <c r="H72" s="36">
        <v>0</v>
      </c>
      <c r="I72" s="36">
        <v>0</v>
      </c>
      <c r="J72" s="36">
        <v>450</v>
      </c>
      <c r="K72" s="36">
        <v>2250</v>
      </c>
      <c r="L72" s="36">
        <v>6750</v>
      </c>
      <c r="M72" s="36">
        <v>13550</v>
      </c>
      <c r="N72" s="36">
        <v>24550</v>
      </c>
      <c r="O72" s="36">
        <v>42550</v>
      </c>
      <c r="P72" s="36">
        <v>69550</v>
      </c>
      <c r="Q72" s="36">
        <v>114550</v>
      </c>
      <c r="R72" s="16">
        <v>15000</v>
      </c>
      <c r="S72" s="16">
        <v>30000</v>
      </c>
      <c r="T72" s="16">
        <v>45000</v>
      </c>
      <c r="U72" s="16">
        <v>60000</v>
      </c>
      <c r="V72" s="16">
        <v>75000</v>
      </c>
      <c r="W72" s="16">
        <v>90000</v>
      </c>
      <c r="X72" s="16">
        <v>105000</v>
      </c>
      <c r="Y72" s="16">
        <v>120000</v>
      </c>
      <c r="Z72" s="16">
        <v>135000</v>
      </c>
      <c r="AA72" s="16">
        <v>150000</v>
      </c>
      <c r="AB72" s="36">
        <v>68</v>
      </c>
      <c r="AC72" s="16">
        <v>102</v>
      </c>
      <c r="AD72" s="36">
        <v>150</v>
      </c>
      <c r="AE72" s="16">
        <v>225</v>
      </c>
      <c r="AF72" s="36">
        <v>338</v>
      </c>
      <c r="AG72" s="368">
        <v>0</v>
      </c>
    </row>
    <row r="73" spans="1:33" ht="15">
      <c r="A73" s="2482"/>
      <c r="B73" s="368">
        <v>5</v>
      </c>
      <c r="C73" s="368">
        <f t="shared" si="4"/>
        <v>214</v>
      </c>
      <c r="D73" s="2475"/>
      <c r="E73" s="693" t="s">
        <v>813</v>
      </c>
      <c r="F73" s="679">
        <v>9</v>
      </c>
      <c r="G73" s="1698">
        <v>8</v>
      </c>
      <c r="H73" s="36">
        <v>0</v>
      </c>
      <c r="I73" s="36">
        <v>0</v>
      </c>
      <c r="J73" s="36">
        <v>450</v>
      </c>
      <c r="K73" s="36">
        <v>2250</v>
      </c>
      <c r="L73" s="36">
        <v>6750</v>
      </c>
      <c r="M73" s="36">
        <v>13550</v>
      </c>
      <c r="N73" s="36">
        <v>24550</v>
      </c>
      <c r="O73" s="36">
        <v>42550</v>
      </c>
      <c r="P73" s="36">
        <v>69550</v>
      </c>
      <c r="Q73" s="36">
        <v>114550</v>
      </c>
      <c r="R73" s="16">
        <v>7500</v>
      </c>
      <c r="S73" s="16">
        <v>15000</v>
      </c>
      <c r="T73" s="16">
        <v>22500</v>
      </c>
      <c r="U73" s="16">
        <v>30000</v>
      </c>
      <c r="V73" s="16">
        <v>37500</v>
      </c>
      <c r="W73" s="16">
        <v>45000</v>
      </c>
      <c r="X73" s="16">
        <v>52500</v>
      </c>
      <c r="Y73" s="16">
        <v>60000</v>
      </c>
      <c r="Z73" s="16">
        <v>67500</v>
      </c>
      <c r="AA73" s="16">
        <v>75000</v>
      </c>
      <c r="AB73" s="36">
        <v>68</v>
      </c>
      <c r="AC73" s="16">
        <v>102</v>
      </c>
      <c r="AD73" s="36">
        <v>150</v>
      </c>
      <c r="AE73" s="16">
        <v>225</v>
      </c>
      <c r="AF73" s="36">
        <v>338</v>
      </c>
      <c r="AG73" s="368">
        <v>0</v>
      </c>
    </row>
    <row r="74" spans="1:33" ht="15">
      <c r="A74" s="2482"/>
      <c r="B74" s="368">
        <v>5</v>
      </c>
      <c r="C74" s="368">
        <f>$C$64+F74+B74</f>
        <v>215</v>
      </c>
      <c r="D74" s="2475"/>
      <c r="E74" s="693" t="s">
        <v>859</v>
      </c>
      <c r="F74" s="675">
        <v>10</v>
      </c>
      <c r="G74" s="1699">
        <v>9</v>
      </c>
      <c r="H74" s="36">
        <v>225</v>
      </c>
      <c r="I74" s="36">
        <v>225</v>
      </c>
      <c r="J74" s="36">
        <v>900</v>
      </c>
      <c r="K74" s="36">
        <v>3600</v>
      </c>
      <c r="L74" s="36">
        <v>10350</v>
      </c>
      <c r="M74" s="36">
        <v>20550</v>
      </c>
      <c r="N74" s="36">
        <v>37050</v>
      </c>
      <c r="O74" s="36">
        <v>64050</v>
      </c>
      <c r="P74" s="36">
        <v>104550</v>
      </c>
      <c r="Q74" s="36">
        <v>172050</v>
      </c>
      <c r="R74" s="16">
        <v>11250</v>
      </c>
      <c r="S74" s="16">
        <v>22500</v>
      </c>
      <c r="T74" s="16">
        <v>33750</v>
      </c>
      <c r="U74" s="16">
        <v>45000</v>
      </c>
      <c r="V74" s="16">
        <v>56250</v>
      </c>
      <c r="W74" s="16">
        <v>67500</v>
      </c>
      <c r="X74" s="16">
        <v>78750</v>
      </c>
      <c r="Y74" s="16">
        <v>90000</v>
      </c>
      <c r="Z74" s="16">
        <v>101250</v>
      </c>
      <c r="AA74" s="16">
        <v>112500</v>
      </c>
      <c r="AB74" s="36">
        <v>259</v>
      </c>
      <c r="AC74" s="16">
        <v>646</v>
      </c>
      <c r="AD74" s="36">
        <v>832</v>
      </c>
      <c r="AE74" s="16">
        <v>1119</v>
      </c>
      <c r="AF74" s="36">
        <v>1549</v>
      </c>
      <c r="AG74" s="368">
        <v>0</v>
      </c>
    </row>
    <row r="75" spans="1:33" ht="15">
      <c r="A75" s="2482"/>
      <c r="B75" s="368">
        <v>5</v>
      </c>
      <c r="C75" s="368">
        <f t="shared" si="4"/>
        <v>216</v>
      </c>
      <c r="D75" s="2475"/>
      <c r="E75" s="693" t="s">
        <v>847</v>
      </c>
      <c r="F75" s="679">
        <v>11</v>
      </c>
      <c r="G75" s="1698">
        <v>10</v>
      </c>
      <c r="H75" s="36">
        <v>0</v>
      </c>
      <c r="I75" s="36">
        <v>0</v>
      </c>
      <c r="J75" s="36">
        <v>450</v>
      </c>
      <c r="K75" s="36">
        <v>2250</v>
      </c>
      <c r="L75" s="36">
        <v>6750</v>
      </c>
      <c r="M75" s="36">
        <v>13550</v>
      </c>
      <c r="N75" s="36">
        <v>24550</v>
      </c>
      <c r="O75" s="36">
        <v>42550</v>
      </c>
      <c r="P75" s="36">
        <v>69550</v>
      </c>
      <c r="Q75" s="36">
        <v>114550</v>
      </c>
      <c r="R75" s="16">
        <v>15000</v>
      </c>
      <c r="S75" s="16">
        <v>30000</v>
      </c>
      <c r="T75" s="16">
        <v>45000</v>
      </c>
      <c r="U75" s="16">
        <v>60000</v>
      </c>
      <c r="V75" s="16">
        <v>75000</v>
      </c>
      <c r="W75" s="16">
        <v>90000</v>
      </c>
      <c r="X75" s="16">
        <v>105000</v>
      </c>
      <c r="Y75" s="16">
        <v>120000</v>
      </c>
      <c r="Z75" s="16">
        <v>135000</v>
      </c>
      <c r="AA75" s="16">
        <v>150000</v>
      </c>
      <c r="AB75" s="36">
        <v>68</v>
      </c>
      <c r="AC75" s="16">
        <v>102</v>
      </c>
      <c r="AD75" s="36">
        <v>150</v>
      </c>
      <c r="AE75" s="16">
        <v>225</v>
      </c>
      <c r="AF75" s="36">
        <v>338</v>
      </c>
      <c r="AG75" s="368">
        <v>0</v>
      </c>
    </row>
    <row r="76" spans="1:33" ht="15">
      <c r="A76" s="2482"/>
      <c r="B76" s="368">
        <v>5</v>
      </c>
      <c r="C76" s="368">
        <f t="shared" ref="C76" si="8">$C$64+F76+B76</f>
        <v>217</v>
      </c>
      <c r="D76" s="2475"/>
      <c r="E76" s="693" t="s">
        <v>848</v>
      </c>
      <c r="F76" s="675">
        <v>12</v>
      </c>
      <c r="G76" s="1699">
        <v>11</v>
      </c>
      <c r="H76" s="36">
        <v>0</v>
      </c>
      <c r="I76" s="36">
        <v>0</v>
      </c>
      <c r="J76" s="36">
        <v>450</v>
      </c>
      <c r="K76" s="36">
        <v>2250</v>
      </c>
      <c r="L76" s="36">
        <v>6750</v>
      </c>
      <c r="M76" s="36">
        <v>13550</v>
      </c>
      <c r="N76" s="36">
        <v>24550</v>
      </c>
      <c r="O76" s="36">
        <v>42550</v>
      </c>
      <c r="P76" s="36">
        <v>69550</v>
      </c>
      <c r="Q76" s="36">
        <v>114550</v>
      </c>
      <c r="R76" s="16">
        <v>15000</v>
      </c>
      <c r="S76" s="16">
        <v>30000</v>
      </c>
      <c r="T76" s="16">
        <v>45000</v>
      </c>
      <c r="U76" s="16">
        <v>60000</v>
      </c>
      <c r="V76" s="16">
        <v>75000</v>
      </c>
      <c r="W76" s="16">
        <v>90000</v>
      </c>
      <c r="X76" s="16">
        <v>105000</v>
      </c>
      <c r="Y76" s="16">
        <v>120000</v>
      </c>
      <c r="Z76" s="16">
        <v>135000</v>
      </c>
      <c r="AA76" s="16">
        <v>150000</v>
      </c>
      <c r="AB76" s="36">
        <v>68</v>
      </c>
      <c r="AC76" s="16">
        <v>102</v>
      </c>
      <c r="AD76" s="36">
        <v>150</v>
      </c>
      <c r="AE76" s="16">
        <v>225</v>
      </c>
      <c r="AF76" s="36">
        <v>338</v>
      </c>
      <c r="AG76" s="368">
        <v>0</v>
      </c>
    </row>
    <row r="77" spans="1:33" ht="15">
      <c r="A77" s="2482"/>
      <c r="B77" s="368">
        <v>5</v>
      </c>
      <c r="C77" s="368">
        <f t="shared" si="4"/>
        <v>218</v>
      </c>
      <c r="D77" s="2475"/>
      <c r="E77" s="693" t="s">
        <v>860</v>
      </c>
      <c r="F77" s="679">
        <v>13</v>
      </c>
      <c r="G77" s="1698">
        <v>12</v>
      </c>
      <c r="H77" s="36">
        <v>450</v>
      </c>
      <c r="I77" s="36">
        <v>650</v>
      </c>
      <c r="J77" s="36">
        <v>1100</v>
      </c>
      <c r="K77" s="36">
        <v>2900</v>
      </c>
      <c r="L77" s="36">
        <v>7400</v>
      </c>
      <c r="M77" s="36">
        <v>14200</v>
      </c>
      <c r="N77" s="36">
        <v>25200</v>
      </c>
      <c r="O77" s="36">
        <v>43200</v>
      </c>
      <c r="P77" s="36">
        <v>70200</v>
      </c>
      <c r="Q77" s="36">
        <v>115200</v>
      </c>
      <c r="R77" s="16">
        <v>15000</v>
      </c>
      <c r="S77" s="16">
        <v>30000</v>
      </c>
      <c r="T77" s="16">
        <v>45000</v>
      </c>
      <c r="U77" s="16">
        <v>60000</v>
      </c>
      <c r="V77" s="16">
        <v>75000</v>
      </c>
      <c r="W77" s="16">
        <v>90000</v>
      </c>
      <c r="X77" s="16">
        <v>105000</v>
      </c>
      <c r="Y77" s="16">
        <v>120000</v>
      </c>
      <c r="Z77" s="16">
        <v>135000</v>
      </c>
      <c r="AA77" s="16">
        <v>150000</v>
      </c>
      <c r="AB77" s="36">
        <v>173</v>
      </c>
      <c r="AC77" s="16">
        <v>432</v>
      </c>
      <c r="AD77" s="36">
        <v>557</v>
      </c>
      <c r="AE77" s="16">
        <v>749</v>
      </c>
      <c r="AF77" s="36">
        <v>1037</v>
      </c>
      <c r="AG77" s="368">
        <v>0</v>
      </c>
    </row>
    <row r="78" spans="1:33" ht="15">
      <c r="A78" s="2482"/>
      <c r="B78" s="368">
        <v>5</v>
      </c>
      <c r="C78" s="368">
        <f>$C$64+F78+B78</f>
        <v>219</v>
      </c>
      <c r="D78" s="2475"/>
      <c r="E78" s="693" t="s">
        <v>849</v>
      </c>
      <c r="F78" s="675">
        <v>14</v>
      </c>
      <c r="G78" s="1699">
        <v>13</v>
      </c>
      <c r="H78" s="36">
        <v>0</v>
      </c>
      <c r="I78" s="36">
        <v>0</v>
      </c>
      <c r="J78" s="36">
        <v>450</v>
      </c>
      <c r="K78" s="36">
        <v>2250</v>
      </c>
      <c r="L78" s="36">
        <v>6750</v>
      </c>
      <c r="M78" s="36">
        <v>13550</v>
      </c>
      <c r="N78" s="36">
        <v>24550</v>
      </c>
      <c r="O78" s="36">
        <v>42550</v>
      </c>
      <c r="P78" s="36">
        <v>69550</v>
      </c>
      <c r="Q78" s="36">
        <v>114550</v>
      </c>
      <c r="R78" s="16">
        <v>15000</v>
      </c>
      <c r="S78" s="16">
        <v>30000</v>
      </c>
      <c r="T78" s="16">
        <v>45000</v>
      </c>
      <c r="U78" s="16">
        <v>60000</v>
      </c>
      <c r="V78" s="16">
        <v>75000</v>
      </c>
      <c r="W78" s="16">
        <v>90000</v>
      </c>
      <c r="X78" s="16">
        <v>105000</v>
      </c>
      <c r="Y78" s="16">
        <v>120000</v>
      </c>
      <c r="Z78" s="16">
        <v>135000</v>
      </c>
      <c r="AA78" s="16">
        <v>150000</v>
      </c>
      <c r="AB78" s="36">
        <v>68</v>
      </c>
      <c r="AC78" s="16">
        <v>102</v>
      </c>
      <c r="AD78" s="36">
        <v>150</v>
      </c>
      <c r="AE78" s="16">
        <v>225</v>
      </c>
      <c r="AF78" s="36">
        <v>338</v>
      </c>
      <c r="AG78" s="368">
        <v>0</v>
      </c>
    </row>
    <row r="79" spans="1:33" ht="15">
      <c r="A79" s="2482"/>
      <c r="B79" s="368">
        <v>5</v>
      </c>
      <c r="C79" s="368">
        <f>$C$64+F79+B79</f>
        <v>220</v>
      </c>
      <c r="D79" s="2475"/>
      <c r="E79" s="693" t="s">
        <v>850</v>
      </c>
      <c r="F79" s="679">
        <v>15</v>
      </c>
      <c r="G79" s="1698">
        <v>14</v>
      </c>
      <c r="H79" s="36">
        <v>0</v>
      </c>
      <c r="I79" s="36">
        <v>0</v>
      </c>
      <c r="J79" s="36">
        <v>450</v>
      </c>
      <c r="K79" s="36">
        <v>2250</v>
      </c>
      <c r="L79" s="36">
        <v>6750</v>
      </c>
      <c r="M79" s="36">
        <v>13550</v>
      </c>
      <c r="N79" s="36">
        <v>24550</v>
      </c>
      <c r="O79" s="36">
        <v>42550</v>
      </c>
      <c r="P79" s="36">
        <v>69550</v>
      </c>
      <c r="Q79" s="36">
        <v>114550</v>
      </c>
      <c r="R79" s="16">
        <v>15000</v>
      </c>
      <c r="S79" s="16">
        <v>30000</v>
      </c>
      <c r="T79" s="16">
        <v>45000</v>
      </c>
      <c r="U79" s="16">
        <v>60000</v>
      </c>
      <c r="V79" s="16">
        <v>75000</v>
      </c>
      <c r="W79" s="16">
        <v>90000</v>
      </c>
      <c r="X79" s="16">
        <v>105000</v>
      </c>
      <c r="Y79" s="16">
        <v>120000</v>
      </c>
      <c r="Z79" s="16">
        <v>135000</v>
      </c>
      <c r="AA79" s="16">
        <v>150000</v>
      </c>
      <c r="AB79" s="36">
        <v>68</v>
      </c>
      <c r="AC79" s="16">
        <v>102</v>
      </c>
      <c r="AD79" s="36">
        <v>150</v>
      </c>
      <c r="AE79" s="16">
        <v>225</v>
      </c>
      <c r="AF79" s="36">
        <v>338</v>
      </c>
      <c r="AG79" s="368">
        <v>0</v>
      </c>
    </row>
    <row r="80" spans="1:33" ht="15">
      <c r="A80" s="2482"/>
      <c r="B80" s="368">
        <v>25</v>
      </c>
      <c r="C80" s="368">
        <f>$C$64+F80+B80</f>
        <v>226</v>
      </c>
      <c r="D80" s="2475" t="s">
        <v>698</v>
      </c>
      <c r="E80" s="1604" t="s">
        <v>61</v>
      </c>
      <c r="F80" s="667">
        <v>1</v>
      </c>
      <c r="G80" s="1699">
        <v>0</v>
      </c>
      <c r="H80" s="36"/>
      <c r="I80" s="36"/>
      <c r="J80" s="36"/>
      <c r="K80" s="36"/>
      <c r="L80" s="36"/>
      <c r="M80" s="36"/>
      <c r="N80" s="36"/>
      <c r="O80" s="36"/>
      <c r="P80" s="36"/>
      <c r="Q80" s="36"/>
      <c r="R80" s="16"/>
      <c r="S80" s="16"/>
      <c r="T80" s="16"/>
      <c r="U80" s="16"/>
      <c r="V80" s="16"/>
      <c r="W80" s="16"/>
      <c r="X80" s="16"/>
      <c r="Y80" s="16"/>
      <c r="Z80" s="16"/>
      <c r="AA80" s="16"/>
      <c r="AB80" s="36"/>
      <c r="AC80" s="16"/>
      <c r="AD80" s="36"/>
      <c r="AE80" s="16"/>
      <c r="AF80" s="36"/>
      <c r="AG80" s="368">
        <v>0</v>
      </c>
    </row>
    <row r="81" spans="1:33" ht="15">
      <c r="A81" s="2482"/>
      <c r="B81" s="368">
        <v>25</v>
      </c>
      <c r="C81" s="368">
        <f t="shared" si="4"/>
        <v>227</v>
      </c>
      <c r="D81" s="2475"/>
      <c r="E81" s="668" t="s">
        <v>718</v>
      </c>
      <c r="F81" s="667">
        <v>2</v>
      </c>
      <c r="G81" s="1699">
        <v>1</v>
      </c>
      <c r="H81" s="36">
        <v>0</v>
      </c>
      <c r="I81" s="36">
        <v>0</v>
      </c>
      <c r="J81" s="36">
        <v>450</v>
      </c>
      <c r="K81" s="36">
        <v>2250</v>
      </c>
      <c r="L81" s="36">
        <v>5450</v>
      </c>
      <c r="M81" s="36">
        <v>10450</v>
      </c>
      <c r="N81" s="36">
        <v>18150</v>
      </c>
      <c r="O81" s="36">
        <v>29150</v>
      </c>
      <c r="P81" s="36">
        <v>47150</v>
      </c>
      <c r="Q81" s="36">
        <v>74150</v>
      </c>
      <c r="R81" s="16">
        <v>12000</v>
      </c>
      <c r="S81" s="16">
        <v>24000</v>
      </c>
      <c r="T81" s="16">
        <v>36000</v>
      </c>
      <c r="U81" s="16">
        <v>48000</v>
      </c>
      <c r="V81" s="16">
        <v>60000</v>
      </c>
      <c r="W81" s="16">
        <v>72000</v>
      </c>
      <c r="X81" s="16">
        <v>84000</v>
      </c>
      <c r="Y81" s="16">
        <v>96000</v>
      </c>
      <c r="Z81" s="16">
        <v>108000</v>
      </c>
      <c r="AA81" s="16">
        <v>120000</v>
      </c>
      <c r="AB81" s="36">
        <v>112</v>
      </c>
      <c r="AC81" s="16">
        <v>279</v>
      </c>
      <c r="AD81" s="36">
        <v>359</v>
      </c>
      <c r="AE81" s="16">
        <v>482</v>
      </c>
      <c r="AF81" s="36">
        <v>668</v>
      </c>
      <c r="AG81" s="368">
        <v>0</v>
      </c>
    </row>
    <row r="82" spans="1:33" ht="15">
      <c r="A82" s="2482"/>
      <c r="B82" s="368">
        <v>25</v>
      </c>
      <c r="C82" s="368">
        <f t="shared" ref="C82:C83" si="9">$C$64+F82+B82</f>
        <v>228</v>
      </c>
      <c r="D82" s="2475"/>
      <c r="E82" s="668" t="s">
        <v>658</v>
      </c>
      <c r="F82" s="667">
        <v>3</v>
      </c>
      <c r="G82" s="1699">
        <v>2</v>
      </c>
      <c r="H82" s="36">
        <v>0</v>
      </c>
      <c r="I82" s="36">
        <v>0</v>
      </c>
      <c r="J82" s="36">
        <v>450</v>
      </c>
      <c r="K82" s="36">
        <v>2250</v>
      </c>
      <c r="L82" s="36">
        <v>5450</v>
      </c>
      <c r="M82" s="36">
        <v>10450</v>
      </c>
      <c r="N82" s="36">
        <v>18150</v>
      </c>
      <c r="O82" s="36">
        <v>29150</v>
      </c>
      <c r="P82" s="36">
        <v>47150</v>
      </c>
      <c r="Q82" s="36">
        <v>74150</v>
      </c>
      <c r="R82" s="16">
        <v>12000</v>
      </c>
      <c r="S82" s="16">
        <v>24000</v>
      </c>
      <c r="T82" s="16">
        <v>36000</v>
      </c>
      <c r="U82" s="16">
        <v>48000</v>
      </c>
      <c r="V82" s="16">
        <v>60000</v>
      </c>
      <c r="W82" s="16">
        <v>72000</v>
      </c>
      <c r="X82" s="16">
        <v>84000</v>
      </c>
      <c r="Y82" s="16">
        <v>96000</v>
      </c>
      <c r="Z82" s="16">
        <v>108000</v>
      </c>
      <c r="AA82" s="16">
        <v>120000</v>
      </c>
      <c r="AB82" s="36">
        <v>112</v>
      </c>
      <c r="AC82" s="16">
        <v>279</v>
      </c>
      <c r="AD82" s="36">
        <v>359</v>
      </c>
      <c r="AE82" s="16">
        <v>482</v>
      </c>
      <c r="AF82" s="36">
        <v>668</v>
      </c>
      <c r="AG82" s="368">
        <v>0</v>
      </c>
    </row>
    <row r="83" spans="1:33" ht="15">
      <c r="A83" s="2482"/>
      <c r="B83" s="368">
        <v>25</v>
      </c>
      <c r="C83" s="368">
        <f t="shared" si="9"/>
        <v>229</v>
      </c>
      <c r="D83" s="2475"/>
      <c r="E83" s="668" t="s">
        <v>851</v>
      </c>
      <c r="F83" s="667">
        <v>4</v>
      </c>
      <c r="G83" s="1699">
        <v>3</v>
      </c>
      <c r="H83" s="36">
        <v>0</v>
      </c>
      <c r="I83" s="36">
        <v>0</v>
      </c>
      <c r="J83" s="36">
        <v>450</v>
      </c>
      <c r="K83" s="36">
        <v>2250</v>
      </c>
      <c r="L83" s="36">
        <v>5450</v>
      </c>
      <c r="M83" s="36">
        <v>10450</v>
      </c>
      <c r="N83" s="36">
        <v>18150</v>
      </c>
      <c r="O83" s="36">
        <v>29150</v>
      </c>
      <c r="P83" s="36">
        <v>47150</v>
      </c>
      <c r="Q83" s="36">
        <v>74150</v>
      </c>
      <c r="R83" s="16">
        <v>12000</v>
      </c>
      <c r="S83" s="16">
        <v>24000</v>
      </c>
      <c r="T83" s="16">
        <v>36000</v>
      </c>
      <c r="U83" s="16">
        <v>48000</v>
      </c>
      <c r="V83" s="16">
        <v>60000</v>
      </c>
      <c r="W83" s="16">
        <v>72000</v>
      </c>
      <c r="X83" s="16">
        <v>84000</v>
      </c>
      <c r="Y83" s="16">
        <v>96000</v>
      </c>
      <c r="Z83" s="16">
        <v>108000</v>
      </c>
      <c r="AA83" s="16">
        <v>120000</v>
      </c>
      <c r="AB83" s="36">
        <v>112</v>
      </c>
      <c r="AC83" s="16">
        <v>279</v>
      </c>
      <c r="AD83" s="36">
        <v>359</v>
      </c>
      <c r="AE83" s="16">
        <v>482</v>
      </c>
      <c r="AF83" s="36">
        <v>668</v>
      </c>
      <c r="AG83" s="368">
        <v>0</v>
      </c>
    </row>
    <row r="84" spans="1:33" ht="15">
      <c r="A84" s="2482"/>
      <c r="B84" s="368">
        <v>25</v>
      </c>
      <c r="C84" s="368">
        <f t="shared" ref="C84:C86" si="10">$C$64+F84+B84</f>
        <v>230</v>
      </c>
      <c r="D84" s="2475"/>
      <c r="E84" s="668" t="s">
        <v>852</v>
      </c>
      <c r="F84" s="667">
        <v>5</v>
      </c>
      <c r="G84" s="1699">
        <v>4</v>
      </c>
      <c r="H84" s="36">
        <v>0</v>
      </c>
      <c r="I84" s="36">
        <v>0</v>
      </c>
      <c r="J84" s="36">
        <v>450</v>
      </c>
      <c r="K84" s="36">
        <v>2250</v>
      </c>
      <c r="L84" s="36">
        <v>5450</v>
      </c>
      <c r="M84" s="36">
        <v>10450</v>
      </c>
      <c r="N84" s="36">
        <v>18150</v>
      </c>
      <c r="O84" s="36">
        <v>29150</v>
      </c>
      <c r="P84" s="36">
        <v>47150</v>
      </c>
      <c r="Q84" s="36">
        <v>74150</v>
      </c>
      <c r="R84" s="16">
        <v>12000</v>
      </c>
      <c r="S84" s="16">
        <v>24000</v>
      </c>
      <c r="T84" s="16">
        <v>36000</v>
      </c>
      <c r="U84" s="16">
        <v>48000</v>
      </c>
      <c r="V84" s="16">
        <v>60000</v>
      </c>
      <c r="W84" s="16">
        <v>72000</v>
      </c>
      <c r="X84" s="16">
        <v>84000</v>
      </c>
      <c r="Y84" s="16">
        <v>96000</v>
      </c>
      <c r="Z84" s="16">
        <v>108000</v>
      </c>
      <c r="AA84" s="16">
        <v>120000</v>
      </c>
      <c r="AB84" s="36">
        <v>112</v>
      </c>
      <c r="AC84" s="16">
        <v>279</v>
      </c>
      <c r="AD84" s="36">
        <v>359</v>
      </c>
      <c r="AE84" s="16">
        <v>482</v>
      </c>
      <c r="AF84" s="36">
        <v>668</v>
      </c>
      <c r="AG84" s="368">
        <v>0</v>
      </c>
    </row>
    <row r="85" spans="1:33" ht="15">
      <c r="A85" s="2482"/>
      <c r="B85" s="368">
        <v>25</v>
      </c>
      <c r="C85" s="368">
        <f t="shared" si="10"/>
        <v>231</v>
      </c>
      <c r="D85" s="2475"/>
      <c r="E85" s="668" t="s">
        <v>853</v>
      </c>
      <c r="F85" s="667">
        <v>6</v>
      </c>
      <c r="G85" s="1699">
        <v>5</v>
      </c>
      <c r="H85" s="36">
        <v>0</v>
      </c>
      <c r="I85" s="36">
        <v>0</v>
      </c>
      <c r="J85" s="36">
        <v>450</v>
      </c>
      <c r="K85" s="36">
        <v>2250</v>
      </c>
      <c r="L85" s="36">
        <v>5450</v>
      </c>
      <c r="M85" s="36">
        <v>10450</v>
      </c>
      <c r="N85" s="36">
        <v>18150</v>
      </c>
      <c r="O85" s="36">
        <v>29150</v>
      </c>
      <c r="P85" s="36">
        <v>47150</v>
      </c>
      <c r="Q85" s="36">
        <v>74150</v>
      </c>
      <c r="R85" s="16">
        <v>12000</v>
      </c>
      <c r="S85" s="16">
        <v>24000</v>
      </c>
      <c r="T85" s="16">
        <v>36000</v>
      </c>
      <c r="U85" s="16">
        <v>48000</v>
      </c>
      <c r="V85" s="16">
        <v>60000</v>
      </c>
      <c r="W85" s="16">
        <v>72000</v>
      </c>
      <c r="X85" s="16">
        <v>84000</v>
      </c>
      <c r="Y85" s="16">
        <v>96000</v>
      </c>
      <c r="Z85" s="16">
        <v>108000</v>
      </c>
      <c r="AA85" s="16">
        <v>120000</v>
      </c>
      <c r="AB85" s="36">
        <v>112</v>
      </c>
      <c r="AC85" s="16">
        <v>279</v>
      </c>
      <c r="AD85" s="36">
        <v>359</v>
      </c>
      <c r="AE85" s="16">
        <v>482</v>
      </c>
      <c r="AF85" s="36">
        <v>668</v>
      </c>
      <c r="AG85" s="368">
        <v>0</v>
      </c>
    </row>
    <row r="86" spans="1:33" ht="15">
      <c r="A86" s="2482"/>
      <c r="B86" s="368">
        <v>25</v>
      </c>
      <c r="C86" s="368">
        <f t="shared" si="10"/>
        <v>232</v>
      </c>
      <c r="D86" s="2475"/>
      <c r="E86" s="668" t="s">
        <v>854</v>
      </c>
      <c r="F86" s="667">
        <v>7</v>
      </c>
      <c r="G86" s="1699">
        <v>6</v>
      </c>
      <c r="H86" s="36">
        <v>0</v>
      </c>
      <c r="I86" s="36">
        <v>0</v>
      </c>
      <c r="J86" s="36">
        <v>450</v>
      </c>
      <c r="K86" s="36">
        <v>2250</v>
      </c>
      <c r="L86" s="36">
        <v>5450</v>
      </c>
      <c r="M86" s="36">
        <v>10450</v>
      </c>
      <c r="N86" s="36">
        <v>18150</v>
      </c>
      <c r="O86" s="36">
        <v>29150</v>
      </c>
      <c r="P86" s="36">
        <v>47150</v>
      </c>
      <c r="Q86" s="36">
        <v>74150</v>
      </c>
      <c r="R86" s="16">
        <v>12000</v>
      </c>
      <c r="S86" s="16">
        <v>24000</v>
      </c>
      <c r="T86" s="16">
        <v>36000</v>
      </c>
      <c r="U86" s="16">
        <v>48000</v>
      </c>
      <c r="V86" s="16">
        <v>60000</v>
      </c>
      <c r="W86" s="16">
        <v>72000</v>
      </c>
      <c r="X86" s="16">
        <v>84000</v>
      </c>
      <c r="Y86" s="16">
        <v>96000</v>
      </c>
      <c r="Z86" s="16">
        <v>108000</v>
      </c>
      <c r="AA86" s="16">
        <v>120000</v>
      </c>
      <c r="AB86" s="36">
        <v>112</v>
      </c>
      <c r="AC86" s="16">
        <v>279</v>
      </c>
      <c r="AD86" s="36">
        <v>359</v>
      </c>
      <c r="AE86" s="16">
        <v>482</v>
      </c>
      <c r="AF86" s="36">
        <v>668</v>
      </c>
      <c r="AG86" s="368">
        <v>0</v>
      </c>
    </row>
    <row r="87" spans="1:33" ht="15">
      <c r="A87" s="2482"/>
      <c r="B87" s="368">
        <v>25</v>
      </c>
      <c r="C87" s="368">
        <f t="shared" ref="C87" si="11">$C$64+F87+B87</f>
        <v>233</v>
      </c>
      <c r="D87" s="2475"/>
      <c r="E87" s="668" t="s">
        <v>855</v>
      </c>
      <c r="F87" s="667">
        <v>8</v>
      </c>
      <c r="G87" s="1699">
        <v>7</v>
      </c>
      <c r="H87" s="36">
        <v>0</v>
      </c>
      <c r="I87" s="36">
        <v>0</v>
      </c>
      <c r="J87" s="36">
        <v>450</v>
      </c>
      <c r="K87" s="36">
        <v>2250</v>
      </c>
      <c r="L87" s="36">
        <v>5450</v>
      </c>
      <c r="M87" s="36">
        <v>10450</v>
      </c>
      <c r="N87" s="36">
        <v>18150</v>
      </c>
      <c r="O87" s="36">
        <v>29150</v>
      </c>
      <c r="P87" s="36">
        <v>47150</v>
      </c>
      <c r="Q87" s="36">
        <v>74150</v>
      </c>
      <c r="R87" s="16">
        <v>12000</v>
      </c>
      <c r="S87" s="16">
        <v>24000</v>
      </c>
      <c r="T87" s="16">
        <v>36000</v>
      </c>
      <c r="U87" s="16">
        <v>48000</v>
      </c>
      <c r="V87" s="16">
        <v>60000</v>
      </c>
      <c r="W87" s="16">
        <v>72000</v>
      </c>
      <c r="X87" s="16">
        <v>84000</v>
      </c>
      <c r="Y87" s="16">
        <v>96000</v>
      </c>
      <c r="Z87" s="16">
        <v>108000</v>
      </c>
      <c r="AA87" s="16">
        <v>120000</v>
      </c>
      <c r="AB87" s="36">
        <v>112</v>
      </c>
      <c r="AC87" s="16">
        <v>279</v>
      </c>
      <c r="AD87" s="36">
        <v>359</v>
      </c>
      <c r="AE87" s="16">
        <v>482</v>
      </c>
      <c r="AF87" s="36">
        <v>668</v>
      </c>
      <c r="AG87" s="368">
        <v>0</v>
      </c>
    </row>
    <row r="88" spans="1:33" ht="15">
      <c r="A88" s="2482"/>
      <c r="B88" s="368">
        <v>25</v>
      </c>
      <c r="C88" s="368">
        <f>$C$64+F88+B88</f>
        <v>234</v>
      </c>
      <c r="D88" s="2475"/>
      <c r="E88" s="269" t="s">
        <v>394</v>
      </c>
      <c r="F88" s="667">
        <v>9</v>
      </c>
      <c r="G88" s="1699">
        <v>8</v>
      </c>
      <c r="H88" s="36">
        <v>0</v>
      </c>
      <c r="I88" s="36">
        <v>0</v>
      </c>
      <c r="J88" s="36">
        <v>450</v>
      </c>
      <c r="K88" s="36">
        <v>2250</v>
      </c>
      <c r="L88" s="36">
        <v>5450</v>
      </c>
      <c r="M88" s="36">
        <v>10450</v>
      </c>
      <c r="N88" s="36">
        <v>18150</v>
      </c>
      <c r="O88" s="36">
        <v>29150</v>
      </c>
      <c r="P88" s="36">
        <v>47150</v>
      </c>
      <c r="Q88" s="36">
        <v>74150</v>
      </c>
      <c r="R88" s="16">
        <v>12000</v>
      </c>
      <c r="S88" s="16">
        <v>24000</v>
      </c>
      <c r="T88" s="16">
        <v>36000</v>
      </c>
      <c r="U88" s="16">
        <v>48000</v>
      </c>
      <c r="V88" s="16">
        <v>60000</v>
      </c>
      <c r="W88" s="16">
        <v>72000</v>
      </c>
      <c r="X88" s="16">
        <v>84000</v>
      </c>
      <c r="Y88" s="16">
        <v>96000</v>
      </c>
      <c r="Z88" s="16">
        <v>108000</v>
      </c>
      <c r="AA88" s="16">
        <v>120000</v>
      </c>
      <c r="AB88" s="36">
        <v>112</v>
      </c>
      <c r="AC88" s="16">
        <v>279</v>
      </c>
      <c r="AD88" s="36">
        <v>359</v>
      </c>
      <c r="AE88" s="16">
        <v>482</v>
      </c>
      <c r="AF88" s="36">
        <v>668</v>
      </c>
      <c r="AG88" s="368">
        <v>0</v>
      </c>
    </row>
    <row r="89" spans="1:33" ht="15">
      <c r="A89" s="2482"/>
      <c r="B89" s="368">
        <v>25</v>
      </c>
      <c r="C89" s="368">
        <f t="shared" si="4"/>
        <v>235</v>
      </c>
      <c r="D89" s="2475"/>
      <c r="E89" s="269" t="s">
        <v>388</v>
      </c>
      <c r="F89" s="667">
        <v>10</v>
      </c>
      <c r="G89" s="1699">
        <v>9</v>
      </c>
      <c r="H89" s="36">
        <v>0</v>
      </c>
      <c r="I89" s="36">
        <v>0</v>
      </c>
      <c r="J89" s="36">
        <v>450</v>
      </c>
      <c r="K89" s="36">
        <v>1850</v>
      </c>
      <c r="L89" s="36">
        <v>4150</v>
      </c>
      <c r="M89" s="36">
        <v>7550</v>
      </c>
      <c r="N89" s="36">
        <v>15450</v>
      </c>
      <c r="O89" s="36">
        <v>24450</v>
      </c>
      <c r="P89" s="36">
        <v>38450</v>
      </c>
      <c r="Q89" s="36">
        <v>61450</v>
      </c>
      <c r="R89" s="16">
        <v>7500</v>
      </c>
      <c r="S89" s="16">
        <v>15000</v>
      </c>
      <c r="T89" s="16">
        <v>22500</v>
      </c>
      <c r="U89" s="16">
        <v>30000</v>
      </c>
      <c r="V89" s="16">
        <v>37500</v>
      </c>
      <c r="W89" s="16">
        <v>45000</v>
      </c>
      <c r="X89" s="16">
        <v>52500</v>
      </c>
      <c r="Y89" s="16">
        <v>60000</v>
      </c>
      <c r="Z89" s="16">
        <v>67500</v>
      </c>
      <c r="AA89" s="16">
        <v>75000</v>
      </c>
      <c r="AB89" s="36">
        <v>93</v>
      </c>
      <c r="AC89" s="16">
        <v>231</v>
      </c>
      <c r="AD89" s="36">
        <v>298</v>
      </c>
      <c r="AE89" s="16">
        <v>400</v>
      </c>
      <c r="AF89" s="36">
        <v>554</v>
      </c>
      <c r="AG89" s="368">
        <v>0</v>
      </c>
    </row>
    <row r="90" spans="1:33" ht="15">
      <c r="A90" s="2482"/>
      <c r="B90" s="368">
        <v>25</v>
      </c>
      <c r="C90" s="368">
        <f t="shared" si="4"/>
        <v>236</v>
      </c>
      <c r="D90" s="2475"/>
      <c r="E90" s="269" t="s">
        <v>398</v>
      </c>
      <c r="F90" s="667">
        <v>11</v>
      </c>
      <c r="G90" s="1699">
        <v>10</v>
      </c>
      <c r="H90" s="36">
        <v>0</v>
      </c>
      <c r="I90" s="36">
        <v>0</v>
      </c>
      <c r="J90" s="36">
        <v>450</v>
      </c>
      <c r="K90" s="36">
        <v>3150</v>
      </c>
      <c r="L90" s="36">
        <v>7650</v>
      </c>
      <c r="M90" s="36">
        <v>14450</v>
      </c>
      <c r="N90" s="36">
        <v>25450</v>
      </c>
      <c r="O90" s="36">
        <v>43450</v>
      </c>
      <c r="P90" s="36">
        <v>70450</v>
      </c>
      <c r="Q90" s="36">
        <v>115450</v>
      </c>
      <c r="R90" s="16">
        <v>15000</v>
      </c>
      <c r="S90" s="16">
        <v>30000</v>
      </c>
      <c r="T90" s="16">
        <v>45000</v>
      </c>
      <c r="U90" s="16">
        <v>60000</v>
      </c>
      <c r="V90" s="16">
        <v>75000</v>
      </c>
      <c r="W90" s="16">
        <v>90000</v>
      </c>
      <c r="X90" s="16">
        <v>105000</v>
      </c>
      <c r="Y90" s="16">
        <v>120000</v>
      </c>
      <c r="Z90" s="16">
        <v>135000</v>
      </c>
      <c r="AA90" s="16">
        <v>150000</v>
      </c>
      <c r="AB90" s="36">
        <v>174</v>
      </c>
      <c r="AC90" s="16">
        <v>433</v>
      </c>
      <c r="AD90" s="36">
        <v>559</v>
      </c>
      <c r="AE90" s="16">
        <v>751</v>
      </c>
      <c r="AF90" s="36">
        <v>1040</v>
      </c>
      <c r="AG90" s="368">
        <v>0</v>
      </c>
    </row>
    <row r="91" spans="1:33" ht="15">
      <c r="A91" s="2482"/>
      <c r="B91" s="368">
        <v>25</v>
      </c>
      <c r="C91" s="368">
        <f t="shared" si="4"/>
        <v>237</v>
      </c>
      <c r="D91" s="2475"/>
      <c r="E91" s="269" t="s">
        <v>541</v>
      </c>
      <c r="F91" s="667">
        <v>12</v>
      </c>
      <c r="G91" s="1699">
        <v>11</v>
      </c>
      <c r="H91" s="36">
        <v>0</v>
      </c>
      <c r="I91" s="36">
        <v>0</v>
      </c>
      <c r="J91" s="36">
        <v>450</v>
      </c>
      <c r="K91" s="36">
        <v>2700</v>
      </c>
      <c r="L91" s="36">
        <v>7500</v>
      </c>
      <c r="M91" s="36">
        <v>16500</v>
      </c>
      <c r="N91" s="36">
        <v>30000</v>
      </c>
      <c r="O91" s="36">
        <v>50250</v>
      </c>
      <c r="P91" s="36">
        <v>77250</v>
      </c>
      <c r="Q91" s="36">
        <v>111000</v>
      </c>
      <c r="R91" s="16">
        <v>15000</v>
      </c>
      <c r="S91" s="16">
        <v>30000</v>
      </c>
      <c r="T91" s="16">
        <v>45000</v>
      </c>
      <c r="U91" s="16">
        <v>60000</v>
      </c>
      <c r="V91" s="16">
        <v>75000</v>
      </c>
      <c r="W91" s="16">
        <v>90000</v>
      </c>
      <c r="X91" s="16">
        <v>105000</v>
      </c>
      <c r="Y91" s="16">
        <v>120000</v>
      </c>
      <c r="Z91" s="16">
        <v>135000</v>
      </c>
      <c r="AA91" s="16">
        <v>150000</v>
      </c>
      <c r="AB91" s="36">
        <v>167</v>
      </c>
      <c r="AC91" s="16">
        <v>417</v>
      </c>
      <c r="AD91" s="36">
        <v>537</v>
      </c>
      <c r="AE91" s="16">
        <v>722</v>
      </c>
      <c r="AF91" s="36">
        <v>999</v>
      </c>
      <c r="AG91" s="368">
        <v>0</v>
      </c>
    </row>
    <row r="92" spans="1:33" ht="15">
      <c r="A92" s="2482"/>
      <c r="B92" s="368">
        <v>45</v>
      </c>
      <c r="C92" s="368">
        <f t="shared" si="4"/>
        <v>246</v>
      </c>
      <c r="D92" s="2475" t="s">
        <v>700</v>
      </c>
      <c r="E92" s="1605" t="s">
        <v>61</v>
      </c>
      <c r="F92" s="677">
        <v>1</v>
      </c>
      <c r="G92" s="1699">
        <v>0</v>
      </c>
      <c r="H92" s="36"/>
      <c r="I92" s="36"/>
      <c r="J92" s="36"/>
      <c r="K92" s="36"/>
      <c r="L92" s="36"/>
      <c r="M92" s="36"/>
      <c r="N92" s="36"/>
      <c r="O92" s="36"/>
      <c r="P92" s="36"/>
      <c r="Q92" s="36"/>
      <c r="R92" s="16"/>
      <c r="S92" s="16"/>
      <c r="T92" s="16"/>
      <c r="U92" s="16"/>
      <c r="V92" s="16"/>
      <c r="W92" s="16"/>
      <c r="X92" s="16"/>
      <c r="Y92" s="16"/>
      <c r="Z92" s="16"/>
      <c r="AA92" s="16"/>
      <c r="AB92" s="36"/>
      <c r="AC92" s="16"/>
      <c r="AD92" s="36"/>
      <c r="AE92" s="16"/>
      <c r="AF92" s="36"/>
      <c r="AG92" s="368">
        <v>0</v>
      </c>
    </row>
    <row r="93" spans="1:33" ht="15">
      <c r="A93" s="2482"/>
      <c r="B93" s="368">
        <v>45</v>
      </c>
      <c r="C93" s="368">
        <f t="shared" si="4"/>
        <v>247</v>
      </c>
      <c r="D93" s="2475"/>
      <c r="E93" s="278" t="s">
        <v>406</v>
      </c>
      <c r="F93" s="677">
        <v>2</v>
      </c>
      <c r="G93" s="1699">
        <v>1</v>
      </c>
      <c r="H93" s="36">
        <v>0</v>
      </c>
      <c r="I93" s="36">
        <v>0</v>
      </c>
      <c r="J93" s="36">
        <v>450</v>
      </c>
      <c r="K93" s="36">
        <v>1850</v>
      </c>
      <c r="L93" s="36">
        <v>4150</v>
      </c>
      <c r="M93" s="36">
        <v>7550</v>
      </c>
      <c r="N93" s="36">
        <v>15450</v>
      </c>
      <c r="O93" s="36">
        <v>24450</v>
      </c>
      <c r="P93" s="36">
        <v>38450</v>
      </c>
      <c r="Q93" s="36">
        <v>61450</v>
      </c>
      <c r="R93" s="16">
        <v>7500</v>
      </c>
      <c r="S93" s="16">
        <v>15000</v>
      </c>
      <c r="T93" s="16">
        <v>22500</v>
      </c>
      <c r="U93" s="16">
        <v>30000</v>
      </c>
      <c r="V93" s="16">
        <v>37500</v>
      </c>
      <c r="W93" s="16">
        <v>45000</v>
      </c>
      <c r="X93" s="16">
        <v>52500</v>
      </c>
      <c r="Y93" s="16">
        <v>60000</v>
      </c>
      <c r="Z93" s="16">
        <v>67500</v>
      </c>
      <c r="AA93" s="16">
        <v>75000</v>
      </c>
      <c r="AB93" s="36">
        <v>93</v>
      </c>
      <c r="AC93" s="16">
        <v>231</v>
      </c>
      <c r="AD93" s="36">
        <v>298</v>
      </c>
      <c r="AE93" s="16">
        <v>400</v>
      </c>
      <c r="AF93" s="36">
        <v>554</v>
      </c>
      <c r="AG93" s="368">
        <v>0</v>
      </c>
    </row>
    <row r="94" spans="1:33" ht="15">
      <c r="A94" s="2482"/>
      <c r="B94" s="368">
        <v>45</v>
      </c>
      <c r="C94" s="368">
        <f t="shared" si="4"/>
        <v>248</v>
      </c>
      <c r="D94" s="2475"/>
      <c r="E94" s="278" t="s">
        <v>411</v>
      </c>
      <c r="F94" s="677">
        <v>3</v>
      </c>
      <c r="G94" s="1699">
        <v>2</v>
      </c>
      <c r="H94" s="36">
        <v>0</v>
      </c>
      <c r="I94" s="36">
        <v>0</v>
      </c>
      <c r="J94" s="36">
        <v>450</v>
      </c>
      <c r="K94" s="36">
        <v>1850</v>
      </c>
      <c r="L94" s="36">
        <v>4150</v>
      </c>
      <c r="M94" s="36">
        <v>7550</v>
      </c>
      <c r="N94" s="36">
        <v>15450</v>
      </c>
      <c r="O94" s="36">
        <v>24450</v>
      </c>
      <c r="P94" s="36">
        <v>38450</v>
      </c>
      <c r="Q94" s="36">
        <v>61450</v>
      </c>
      <c r="R94" s="16">
        <v>7500</v>
      </c>
      <c r="S94" s="16">
        <v>15000</v>
      </c>
      <c r="T94" s="16">
        <v>22500</v>
      </c>
      <c r="U94" s="16">
        <v>30000</v>
      </c>
      <c r="V94" s="16">
        <v>37500</v>
      </c>
      <c r="W94" s="16">
        <v>45000</v>
      </c>
      <c r="X94" s="16">
        <v>52500</v>
      </c>
      <c r="Y94" s="16">
        <v>60000</v>
      </c>
      <c r="Z94" s="16">
        <v>67500</v>
      </c>
      <c r="AA94" s="16">
        <v>75000</v>
      </c>
      <c r="AB94" s="36">
        <v>45</v>
      </c>
      <c r="AC94" s="16">
        <v>68</v>
      </c>
      <c r="AD94" s="36">
        <v>100</v>
      </c>
      <c r="AE94" s="16">
        <v>150</v>
      </c>
      <c r="AF94" s="36">
        <v>225</v>
      </c>
      <c r="AG94" s="368">
        <v>0</v>
      </c>
    </row>
    <row r="95" spans="1:33" ht="15">
      <c r="A95" s="2482"/>
      <c r="B95" s="368">
        <v>45</v>
      </c>
      <c r="C95" s="368">
        <f t="shared" si="4"/>
        <v>249</v>
      </c>
      <c r="D95" s="2475"/>
      <c r="E95" s="278" t="s">
        <v>415</v>
      </c>
      <c r="F95" s="677">
        <v>4</v>
      </c>
      <c r="G95" s="1699">
        <v>3</v>
      </c>
      <c r="H95" s="36">
        <v>0</v>
      </c>
      <c r="I95" s="36">
        <v>0</v>
      </c>
      <c r="J95" s="36">
        <v>900</v>
      </c>
      <c r="K95" s="36">
        <v>2700</v>
      </c>
      <c r="L95" s="36">
        <v>5700</v>
      </c>
      <c r="M95" s="36">
        <v>10200</v>
      </c>
      <c r="N95" s="36">
        <v>17700</v>
      </c>
      <c r="O95" s="36">
        <v>29700</v>
      </c>
      <c r="P95" s="36">
        <v>47700</v>
      </c>
      <c r="Q95" s="36">
        <v>77700</v>
      </c>
      <c r="R95" s="16">
        <v>10000</v>
      </c>
      <c r="S95" s="16">
        <v>20000</v>
      </c>
      <c r="T95" s="16">
        <v>30000</v>
      </c>
      <c r="U95" s="16">
        <v>40000</v>
      </c>
      <c r="V95" s="16">
        <v>50000</v>
      </c>
      <c r="W95" s="16">
        <v>60000</v>
      </c>
      <c r="X95" s="16">
        <v>70000</v>
      </c>
      <c r="Y95" s="16">
        <v>80000</v>
      </c>
      <c r="Z95" s="16">
        <v>90000</v>
      </c>
      <c r="AA95" s="16">
        <v>100000</v>
      </c>
      <c r="AB95" s="36">
        <v>45</v>
      </c>
      <c r="AC95" s="16">
        <v>68</v>
      </c>
      <c r="AD95" s="36">
        <v>100</v>
      </c>
      <c r="AE95" s="16">
        <v>150</v>
      </c>
      <c r="AF95" s="36">
        <v>225</v>
      </c>
      <c r="AG95" s="368">
        <v>0</v>
      </c>
    </row>
    <row r="96" spans="1:33" ht="15">
      <c r="A96" s="2482"/>
      <c r="B96" s="368">
        <v>45</v>
      </c>
      <c r="C96" s="368">
        <f t="shared" si="4"/>
        <v>250</v>
      </c>
      <c r="D96" s="2475"/>
      <c r="E96" s="278" t="s">
        <v>392</v>
      </c>
      <c r="F96" s="677">
        <v>5</v>
      </c>
      <c r="G96" s="1699">
        <v>4</v>
      </c>
      <c r="H96" s="36">
        <v>0</v>
      </c>
      <c r="I96" s="36">
        <v>0</v>
      </c>
      <c r="J96" s="36">
        <v>900</v>
      </c>
      <c r="K96" s="36">
        <v>2700</v>
      </c>
      <c r="L96" s="36">
        <v>5700</v>
      </c>
      <c r="M96" s="36">
        <v>10200</v>
      </c>
      <c r="N96" s="36">
        <v>17700</v>
      </c>
      <c r="O96" s="36">
        <v>29700</v>
      </c>
      <c r="P96" s="36">
        <v>47700</v>
      </c>
      <c r="Q96" s="36">
        <v>77700</v>
      </c>
      <c r="R96" s="16">
        <v>10000</v>
      </c>
      <c r="S96" s="16">
        <v>20000</v>
      </c>
      <c r="T96" s="16">
        <v>30000</v>
      </c>
      <c r="U96" s="16">
        <v>40000</v>
      </c>
      <c r="V96" s="16">
        <v>50000</v>
      </c>
      <c r="W96" s="16">
        <v>60000</v>
      </c>
      <c r="X96" s="16">
        <v>70000</v>
      </c>
      <c r="Y96" s="16">
        <v>80000</v>
      </c>
      <c r="Z96" s="16">
        <v>90000</v>
      </c>
      <c r="AA96" s="16">
        <v>100000</v>
      </c>
      <c r="AB96" s="36">
        <v>45</v>
      </c>
      <c r="AC96" s="16">
        <v>68</v>
      </c>
      <c r="AD96" s="36">
        <v>100</v>
      </c>
      <c r="AE96" s="16">
        <v>150</v>
      </c>
      <c r="AF96" s="36">
        <v>225</v>
      </c>
      <c r="AG96" s="368">
        <v>0</v>
      </c>
    </row>
    <row r="97" spans="1:33" ht="15">
      <c r="A97" s="2482"/>
      <c r="B97" s="368">
        <v>45</v>
      </c>
      <c r="C97" s="368">
        <f t="shared" si="4"/>
        <v>251</v>
      </c>
      <c r="D97" s="2475"/>
      <c r="E97" s="278" t="s">
        <v>422</v>
      </c>
      <c r="F97" s="677">
        <v>6</v>
      </c>
      <c r="G97" s="1699">
        <v>5</v>
      </c>
      <c r="H97" s="36">
        <v>0</v>
      </c>
      <c r="I97" s="36">
        <v>0</v>
      </c>
      <c r="J97" s="36">
        <v>680</v>
      </c>
      <c r="K97" s="36">
        <v>2080</v>
      </c>
      <c r="L97" s="36">
        <v>4380</v>
      </c>
      <c r="M97" s="36">
        <v>7780</v>
      </c>
      <c r="N97" s="36">
        <v>15680</v>
      </c>
      <c r="O97" s="36">
        <v>24680</v>
      </c>
      <c r="P97" s="36">
        <v>38680</v>
      </c>
      <c r="Q97" s="36">
        <v>61680</v>
      </c>
      <c r="R97" s="16">
        <v>7500</v>
      </c>
      <c r="S97" s="16">
        <v>15000</v>
      </c>
      <c r="T97" s="16">
        <v>22500</v>
      </c>
      <c r="U97" s="16">
        <v>30000</v>
      </c>
      <c r="V97" s="16">
        <v>37500</v>
      </c>
      <c r="W97" s="16">
        <v>45000</v>
      </c>
      <c r="X97" s="16">
        <v>52500</v>
      </c>
      <c r="Y97" s="16">
        <v>60000</v>
      </c>
      <c r="Z97" s="16">
        <v>67500</v>
      </c>
      <c r="AA97" s="16">
        <v>75000</v>
      </c>
      <c r="AB97" s="36">
        <v>93</v>
      </c>
      <c r="AC97" s="16">
        <v>232</v>
      </c>
      <c r="AD97" s="36">
        <v>299</v>
      </c>
      <c r="AE97" s="16">
        <v>401</v>
      </c>
      <c r="AF97" s="36">
        <v>556</v>
      </c>
      <c r="AG97" s="368">
        <v>0</v>
      </c>
    </row>
    <row r="98" spans="1:33" ht="15">
      <c r="A98" s="2482"/>
      <c r="B98" s="368">
        <v>55</v>
      </c>
      <c r="C98" s="368">
        <f>$C$64+F98+B98</f>
        <v>262</v>
      </c>
      <c r="D98" s="2475"/>
      <c r="E98" s="278" t="s">
        <v>490</v>
      </c>
      <c r="F98" s="677">
        <v>7</v>
      </c>
      <c r="G98" s="1699">
        <v>6</v>
      </c>
      <c r="H98" s="36">
        <v>0</v>
      </c>
      <c r="I98" s="36">
        <v>150</v>
      </c>
      <c r="J98" s="36">
        <v>500</v>
      </c>
      <c r="K98" s="36">
        <v>1200</v>
      </c>
      <c r="L98" s="36">
        <v>3300</v>
      </c>
      <c r="M98" s="36">
        <v>7700</v>
      </c>
      <c r="N98" s="36">
        <v>15700</v>
      </c>
      <c r="O98" s="36">
        <v>31700</v>
      </c>
      <c r="P98" s="36">
        <v>56700</v>
      </c>
      <c r="Q98" s="36">
        <v>96700</v>
      </c>
      <c r="R98" s="16">
        <v>7500</v>
      </c>
      <c r="S98" s="16">
        <v>18750</v>
      </c>
      <c r="T98" s="16">
        <v>41250</v>
      </c>
      <c r="U98" s="16">
        <v>75000</v>
      </c>
      <c r="V98" s="16">
        <v>120000</v>
      </c>
      <c r="W98" s="16">
        <v>176520</v>
      </c>
      <c r="X98" s="16">
        <v>244020</v>
      </c>
      <c r="Y98" s="16">
        <v>322770</v>
      </c>
      <c r="Z98" s="16">
        <v>412770</v>
      </c>
      <c r="AA98" s="16">
        <v>514020</v>
      </c>
      <c r="AB98" s="36">
        <v>146</v>
      </c>
      <c r="AC98" s="16">
        <v>363</v>
      </c>
      <c r="AD98" s="36">
        <v>468</v>
      </c>
      <c r="AE98" s="16">
        <v>629</v>
      </c>
      <c r="AF98" s="36">
        <v>871</v>
      </c>
      <c r="AG98" s="368">
        <v>0</v>
      </c>
    </row>
    <row r="99" spans="1:33" ht="15">
      <c r="A99" s="2482"/>
      <c r="B99" s="368">
        <v>45</v>
      </c>
      <c r="C99" s="368">
        <f t="shared" si="4"/>
        <v>253</v>
      </c>
      <c r="D99" s="2475"/>
      <c r="E99" s="278" t="s">
        <v>426</v>
      </c>
      <c r="F99" s="677">
        <v>8</v>
      </c>
      <c r="G99" s="1699">
        <v>7</v>
      </c>
      <c r="H99" s="36">
        <v>0</v>
      </c>
      <c r="I99" s="36">
        <v>0</v>
      </c>
      <c r="J99" s="36">
        <v>680</v>
      </c>
      <c r="K99" s="36">
        <v>2080</v>
      </c>
      <c r="L99" s="36">
        <v>4380</v>
      </c>
      <c r="M99" s="36">
        <v>7780</v>
      </c>
      <c r="N99" s="36">
        <v>15680</v>
      </c>
      <c r="O99" s="36">
        <v>24680</v>
      </c>
      <c r="P99" s="36">
        <v>38680</v>
      </c>
      <c r="Q99" s="36">
        <v>61680</v>
      </c>
      <c r="R99" s="16">
        <v>7500</v>
      </c>
      <c r="S99" s="16">
        <v>15000</v>
      </c>
      <c r="T99" s="16">
        <v>22500</v>
      </c>
      <c r="U99" s="16">
        <v>30000</v>
      </c>
      <c r="V99" s="16">
        <v>37500</v>
      </c>
      <c r="W99" s="16">
        <v>45000</v>
      </c>
      <c r="X99" s="16">
        <v>52500</v>
      </c>
      <c r="Y99" s="16">
        <v>60000</v>
      </c>
      <c r="Z99" s="16">
        <v>67500</v>
      </c>
      <c r="AA99" s="16">
        <v>75000</v>
      </c>
      <c r="AB99" s="36">
        <v>93</v>
      </c>
      <c r="AC99" s="16">
        <v>232</v>
      </c>
      <c r="AD99" s="36">
        <v>299</v>
      </c>
      <c r="AE99" s="16">
        <v>401</v>
      </c>
      <c r="AF99" s="36">
        <v>556</v>
      </c>
      <c r="AG99" s="368">
        <v>0</v>
      </c>
    </row>
    <row r="100" spans="1:33" ht="15">
      <c r="A100" s="2482"/>
      <c r="B100" s="368">
        <v>45</v>
      </c>
      <c r="C100" s="368">
        <f t="shared" si="4"/>
        <v>254</v>
      </c>
      <c r="D100" s="2475"/>
      <c r="E100" s="278" t="s">
        <v>429</v>
      </c>
      <c r="F100" s="677">
        <v>9</v>
      </c>
      <c r="G100" s="1699">
        <v>8</v>
      </c>
      <c r="H100" s="36">
        <v>0</v>
      </c>
      <c r="I100" s="36">
        <v>0</v>
      </c>
      <c r="J100" s="36">
        <v>450</v>
      </c>
      <c r="K100" s="36">
        <v>2250</v>
      </c>
      <c r="L100" s="36">
        <v>6750</v>
      </c>
      <c r="M100" s="36">
        <v>13550</v>
      </c>
      <c r="N100" s="36">
        <v>24550</v>
      </c>
      <c r="O100" s="36">
        <v>42550</v>
      </c>
      <c r="P100" s="36">
        <v>69550</v>
      </c>
      <c r="Q100" s="36">
        <v>114550</v>
      </c>
      <c r="R100" s="16">
        <v>15000</v>
      </c>
      <c r="S100" s="16">
        <v>30000</v>
      </c>
      <c r="T100" s="16">
        <v>45000</v>
      </c>
      <c r="U100" s="16">
        <v>60000</v>
      </c>
      <c r="V100" s="16">
        <v>75000</v>
      </c>
      <c r="W100" s="16">
        <v>90000</v>
      </c>
      <c r="X100" s="16">
        <v>105000</v>
      </c>
      <c r="Y100" s="16">
        <v>120000</v>
      </c>
      <c r="Z100" s="16">
        <v>135000</v>
      </c>
      <c r="AA100" s="16">
        <v>150000</v>
      </c>
      <c r="AB100" s="36">
        <v>172</v>
      </c>
      <c r="AC100" s="16">
        <v>430</v>
      </c>
      <c r="AD100" s="36">
        <v>554</v>
      </c>
      <c r="AE100" s="16">
        <v>745</v>
      </c>
      <c r="AF100" s="36">
        <v>1031</v>
      </c>
      <c r="AG100" s="368">
        <v>0</v>
      </c>
    </row>
    <row r="101" spans="1:33" ht="15">
      <c r="A101" s="2482"/>
      <c r="B101" s="368">
        <v>55</v>
      </c>
      <c r="C101" s="368">
        <f t="shared" si="4"/>
        <v>256</v>
      </c>
      <c r="D101" s="2475" t="s">
        <v>699</v>
      </c>
      <c r="E101" s="1606" t="s">
        <v>61</v>
      </c>
      <c r="F101" s="672">
        <v>1</v>
      </c>
      <c r="G101" s="1699">
        <v>0</v>
      </c>
      <c r="H101" s="36"/>
      <c r="I101" s="36"/>
      <c r="J101" s="36"/>
      <c r="K101" s="36"/>
      <c r="L101" s="36"/>
      <c r="M101" s="36"/>
      <c r="N101" s="36"/>
      <c r="O101" s="36"/>
      <c r="P101" s="36"/>
      <c r="Q101" s="36"/>
      <c r="R101" s="16"/>
      <c r="S101" s="16"/>
      <c r="T101" s="16"/>
      <c r="U101" s="16"/>
      <c r="V101" s="16"/>
      <c r="W101" s="16"/>
      <c r="X101" s="16"/>
      <c r="Y101" s="16"/>
      <c r="Z101" s="16"/>
      <c r="AA101" s="16"/>
      <c r="AB101" s="36"/>
      <c r="AC101" s="16"/>
      <c r="AD101" s="36"/>
      <c r="AE101" s="16"/>
      <c r="AF101" s="36"/>
      <c r="AG101" s="368">
        <v>0</v>
      </c>
    </row>
    <row r="102" spans="1:33" ht="15">
      <c r="A102" s="2482"/>
      <c r="B102" s="368">
        <v>55</v>
      </c>
      <c r="C102" s="368">
        <f t="shared" si="4"/>
        <v>257</v>
      </c>
      <c r="D102" s="2475"/>
      <c r="E102" s="286" t="s">
        <v>548</v>
      </c>
      <c r="F102" s="672">
        <v>2</v>
      </c>
      <c r="G102" s="1699">
        <v>1</v>
      </c>
      <c r="H102" s="36">
        <v>0</v>
      </c>
      <c r="I102" s="36">
        <v>0</v>
      </c>
      <c r="J102" s="36">
        <v>380</v>
      </c>
      <c r="K102" s="36">
        <v>1130</v>
      </c>
      <c r="L102" s="36">
        <v>2530</v>
      </c>
      <c r="M102" s="36">
        <v>4830</v>
      </c>
      <c r="N102" s="36">
        <v>8630</v>
      </c>
      <c r="O102" s="36">
        <v>14630</v>
      </c>
      <c r="P102" s="36">
        <v>23630</v>
      </c>
      <c r="Q102" s="36">
        <v>38630</v>
      </c>
      <c r="R102" s="16">
        <v>3000</v>
      </c>
      <c r="S102" s="16">
        <v>6000</v>
      </c>
      <c r="T102" s="16">
        <v>9000</v>
      </c>
      <c r="U102" s="16">
        <v>12000</v>
      </c>
      <c r="V102" s="16">
        <v>15000</v>
      </c>
      <c r="W102" s="16">
        <v>18000</v>
      </c>
      <c r="X102" s="16">
        <v>21000</v>
      </c>
      <c r="Y102" s="16">
        <v>24000</v>
      </c>
      <c r="Z102" s="16">
        <v>27000</v>
      </c>
      <c r="AA102" s="16">
        <v>30000</v>
      </c>
      <c r="AB102" s="36">
        <v>58</v>
      </c>
      <c r="AC102" s="16">
        <v>145</v>
      </c>
      <c r="AD102" s="36">
        <v>187</v>
      </c>
      <c r="AE102" s="16">
        <v>252</v>
      </c>
      <c r="AF102" s="36">
        <v>348</v>
      </c>
      <c r="AG102" s="368">
        <v>0</v>
      </c>
    </row>
    <row r="103" spans="1:33" ht="15">
      <c r="A103" s="2482"/>
      <c r="B103" s="368">
        <v>55</v>
      </c>
      <c r="C103" s="368">
        <f t="shared" si="4"/>
        <v>258</v>
      </c>
      <c r="D103" s="2475"/>
      <c r="E103" s="286" t="s">
        <v>469</v>
      </c>
      <c r="F103" s="672">
        <v>3</v>
      </c>
      <c r="G103" s="1699">
        <v>2</v>
      </c>
      <c r="H103" s="36">
        <v>0</v>
      </c>
      <c r="I103" s="36">
        <v>0</v>
      </c>
      <c r="J103" s="36">
        <v>110</v>
      </c>
      <c r="K103" s="36">
        <v>560</v>
      </c>
      <c r="L103" s="36">
        <v>1660</v>
      </c>
      <c r="M103" s="36">
        <v>3360</v>
      </c>
      <c r="N103" s="36">
        <v>6160</v>
      </c>
      <c r="O103" s="36">
        <v>10660</v>
      </c>
      <c r="P103" s="36">
        <v>17460</v>
      </c>
      <c r="Q103" s="36">
        <v>28460</v>
      </c>
      <c r="R103" s="16">
        <v>3000</v>
      </c>
      <c r="S103" s="16">
        <v>6000</v>
      </c>
      <c r="T103" s="16">
        <v>9000</v>
      </c>
      <c r="U103" s="16">
        <v>12000</v>
      </c>
      <c r="V103" s="16">
        <v>15000</v>
      </c>
      <c r="W103" s="16">
        <v>18000</v>
      </c>
      <c r="X103" s="16">
        <v>21000</v>
      </c>
      <c r="Y103" s="16">
        <v>24000</v>
      </c>
      <c r="Z103" s="16">
        <v>27000</v>
      </c>
      <c r="AA103" s="16">
        <v>30000</v>
      </c>
      <c r="AB103" s="36">
        <v>43</v>
      </c>
      <c r="AC103" s="16">
        <v>107</v>
      </c>
      <c r="AD103" s="36">
        <v>138</v>
      </c>
      <c r="AE103" s="16">
        <v>185</v>
      </c>
      <c r="AF103" s="36">
        <v>257</v>
      </c>
      <c r="AG103" s="368">
        <v>0</v>
      </c>
    </row>
    <row r="104" spans="1:33" ht="15">
      <c r="A104" s="2482"/>
      <c r="B104" s="368">
        <v>55</v>
      </c>
      <c r="C104" s="368">
        <f t="shared" si="4"/>
        <v>259</v>
      </c>
      <c r="D104" s="2475"/>
      <c r="E104" s="286" t="s">
        <v>298</v>
      </c>
      <c r="F104" s="672">
        <v>4</v>
      </c>
      <c r="G104" s="1699">
        <v>3</v>
      </c>
      <c r="H104" s="36">
        <v>6000</v>
      </c>
      <c r="I104" s="36">
        <v>6200</v>
      </c>
      <c r="J104" s="36">
        <v>6600</v>
      </c>
      <c r="K104" s="36">
        <v>8200</v>
      </c>
      <c r="L104" s="36">
        <v>12200</v>
      </c>
      <c r="M104" s="36">
        <v>20200</v>
      </c>
      <c r="N104" s="36">
        <v>36200</v>
      </c>
      <c r="O104" s="36">
        <v>70200</v>
      </c>
      <c r="P104" s="36">
        <v>115200</v>
      </c>
      <c r="Q104" s="36">
        <v>170200</v>
      </c>
      <c r="R104" s="16">
        <v>6000</v>
      </c>
      <c r="S104" s="16">
        <v>15000</v>
      </c>
      <c r="T104" s="16">
        <v>24000</v>
      </c>
      <c r="U104" s="16">
        <v>33000</v>
      </c>
      <c r="V104" s="16">
        <v>42000</v>
      </c>
      <c r="W104" s="16">
        <v>51000</v>
      </c>
      <c r="X104" s="16">
        <v>60000</v>
      </c>
      <c r="Y104" s="16">
        <v>69000</v>
      </c>
      <c r="Z104" s="16">
        <v>78000</v>
      </c>
      <c r="AA104" s="16">
        <v>87000</v>
      </c>
      <c r="AB104" s="36">
        <v>256</v>
      </c>
      <c r="AC104" s="16">
        <v>639</v>
      </c>
      <c r="AD104" s="36">
        <v>823</v>
      </c>
      <c r="AE104" s="16">
        <v>1107</v>
      </c>
      <c r="AF104" s="36">
        <v>1532</v>
      </c>
      <c r="AG104" s="368">
        <v>0</v>
      </c>
    </row>
    <row r="105" spans="1:33" ht="15">
      <c r="A105" s="2482"/>
      <c r="B105" s="368">
        <v>55</v>
      </c>
      <c r="C105" s="368">
        <f t="shared" si="4"/>
        <v>260</v>
      </c>
      <c r="D105" s="2475"/>
      <c r="E105" s="286" t="s">
        <v>299</v>
      </c>
      <c r="F105" s="672">
        <v>5</v>
      </c>
      <c r="G105" s="1699">
        <v>4</v>
      </c>
      <c r="H105" s="36">
        <v>0</v>
      </c>
      <c r="I105" s="36">
        <v>0</v>
      </c>
      <c r="J105" s="36">
        <v>380</v>
      </c>
      <c r="K105" s="36">
        <v>1130</v>
      </c>
      <c r="L105" s="36">
        <v>2530</v>
      </c>
      <c r="M105" s="36">
        <v>4830</v>
      </c>
      <c r="N105" s="36">
        <v>8630</v>
      </c>
      <c r="O105" s="36">
        <v>14630</v>
      </c>
      <c r="P105" s="36">
        <v>23630</v>
      </c>
      <c r="Q105" s="36">
        <v>38630</v>
      </c>
      <c r="R105" s="16">
        <v>4500</v>
      </c>
      <c r="S105" s="16">
        <v>9000</v>
      </c>
      <c r="T105" s="16">
        <v>13500</v>
      </c>
      <c r="U105" s="16">
        <v>18000</v>
      </c>
      <c r="V105" s="16">
        <v>22500</v>
      </c>
      <c r="W105" s="16">
        <v>27000</v>
      </c>
      <c r="X105" s="16">
        <v>31500</v>
      </c>
      <c r="Y105" s="16">
        <v>36000</v>
      </c>
      <c r="Z105" s="16">
        <v>40500</v>
      </c>
      <c r="AA105" s="16">
        <v>45000</v>
      </c>
      <c r="AB105" s="36">
        <v>58</v>
      </c>
      <c r="AC105" s="16">
        <v>145</v>
      </c>
      <c r="AD105" s="36">
        <v>187</v>
      </c>
      <c r="AE105" s="16">
        <v>252</v>
      </c>
      <c r="AF105" s="36">
        <v>348</v>
      </c>
      <c r="AG105" s="368">
        <v>0</v>
      </c>
    </row>
    <row r="106" spans="1:33" ht="15">
      <c r="A106" s="2482"/>
      <c r="B106" s="368">
        <v>55</v>
      </c>
      <c r="C106" s="368">
        <f t="shared" si="4"/>
        <v>261</v>
      </c>
      <c r="D106" s="2475"/>
      <c r="E106" s="286" t="s">
        <v>551</v>
      </c>
      <c r="F106" s="672">
        <v>6</v>
      </c>
      <c r="G106" s="1699">
        <v>5</v>
      </c>
      <c r="H106" s="36">
        <v>0</v>
      </c>
      <c r="I106" s="36">
        <v>0</v>
      </c>
      <c r="J106" s="36">
        <v>450</v>
      </c>
      <c r="K106" s="36">
        <v>2700</v>
      </c>
      <c r="L106" s="36">
        <v>7500</v>
      </c>
      <c r="M106" s="36">
        <v>16500</v>
      </c>
      <c r="N106" s="36">
        <v>30000</v>
      </c>
      <c r="O106" s="36">
        <v>50250</v>
      </c>
      <c r="P106" s="36">
        <v>77250</v>
      </c>
      <c r="Q106" s="36">
        <v>111000</v>
      </c>
      <c r="R106" s="16">
        <v>15000</v>
      </c>
      <c r="S106" s="16">
        <v>30000</v>
      </c>
      <c r="T106" s="16">
        <v>45000</v>
      </c>
      <c r="U106" s="16">
        <v>60000</v>
      </c>
      <c r="V106" s="16">
        <v>75000</v>
      </c>
      <c r="W106" s="16">
        <v>90000</v>
      </c>
      <c r="X106" s="16">
        <v>105000</v>
      </c>
      <c r="Y106" s="16">
        <v>120000</v>
      </c>
      <c r="Z106" s="16">
        <v>135000</v>
      </c>
      <c r="AA106" s="16">
        <v>150000</v>
      </c>
      <c r="AB106" s="36">
        <v>167</v>
      </c>
      <c r="AC106" s="16">
        <v>417</v>
      </c>
      <c r="AD106" s="36">
        <v>537</v>
      </c>
      <c r="AE106" s="16">
        <v>722</v>
      </c>
      <c r="AF106" s="36">
        <v>999</v>
      </c>
      <c r="AG106" s="368">
        <v>0</v>
      </c>
    </row>
    <row r="107" spans="1:33" ht="15">
      <c r="A107" s="2482"/>
      <c r="B107" s="368">
        <v>55</v>
      </c>
      <c r="C107" s="368">
        <f t="shared" si="4"/>
        <v>262</v>
      </c>
      <c r="D107" s="2475"/>
      <c r="E107" s="286" t="s">
        <v>300</v>
      </c>
      <c r="F107" s="672">
        <v>7</v>
      </c>
      <c r="G107" s="1699">
        <v>6</v>
      </c>
      <c r="H107" s="36">
        <v>0</v>
      </c>
      <c r="I107" s="36">
        <v>0</v>
      </c>
      <c r="J107" s="36">
        <v>450</v>
      </c>
      <c r="K107" s="36">
        <v>2700</v>
      </c>
      <c r="L107" s="36">
        <v>7500</v>
      </c>
      <c r="M107" s="36">
        <v>16500</v>
      </c>
      <c r="N107" s="36">
        <v>30000</v>
      </c>
      <c r="O107" s="36">
        <v>50250</v>
      </c>
      <c r="P107" s="36">
        <v>77250</v>
      </c>
      <c r="Q107" s="36">
        <v>111000</v>
      </c>
      <c r="R107" s="16">
        <v>15000</v>
      </c>
      <c r="S107" s="16">
        <v>30000</v>
      </c>
      <c r="T107" s="16">
        <v>45000</v>
      </c>
      <c r="U107" s="16">
        <v>60000</v>
      </c>
      <c r="V107" s="16">
        <v>75000</v>
      </c>
      <c r="W107" s="16">
        <v>90000</v>
      </c>
      <c r="X107" s="16">
        <v>105000</v>
      </c>
      <c r="Y107" s="16">
        <v>120000</v>
      </c>
      <c r="Z107" s="16">
        <v>135000</v>
      </c>
      <c r="AA107" s="16">
        <v>150000</v>
      </c>
      <c r="AB107" s="36">
        <v>167</v>
      </c>
      <c r="AC107" s="16">
        <v>417</v>
      </c>
      <c r="AD107" s="36">
        <v>537</v>
      </c>
      <c r="AE107" s="16">
        <v>722</v>
      </c>
      <c r="AF107" s="36">
        <v>999</v>
      </c>
      <c r="AG107" s="368">
        <v>0</v>
      </c>
    </row>
    <row r="108" spans="1:33" ht="15">
      <c r="A108" s="2482"/>
      <c r="B108" s="368">
        <v>55</v>
      </c>
      <c r="C108" s="368">
        <f t="shared" si="4"/>
        <v>263</v>
      </c>
      <c r="D108" s="2475"/>
      <c r="E108" s="695" t="s">
        <v>861</v>
      </c>
      <c r="F108" s="672">
        <v>8</v>
      </c>
      <c r="G108" s="1699">
        <v>7</v>
      </c>
      <c r="H108" s="36">
        <v>0</v>
      </c>
      <c r="I108" s="36">
        <v>0</v>
      </c>
      <c r="J108" s="36">
        <v>450</v>
      </c>
      <c r="K108" s="36">
        <v>1350</v>
      </c>
      <c r="L108" s="36">
        <v>3150</v>
      </c>
      <c r="M108" s="36">
        <v>6150</v>
      </c>
      <c r="N108" s="36">
        <v>10650</v>
      </c>
      <c r="O108" s="36">
        <v>18150</v>
      </c>
      <c r="P108" s="36">
        <v>30150</v>
      </c>
      <c r="Q108" s="36">
        <v>48150</v>
      </c>
      <c r="R108" s="16">
        <v>4500</v>
      </c>
      <c r="S108" s="16">
        <v>9000</v>
      </c>
      <c r="T108" s="16">
        <v>13500</v>
      </c>
      <c r="U108" s="16">
        <v>18000</v>
      </c>
      <c r="V108" s="16">
        <v>22500</v>
      </c>
      <c r="W108" s="16">
        <v>27000</v>
      </c>
      <c r="X108" s="16">
        <v>31500</v>
      </c>
      <c r="Y108" s="16">
        <v>36000</v>
      </c>
      <c r="Z108" s="16">
        <v>40500</v>
      </c>
      <c r="AA108" s="16">
        <v>45000</v>
      </c>
      <c r="AB108" s="36">
        <v>73</v>
      </c>
      <c r="AC108" s="16">
        <v>181</v>
      </c>
      <c r="AD108" s="36">
        <v>233</v>
      </c>
      <c r="AE108" s="16">
        <v>313</v>
      </c>
      <c r="AF108" s="36">
        <v>434</v>
      </c>
      <c r="AG108" s="368">
        <v>0</v>
      </c>
    </row>
    <row r="109" spans="1:33" ht="15">
      <c r="A109" s="2482"/>
      <c r="B109" s="368">
        <v>55</v>
      </c>
      <c r="C109" s="368">
        <f t="shared" ref="C109:C110" si="12">$C$64+F109+B109</f>
        <v>264</v>
      </c>
      <c r="D109" s="2475"/>
      <c r="E109" s="695" t="s">
        <v>862</v>
      </c>
      <c r="F109" s="672">
        <v>9</v>
      </c>
      <c r="G109" s="1699">
        <v>8</v>
      </c>
      <c r="H109" s="36">
        <v>0</v>
      </c>
      <c r="I109" s="36">
        <v>0</v>
      </c>
      <c r="J109" s="36">
        <v>450</v>
      </c>
      <c r="K109" s="36">
        <v>1350</v>
      </c>
      <c r="L109" s="36">
        <v>3150</v>
      </c>
      <c r="M109" s="36">
        <v>6150</v>
      </c>
      <c r="N109" s="36">
        <v>10650</v>
      </c>
      <c r="O109" s="36">
        <v>18150</v>
      </c>
      <c r="P109" s="36">
        <v>30150</v>
      </c>
      <c r="Q109" s="36">
        <v>48150</v>
      </c>
      <c r="R109" s="16">
        <v>4500</v>
      </c>
      <c r="S109" s="16">
        <v>9000</v>
      </c>
      <c r="T109" s="16">
        <v>13500</v>
      </c>
      <c r="U109" s="16">
        <v>18000</v>
      </c>
      <c r="V109" s="16">
        <v>22500</v>
      </c>
      <c r="W109" s="16">
        <v>27000</v>
      </c>
      <c r="X109" s="16">
        <v>31500</v>
      </c>
      <c r="Y109" s="16">
        <v>36000</v>
      </c>
      <c r="Z109" s="16">
        <v>40500</v>
      </c>
      <c r="AA109" s="16">
        <v>45000</v>
      </c>
      <c r="AB109" s="36">
        <v>73</v>
      </c>
      <c r="AC109" s="16">
        <v>181</v>
      </c>
      <c r="AD109" s="36">
        <v>233</v>
      </c>
      <c r="AE109" s="16">
        <v>313</v>
      </c>
      <c r="AF109" s="36">
        <v>434</v>
      </c>
      <c r="AG109" s="368">
        <v>0</v>
      </c>
    </row>
    <row r="110" spans="1:33" ht="15">
      <c r="A110" s="2482"/>
      <c r="B110" s="368">
        <v>55</v>
      </c>
      <c r="C110" s="368">
        <f t="shared" si="12"/>
        <v>265</v>
      </c>
      <c r="D110" s="2475"/>
      <c r="E110" s="695" t="s">
        <v>301</v>
      </c>
      <c r="F110" s="672">
        <v>10</v>
      </c>
      <c r="G110" s="1699">
        <v>9</v>
      </c>
      <c r="H110" s="36">
        <v>0</v>
      </c>
      <c r="I110" s="36">
        <v>0</v>
      </c>
      <c r="J110" s="36">
        <v>450</v>
      </c>
      <c r="K110" s="36">
        <v>1350</v>
      </c>
      <c r="L110" s="36">
        <v>3150</v>
      </c>
      <c r="M110" s="36">
        <v>6150</v>
      </c>
      <c r="N110" s="36">
        <v>10650</v>
      </c>
      <c r="O110" s="36">
        <v>18150</v>
      </c>
      <c r="P110" s="36">
        <v>30150</v>
      </c>
      <c r="Q110" s="36">
        <v>48150</v>
      </c>
      <c r="R110" s="16">
        <v>4500</v>
      </c>
      <c r="S110" s="16">
        <v>9000</v>
      </c>
      <c r="T110" s="16">
        <v>13500</v>
      </c>
      <c r="U110" s="16">
        <v>18000</v>
      </c>
      <c r="V110" s="16">
        <v>22500</v>
      </c>
      <c r="W110" s="16">
        <v>27000</v>
      </c>
      <c r="X110" s="16">
        <v>31500</v>
      </c>
      <c r="Y110" s="16">
        <v>36000</v>
      </c>
      <c r="Z110" s="16">
        <v>40500</v>
      </c>
      <c r="AA110" s="16">
        <v>45000</v>
      </c>
      <c r="AB110" s="36">
        <v>73</v>
      </c>
      <c r="AC110" s="16">
        <v>181</v>
      </c>
      <c r="AD110" s="36">
        <v>233</v>
      </c>
      <c r="AE110" s="16">
        <v>313</v>
      </c>
      <c r="AF110" s="36">
        <v>434</v>
      </c>
      <c r="AG110" s="368">
        <v>0</v>
      </c>
    </row>
    <row r="111" spans="1:33" ht="15">
      <c r="A111" s="2482"/>
      <c r="B111" s="368">
        <v>55</v>
      </c>
      <c r="C111" s="368">
        <f t="shared" si="4"/>
        <v>266</v>
      </c>
      <c r="D111" s="2475"/>
      <c r="E111" s="269" t="s">
        <v>409</v>
      </c>
      <c r="F111" s="672">
        <v>11</v>
      </c>
      <c r="G111" s="1699">
        <v>10</v>
      </c>
      <c r="H111" s="36">
        <v>0</v>
      </c>
      <c r="I111" s="36">
        <v>0</v>
      </c>
      <c r="J111" s="36">
        <v>450</v>
      </c>
      <c r="K111" s="36">
        <v>1850</v>
      </c>
      <c r="L111" s="36">
        <v>4150</v>
      </c>
      <c r="M111" s="36">
        <v>7550</v>
      </c>
      <c r="N111" s="36">
        <v>15450</v>
      </c>
      <c r="O111" s="36">
        <v>24450</v>
      </c>
      <c r="P111" s="36">
        <v>38450</v>
      </c>
      <c r="Q111" s="36">
        <v>61450</v>
      </c>
      <c r="R111" s="16">
        <v>7500</v>
      </c>
      <c r="S111" s="16">
        <v>15000</v>
      </c>
      <c r="T111" s="16">
        <v>22500</v>
      </c>
      <c r="U111" s="16">
        <v>30000</v>
      </c>
      <c r="V111" s="16">
        <v>37500</v>
      </c>
      <c r="W111" s="16">
        <v>45000</v>
      </c>
      <c r="X111" s="16">
        <v>52500</v>
      </c>
      <c r="Y111" s="16">
        <v>60000</v>
      </c>
      <c r="Z111" s="16">
        <v>67500</v>
      </c>
      <c r="AA111" s="16">
        <v>75000</v>
      </c>
      <c r="AB111" s="36">
        <v>93</v>
      </c>
      <c r="AC111" s="16">
        <v>231</v>
      </c>
      <c r="AD111" s="36">
        <v>298</v>
      </c>
      <c r="AE111" s="16">
        <v>400</v>
      </c>
      <c r="AF111" s="36">
        <v>554</v>
      </c>
      <c r="AG111" s="368">
        <v>0</v>
      </c>
    </row>
    <row r="112" spans="1:33" ht="15">
      <c r="A112" s="2482"/>
      <c r="B112" s="368">
        <v>55</v>
      </c>
      <c r="C112" s="368">
        <f>$C$64+F112+B112</f>
        <v>267</v>
      </c>
      <c r="D112" s="2475"/>
      <c r="E112" s="696" t="s">
        <v>492</v>
      </c>
      <c r="F112" s="672">
        <v>12</v>
      </c>
      <c r="G112" s="1699">
        <v>11</v>
      </c>
      <c r="H112" s="36">
        <v>1500</v>
      </c>
      <c r="I112" s="36">
        <v>2000</v>
      </c>
      <c r="J112" s="36">
        <v>3000</v>
      </c>
      <c r="K112" s="36">
        <v>4400</v>
      </c>
      <c r="L112" s="36">
        <v>6700</v>
      </c>
      <c r="M112" s="36">
        <v>10100</v>
      </c>
      <c r="N112" s="36">
        <v>18000</v>
      </c>
      <c r="O112" s="36">
        <v>27000</v>
      </c>
      <c r="P112" s="36">
        <v>41000</v>
      </c>
      <c r="Q112" s="36">
        <v>64000</v>
      </c>
      <c r="R112" s="16">
        <v>7500</v>
      </c>
      <c r="S112" s="16">
        <v>15000</v>
      </c>
      <c r="T112" s="16">
        <v>22500</v>
      </c>
      <c r="U112" s="16">
        <v>30000</v>
      </c>
      <c r="V112" s="16">
        <v>37500</v>
      </c>
      <c r="W112" s="16">
        <v>45000</v>
      </c>
      <c r="X112" s="16">
        <v>52500</v>
      </c>
      <c r="Y112" s="16">
        <v>60000</v>
      </c>
      <c r="Z112" s="16">
        <v>67500</v>
      </c>
      <c r="AA112" s="16">
        <v>75000</v>
      </c>
      <c r="AB112" s="36">
        <v>96</v>
      </c>
      <c r="AC112" s="16">
        <v>240</v>
      </c>
      <c r="AD112" s="36">
        <v>310</v>
      </c>
      <c r="AE112" s="16">
        <v>416</v>
      </c>
      <c r="AF112" s="36">
        <v>576</v>
      </c>
      <c r="AG112" s="368">
        <v>0</v>
      </c>
    </row>
    <row r="113" spans="1:43" ht="15">
      <c r="A113" s="2482"/>
      <c r="B113" s="368">
        <v>55</v>
      </c>
      <c r="C113" s="368">
        <f t="shared" si="4"/>
        <v>268</v>
      </c>
      <c r="D113" s="2475"/>
      <c r="E113" s="269" t="s">
        <v>461</v>
      </c>
      <c r="F113" s="672">
        <v>13</v>
      </c>
      <c r="G113" s="1699">
        <v>12</v>
      </c>
      <c r="H113" s="36">
        <v>0</v>
      </c>
      <c r="I113" s="36">
        <v>0</v>
      </c>
      <c r="J113" s="36">
        <v>450</v>
      </c>
      <c r="K113" s="36">
        <v>1800</v>
      </c>
      <c r="L113" s="36">
        <v>4050</v>
      </c>
      <c r="M113" s="36">
        <v>7800</v>
      </c>
      <c r="N113" s="36">
        <v>15300</v>
      </c>
      <c r="O113" s="36">
        <v>25200</v>
      </c>
      <c r="P113" s="36">
        <v>39600</v>
      </c>
      <c r="Q113" s="36">
        <v>59850</v>
      </c>
      <c r="R113" s="16">
        <v>7500</v>
      </c>
      <c r="S113" s="16">
        <v>15000</v>
      </c>
      <c r="T113" s="16">
        <v>22500</v>
      </c>
      <c r="U113" s="16">
        <v>30000</v>
      </c>
      <c r="V113" s="16">
        <v>37500</v>
      </c>
      <c r="W113" s="16">
        <v>45000</v>
      </c>
      <c r="X113" s="16">
        <v>52500</v>
      </c>
      <c r="Y113" s="16">
        <v>60000</v>
      </c>
      <c r="Z113" s="16">
        <v>67500</v>
      </c>
      <c r="AA113" s="16">
        <v>75000</v>
      </c>
      <c r="AB113" s="36">
        <v>90</v>
      </c>
      <c r="AC113" s="16">
        <v>225</v>
      </c>
      <c r="AD113" s="36">
        <v>290</v>
      </c>
      <c r="AE113" s="16">
        <v>390</v>
      </c>
      <c r="AF113" s="36">
        <v>539</v>
      </c>
      <c r="AG113" s="368">
        <v>0</v>
      </c>
    </row>
    <row r="114" spans="1:43" ht="15">
      <c r="A114" s="2482"/>
      <c r="B114" s="368">
        <v>55</v>
      </c>
      <c r="C114" s="368">
        <f t="shared" si="4"/>
        <v>269</v>
      </c>
      <c r="D114" s="2475"/>
      <c r="E114" s="269" t="s">
        <v>463</v>
      </c>
      <c r="F114" s="672">
        <v>14</v>
      </c>
      <c r="G114" s="1699">
        <v>13</v>
      </c>
      <c r="H114" s="36">
        <v>0</v>
      </c>
      <c r="I114" s="36">
        <v>0</v>
      </c>
      <c r="J114" s="36">
        <v>450</v>
      </c>
      <c r="K114" s="36">
        <v>1850</v>
      </c>
      <c r="L114" s="36">
        <v>4150</v>
      </c>
      <c r="M114" s="36">
        <v>7550</v>
      </c>
      <c r="N114" s="36">
        <v>15450</v>
      </c>
      <c r="O114" s="36">
        <v>24450</v>
      </c>
      <c r="P114" s="36">
        <v>38450</v>
      </c>
      <c r="Q114" s="36">
        <v>61450</v>
      </c>
      <c r="R114" s="16">
        <v>7500</v>
      </c>
      <c r="S114" s="16">
        <v>15000</v>
      </c>
      <c r="T114" s="16">
        <v>22500</v>
      </c>
      <c r="U114" s="16">
        <v>30000</v>
      </c>
      <c r="V114" s="16">
        <v>37500</v>
      </c>
      <c r="W114" s="16">
        <v>45000</v>
      </c>
      <c r="X114" s="16">
        <v>52500</v>
      </c>
      <c r="Y114" s="16">
        <v>60000</v>
      </c>
      <c r="Z114" s="16">
        <v>67500</v>
      </c>
      <c r="AA114" s="16">
        <v>75000</v>
      </c>
      <c r="AB114" s="36">
        <v>93</v>
      </c>
      <c r="AC114" s="16">
        <v>231</v>
      </c>
      <c r="AD114" s="36">
        <v>298</v>
      </c>
      <c r="AE114" s="16">
        <v>400</v>
      </c>
      <c r="AF114" s="36">
        <v>554</v>
      </c>
      <c r="AG114" s="368">
        <v>0</v>
      </c>
    </row>
    <row r="115" spans="1:43" ht="15">
      <c r="A115" s="2482"/>
      <c r="B115" s="368">
        <v>55</v>
      </c>
      <c r="C115" s="368">
        <f t="shared" si="4"/>
        <v>270</v>
      </c>
      <c r="D115" s="2475"/>
      <c r="E115" s="269" t="s">
        <v>466</v>
      </c>
      <c r="F115" s="672">
        <v>15</v>
      </c>
      <c r="G115" s="1699">
        <v>14</v>
      </c>
      <c r="H115" s="36">
        <v>0</v>
      </c>
      <c r="I115" s="36">
        <v>0</v>
      </c>
      <c r="J115" s="36">
        <v>450</v>
      </c>
      <c r="K115" s="36">
        <v>1350</v>
      </c>
      <c r="L115" s="36">
        <v>3150</v>
      </c>
      <c r="M115" s="36">
        <v>6150</v>
      </c>
      <c r="N115" s="36">
        <v>10650</v>
      </c>
      <c r="O115" s="36">
        <v>18150</v>
      </c>
      <c r="P115" s="36">
        <v>30150</v>
      </c>
      <c r="Q115" s="36">
        <v>48150</v>
      </c>
      <c r="R115" s="16">
        <v>3500</v>
      </c>
      <c r="S115" s="16">
        <v>7000</v>
      </c>
      <c r="T115" s="16">
        <v>10500</v>
      </c>
      <c r="U115" s="16">
        <v>14000</v>
      </c>
      <c r="V115" s="16">
        <v>17500</v>
      </c>
      <c r="W115" s="16">
        <v>21000</v>
      </c>
      <c r="X115" s="16">
        <v>24500</v>
      </c>
      <c r="Y115" s="16">
        <v>28000</v>
      </c>
      <c r="Z115" s="16">
        <v>31500</v>
      </c>
      <c r="AA115" s="16">
        <v>35000</v>
      </c>
      <c r="AB115" s="36">
        <v>27</v>
      </c>
      <c r="AC115" s="16">
        <v>41</v>
      </c>
      <c r="AD115" s="36">
        <v>60</v>
      </c>
      <c r="AE115" s="16">
        <v>90</v>
      </c>
      <c r="AF115" s="36">
        <v>135</v>
      </c>
      <c r="AG115" s="368">
        <v>0</v>
      </c>
    </row>
    <row r="116" spans="1:43" ht="15">
      <c r="A116" s="2482"/>
      <c r="B116" s="368">
        <v>55</v>
      </c>
      <c r="C116" s="368">
        <f t="shared" si="4"/>
        <v>271</v>
      </c>
      <c r="D116" s="2475"/>
      <c r="E116" s="278" t="s">
        <v>417</v>
      </c>
      <c r="F116" s="672">
        <v>16</v>
      </c>
      <c r="G116" s="1699">
        <v>15</v>
      </c>
      <c r="H116" s="36">
        <v>0</v>
      </c>
      <c r="I116" s="36">
        <v>0</v>
      </c>
      <c r="J116" s="36">
        <v>450</v>
      </c>
      <c r="K116" s="36">
        <v>1850</v>
      </c>
      <c r="L116" s="36">
        <v>4150</v>
      </c>
      <c r="M116" s="36">
        <v>7550</v>
      </c>
      <c r="N116" s="36">
        <v>15450</v>
      </c>
      <c r="O116" s="36">
        <v>24450</v>
      </c>
      <c r="P116" s="36">
        <v>38450</v>
      </c>
      <c r="Q116" s="36">
        <v>61450</v>
      </c>
      <c r="R116" s="16">
        <v>7500</v>
      </c>
      <c r="S116" s="16">
        <v>15000</v>
      </c>
      <c r="T116" s="16">
        <v>22500</v>
      </c>
      <c r="U116" s="16">
        <v>30000</v>
      </c>
      <c r="V116" s="16">
        <v>37500</v>
      </c>
      <c r="W116" s="16">
        <v>45000</v>
      </c>
      <c r="X116" s="16">
        <v>52500</v>
      </c>
      <c r="Y116" s="16">
        <v>60000</v>
      </c>
      <c r="Z116" s="16">
        <v>67500</v>
      </c>
      <c r="AA116" s="16">
        <v>75000</v>
      </c>
      <c r="AB116" s="36">
        <v>93</v>
      </c>
      <c r="AC116" s="16">
        <v>231</v>
      </c>
      <c r="AD116" s="36">
        <v>298</v>
      </c>
      <c r="AE116" s="16">
        <v>400</v>
      </c>
      <c r="AF116" s="36">
        <v>554</v>
      </c>
      <c r="AG116" s="368">
        <v>0</v>
      </c>
    </row>
    <row r="117" spans="1:43" ht="15">
      <c r="A117" s="2482"/>
      <c r="B117" s="368">
        <v>55</v>
      </c>
      <c r="C117" s="368">
        <f t="shared" si="4"/>
        <v>272</v>
      </c>
      <c r="D117" s="2475"/>
      <c r="E117" s="278" t="s">
        <v>472</v>
      </c>
      <c r="F117" s="672">
        <v>17</v>
      </c>
      <c r="G117" s="1699">
        <v>16</v>
      </c>
      <c r="H117" s="36">
        <v>0</v>
      </c>
      <c r="I117" s="36">
        <v>0</v>
      </c>
      <c r="J117" s="36">
        <v>450</v>
      </c>
      <c r="K117" s="36">
        <v>1800</v>
      </c>
      <c r="L117" s="36">
        <v>4050</v>
      </c>
      <c r="M117" s="36">
        <v>7800</v>
      </c>
      <c r="N117" s="36">
        <v>15300</v>
      </c>
      <c r="O117" s="36">
        <v>25200</v>
      </c>
      <c r="P117" s="36">
        <v>39600</v>
      </c>
      <c r="Q117" s="36">
        <v>59850</v>
      </c>
      <c r="R117" s="16">
        <v>7500</v>
      </c>
      <c r="S117" s="16">
        <v>15000</v>
      </c>
      <c r="T117" s="16">
        <v>22500</v>
      </c>
      <c r="U117" s="16">
        <v>30000</v>
      </c>
      <c r="V117" s="16">
        <v>37500</v>
      </c>
      <c r="W117" s="16">
        <v>45000</v>
      </c>
      <c r="X117" s="16">
        <v>52500</v>
      </c>
      <c r="Y117" s="16">
        <v>60000</v>
      </c>
      <c r="Z117" s="16">
        <v>67500</v>
      </c>
      <c r="AA117" s="16">
        <v>75000</v>
      </c>
      <c r="AB117" s="36">
        <v>90</v>
      </c>
      <c r="AC117" s="16">
        <v>225</v>
      </c>
      <c r="AD117" s="36">
        <v>290</v>
      </c>
      <c r="AE117" s="16">
        <v>390</v>
      </c>
      <c r="AF117" s="36">
        <v>539</v>
      </c>
      <c r="AG117" s="368">
        <v>0</v>
      </c>
    </row>
    <row r="118" spans="1:43" ht="15">
      <c r="A118" s="2482"/>
      <c r="B118" s="368">
        <v>55</v>
      </c>
      <c r="C118" s="368">
        <f t="shared" si="4"/>
        <v>273</v>
      </c>
      <c r="D118" s="2475"/>
      <c r="E118" s="278" t="s">
        <v>475</v>
      </c>
      <c r="F118" s="672">
        <v>18</v>
      </c>
      <c r="G118" s="1699">
        <v>17</v>
      </c>
      <c r="H118" s="36">
        <v>0</v>
      </c>
      <c r="I118" s="36">
        <v>0</v>
      </c>
      <c r="J118" s="36">
        <v>450</v>
      </c>
      <c r="K118" s="36">
        <v>1850</v>
      </c>
      <c r="L118" s="36">
        <v>4150</v>
      </c>
      <c r="M118" s="36">
        <v>7550</v>
      </c>
      <c r="N118" s="36">
        <v>15450</v>
      </c>
      <c r="O118" s="36">
        <v>24450</v>
      </c>
      <c r="P118" s="36">
        <v>38450</v>
      </c>
      <c r="Q118" s="36">
        <v>61450</v>
      </c>
      <c r="R118" s="16">
        <v>7500</v>
      </c>
      <c r="S118" s="16">
        <v>15000</v>
      </c>
      <c r="T118" s="16">
        <v>22500</v>
      </c>
      <c r="U118" s="16">
        <v>30000</v>
      </c>
      <c r="V118" s="16">
        <v>37500</v>
      </c>
      <c r="W118" s="16">
        <v>45000</v>
      </c>
      <c r="X118" s="16">
        <v>52500</v>
      </c>
      <c r="Y118" s="16">
        <v>60000</v>
      </c>
      <c r="Z118" s="16">
        <v>67500</v>
      </c>
      <c r="AA118" s="16">
        <v>75000</v>
      </c>
      <c r="AB118" s="36">
        <v>93</v>
      </c>
      <c r="AC118" s="16">
        <v>231</v>
      </c>
      <c r="AD118" s="36">
        <v>298</v>
      </c>
      <c r="AE118" s="16">
        <v>400</v>
      </c>
      <c r="AF118" s="36">
        <v>554</v>
      </c>
      <c r="AG118" s="368">
        <v>0</v>
      </c>
    </row>
    <row r="119" spans="1:43" ht="15">
      <c r="A119" s="2482"/>
      <c r="B119" s="368">
        <v>55</v>
      </c>
      <c r="C119" s="368">
        <f t="shared" si="4"/>
        <v>274</v>
      </c>
      <c r="D119" s="2475"/>
      <c r="E119" s="278" t="s">
        <v>478</v>
      </c>
      <c r="F119" s="672">
        <v>19</v>
      </c>
      <c r="G119" s="1699">
        <v>18</v>
      </c>
      <c r="H119" s="36">
        <v>0</v>
      </c>
      <c r="I119" s="36">
        <v>0</v>
      </c>
      <c r="J119" s="36">
        <v>450</v>
      </c>
      <c r="K119" s="36">
        <v>1350</v>
      </c>
      <c r="L119" s="36">
        <v>3150</v>
      </c>
      <c r="M119" s="36">
        <v>6150</v>
      </c>
      <c r="N119" s="36">
        <v>10650</v>
      </c>
      <c r="O119" s="36">
        <v>18150</v>
      </c>
      <c r="P119" s="36">
        <v>30150</v>
      </c>
      <c r="Q119" s="36">
        <v>48150</v>
      </c>
      <c r="R119" s="16">
        <v>3500</v>
      </c>
      <c r="S119" s="16">
        <v>7000</v>
      </c>
      <c r="T119" s="16">
        <v>10500</v>
      </c>
      <c r="U119" s="16">
        <v>14000</v>
      </c>
      <c r="V119" s="16">
        <v>17500</v>
      </c>
      <c r="W119" s="16">
        <v>21000</v>
      </c>
      <c r="X119" s="16">
        <v>24500</v>
      </c>
      <c r="Y119" s="16">
        <v>28000</v>
      </c>
      <c r="Z119" s="16">
        <v>31500</v>
      </c>
      <c r="AA119" s="16">
        <v>35000</v>
      </c>
      <c r="AB119" s="36">
        <v>27</v>
      </c>
      <c r="AC119" s="16">
        <v>41</v>
      </c>
      <c r="AD119" s="36">
        <v>60</v>
      </c>
      <c r="AE119" s="16">
        <v>90</v>
      </c>
      <c r="AF119" s="36">
        <v>135</v>
      </c>
      <c r="AG119" s="368">
        <v>0</v>
      </c>
    </row>
    <row r="120" spans="1:43" ht="15">
      <c r="A120" s="2482"/>
      <c r="E120" s="2447" t="s">
        <v>570</v>
      </c>
      <c r="F120" s="2477" t="s">
        <v>320</v>
      </c>
      <c r="G120" s="2263" t="s">
        <v>321</v>
      </c>
      <c r="H120" s="2448" t="s">
        <v>322</v>
      </c>
      <c r="I120" s="2448"/>
      <c r="J120" s="2448"/>
      <c r="K120" s="2448"/>
      <c r="L120" s="2448"/>
      <c r="M120" s="2448"/>
      <c r="N120" s="2448"/>
      <c r="O120" s="2448"/>
      <c r="P120" s="2448"/>
      <c r="Q120" s="2448"/>
      <c r="R120" s="2448" t="s">
        <v>323</v>
      </c>
      <c r="S120" s="2448"/>
      <c r="T120" s="2448"/>
      <c r="U120" s="2448"/>
      <c r="V120" s="2448"/>
      <c r="W120" s="2448"/>
      <c r="X120" s="2448"/>
      <c r="Y120" s="2448"/>
      <c r="Z120" s="2448"/>
      <c r="AA120" s="2448"/>
      <c r="AB120" s="246" t="s">
        <v>73</v>
      </c>
      <c r="AC120" s="246" t="s">
        <v>74</v>
      </c>
      <c r="AD120" s="246" t="s">
        <v>75</v>
      </c>
      <c r="AE120" s="246" t="s">
        <v>76</v>
      </c>
      <c r="AF120" s="246" t="s">
        <v>77</v>
      </c>
      <c r="AH120" s="2485" t="s">
        <v>867</v>
      </c>
      <c r="AI120" s="2485"/>
      <c r="AJ120" s="2485"/>
      <c r="AK120" s="2485"/>
      <c r="AL120" s="2485"/>
      <c r="AM120" s="2485"/>
      <c r="AN120" s="2485"/>
      <c r="AO120" s="2485"/>
      <c r="AP120" s="2485"/>
      <c r="AQ120" s="2485"/>
    </row>
    <row r="121" spans="1:43" ht="15">
      <c r="A121" s="2482"/>
      <c r="C121" s="368">
        <v>300</v>
      </c>
      <c r="E121" s="2447"/>
      <c r="F121" s="2477"/>
      <c r="G121" s="2263"/>
      <c r="H121" s="1701" t="s">
        <v>347</v>
      </c>
      <c r="I121" s="1701" t="s">
        <v>348</v>
      </c>
      <c r="J121" s="1701" t="s">
        <v>349</v>
      </c>
      <c r="K121" s="1701" t="s">
        <v>350</v>
      </c>
      <c r="L121" s="1701" t="s">
        <v>351</v>
      </c>
      <c r="M121" s="1701" t="s">
        <v>352</v>
      </c>
      <c r="N121" s="1701" t="s">
        <v>353</v>
      </c>
      <c r="O121" s="1701" t="s">
        <v>354</v>
      </c>
      <c r="P121" s="1701" t="s">
        <v>355</v>
      </c>
      <c r="Q121" s="1701" t="s">
        <v>356</v>
      </c>
      <c r="R121" s="1701" t="s">
        <v>347</v>
      </c>
      <c r="S121" s="1701" t="s">
        <v>348</v>
      </c>
      <c r="T121" s="1701" t="s">
        <v>349</v>
      </c>
      <c r="U121" s="1701" t="s">
        <v>350</v>
      </c>
      <c r="V121" s="1701" t="s">
        <v>351</v>
      </c>
      <c r="W121" s="1701" t="s">
        <v>352</v>
      </c>
      <c r="X121" s="1701" t="s">
        <v>353</v>
      </c>
      <c r="Y121" s="1701" t="s">
        <v>354</v>
      </c>
      <c r="Z121" s="1701" t="s">
        <v>355</v>
      </c>
      <c r="AA121" s="1701" t="s">
        <v>356</v>
      </c>
      <c r="AB121" s="1700" t="s">
        <v>357</v>
      </c>
      <c r="AC121" s="1700" t="s">
        <v>357</v>
      </c>
      <c r="AD121" s="1700" t="s">
        <v>357</v>
      </c>
      <c r="AE121" s="1700" t="s">
        <v>357</v>
      </c>
      <c r="AF121" s="1700" t="s">
        <v>357</v>
      </c>
      <c r="AH121" s="1710" t="s">
        <v>868</v>
      </c>
      <c r="AI121" s="1710" t="s">
        <v>869</v>
      </c>
      <c r="AJ121" s="1710" t="s">
        <v>870</v>
      </c>
      <c r="AK121" s="1710" t="s">
        <v>871</v>
      </c>
      <c r="AL121" s="1710" t="s">
        <v>872</v>
      </c>
      <c r="AM121" s="1710" t="s">
        <v>873</v>
      </c>
      <c r="AN121" s="1710" t="s">
        <v>874</v>
      </c>
      <c r="AO121" s="1710" t="s">
        <v>875</v>
      </c>
      <c r="AP121" s="1710" t="s">
        <v>876</v>
      </c>
      <c r="AQ121" s="1710" t="s">
        <v>877</v>
      </c>
    </row>
    <row r="122" spans="1:43" ht="15">
      <c r="A122" s="2482"/>
      <c r="B122" s="368">
        <v>5</v>
      </c>
      <c r="C122" s="368">
        <f>$C$121+F122+B122</f>
        <v>306</v>
      </c>
      <c r="D122" s="2475" t="s">
        <v>683</v>
      </c>
      <c r="E122" s="1083" t="s">
        <v>61</v>
      </c>
      <c r="F122" s="678">
        <v>1</v>
      </c>
      <c r="G122" s="1698">
        <v>0</v>
      </c>
      <c r="H122" s="1701">
        <v>0</v>
      </c>
      <c r="I122" s="1701">
        <v>0</v>
      </c>
      <c r="J122" s="1701">
        <v>0</v>
      </c>
      <c r="K122" s="1701">
        <v>0</v>
      </c>
      <c r="L122" s="1701">
        <v>0</v>
      </c>
      <c r="M122" s="1701">
        <v>0</v>
      </c>
      <c r="N122" s="1701">
        <v>0</v>
      </c>
      <c r="O122" s="1701">
        <v>0</v>
      </c>
      <c r="P122" s="1701">
        <v>0</v>
      </c>
      <c r="Q122" s="1701">
        <v>0</v>
      </c>
      <c r="R122" s="1701">
        <v>0</v>
      </c>
      <c r="S122" s="1701">
        <v>0</v>
      </c>
      <c r="T122" s="1701">
        <v>0</v>
      </c>
      <c r="U122" s="1701">
        <v>0</v>
      </c>
      <c r="V122" s="1701">
        <v>0</v>
      </c>
      <c r="W122" s="1701">
        <v>0</v>
      </c>
      <c r="X122" s="1701">
        <v>0</v>
      </c>
      <c r="Y122" s="1701">
        <v>0</v>
      </c>
      <c r="Z122" s="1701">
        <v>0</v>
      </c>
      <c r="AA122" s="1701">
        <v>0</v>
      </c>
      <c r="AB122" s="1701">
        <v>0</v>
      </c>
      <c r="AC122" s="1701">
        <v>0</v>
      </c>
      <c r="AD122" s="1701">
        <v>0</v>
      </c>
      <c r="AE122" s="1701">
        <v>0</v>
      </c>
      <c r="AF122" s="1701">
        <v>0</v>
      </c>
    </row>
    <row r="123" spans="1:43" ht="15">
      <c r="A123" s="2482"/>
      <c r="B123" s="368">
        <v>5</v>
      </c>
      <c r="C123" s="368">
        <f t="shared" ref="C123:C126" si="13">$C$121+F123+B123</f>
        <v>307</v>
      </c>
      <c r="D123" s="2475"/>
      <c r="E123" s="693" t="s">
        <v>838</v>
      </c>
      <c r="F123" s="674">
        <v>2</v>
      </c>
      <c r="G123" s="1699">
        <v>1</v>
      </c>
      <c r="H123" s="36">
        <v>0</v>
      </c>
      <c r="I123" s="36">
        <v>0</v>
      </c>
      <c r="J123" s="36">
        <v>600</v>
      </c>
      <c r="K123" s="36">
        <v>3000</v>
      </c>
      <c r="L123" s="36">
        <v>9000</v>
      </c>
      <c r="M123" s="36">
        <v>18000</v>
      </c>
      <c r="N123" s="36">
        <v>33000</v>
      </c>
      <c r="O123" s="36">
        <v>57000</v>
      </c>
      <c r="P123" s="36">
        <v>93000</v>
      </c>
      <c r="Q123" s="36">
        <v>153000</v>
      </c>
      <c r="R123" s="16">
        <v>20000</v>
      </c>
      <c r="S123" s="16">
        <v>40000</v>
      </c>
      <c r="T123" s="16">
        <v>60000</v>
      </c>
      <c r="U123" s="16">
        <v>80000</v>
      </c>
      <c r="V123" s="16">
        <v>100000</v>
      </c>
      <c r="W123" s="16">
        <v>120000</v>
      </c>
      <c r="X123" s="16">
        <v>140000</v>
      </c>
      <c r="Y123" s="16">
        <v>160000</v>
      </c>
      <c r="Z123" s="16">
        <v>180000</v>
      </c>
      <c r="AA123" s="16">
        <v>200000</v>
      </c>
      <c r="AB123" s="36">
        <v>90</v>
      </c>
      <c r="AC123" s="16">
        <v>135</v>
      </c>
      <c r="AD123" s="36">
        <v>200</v>
      </c>
      <c r="AE123" s="16">
        <v>300</v>
      </c>
      <c r="AF123" s="36">
        <v>450</v>
      </c>
    </row>
    <row r="124" spans="1:43" ht="15">
      <c r="A124" s="2482"/>
      <c r="B124" s="368">
        <v>5</v>
      </c>
      <c r="C124" s="368">
        <f t="shared" si="13"/>
        <v>308</v>
      </c>
      <c r="D124" s="2475"/>
      <c r="E124" s="693" t="s">
        <v>841</v>
      </c>
      <c r="F124" s="678">
        <v>3</v>
      </c>
      <c r="G124" s="1698">
        <v>2</v>
      </c>
      <c r="H124" s="36">
        <v>0</v>
      </c>
      <c r="I124" s="36">
        <v>0</v>
      </c>
      <c r="J124" s="36">
        <v>600</v>
      </c>
      <c r="K124" s="36">
        <v>3000</v>
      </c>
      <c r="L124" s="36">
        <v>9000</v>
      </c>
      <c r="M124" s="36">
        <v>18000</v>
      </c>
      <c r="N124" s="36">
        <v>33000</v>
      </c>
      <c r="O124" s="36">
        <v>57000</v>
      </c>
      <c r="P124" s="36">
        <v>93000</v>
      </c>
      <c r="Q124" s="36">
        <v>153000</v>
      </c>
      <c r="R124" s="16">
        <v>20000</v>
      </c>
      <c r="S124" s="16">
        <v>40000</v>
      </c>
      <c r="T124" s="16">
        <v>60000</v>
      </c>
      <c r="U124" s="16">
        <v>80000</v>
      </c>
      <c r="V124" s="16">
        <v>100000</v>
      </c>
      <c r="W124" s="16">
        <v>120000</v>
      </c>
      <c r="X124" s="16">
        <v>140000</v>
      </c>
      <c r="Y124" s="16">
        <v>160000</v>
      </c>
      <c r="Z124" s="16">
        <v>180000</v>
      </c>
      <c r="AA124" s="16">
        <v>200000</v>
      </c>
      <c r="AB124" s="36">
        <v>90</v>
      </c>
      <c r="AC124" s="16">
        <v>135</v>
      </c>
      <c r="AD124" s="36">
        <v>200</v>
      </c>
      <c r="AE124" s="16">
        <v>300</v>
      </c>
      <c r="AF124" s="36">
        <v>450</v>
      </c>
    </row>
    <row r="125" spans="1:43" ht="15">
      <c r="A125" s="2482"/>
      <c r="B125" s="368">
        <v>5</v>
      </c>
      <c r="C125" s="368">
        <f>$C$121+F125+B125</f>
        <v>309</v>
      </c>
      <c r="D125" s="2475"/>
      <c r="E125" s="261" t="s">
        <v>516</v>
      </c>
      <c r="F125" s="674">
        <v>4</v>
      </c>
      <c r="G125" s="1699">
        <v>3</v>
      </c>
      <c r="H125" s="36">
        <v>600</v>
      </c>
      <c r="I125" s="36">
        <v>900</v>
      </c>
      <c r="J125" s="36">
        <v>1500</v>
      </c>
      <c r="K125" s="36">
        <v>3900</v>
      </c>
      <c r="L125" s="36">
        <v>9900</v>
      </c>
      <c r="M125" s="36">
        <v>18900</v>
      </c>
      <c r="N125" s="36">
        <v>33900</v>
      </c>
      <c r="O125" s="36">
        <v>57900</v>
      </c>
      <c r="P125" s="36">
        <v>93900</v>
      </c>
      <c r="Q125" s="36">
        <v>153900</v>
      </c>
      <c r="R125" s="16">
        <v>20000</v>
      </c>
      <c r="S125" s="16">
        <v>40000</v>
      </c>
      <c r="T125" s="16">
        <v>60000</v>
      </c>
      <c r="U125" s="16">
        <v>80000</v>
      </c>
      <c r="V125" s="16">
        <v>100000</v>
      </c>
      <c r="W125" s="16">
        <v>120000</v>
      </c>
      <c r="X125" s="16">
        <v>140000</v>
      </c>
      <c r="Y125" s="16">
        <v>160000</v>
      </c>
      <c r="Z125" s="16">
        <v>180000</v>
      </c>
      <c r="AA125" s="16">
        <v>200000</v>
      </c>
      <c r="AB125" s="36">
        <v>90</v>
      </c>
      <c r="AC125" s="16">
        <v>135</v>
      </c>
      <c r="AD125" s="36">
        <v>200</v>
      </c>
      <c r="AE125" s="16">
        <v>300</v>
      </c>
      <c r="AF125" s="36">
        <v>450</v>
      </c>
      <c r="AG125" s="368">
        <v>0</v>
      </c>
    </row>
    <row r="126" spans="1:43" ht="15">
      <c r="A126" s="2482"/>
      <c r="B126" s="368">
        <v>5</v>
      </c>
      <c r="C126" s="368">
        <f t="shared" si="13"/>
        <v>310</v>
      </c>
      <c r="D126" s="2475"/>
      <c r="E126" s="693" t="s">
        <v>839</v>
      </c>
      <c r="F126" s="678">
        <v>5</v>
      </c>
      <c r="G126" s="1698">
        <v>4</v>
      </c>
      <c r="H126" s="36">
        <v>0</v>
      </c>
      <c r="I126" s="36">
        <v>0</v>
      </c>
      <c r="J126" s="36">
        <v>600</v>
      </c>
      <c r="K126" s="36">
        <v>3000</v>
      </c>
      <c r="L126" s="36">
        <v>9000</v>
      </c>
      <c r="M126" s="36">
        <v>18000</v>
      </c>
      <c r="N126" s="36">
        <v>33000</v>
      </c>
      <c r="O126" s="36">
        <v>57000</v>
      </c>
      <c r="P126" s="36">
        <v>93000</v>
      </c>
      <c r="Q126" s="36">
        <v>153000</v>
      </c>
      <c r="R126" s="16">
        <v>20000</v>
      </c>
      <c r="S126" s="16">
        <v>40000</v>
      </c>
      <c r="T126" s="16">
        <v>60000</v>
      </c>
      <c r="U126" s="16">
        <v>80000</v>
      </c>
      <c r="V126" s="16">
        <v>100000</v>
      </c>
      <c r="W126" s="16">
        <v>120000</v>
      </c>
      <c r="X126" s="16">
        <v>140000</v>
      </c>
      <c r="Y126" s="16">
        <v>160000</v>
      </c>
      <c r="Z126" s="16">
        <v>180000</v>
      </c>
      <c r="AA126" s="16">
        <v>200000</v>
      </c>
      <c r="AB126" s="36">
        <v>90</v>
      </c>
      <c r="AC126" s="16">
        <v>135</v>
      </c>
      <c r="AD126" s="36">
        <v>200</v>
      </c>
      <c r="AE126" s="16">
        <v>300</v>
      </c>
      <c r="AF126" s="36">
        <v>450</v>
      </c>
    </row>
    <row r="127" spans="1:43" ht="15">
      <c r="A127" s="2482"/>
      <c r="B127" s="368">
        <v>5</v>
      </c>
      <c r="C127" s="368">
        <f t="shared" ref="C127:C177" si="14">$C$121+F127+B127</f>
        <v>311</v>
      </c>
      <c r="D127" s="2475"/>
      <c r="E127" s="693" t="s">
        <v>840</v>
      </c>
      <c r="F127" s="674">
        <v>6</v>
      </c>
      <c r="G127" s="1699">
        <v>5</v>
      </c>
      <c r="H127" s="36">
        <v>0</v>
      </c>
      <c r="I127" s="36">
        <v>0</v>
      </c>
      <c r="J127" s="36">
        <v>600</v>
      </c>
      <c r="K127" s="36">
        <v>3000</v>
      </c>
      <c r="L127" s="36">
        <v>9000</v>
      </c>
      <c r="M127" s="36">
        <v>18000</v>
      </c>
      <c r="N127" s="36">
        <v>33000</v>
      </c>
      <c r="O127" s="36">
        <v>57000</v>
      </c>
      <c r="P127" s="36">
        <v>93000</v>
      </c>
      <c r="Q127" s="36">
        <v>153000</v>
      </c>
      <c r="R127" s="16">
        <v>20000</v>
      </c>
      <c r="S127" s="16">
        <v>40000</v>
      </c>
      <c r="T127" s="16">
        <v>60000</v>
      </c>
      <c r="U127" s="16">
        <v>80000</v>
      </c>
      <c r="V127" s="16">
        <v>100000</v>
      </c>
      <c r="W127" s="16">
        <v>120000</v>
      </c>
      <c r="X127" s="16">
        <v>140000</v>
      </c>
      <c r="Y127" s="16">
        <v>160000</v>
      </c>
      <c r="Z127" s="16">
        <v>180000</v>
      </c>
      <c r="AA127" s="16">
        <v>200000</v>
      </c>
      <c r="AB127" s="36">
        <v>90</v>
      </c>
      <c r="AC127" s="16">
        <v>135</v>
      </c>
      <c r="AD127" s="36">
        <v>200</v>
      </c>
      <c r="AE127" s="16">
        <v>300</v>
      </c>
      <c r="AF127" s="36">
        <v>450</v>
      </c>
    </row>
    <row r="128" spans="1:43" ht="15">
      <c r="A128" s="2482"/>
      <c r="B128" s="368">
        <v>5</v>
      </c>
      <c r="C128" s="368">
        <f t="shared" si="14"/>
        <v>312</v>
      </c>
      <c r="D128" s="2475"/>
      <c r="E128" s="693" t="s">
        <v>843</v>
      </c>
      <c r="F128" s="678">
        <v>7</v>
      </c>
      <c r="G128" s="1698">
        <v>6</v>
      </c>
      <c r="H128" s="36">
        <v>0</v>
      </c>
      <c r="I128" s="36">
        <v>0</v>
      </c>
      <c r="J128" s="36">
        <v>600</v>
      </c>
      <c r="K128" s="36">
        <v>3000</v>
      </c>
      <c r="L128" s="36">
        <v>9000</v>
      </c>
      <c r="M128" s="36">
        <v>18000</v>
      </c>
      <c r="N128" s="36">
        <v>33000</v>
      </c>
      <c r="O128" s="36">
        <v>57000</v>
      </c>
      <c r="P128" s="36">
        <v>93000</v>
      </c>
      <c r="Q128" s="36">
        <v>153000</v>
      </c>
      <c r="R128" s="16">
        <v>20000</v>
      </c>
      <c r="S128" s="16">
        <v>40000</v>
      </c>
      <c r="T128" s="16">
        <v>60000</v>
      </c>
      <c r="U128" s="16">
        <v>80000</v>
      </c>
      <c r="V128" s="16">
        <v>100000</v>
      </c>
      <c r="W128" s="16">
        <v>120000</v>
      </c>
      <c r="X128" s="16">
        <v>140000</v>
      </c>
      <c r="Y128" s="16">
        <v>160000</v>
      </c>
      <c r="Z128" s="16">
        <v>180000</v>
      </c>
      <c r="AA128" s="16">
        <v>200000</v>
      </c>
      <c r="AB128" s="36">
        <v>90</v>
      </c>
      <c r="AC128" s="16">
        <v>135</v>
      </c>
      <c r="AD128" s="36">
        <v>200</v>
      </c>
      <c r="AE128" s="16">
        <v>300</v>
      </c>
      <c r="AF128" s="36">
        <v>450</v>
      </c>
    </row>
    <row r="129" spans="1:33" ht="15">
      <c r="A129" s="2482"/>
      <c r="B129" s="368">
        <v>5</v>
      </c>
      <c r="C129" s="368">
        <f t="shared" ref="C129" si="15">$C$121+F129+B129</f>
        <v>313</v>
      </c>
      <c r="D129" s="2475"/>
      <c r="E129" s="693" t="s">
        <v>844</v>
      </c>
      <c r="F129" s="674">
        <v>8</v>
      </c>
      <c r="G129" s="1699">
        <v>7</v>
      </c>
      <c r="H129" s="36">
        <v>0</v>
      </c>
      <c r="I129" s="36">
        <v>0</v>
      </c>
      <c r="J129" s="36">
        <v>600</v>
      </c>
      <c r="K129" s="36">
        <v>3000</v>
      </c>
      <c r="L129" s="36">
        <v>9000</v>
      </c>
      <c r="M129" s="36">
        <v>18000</v>
      </c>
      <c r="N129" s="36">
        <v>33000</v>
      </c>
      <c r="O129" s="36">
        <v>57000</v>
      </c>
      <c r="P129" s="36">
        <v>93000</v>
      </c>
      <c r="Q129" s="36">
        <v>153000</v>
      </c>
      <c r="R129" s="16">
        <v>20000</v>
      </c>
      <c r="S129" s="16">
        <v>40000</v>
      </c>
      <c r="T129" s="16">
        <v>60000</v>
      </c>
      <c r="U129" s="16">
        <v>80000</v>
      </c>
      <c r="V129" s="16">
        <v>100000</v>
      </c>
      <c r="W129" s="16">
        <v>120000</v>
      </c>
      <c r="X129" s="16">
        <v>140000</v>
      </c>
      <c r="Y129" s="16">
        <v>160000</v>
      </c>
      <c r="Z129" s="16">
        <v>180000</v>
      </c>
      <c r="AA129" s="16">
        <v>200000</v>
      </c>
      <c r="AB129" s="36">
        <v>90</v>
      </c>
      <c r="AC129" s="16">
        <v>135</v>
      </c>
      <c r="AD129" s="36">
        <v>200</v>
      </c>
      <c r="AE129" s="16">
        <v>300</v>
      </c>
      <c r="AF129" s="36">
        <v>450</v>
      </c>
    </row>
    <row r="130" spans="1:33" ht="15">
      <c r="A130" s="2482"/>
      <c r="B130" s="368">
        <v>5</v>
      </c>
      <c r="C130" s="368">
        <f t="shared" si="14"/>
        <v>314</v>
      </c>
      <c r="D130" s="2475"/>
      <c r="E130" s="261" t="s">
        <v>573</v>
      </c>
      <c r="F130" s="678">
        <v>9</v>
      </c>
      <c r="G130" s="1698">
        <v>8</v>
      </c>
      <c r="H130" s="36">
        <v>0</v>
      </c>
      <c r="I130" s="36">
        <v>0</v>
      </c>
      <c r="J130" s="36">
        <v>600</v>
      </c>
      <c r="K130" s="36">
        <v>3000</v>
      </c>
      <c r="L130" s="36">
        <v>9000</v>
      </c>
      <c r="M130" s="36">
        <v>18000</v>
      </c>
      <c r="N130" s="36">
        <v>33000</v>
      </c>
      <c r="O130" s="36">
        <v>57000</v>
      </c>
      <c r="P130" s="36">
        <v>93000</v>
      </c>
      <c r="Q130" s="36">
        <v>153000</v>
      </c>
      <c r="R130" s="16">
        <v>20000</v>
      </c>
      <c r="S130" s="16">
        <v>40000</v>
      </c>
      <c r="T130" s="16">
        <v>60000</v>
      </c>
      <c r="U130" s="16">
        <v>80000</v>
      </c>
      <c r="V130" s="16">
        <v>100000</v>
      </c>
      <c r="W130" s="16">
        <v>120000</v>
      </c>
      <c r="X130" s="16">
        <v>140000</v>
      </c>
      <c r="Y130" s="16">
        <v>160000</v>
      </c>
      <c r="Z130" s="16">
        <v>180000</v>
      </c>
      <c r="AA130" s="16">
        <v>200000</v>
      </c>
      <c r="AB130" s="36">
        <v>90</v>
      </c>
      <c r="AC130" s="16">
        <v>135</v>
      </c>
      <c r="AD130" s="36">
        <v>200</v>
      </c>
      <c r="AE130" s="16">
        <v>300</v>
      </c>
      <c r="AF130" s="36">
        <v>450</v>
      </c>
      <c r="AG130" s="368">
        <v>0</v>
      </c>
    </row>
    <row r="131" spans="1:33" ht="15">
      <c r="A131" s="2482"/>
      <c r="B131" s="368">
        <v>5</v>
      </c>
      <c r="C131" s="368">
        <f t="shared" si="14"/>
        <v>315</v>
      </c>
      <c r="D131" s="2475"/>
      <c r="E131" s="261" t="s">
        <v>574</v>
      </c>
      <c r="F131" s="674">
        <v>10</v>
      </c>
      <c r="G131" s="1699">
        <v>9</v>
      </c>
      <c r="H131" s="36">
        <v>0</v>
      </c>
      <c r="I131" s="36">
        <v>0</v>
      </c>
      <c r="J131" s="36">
        <v>600</v>
      </c>
      <c r="K131" s="36">
        <v>3000</v>
      </c>
      <c r="L131" s="36">
        <v>9000</v>
      </c>
      <c r="M131" s="36">
        <v>18000</v>
      </c>
      <c r="N131" s="36">
        <v>33000</v>
      </c>
      <c r="O131" s="36">
        <v>57000</v>
      </c>
      <c r="P131" s="36">
        <v>93000</v>
      </c>
      <c r="Q131" s="36">
        <v>153000</v>
      </c>
      <c r="R131" s="16">
        <v>20000</v>
      </c>
      <c r="S131" s="16">
        <v>40000</v>
      </c>
      <c r="T131" s="16">
        <v>60000</v>
      </c>
      <c r="U131" s="16">
        <v>80000</v>
      </c>
      <c r="V131" s="16">
        <v>100000</v>
      </c>
      <c r="W131" s="16">
        <v>120000</v>
      </c>
      <c r="X131" s="16">
        <v>140000</v>
      </c>
      <c r="Y131" s="16">
        <v>160000</v>
      </c>
      <c r="Z131" s="16">
        <v>180000</v>
      </c>
      <c r="AA131" s="16">
        <v>200000</v>
      </c>
      <c r="AB131" s="36">
        <v>90</v>
      </c>
      <c r="AC131" s="16">
        <v>135</v>
      </c>
      <c r="AD131" s="36">
        <v>200</v>
      </c>
      <c r="AE131" s="16">
        <v>300</v>
      </c>
      <c r="AF131" s="36">
        <v>450</v>
      </c>
      <c r="AG131" s="368">
        <v>0</v>
      </c>
    </row>
    <row r="132" spans="1:33" ht="15">
      <c r="A132" s="2482"/>
      <c r="B132" s="368">
        <v>5</v>
      </c>
      <c r="C132" s="368">
        <f t="shared" si="14"/>
        <v>316</v>
      </c>
      <c r="D132" s="2475"/>
      <c r="E132" s="693" t="s">
        <v>813</v>
      </c>
      <c r="F132" s="678">
        <v>11</v>
      </c>
      <c r="G132" s="1698">
        <v>10</v>
      </c>
      <c r="H132" s="36">
        <v>0</v>
      </c>
      <c r="I132" s="36">
        <v>0</v>
      </c>
      <c r="J132" s="36">
        <v>600</v>
      </c>
      <c r="K132" s="36">
        <v>3000</v>
      </c>
      <c r="L132" s="36">
        <v>9000</v>
      </c>
      <c r="M132" s="36">
        <v>18000</v>
      </c>
      <c r="N132" s="36">
        <v>33000</v>
      </c>
      <c r="O132" s="36">
        <v>57000</v>
      </c>
      <c r="P132" s="36">
        <v>93000</v>
      </c>
      <c r="Q132" s="36">
        <v>153000</v>
      </c>
      <c r="R132" s="16">
        <v>10000</v>
      </c>
      <c r="S132" s="16">
        <v>20000</v>
      </c>
      <c r="T132" s="16">
        <v>30000</v>
      </c>
      <c r="U132" s="16">
        <v>40000</v>
      </c>
      <c r="V132" s="16">
        <v>50000</v>
      </c>
      <c r="W132" s="16">
        <v>60000</v>
      </c>
      <c r="X132" s="16">
        <v>70000</v>
      </c>
      <c r="Y132" s="16">
        <v>80000</v>
      </c>
      <c r="Z132" s="16">
        <v>90000</v>
      </c>
      <c r="AA132" s="16">
        <v>100000</v>
      </c>
      <c r="AB132" s="36">
        <v>90</v>
      </c>
      <c r="AC132" s="16">
        <v>135</v>
      </c>
      <c r="AD132" s="36">
        <v>200</v>
      </c>
      <c r="AE132" s="16">
        <v>300</v>
      </c>
      <c r="AF132" s="36">
        <v>450</v>
      </c>
      <c r="AG132" s="368">
        <v>0</v>
      </c>
    </row>
    <row r="133" spans="1:33" ht="15">
      <c r="A133" s="2482"/>
      <c r="B133" s="368">
        <v>5</v>
      </c>
      <c r="C133" s="368">
        <f>$C$121+F133+B133</f>
        <v>317</v>
      </c>
      <c r="D133" s="2475"/>
      <c r="E133" s="261" t="s">
        <v>592</v>
      </c>
      <c r="F133" s="674">
        <v>12</v>
      </c>
      <c r="G133" s="1699">
        <v>11</v>
      </c>
      <c r="H133" s="36">
        <v>300</v>
      </c>
      <c r="I133" s="36">
        <v>300</v>
      </c>
      <c r="J133" s="36">
        <v>1200</v>
      </c>
      <c r="K133" s="36">
        <v>4800</v>
      </c>
      <c r="L133" s="36">
        <v>13800</v>
      </c>
      <c r="M133" s="36">
        <v>27300</v>
      </c>
      <c r="N133" s="36">
        <v>49800</v>
      </c>
      <c r="O133" s="36">
        <v>85800</v>
      </c>
      <c r="P133" s="36">
        <v>139800</v>
      </c>
      <c r="Q133" s="36">
        <v>229800</v>
      </c>
      <c r="R133" s="16">
        <v>15000</v>
      </c>
      <c r="S133" s="16">
        <v>30000</v>
      </c>
      <c r="T133" s="16">
        <v>45000</v>
      </c>
      <c r="U133" s="16">
        <v>60000</v>
      </c>
      <c r="V133" s="16">
        <v>75000</v>
      </c>
      <c r="W133" s="16">
        <v>90000</v>
      </c>
      <c r="X133" s="16">
        <v>105000</v>
      </c>
      <c r="Y133" s="16">
        <v>120000</v>
      </c>
      <c r="Z133" s="16">
        <v>135000</v>
      </c>
      <c r="AA133" s="16">
        <v>150000</v>
      </c>
      <c r="AB133" s="36">
        <v>90</v>
      </c>
      <c r="AC133" s="16">
        <v>135</v>
      </c>
      <c r="AD133" s="36">
        <v>200</v>
      </c>
      <c r="AE133" s="16">
        <v>300</v>
      </c>
      <c r="AF133" s="36">
        <v>450</v>
      </c>
      <c r="AG133" s="368">
        <v>0</v>
      </c>
    </row>
    <row r="134" spans="1:33" ht="15">
      <c r="A134" s="2482"/>
      <c r="B134" s="368">
        <v>5</v>
      </c>
      <c r="C134" s="368">
        <f t="shared" si="14"/>
        <v>318</v>
      </c>
      <c r="D134" s="2475"/>
      <c r="E134" s="693" t="s">
        <v>847</v>
      </c>
      <c r="F134" s="678">
        <v>13</v>
      </c>
      <c r="G134" s="1698">
        <v>12</v>
      </c>
      <c r="H134" s="36">
        <v>0</v>
      </c>
      <c r="I134" s="36">
        <v>0</v>
      </c>
      <c r="J134" s="36">
        <v>600</v>
      </c>
      <c r="K134" s="36">
        <v>3000</v>
      </c>
      <c r="L134" s="36">
        <v>9000</v>
      </c>
      <c r="M134" s="36">
        <v>18000</v>
      </c>
      <c r="N134" s="36">
        <v>33000</v>
      </c>
      <c r="O134" s="36">
        <v>57000</v>
      </c>
      <c r="P134" s="36">
        <v>93000</v>
      </c>
      <c r="Q134" s="36">
        <v>153000</v>
      </c>
      <c r="R134" s="16">
        <v>20000</v>
      </c>
      <c r="S134" s="16">
        <v>40000</v>
      </c>
      <c r="T134" s="16">
        <v>60000</v>
      </c>
      <c r="U134" s="16">
        <v>80000</v>
      </c>
      <c r="V134" s="16">
        <v>100000</v>
      </c>
      <c r="W134" s="16">
        <v>120000</v>
      </c>
      <c r="X134" s="16">
        <v>140000</v>
      </c>
      <c r="Y134" s="16">
        <v>160000</v>
      </c>
      <c r="Z134" s="16">
        <v>180000</v>
      </c>
      <c r="AA134" s="16">
        <v>200000</v>
      </c>
      <c r="AB134" s="36">
        <v>90</v>
      </c>
      <c r="AC134" s="16">
        <v>135</v>
      </c>
      <c r="AD134" s="36">
        <v>200</v>
      </c>
      <c r="AE134" s="16">
        <v>300</v>
      </c>
      <c r="AF134" s="36">
        <v>450</v>
      </c>
      <c r="AG134" s="368">
        <v>0</v>
      </c>
    </row>
    <row r="135" spans="1:33" ht="15">
      <c r="A135" s="2482"/>
      <c r="B135" s="368">
        <v>5</v>
      </c>
      <c r="C135" s="368">
        <f t="shared" ref="C135" si="16">$C$121+F135+B135</f>
        <v>319</v>
      </c>
      <c r="D135" s="2475"/>
      <c r="E135" s="693" t="s">
        <v>848</v>
      </c>
      <c r="F135" s="674">
        <v>14</v>
      </c>
      <c r="G135" s="1699">
        <v>13</v>
      </c>
      <c r="H135" s="36">
        <v>0</v>
      </c>
      <c r="I135" s="36">
        <v>0</v>
      </c>
      <c r="J135" s="36">
        <v>600</v>
      </c>
      <c r="K135" s="36">
        <v>3000</v>
      </c>
      <c r="L135" s="36">
        <v>9000</v>
      </c>
      <c r="M135" s="36">
        <v>18000</v>
      </c>
      <c r="N135" s="36">
        <v>33000</v>
      </c>
      <c r="O135" s="36">
        <v>57000</v>
      </c>
      <c r="P135" s="36">
        <v>93000</v>
      </c>
      <c r="Q135" s="36">
        <v>153000</v>
      </c>
      <c r="R135" s="16">
        <v>20000</v>
      </c>
      <c r="S135" s="16">
        <v>40000</v>
      </c>
      <c r="T135" s="16">
        <v>60000</v>
      </c>
      <c r="U135" s="16">
        <v>80000</v>
      </c>
      <c r="V135" s="16">
        <v>100000</v>
      </c>
      <c r="W135" s="16">
        <v>120000</v>
      </c>
      <c r="X135" s="16">
        <v>140000</v>
      </c>
      <c r="Y135" s="16">
        <v>160000</v>
      </c>
      <c r="Z135" s="16">
        <v>180000</v>
      </c>
      <c r="AA135" s="16">
        <v>200000</v>
      </c>
      <c r="AB135" s="36">
        <v>90</v>
      </c>
      <c r="AC135" s="16">
        <v>135</v>
      </c>
      <c r="AD135" s="36">
        <v>200</v>
      </c>
      <c r="AE135" s="16">
        <v>300</v>
      </c>
      <c r="AF135" s="36">
        <v>450</v>
      </c>
      <c r="AG135" s="368">
        <v>0</v>
      </c>
    </row>
    <row r="136" spans="1:33" ht="15">
      <c r="A136" s="2482"/>
      <c r="B136" s="368">
        <v>5</v>
      </c>
      <c r="C136" s="368">
        <f>$C$121+F136+B136</f>
        <v>320</v>
      </c>
      <c r="D136" s="2475"/>
      <c r="E136" s="261" t="s">
        <v>594</v>
      </c>
      <c r="F136" s="678">
        <v>15</v>
      </c>
      <c r="G136" s="1698">
        <v>14</v>
      </c>
      <c r="H136" s="36">
        <v>600</v>
      </c>
      <c r="I136" s="36">
        <v>900</v>
      </c>
      <c r="J136" s="36">
        <v>1500</v>
      </c>
      <c r="K136" s="36">
        <v>3900</v>
      </c>
      <c r="L136" s="36">
        <v>9900</v>
      </c>
      <c r="M136" s="36">
        <v>18900</v>
      </c>
      <c r="N136" s="36">
        <v>33900</v>
      </c>
      <c r="O136" s="36">
        <v>57900</v>
      </c>
      <c r="P136" s="36">
        <v>93900</v>
      </c>
      <c r="Q136" s="36">
        <v>153900</v>
      </c>
      <c r="R136" s="16">
        <v>20000</v>
      </c>
      <c r="S136" s="16">
        <v>40000</v>
      </c>
      <c r="T136" s="16">
        <v>60000</v>
      </c>
      <c r="U136" s="16">
        <v>80000</v>
      </c>
      <c r="V136" s="16">
        <v>100000</v>
      </c>
      <c r="W136" s="16">
        <v>120000</v>
      </c>
      <c r="X136" s="16">
        <v>140000</v>
      </c>
      <c r="Y136" s="16">
        <v>160000</v>
      </c>
      <c r="Z136" s="16">
        <v>180000</v>
      </c>
      <c r="AA136" s="16">
        <v>200000</v>
      </c>
      <c r="AB136" s="36">
        <v>90</v>
      </c>
      <c r="AC136" s="16">
        <v>135</v>
      </c>
      <c r="AD136" s="36">
        <v>200</v>
      </c>
      <c r="AE136" s="16">
        <v>300</v>
      </c>
      <c r="AF136" s="36">
        <v>450</v>
      </c>
      <c r="AG136" s="368">
        <v>0</v>
      </c>
    </row>
    <row r="137" spans="1:33" ht="15">
      <c r="A137" s="2482"/>
      <c r="B137" s="368">
        <v>5</v>
      </c>
      <c r="C137" s="368">
        <f>$C$121+F137+B137</f>
        <v>321</v>
      </c>
      <c r="D137" s="2475"/>
      <c r="E137" s="693" t="s">
        <v>849</v>
      </c>
      <c r="F137" s="674">
        <v>16</v>
      </c>
      <c r="G137" s="1699">
        <v>15</v>
      </c>
      <c r="H137" s="36">
        <v>0</v>
      </c>
      <c r="I137" s="36">
        <v>0</v>
      </c>
      <c r="J137" s="36">
        <v>600</v>
      </c>
      <c r="K137" s="36">
        <v>3000</v>
      </c>
      <c r="L137" s="36">
        <v>9000</v>
      </c>
      <c r="M137" s="36">
        <v>18000</v>
      </c>
      <c r="N137" s="36">
        <v>33000</v>
      </c>
      <c r="O137" s="36">
        <v>57000</v>
      </c>
      <c r="P137" s="36">
        <v>93000</v>
      </c>
      <c r="Q137" s="36">
        <v>153000</v>
      </c>
      <c r="R137" s="16">
        <v>20000</v>
      </c>
      <c r="S137" s="16">
        <v>40000</v>
      </c>
      <c r="T137" s="16">
        <v>60000</v>
      </c>
      <c r="U137" s="16">
        <v>80000</v>
      </c>
      <c r="V137" s="16">
        <v>100000</v>
      </c>
      <c r="W137" s="16">
        <v>120000</v>
      </c>
      <c r="X137" s="16">
        <v>140000</v>
      </c>
      <c r="Y137" s="16">
        <v>160000</v>
      </c>
      <c r="Z137" s="16">
        <v>180000</v>
      </c>
      <c r="AA137" s="16">
        <v>200000</v>
      </c>
      <c r="AB137" s="36">
        <v>90</v>
      </c>
      <c r="AC137" s="16">
        <v>135</v>
      </c>
      <c r="AD137" s="36">
        <v>200</v>
      </c>
      <c r="AE137" s="16">
        <v>300</v>
      </c>
      <c r="AF137" s="36">
        <v>450</v>
      </c>
      <c r="AG137" s="368">
        <v>0</v>
      </c>
    </row>
    <row r="138" spans="1:33" ht="15">
      <c r="A138" s="2482"/>
      <c r="B138" s="368">
        <v>5</v>
      </c>
      <c r="C138" s="368">
        <f>$C$121+F138+B138</f>
        <v>322</v>
      </c>
      <c r="D138" s="2475"/>
      <c r="E138" s="693" t="s">
        <v>850</v>
      </c>
      <c r="F138" s="678">
        <v>17</v>
      </c>
      <c r="G138" s="1698">
        <v>16</v>
      </c>
      <c r="H138" s="36">
        <v>0</v>
      </c>
      <c r="I138" s="36">
        <v>0</v>
      </c>
      <c r="J138" s="36">
        <v>600</v>
      </c>
      <c r="K138" s="36">
        <v>3000</v>
      </c>
      <c r="L138" s="36">
        <v>9000</v>
      </c>
      <c r="M138" s="36">
        <v>18000</v>
      </c>
      <c r="N138" s="36">
        <v>33000</v>
      </c>
      <c r="O138" s="36">
        <v>57000</v>
      </c>
      <c r="P138" s="36">
        <v>93000</v>
      </c>
      <c r="Q138" s="36">
        <v>153000</v>
      </c>
      <c r="R138" s="16">
        <v>20000</v>
      </c>
      <c r="S138" s="16">
        <v>40000</v>
      </c>
      <c r="T138" s="16">
        <v>60000</v>
      </c>
      <c r="U138" s="16">
        <v>80000</v>
      </c>
      <c r="V138" s="16">
        <v>100000</v>
      </c>
      <c r="W138" s="16">
        <v>120000</v>
      </c>
      <c r="X138" s="16">
        <v>140000</v>
      </c>
      <c r="Y138" s="16">
        <v>160000</v>
      </c>
      <c r="Z138" s="16">
        <v>180000</v>
      </c>
      <c r="AA138" s="16">
        <v>200000</v>
      </c>
      <c r="AB138" s="36">
        <v>90</v>
      </c>
      <c r="AC138" s="16">
        <v>135</v>
      </c>
      <c r="AD138" s="36">
        <v>200</v>
      </c>
      <c r="AE138" s="16">
        <v>300</v>
      </c>
      <c r="AF138" s="36">
        <v>450</v>
      </c>
      <c r="AG138" s="368">
        <v>0</v>
      </c>
    </row>
    <row r="139" spans="1:33" ht="15">
      <c r="A139" s="2482"/>
      <c r="B139" s="368">
        <v>25</v>
      </c>
      <c r="C139" s="368">
        <f t="shared" si="14"/>
        <v>326</v>
      </c>
      <c r="D139" s="2475" t="s">
        <v>698</v>
      </c>
      <c r="E139" s="1604" t="s">
        <v>61</v>
      </c>
      <c r="F139" s="671">
        <v>1</v>
      </c>
      <c r="G139" s="1699">
        <v>0</v>
      </c>
      <c r="H139" s="36"/>
      <c r="I139" s="36"/>
      <c r="J139" s="36"/>
      <c r="K139" s="36"/>
      <c r="L139" s="36"/>
      <c r="M139" s="36"/>
      <c r="N139" s="36"/>
      <c r="O139" s="36"/>
      <c r="P139" s="36"/>
      <c r="Q139" s="36"/>
      <c r="R139" s="16"/>
      <c r="S139" s="16"/>
      <c r="T139" s="16"/>
      <c r="U139" s="16"/>
      <c r="V139" s="16"/>
      <c r="W139" s="16"/>
      <c r="X139" s="16"/>
      <c r="Y139" s="16"/>
      <c r="Z139" s="16"/>
      <c r="AA139" s="16"/>
      <c r="AB139" s="36"/>
      <c r="AC139" s="16"/>
      <c r="AD139" s="36"/>
      <c r="AE139" s="16"/>
      <c r="AF139" s="36"/>
      <c r="AG139" s="368">
        <v>0</v>
      </c>
    </row>
    <row r="140" spans="1:33" ht="15">
      <c r="A140" s="2482"/>
      <c r="B140" s="368">
        <v>25</v>
      </c>
      <c r="C140" s="368">
        <f t="shared" si="14"/>
        <v>327</v>
      </c>
      <c r="D140" s="2475"/>
      <c r="E140" s="668" t="s">
        <v>718</v>
      </c>
      <c r="F140" s="671">
        <v>2</v>
      </c>
      <c r="G140" s="1699">
        <v>1</v>
      </c>
      <c r="H140" s="36">
        <v>0</v>
      </c>
      <c r="I140" s="36">
        <v>0</v>
      </c>
      <c r="J140" s="36">
        <v>600</v>
      </c>
      <c r="K140" s="36">
        <v>3000</v>
      </c>
      <c r="L140" s="36">
        <v>7200</v>
      </c>
      <c r="M140" s="36">
        <v>13800</v>
      </c>
      <c r="N140" s="36">
        <v>23800</v>
      </c>
      <c r="O140" s="36">
        <v>38800</v>
      </c>
      <c r="P140" s="36">
        <v>62800</v>
      </c>
      <c r="Q140" s="36">
        <v>98800</v>
      </c>
      <c r="R140" s="16">
        <v>16000</v>
      </c>
      <c r="S140" s="16">
        <v>32000</v>
      </c>
      <c r="T140" s="16">
        <v>48000</v>
      </c>
      <c r="U140" s="16">
        <v>64000</v>
      </c>
      <c r="V140" s="16">
        <v>80000</v>
      </c>
      <c r="W140" s="16">
        <v>96000</v>
      </c>
      <c r="X140" s="16">
        <v>112000</v>
      </c>
      <c r="Y140" s="16">
        <v>128000</v>
      </c>
      <c r="Z140" s="16">
        <v>144000</v>
      </c>
      <c r="AA140" s="16">
        <v>160000</v>
      </c>
      <c r="AB140" s="36">
        <v>149</v>
      </c>
      <c r="AC140" s="16">
        <v>371</v>
      </c>
      <c r="AD140" s="36">
        <v>478</v>
      </c>
      <c r="AE140" s="16">
        <v>643</v>
      </c>
      <c r="AF140" s="36">
        <v>890</v>
      </c>
      <c r="AG140" s="368">
        <v>0</v>
      </c>
    </row>
    <row r="141" spans="1:33" ht="15">
      <c r="A141" s="2482"/>
      <c r="B141" s="368">
        <v>25</v>
      </c>
      <c r="C141" s="368">
        <f t="shared" ref="C141:C145" si="17">$C$121+F141+B141</f>
        <v>328</v>
      </c>
      <c r="D141" s="2475"/>
      <c r="E141" s="668" t="s">
        <v>658</v>
      </c>
      <c r="F141" s="671">
        <v>3</v>
      </c>
      <c r="G141" s="1699">
        <v>2</v>
      </c>
      <c r="H141" s="36">
        <v>0</v>
      </c>
      <c r="I141" s="36">
        <v>0</v>
      </c>
      <c r="J141" s="36">
        <v>600</v>
      </c>
      <c r="K141" s="36">
        <v>3000</v>
      </c>
      <c r="L141" s="36">
        <v>7200</v>
      </c>
      <c r="M141" s="36">
        <v>13800</v>
      </c>
      <c r="N141" s="36">
        <v>23800</v>
      </c>
      <c r="O141" s="36">
        <v>38800</v>
      </c>
      <c r="P141" s="36">
        <v>62800</v>
      </c>
      <c r="Q141" s="36">
        <v>98800</v>
      </c>
      <c r="R141" s="16">
        <v>16000</v>
      </c>
      <c r="S141" s="16">
        <v>32000</v>
      </c>
      <c r="T141" s="16">
        <v>48000</v>
      </c>
      <c r="U141" s="16">
        <v>64000</v>
      </c>
      <c r="V141" s="16">
        <v>80000</v>
      </c>
      <c r="W141" s="16">
        <v>96000</v>
      </c>
      <c r="X141" s="16">
        <v>112000</v>
      </c>
      <c r="Y141" s="16">
        <v>128000</v>
      </c>
      <c r="Z141" s="16">
        <v>144000</v>
      </c>
      <c r="AA141" s="16">
        <v>160000</v>
      </c>
      <c r="AB141" s="36">
        <v>149</v>
      </c>
      <c r="AC141" s="16">
        <v>371</v>
      </c>
      <c r="AD141" s="36">
        <v>478</v>
      </c>
      <c r="AE141" s="16">
        <v>643</v>
      </c>
      <c r="AF141" s="36">
        <v>890</v>
      </c>
      <c r="AG141" s="368">
        <v>0</v>
      </c>
    </row>
    <row r="142" spans="1:33" ht="15">
      <c r="A142" s="2482"/>
      <c r="B142" s="368">
        <v>25</v>
      </c>
      <c r="C142" s="368">
        <f t="shared" ref="C142:C144" si="18">$C$121+F142+B142</f>
        <v>329</v>
      </c>
      <c r="D142" s="2475"/>
      <c r="E142" s="668" t="s">
        <v>851</v>
      </c>
      <c r="F142" s="671">
        <v>4</v>
      </c>
      <c r="G142" s="1699">
        <v>3</v>
      </c>
      <c r="H142" s="36">
        <v>0</v>
      </c>
      <c r="I142" s="36">
        <v>0</v>
      </c>
      <c r="J142" s="36">
        <v>600</v>
      </c>
      <c r="K142" s="36">
        <v>3000</v>
      </c>
      <c r="L142" s="36">
        <v>7200</v>
      </c>
      <c r="M142" s="36">
        <v>13800</v>
      </c>
      <c r="N142" s="36">
        <v>23800</v>
      </c>
      <c r="O142" s="36">
        <v>38800</v>
      </c>
      <c r="P142" s="36">
        <v>62800</v>
      </c>
      <c r="Q142" s="36">
        <v>98800</v>
      </c>
      <c r="R142" s="16">
        <v>16000</v>
      </c>
      <c r="S142" s="16">
        <v>32000</v>
      </c>
      <c r="T142" s="16">
        <v>48000</v>
      </c>
      <c r="U142" s="16">
        <v>64000</v>
      </c>
      <c r="V142" s="16">
        <v>80000</v>
      </c>
      <c r="W142" s="16">
        <v>96000</v>
      </c>
      <c r="X142" s="16">
        <v>112000</v>
      </c>
      <c r="Y142" s="16">
        <v>128000</v>
      </c>
      <c r="Z142" s="16">
        <v>144000</v>
      </c>
      <c r="AA142" s="16">
        <v>160000</v>
      </c>
      <c r="AB142" s="36">
        <v>149</v>
      </c>
      <c r="AC142" s="16">
        <v>371</v>
      </c>
      <c r="AD142" s="36">
        <v>478</v>
      </c>
      <c r="AE142" s="16">
        <v>643</v>
      </c>
      <c r="AF142" s="36">
        <v>890</v>
      </c>
      <c r="AG142" s="368">
        <v>0</v>
      </c>
    </row>
    <row r="143" spans="1:33" ht="15">
      <c r="A143" s="2482"/>
      <c r="B143" s="368">
        <v>25</v>
      </c>
      <c r="C143" s="368">
        <f t="shared" si="18"/>
        <v>330</v>
      </c>
      <c r="D143" s="2475"/>
      <c r="E143" s="668" t="s">
        <v>852</v>
      </c>
      <c r="F143" s="671">
        <v>5</v>
      </c>
      <c r="G143" s="1699">
        <v>4</v>
      </c>
      <c r="H143" s="36">
        <v>0</v>
      </c>
      <c r="I143" s="36">
        <v>0</v>
      </c>
      <c r="J143" s="36">
        <v>600</v>
      </c>
      <c r="K143" s="36">
        <v>3000</v>
      </c>
      <c r="L143" s="36">
        <v>7200</v>
      </c>
      <c r="M143" s="36">
        <v>13800</v>
      </c>
      <c r="N143" s="36">
        <v>23800</v>
      </c>
      <c r="O143" s="36">
        <v>38800</v>
      </c>
      <c r="P143" s="36">
        <v>62800</v>
      </c>
      <c r="Q143" s="36">
        <v>98800</v>
      </c>
      <c r="R143" s="16">
        <v>16000</v>
      </c>
      <c r="S143" s="16">
        <v>32000</v>
      </c>
      <c r="T143" s="16">
        <v>48000</v>
      </c>
      <c r="U143" s="16">
        <v>64000</v>
      </c>
      <c r="V143" s="16">
        <v>80000</v>
      </c>
      <c r="W143" s="16">
        <v>96000</v>
      </c>
      <c r="X143" s="16">
        <v>112000</v>
      </c>
      <c r="Y143" s="16">
        <v>128000</v>
      </c>
      <c r="Z143" s="16">
        <v>144000</v>
      </c>
      <c r="AA143" s="16">
        <v>160000</v>
      </c>
      <c r="AB143" s="36">
        <v>149</v>
      </c>
      <c r="AC143" s="16">
        <v>371</v>
      </c>
      <c r="AD143" s="36">
        <v>478</v>
      </c>
      <c r="AE143" s="16">
        <v>643</v>
      </c>
      <c r="AF143" s="36">
        <v>890</v>
      </c>
      <c r="AG143" s="368">
        <v>0</v>
      </c>
    </row>
    <row r="144" spans="1:33" ht="15">
      <c r="A144" s="2482"/>
      <c r="B144" s="368">
        <v>25</v>
      </c>
      <c r="C144" s="368">
        <f t="shared" si="18"/>
        <v>331</v>
      </c>
      <c r="D144" s="2475"/>
      <c r="E144" s="668" t="s">
        <v>853</v>
      </c>
      <c r="F144" s="671">
        <v>6</v>
      </c>
      <c r="G144" s="1699">
        <v>5</v>
      </c>
      <c r="H144" s="36">
        <v>0</v>
      </c>
      <c r="I144" s="36">
        <v>0</v>
      </c>
      <c r="J144" s="36">
        <v>600</v>
      </c>
      <c r="K144" s="36">
        <v>3000</v>
      </c>
      <c r="L144" s="36">
        <v>7200</v>
      </c>
      <c r="M144" s="36">
        <v>13800</v>
      </c>
      <c r="N144" s="36">
        <v>23800</v>
      </c>
      <c r="O144" s="36">
        <v>38800</v>
      </c>
      <c r="P144" s="36">
        <v>62800</v>
      </c>
      <c r="Q144" s="36">
        <v>98800</v>
      </c>
      <c r="R144" s="16">
        <v>16000</v>
      </c>
      <c r="S144" s="16">
        <v>32000</v>
      </c>
      <c r="T144" s="16">
        <v>48000</v>
      </c>
      <c r="U144" s="16">
        <v>64000</v>
      </c>
      <c r="V144" s="16">
        <v>80000</v>
      </c>
      <c r="W144" s="16">
        <v>96000</v>
      </c>
      <c r="X144" s="16">
        <v>112000</v>
      </c>
      <c r="Y144" s="16">
        <v>128000</v>
      </c>
      <c r="Z144" s="16">
        <v>144000</v>
      </c>
      <c r="AA144" s="16">
        <v>160000</v>
      </c>
      <c r="AB144" s="36">
        <v>149</v>
      </c>
      <c r="AC144" s="16">
        <v>371</v>
      </c>
      <c r="AD144" s="36">
        <v>478</v>
      </c>
      <c r="AE144" s="16">
        <v>643</v>
      </c>
      <c r="AF144" s="36">
        <v>890</v>
      </c>
      <c r="AG144" s="368">
        <v>0</v>
      </c>
    </row>
    <row r="145" spans="1:33" ht="15">
      <c r="A145" s="2482"/>
      <c r="B145" s="368">
        <v>25</v>
      </c>
      <c r="C145" s="368">
        <f t="shared" si="17"/>
        <v>332</v>
      </c>
      <c r="D145" s="2475"/>
      <c r="E145" s="668" t="s">
        <v>854</v>
      </c>
      <c r="F145" s="671">
        <v>7</v>
      </c>
      <c r="G145" s="1699">
        <v>6</v>
      </c>
      <c r="H145" s="36">
        <v>0</v>
      </c>
      <c r="I145" s="36">
        <v>0</v>
      </c>
      <c r="J145" s="36">
        <v>600</v>
      </c>
      <c r="K145" s="36">
        <v>3000</v>
      </c>
      <c r="L145" s="36">
        <v>7200</v>
      </c>
      <c r="M145" s="36">
        <v>13800</v>
      </c>
      <c r="N145" s="36">
        <v>23800</v>
      </c>
      <c r="O145" s="36">
        <v>38800</v>
      </c>
      <c r="P145" s="36">
        <v>62800</v>
      </c>
      <c r="Q145" s="36">
        <v>98800</v>
      </c>
      <c r="R145" s="16">
        <v>16000</v>
      </c>
      <c r="S145" s="16">
        <v>32000</v>
      </c>
      <c r="T145" s="16">
        <v>48000</v>
      </c>
      <c r="U145" s="16">
        <v>64000</v>
      </c>
      <c r="V145" s="16">
        <v>80000</v>
      </c>
      <c r="W145" s="16">
        <v>96000</v>
      </c>
      <c r="X145" s="16">
        <v>112000</v>
      </c>
      <c r="Y145" s="16">
        <v>128000</v>
      </c>
      <c r="Z145" s="16">
        <v>144000</v>
      </c>
      <c r="AA145" s="16">
        <v>160000</v>
      </c>
      <c r="AB145" s="36">
        <v>149</v>
      </c>
      <c r="AC145" s="16">
        <v>371</v>
      </c>
      <c r="AD145" s="36">
        <v>478</v>
      </c>
      <c r="AE145" s="16">
        <v>643</v>
      </c>
      <c r="AF145" s="36">
        <v>890</v>
      </c>
      <c r="AG145" s="368">
        <v>0</v>
      </c>
    </row>
    <row r="146" spans="1:33" ht="15">
      <c r="A146" s="2482"/>
      <c r="B146" s="368">
        <v>25</v>
      </c>
      <c r="C146" s="368">
        <f t="shared" ref="C146" si="19">$C$121+F146+B146</f>
        <v>333</v>
      </c>
      <c r="D146" s="2475"/>
      <c r="E146" s="668" t="s">
        <v>855</v>
      </c>
      <c r="F146" s="671">
        <v>8</v>
      </c>
      <c r="G146" s="1699">
        <v>7</v>
      </c>
      <c r="H146" s="36">
        <v>0</v>
      </c>
      <c r="I146" s="36">
        <v>0</v>
      </c>
      <c r="J146" s="36">
        <v>600</v>
      </c>
      <c r="K146" s="36">
        <v>3000</v>
      </c>
      <c r="L146" s="36">
        <v>7200</v>
      </c>
      <c r="M146" s="36">
        <v>13800</v>
      </c>
      <c r="N146" s="36">
        <v>23800</v>
      </c>
      <c r="O146" s="36">
        <v>38800</v>
      </c>
      <c r="P146" s="36">
        <v>62800</v>
      </c>
      <c r="Q146" s="36">
        <v>98800</v>
      </c>
      <c r="R146" s="16">
        <v>16000</v>
      </c>
      <c r="S146" s="16">
        <v>32000</v>
      </c>
      <c r="T146" s="16">
        <v>48000</v>
      </c>
      <c r="U146" s="16">
        <v>64000</v>
      </c>
      <c r="V146" s="16">
        <v>80000</v>
      </c>
      <c r="W146" s="16">
        <v>96000</v>
      </c>
      <c r="X146" s="16">
        <v>112000</v>
      </c>
      <c r="Y146" s="16">
        <v>128000</v>
      </c>
      <c r="Z146" s="16">
        <v>144000</v>
      </c>
      <c r="AA146" s="16">
        <v>160000</v>
      </c>
      <c r="AB146" s="36">
        <v>149</v>
      </c>
      <c r="AC146" s="16">
        <v>371</v>
      </c>
      <c r="AD146" s="36">
        <v>478</v>
      </c>
      <c r="AE146" s="16">
        <v>643</v>
      </c>
      <c r="AF146" s="36">
        <v>890</v>
      </c>
      <c r="AG146" s="368">
        <v>0</v>
      </c>
    </row>
    <row r="147" spans="1:33" ht="15">
      <c r="A147" s="2482"/>
      <c r="B147" s="368">
        <v>25</v>
      </c>
      <c r="C147" s="368">
        <f>$C$121+F147+B147</f>
        <v>334</v>
      </c>
      <c r="D147" s="2475"/>
      <c r="E147" s="269" t="s">
        <v>394</v>
      </c>
      <c r="F147" s="671">
        <v>9</v>
      </c>
      <c r="G147" s="1699">
        <v>8</v>
      </c>
      <c r="H147" s="36">
        <v>0</v>
      </c>
      <c r="I147" s="36">
        <v>0</v>
      </c>
      <c r="J147" s="36">
        <v>600</v>
      </c>
      <c r="K147" s="36">
        <v>3000</v>
      </c>
      <c r="L147" s="36">
        <v>7200</v>
      </c>
      <c r="M147" s="36">
        <v>13800</v>
      </c>
      <c r="N147" s="36">
        <v>23800</v>
      </c>
      <c r="O147" s="36">
        <v>38800</v>
      </c>
      <c r="P147" s="36">
        <v>62800</v>
      </c>
      <c r="Q147" s="36">
        <v>98800</v>
      </c>
      <c r="R147" s="16">
        <v>16000</v>
      </c>
      <c r="S147" s="16">
        <v>32000</v>
      </c>
      <c r="T147" s="16">
        <v>48000</v>
      </c>
      <c r="U147" s="16">
        <v>64000</v>
      </c>
      <c r="V147" s="16">
        <v>80000</v>
      </c>
      <c r="W147" s="16">
        <v>96000</v>
      </c>
      <c r="X147" s="16">
        <v>112000</v>
      </c>
      <c r="Y147" s="16">
        <v>128000</v>
      </c>
      <c r="Z147" s="16">
        <v>144000</v>
      </c>
      <c r="AA147" s="16">
        <v>160000</v>
      </c>
      <c r="AB147" s="36">
        <v>149</v>
      </c>
      <c r="AC147" s="16">
        <v>371</v>
      </c>
      <c r="AD147" s="36">
        <v>478</v>
      </c>
      <c r="AE147" s="16">
        <v>643</v>
      </c>
      <c r="AF147" s="36">
        <v>890</v>
      </c>
      <c r="AG147" s="368">
        <v>0</v>
      </c>
    </row>
    <row r="148" spans="1:33" ht="15">
      <c r="A148" s="2482"/>
      <c r="B148" s="368">
        <v>25</v>
      </c>
      <c r="C148" s="368">
        <f t="shared" si="14"/>
        <v>335</v>
      </c>
      <c r="D148" s="2475"/>
      <c r="E148" s="269" t="s">
        <v>388</v>
      </c>
      <c r="F148" s="671">
        <v>10</v>
      </c>
      <c r="G148" s="1699">
        <v>9</v>
      </c>
      <c r="H148" s="36">
        <v>0</v>
      </c>
      <c r="I148" s="36">
        <v>0</v>
      </c>
      <c r="J148" s="36">
        <v>600</v>
      </c>
      <c r="K148" s="36">
        <v>2400</v>
      </c>
      <c r="L148" s="36">
        <v>5400</v>
      </c>
      <c r="M148" s="36">
        <v>9900</v>
      </c>
      <c r="N148" s="36">
        <v>20900</v>
      </c>
      <c r="O148" s="36">
        <v>32900</v>
      </c>
      <c r="P148" s="36">
        <v>50900</v>
      </c>
      <c r="Q148" s="36">
        <v>80900</v>
      </c>
      <c r="R148" s="16">
        <v>10000</v>
      </c>
      <c r="S148" s="16">
        <v>20000</v>
      </c>
      <c r="T148" s="16">
        <v>30000</v>
      </c>
      <c r="U148" s="16">
        <v>40000</v>
      </c>
      <c r="V148" s="16">
        <v>50000</v>
      </c>
      <c r="W148" s="16">
        <v>60000</v>
      </c>
      <c r="X148" s="16">
        <v>70000</v>
      </c>
      <c r="Y148" s="16">
        <v>80000</v>
      </c>
      <c r="Z148" s="16">
        <v>90000</v>
      </c>
      <c r="AA148" s="16">
        <v>100000</v>
      </c>
      <c r="AB148" s="36">
        <v>122</v>
      </c>
      <c r="AC148" s="16">
        <v>304</v>
      </c>
      <c r="AD148" s="36">
        <v>392</v>
      </c>
      <c r="AE148" s="16">
        <v>526</v>
      </c>
      <c r="AF148" s="36">
        <v>729</v>
      </c>
      <c r="AG148" s="368">
        <v>0</v>
      </c>
    </row>
    <row r="149" spans="1:33" ht="15">
      <c r="A149" s="2482"/>
      <c r="B149" s="368">
        <v>25</v>
      </c>
      <c r="C149" s="368">
        <f t="shared" si="14"/>
        <v>336</v>
      </c>
      <c r="D149" s="2475"/>
      <c r="E149" s="269" t="s">
        <v>582</v>
      </c>
      <c r="F149" s="671">
        <v>11</v>
      </c>
      <c r="G149" s="1699">
        <v>10</v>
      </c>
      <c r="H149" s="36">
        <v>0</v>
      </c>
      <c r="I149" s="36">
        <v>0</v>
      </c>
      <c r="J149" s="36">
        <v>600</v>
      </c>
      <c r="K149" s="36">
        <v>3600</v>
      </c>
      <c r="L149" s="36">
        <v>10000</v>
      </c>
      <c r="M149" s="36">
        <v>22000</v>
      </c>
      <c r="N149" s="36">
        <v>40000</v>
      </c>
      <c r="O149" s="36">
        <v>67000</v>
      </c>
      <c r="P149" s="36">
        <v>103000</v>
      </c>
      <c r="Q149" s="36">
        <v>148000</v>
      </c>
      <c r="R149" s="16">
        <v>20000</v>
      </c>
      <c r="S149" s="16">
        <v>40000</v>
      </c>
      <c r="T149" s="16">
        <v>60000</v>
      </c>
      <c r="U149" s="16">
        <v>80000</v>
      </c>
      <c r="V149" s="16">
        <v>100000</v>
      </c>
      <c r="W149" s="16">
        <v>120000</v>
      </c>
      <c r="X149" s="16">
        <v>140000</v>
      </c>
      <c r="Y149" s="16">
        <v>160000</v>
      </c>
      <c r="Z149" s="16">
        <v>180000</v>
      </c>
      <c r="AA149" s="16">
        <v>200000</v>
      </c>
      <c r="AB149" s="36">
        <v>222</v>
      </c>
      <c r="AC149" s="16">
        <v>555</v>
      </c>
      <c r="AD149" s="36">
        <v>716</v>
      </c>
      <c r="AE149" s="16">
        <v>962</v>
      </c>
      <c r="AF149" s="36">
        <v>1332</v>
      </c>
      <c r="AG149" s="368">
        <v>0</v>
      </c>
    </row>
    <row r="150" spans="1:33" ht="15">
      <c r="A150" s="2482"/>
      <c r="B150" s="368">
        <v>45</v>
      </c>
      <c r="C150" s="368">
        <f t="shared" si="14"/>
        <v>346</v>
      </c>
      <c r="D150" s="2475" t="s">
        <v>700</v>
      </c>
      <c r="E150" s="1605" t="s">
        <v>61</v>
      </c>
      <c r="F150" s="669">
        <v>1</v>
      </c>
      <c r="G150" s="1699">
        <v>0</v>
      </c>
      <c r="H150" s="36"/>
      <c r="I150" s="36"/>
      <c r="J150" s="36"/>
      <c r="K150" s="36"/>
      <c r="L150" s="36"/>
      <c r="M150" s="36"/>
      <c r="N150" s="36"/>
      <c r="O150" s="36"/>
      <c r="P150" s="36"/>
      <c r="Q150" s="36"/>
      <c r="R150" s="16"/>
      <c r="S150" s="16"/>
      <c r="T150" s="16"/>
      <c r="U150" s="16"/>
      <c r="V150" s="16"/>
      <c r="W150" s="16"/>
      <c r="X150" s="16"/>
      <c r="Y150" s="16"/>
      <c r="Z150" s="16"/>
      <c r="AA150" s="16"/>
      <c r="AB150" s="36"/>
      <c r="AC150" s="16"/>
      <c r="AD150" s="36"/>
      <c r="AE150" s="16"/>
      <c r="AF150" s="36"/>
      <c r="AG150" s="368">
        <v>0</v>
      </c>
    </row>
    <row r="151" spans="1:33" ht="15">
      <c r="A151" s="2482"/>
      <c r="B151" s="368">
        <v>45</v>
      </c>
      <c r="C151" s="368">
        <f t="shared" si="14"/>
        <v>347</v>
      </c>
      <c r="D151" s="2475"/>
      <c r="E151" s="278" t="s">
        <v>406</v>
      </c>
      <c r="F151" s="669">
        <v>2</v>
      </c>
      <c r="G151" s="1699">
        <v>1</v>
      </c>
      <c r="H151" s="36">
        <v>0</v>
      </c>
      <c r="I151" s="36">
        <v>0</v>
      </c>
      <c r="J151" s="36">
        <v>600</v>
      </c>
      <c r="K151" s="36">
        <v>2400</v>
      </c>
      <c r="L151" s="36">
        <v>5400</v>
      </c>
      <c r="M151" s="36">
        <v>9900</v>
      </c>
      <c r="N151" s="36">
        <v>20900</v>
      </c>
      <c r="O151" s="36">
        <v>32900</v>
      </c>
      <c r="P151" s="36">
        <v>50900</v>
      </c>
      <c r="Q151" s="36">
        <v>80900</v>
      </c>
      <c r="R151" s="16">
        <v>10000</v>
      </c>
      <c r="S151" s="16">
        <v>20000</v>
      </c>
      <c r="T151" s="16">
        <v>30000</v>
      </c>
      <c r="U151" s="16">
        <v>40000</v>
      </c>
      <c r="V151" s="16">
        <v>50000</v>
      </c>
      <c r="W151" s="16">
        <v>60000</v>
      </c>
      <c r="X151" s="16">
        <v>70000</v>
      </c>
      <c r="Y151" s="16">
        <v>80000</v>
      </c>
      <c r="Z151" s="16">
        <v>90000</v>
      </c>
      <c r="AA151" s="16">
        <v>100000</v>
      </c>
      <c r="AB151" s="36">
        <v>122</v>
      </c>
      <c r="AC151" s="16">
        <v>304</v>
      </c>
      <c r="AD151" s="36">
        <v>392</v>
      </c>
      <c r="AE151" s="16">
        <v>526</v>
      </c>
      <c r="AF151" s="36">
        <v>729</v>
      </c>
      <c r="AG151" s="368">
        <v>0</v>
      </c>
    </row>
    <row r="152" spans="1:33" ht="15">
      <c r="A152" s="2482"/>
      <c r="B152" s="368">
        <v>45</v>
      </c>
      <c r="C152" s="368">
        <f t="shared" si="14"/>
        <v>348</v>
      </c>
      <c r="D152" s="2475"/>
      <c r="E152" s="278" t="s">
        <v>411</v>
      </c>
      <c r="F152" s="669">
        <v>3</v>
      </c>
      <c r="G152" s="1699">
        <v>2</v>
      </c>
      <c r="H152" s="36">
        <v>0</v>
      </c>
      <c r="I152" s="36">
        <v>0</v>
      </c>
      <c r="J152" s="36">
        <v>600</v>
      </c>
      <c r="K152" s="36">
        <v>2400</v>
      </c>
      <c r="L152" s="36">
        <v>5400</v>
      </c>
      <c r="M152" s="36">
        <v>9900</v>
      </c>
      <c r="N152" s="36">
        <v>20900</v>
      </c>
      <c r="O152" s="36">
        <v>32900</v>
      </c>
      <c r="P152" s="36">
        <v>50900</v>
      </c>
      <c r="Q152" s="36">
        <v>80900</v>
      </c>
      <c r="R152" s="16">
        <v>10000</v>
      </c>
      <c r="S152" s="16">
        <v>20000</v>
      </c>
      <c r="T152" s="16">
        <v>30000</v>
      </c>
      <c r="U152" s="16">
        <v>40000</v>
      </c>
      <c r="V152" s="16">
        <v>50000</v>
      </c>
      <c r="W152" s="16">
        <v>60000</v>
      </c>
      <c r="X152" s="16">
        <v>70000</v>
      </c>
      <c r="Y152" s="16">
        <v>80000</v>
      </c>
      <c r="Z152" s="16">
        <v>90000</v>
      </c>
      <c r="AA152" s="16">
        <v>100000</v>
      </c>
      <c r="AB152" s="36">
        <v>122</v>
      </c>
      <c r="AC152" s="16">
        <v>304</v>
      </c>
      <c r="AD152" s="36">
        <v>392</v>
      </c>
      <c r="AE152" s="16">
        <v>526</v>
      </c>
      <c r="AF152" s="36">
        <v>729</v>
      </c>
      <c r="AG152" s="368">
        <v>0</v>
      </c>
    </row>
    <row r="153" spans="1:33" ht="15">
      <c r="A153" s="2482"/>
      <c r="B153" s="368">
        <v>45</v>
      </c>
      <c r="C153" s="368">
        <f t="shared" si="14"/>
        <v>349</v>
      </c>
      <c r="D153" s="2475"/>
      <c r="E153" s="278" t="s">
        <v>415</v>
      </c>
      <c r="F153" s="669">
        <v>4</v>
      </c>
      <c r="G153" s="1699">
        <v>3</v>
      </c>
      <c r="H153" s="36">
        <v>0</v>
      </c>
      <c r="I153" s="36">
        <v>0</v>
      </c>
      <c r="J153" s="36">
        <v>1400</v>
      </c>
      <c r="K153" s="36">
        <v>3700</v>
      </c>
      <c r="L153" s="36">
        <v>8200</v>
      </c>
      <c r="M153" s="36">
        <v>15000</v>
      </c>
      <c r="N153" s="36">
        <v>26000</v>
      </c>
      <c r="O153" s="36">
        <v>44000</v>
      </c>
      <c r="P153" s="36">
        <v>71000</v>
      </c>
      <c r="Q153" s="36">
        <v>116000</v>
      </c>
      <c r="R153" s="16">
        <v>15000</v>
      </c>
      <c r="S153" s="16">
        <v>30000</v>
      </c>
      <c r="T153" s="16">
        <v>45000</v>
      </c>
      <c r="U153" s="16">
        <v>60000</v>
      </c>
      <c r="V153" s="16">
        <v>75000</v>
      </c>
      <c r="W153" s="16">
        <v>90000</v>
      </c>
      <c r="X153" s="16">
        <v>105000</v>
      </c>
      <c r="Y153" s="16">
        <v>120000</v>
      </c>
      <c r="Z153" s="16">
        <v>135000</v>
      </c>
      <c r="AA153" s="16">
        <v>150000</v>
      </c>
      <c r="AB153" s="36">
        <v>174</v>
      </c>
      <c r="AC153" s="16">
        <v>435</v>
      </c>
      <c r="AD153" s="36">
        <v>561</v>
      </c>
      <c r="AE153" s="16">
        <v>754</v>
      </c>
      <c r="AF153" s="36">
        <v>1044</v>
      </c>
      <c r="AG153" s="368">
        <v>0</v>
      </c>
    </row>
    <row r="154" spans="1:33" ht="15">
      <c r="A154" s="2482"/>
      <c r="B154" s="368">
        <v>45</v>
      </c>
      <c r="C154" s="368">
        <f t="shared" si="14"/>
        <v>350</v>
      </c>
      <c r="D154" s="2475"/>
      <c r="E154" s="278" t="s">
        <v>392</v>
      </c>
      <c r="F154" s="669">
        <v>5</v>
      </c>
      <c r="G154" s="1699">
        <v>4</v>
      </c>
      <c r="H154" s="36">
        <v>0</v>
      </c>
      <c r="I154" s="36">
        <v>0</v>
      </c>
      <c r="J154" s="36">
        <v>1400</v>
      </c>
      <c r="K154" s="36">
        <v>3700</v>
      </c>
      <c r="L154" s="36">
        <v>8200</v>
      </c>
      <c r="M154" s="36">
        <v>15000</v>
      </c>
      <c r="N154" s="36">
        <v>26000</v>
      </c>
      <c r="O154" s="36">
        <v>44000</v>
      </c>
      <c r="P154" s="36">
        <v>71000</v>
      </c>
      <c r="Q154" s="36">
        <v>116000</v>
      </c>
      <c r="R154" s="16">
        <v>15000</v>
      </c>
      <c r="S154" s="16">
        <v>30000</v>
      </c>
      <c r="T154" s="16">
        <v>45000</v>
      </c>
      <c r="U154" s="16">
        <v>60000</v>
      </c>
      <c r="V154" s="16">
        <v>75000</v>
      </c>
      <c r="W154" s="16">
        <v>90000</v>
      </c>
      <c r="X154" s="16">
        <v>105000</v>
      </c>
      <c r="Y154" s="16">
        <v>120000</v>
      </c>
      <c r="Z154" s="16">
        <v>135000</v>
      </c>
      <c r="AA154" s="16">
        <v>150000</v>
      </c>
      <c r="AB154" s="36">
        <v>174</v>
      </c>
      <c r="AC154" s="16">
        <v>435</v>
      </c>
      <c r="AD154" s="36">
        <v>561</v>
      </c>
      <c r="AE154" s="16">
        <v>754</v>
      </c>
      <c r="AF154" s="36">
        <v>1044</v>
      </c>
      <c r="AG154" s="368">
        <v>0</v>
      </c>
    </row>
    <row r="155" spans="1:33" ht="15">
      <c r="A155" s="2482"/>
      <c r="B155" s="368">
        <v>45</v>
      </c>
      <c r="C155" s="368">
        <f t="shared" si="14"/>
        <v>351</v>
      </c>
      <c r="D155" s="2475"/>
      <c r="E155" s="278" t="s">
        <v>422</v>
      </c>
      <c r="F155" s="669">
        <v>6</v>
      </c>
      <c r="G155" s="1699">
        <v>5</v>
      </c>
      <c r="H155" s="36">
        <v>0</v>
      </c>
      <c r="I155" s="36">
        <v>0</v>
      </c>
      <c r="J155" s="36">
        <v>900</v>
      </c>
      <c r="K155" s="36">
        <v>2700</v>
      </c>
      <c r="L155" s="36">
        <v>5700</v>
      </c>
      <c r="M155" s="36">
        <v>10200</v>
      </c>
      <c r="N155" s="36">
        <v>17700</v>
      </c>
      <c r="O155" s="36">
        <v>29700</v>
      </c>
      <c r="P155" s="36">
        <v>47700</v>
      </c>
      <c r="Q155" s="36">
        <v>77700</v>
      </c>
      <c r="R155" s="16">
        <v>10000</v>
      </c>
      <c r="S155" s="16">
        <v>20000</v>
      </c>
      <c r="T155" s="16">
        <v>30000</v>
      </c>
      <c r="U155" s="16">
        <v>40000</v>
      </c>
      <c r="V155" s="16">
        <v>50000</v>
      </c>
      <c r="W155" s="16">
        <v>60000</v>
      </c>
      <c r="X155" s="16">
        <v>70000</v>
      </c>
      <c r="Y155" s="16">
        <v>80000</v>
      </c>
      <c r="Z155" s="16">
        <v>90000</v>
      </c>
      <c r="AA155" s="16">
        <v>100000</v>
      </c>
      <c r="AB155" s="36">
        <v>117</v>
      </c>
      <c r="AC155" s="16">
        <v>292</v>
      </c>
      <c r="AD155" s="36">
        <v>376</v>
      </c>
      <c r="AE155" s="16">
        <v>506</v>
      </c>
      <c r="AF155" s="36">
        <v>700</v>
      </c>
      <c r="AG155" s="368">
        <v>0</v>
      </c>
    </row>
    <row r="156" spans="1:33" ht="15">
      <c r="A156" s="2482"/>
      <c r="B156" s="368">
        <v>45</v>
      </c>
      <c r="C156" s="368">
        <f>$C$121+F156+B156</f>
        <v>352</v>
      </c>
      <c r="D156" s="2475"/>
      <c r="E156" s="278" t="s">
        <v>490</v>
      </c>
      <c r="F156" s="669">
        <v>7</v>
      </c>
      <c r="G156" s="1699">
        <v>6</v>
      </c>
      <c r="H156" s="36">
        <v>225</v>
      </c>
      <c r="I156" s="36">
        <v>675</v>
      </c>
      <c r="J156" s="36">
        <v>1575</v>
      </c>
      <c r="K156" s="36">
        <v>3375</v>
      </c>
      <c r="L156" s="36">
        <v>6375</v>
      </c>
      <c r="M156" s="36">
        <v>10875</v>
      </c>
      <c r="N156" s="36">
        <v>18375</v>
      </c>
      <c r="O156" s="36">
        <v>30375</v>
      </c>
      <c r="P156" s="36">
        <v>48375</v>
      </c>
      <c r="Q156" s="36">
        <v>78375</v>
      </c>
      <c r="R156" s="16">
        <v>15000</v>
      </c>
      <c r="S156" s="16">
        <v>30000</v>
      </c>
      <c r="T156" s="16">
        <v>45000</v>
      </c>
      <c r="U156" s="16">
        <v>60000</v>
      </c>
      <c r="V156" s="16">
        <v>75000</v>
      </c>
      <c r="W156" s="16">
        <v>90000</v>
      </c>
      <c r="X156" s="16">
        <v>105000</v>
      </c>
      <c r="Y156" s="16">
        <v>120000</v>
      </c>
      <c r="Z156" s="16">
        <v>135000</v>
      </c>
      <c r="AA156" s="16">
        <v>150000</v>
      </c>
      <c r="AB156" s="36">
        <v>118</v>
      </c>
      <c r="AC156" s="16">
        <v>294</v>
      </c>
      <c r="AD156" s="36">
        <v>379</v>
      </c>
      <c r="AE156" s="16">
        <v>510</v>
      </c>
      <c r="AF156" s="36">
        <v>706</v>
      </c>
      <c r="AG156" s="368">
        <v>0</v>
      </c>
    </row>
    <row r="157" spans="1:33" ht="15">
      <c r="A157" s="2482"/>
      <c r="B157" s="368">
        <v>45</v>
      </c>
      <c r="C157" s="368">
        <f t="shared" si="14"/>
        <v>353</v>
      </c>
      <c r="D157" s="2475"/>
      <c r="E157" s="278" t="s">
        <v>426</v>
      </c>
      <c r="F157" s="669">
        <v>8</v>
      </c>
      <c r="G157" s="1699">
        <v>7</v>
      </c>
      <c r="H157" s="36">
        <v>0</v>
      </c>
      <c r="I157" s="36">
        <v>0</v>
      </c>
      <c r="J157" s="36">
        <v>900</v>
      </c>
      <c r="K157" s="36">
        <v>2700</v>
      </c>
      <c r="L157" s="36">
        <v>5700</v>
      </c>
      <c r="M157" s="36">
        <v>10200</v>
      </c>
      <c r="N157" s="36">
        <v>17700</v>
      </c>
      <c r="O157" s="36">
        <v>29700</v>
      </c>
      <c r="P157" s="36">
        <v>47700</v>
      </c>
      <c r="Q157" s="36">
        <v>77700</v>
      </c>
      <c r="R157" s="16">
        <v>10000</v>
      </c>
      <c r="S157" s="16">
        <v>20000</v>
      </c>
      <c r="T157" s="16">
        <v>30000</v>
      </c>
      <c r="U157" s="16">
        <v>40000</v>
      </c>
      <c r="V157" s="16">
        <v>50000</v>
      </c>
      <c r="W157" s="16">
        <v>60000</v>
      </c>
      <c r="X157" s="16">
        <v>70000</v>
      </c>
      <c r="Y157" s="16">
        <v>80000</v>
      </c>
      <c r="Z157" s="16">
        <v>90000</v>
      </c>
      <c r="AA157" s="16">
        <v>100000</v>
      </c>
      <c r="AB157" s="36">
        <v>117</v>
      </c>
      <c r="AC157" s="16">
        <v>292</v>
      </c>
      <c r="AD157" s="36">
        <v>376</v>
      </c>
      <c r="AE157" s="16">
        <v>506</v>
      </c>
      <c r="AF157" s="36">
        <v>700</v>
      </c>
      <c r="AG157" s="368">
        <v>0</v>
      </c>
    </row>
    <row r="158" spans="1:33" ht="15">
      <c r="A158" s="2482"/>
      <c r="B158" s="368">
        <v>45</v>
      </c>
      <c r="C158" s="368">
        <f t="shared" si="14"/>
        <v>354</v>
      </c>
      <c r="D158" s="2475"/>
      <c r="E158" s="278" t="s">
        <v>429</v>
      </c>
      <c r="F158" s="669">
        <v>9</v>
      </c>
      <c r="G158" s="1699">
        <v>8</v>
      </c>
      <c r="H158" s="36">
        <v>0</v>
      </c>
      <c r="I158" s="36">
        <v>0</v>
      </c>
      <c r="J158" s="36">
        <v>600</v>
      </c>
      <c r="K158" s="36">
        <v>3000</v>
      </c>
      <c r="L158" s="36">
        <v>9000</v>
      </c>
      <c r="M158" s="36">
        <v>18000</v>
      </c>
      <c r="N158" s="36">
        <v>33000</v>
      </c>
      <c r="O158" s="36">
        <v>57000</v>
      </c>
      <c r="P158" s="36">
        <v>93000</v>
      </c>
      <c r="Q158" s="36">
        <v>153000</v>
      </c>
      <c r="R158" s="16">
        <v>20000</v>
      </c>
      <c r="S158" s="16">
        <v>40000</v>
      </c>
      <c r="T158" s="16">
        <v>60000</v>
      </c>
      <c r="U158" s="16">
        <v>80000</v>
      </c>
      <c r="V158" s="16">
        <v>100000</v>
      </c>
      <c r="W158" s="16">
        <v>120000</v>
      </c>
      <c r="X158" s="16">
        <v>140000</v>
      </c>
      <c r="Y158" s="16">
        <v>160000</v>
      </c>
      <c r="Z158" s="16">
        <v>180000</v>
      </c>
      <c r="AA158" s="16">
        <v>200000</v>
      </c>
      <c r="AB158" s="36">
        <v>230</v>
      </c>
      <c r="AC158" s="16">
        <v>574</v>
      </c>
      <c r="AD158" s="36">
        <v>740</v>
      </c>
      <c r="AE158" s="16">
        <v>995</v>
      </c>
      <c r="AF158" s="36">
        <v>1377</v>
      </c>
      <c r="AG158" s="368">
        <v>0</v>
      </c>
    </row>
    <row r="159" spans="1:33" ht="15">
      <c r="A159" s="2482"/>
      <c r="B159" s="368">
        <v>55</v>
      </c>
      <c r="C159" s="368">
        <f t="shared" si="14"/>
        <v>356</v>
      </c>
      <c r="D159" s="2475" t="s">
        <v>699</v>
      </c>
      <c r="E159" s="1606" t="s">
        <v>61</v>
      </c>
      <c r="F159" s="673">
        <v>1</v>
      </c>
      <c r="G159" s="1699">
        <v>0</v>
      </c>
      <c r="H159" s="36"/>
      <c r="I159" s="36"/>
      <c r="J159" s="36"/>
      <c r="K159" s="36"/>
      <c r="L159" s="36"/>
      <c r="M159" s="36"/>
      <c r="N159" s="36"/>
      <c r="O159" s="36"/>
      <c r="P159" s="36"/>
      <c r="Q159" s="36"/>
      <c r="R159" s="16"/>
      <c r="S159" s="16"/>
      <c r="T159" s="16"/>
      <c r="U159" s="16"/>
      <c r="V159" s="16"/>
      <c r="W159" s="16"/>
      <c r="X159" s="16"/>
      <c r="Y159" s="16"/>
      <c r="Z159" s="16"/>
      <c r="AA159" s="16"/>
      <c r="AB159" s="36"/>
      <c r="AC159" s="16"/>
      <c r="AD159" s="36"/>
      <c r="AE159" s="16"/>
      <c r="AF159" s="36"/>
      <c r="AG159" s="368">
        <v>0</v>
      </c>
    </row>
    <row r="160" spans="1:33" ht="15">
      <c r="A160" s="2482"/>
      <c r="B160" s="368">
        <v>55</v>
      </c>
      <c r="C160" s="368">
        <f t="shared" si="14"/>
        <v>357</v>
      </c>
      <c r="D160" s="2475"/>
      <c r="E160" s="286" t="s">
        <v>585</v>
      </c>
      <c r="F160" s="673">
        <v>2</v>
      </c>
      <c r="G160" s="1699">
        <v>1</v>
      </c>
      <c r="H160" s="36">
        <v>0</v>
      </c>
      <c r="I160" s="36">
        <v>0</v>
      </c>
      <c r="J160" s="36">
        <v>450</v>
      </c>
      <c r="K160" s="36">
        <v>1350</v>
      </c>
      <c r="L160" s="36">
        <v>3150</v>
      </c>
      <c r="M160" s="36">
        <v>6150</v>
      </c>
      <c r="N160" s="36">
        <v>10650</v>
      </c>
      <c r="O160" s="36">
        <v>18150</v>
      </c>
      <c r="P160" s="36">
        <v>30150</v>
      </c>
      <c r="Q160" s="36">
        <v>48150</v>
      </c>
      <c r="R160" s="16">
        <v>4000</v>
      </c>
      <c r="S160" s="16">
        <v>8000</v>
      </c>
      <c r="T160" s="16">
        <v>12000</v>
      </c>
      <c r="U160" s="16">
        <v>16000</v>
      </c>
      <c r="V160" s="16">
        <v>20000</v>
      </c>
      <c r="W160" s="16">
        <v>24000</v>
      </c>
      <c r="X160" s="16">
        <v>28000</v>
      </c>
      <c r="Y160" s="16">
        <v>32000</v>
      </c>
      <c r="Z160" s="16">
        <v>36000</v>
      </c>
      <c r="AA160" s="16">
        <v>40000</v>
      </c>
      <c r="AB160" s="36">
        <v>73</v>
      </c>
      <c r="AC160" s="16">
        <v>181</v>
      </c>
      <c r="AD160" s="36">
        <v>233</v>
      </c>
      <c r="AE160" s="16">
        <v>313</v>
      </c>
      <c r="AF160" s="36">
        <v>434</v>
      </c>
      <c r="AG160" s="368">
        <v>0</v>
      </c>
    </row>
    <row r="161" spans="1:33" ht="15">
      <c r="A161" s="2482"/>
      <c r="B161" s="368">
        <v>55</v>
      </c>
      <c r="C161" s="368">
        <f t="shared" si="14"/>
        <v>358</v>
      </c>
      <c r="D161" s="2475"/>
      <c r="E161" s="286" t="s">
        <v>507</v>
      </c>
      <c r="F161" s="673">
        <v>3</v>
      </c>
      <c r="G161" s="1699">
        <v>2</v>
      </c>
      <c r="H161" s="36">
        <v>0</v>
      </c>
      <c r="I161" s="36">
        <v>0</v>
      </c>
      <c r="J161" s="36">
        <v>170</v>
      </c>
      <c r="K161" s="36">
        <v>850</v>
      </c>
      <c r="L161" s="36">
        <v>2550</v>
      </c>
      <c r="M161" s="36">
        <v>5050</v>
      </c>
      <c r="N161" s="36">
        <v>9250</v>
      </c>
      <c r="O161" s="36">
        <v>16050</v>
      </c>
      <c r="P161" s="36">
        <v>26050</v>
      </c>
      <c r="Q161" s="36">
        <v>43050</v>
      </c>
      <c r="R161" s="16">
        <v>4500</v>
      </c>
      <c r="S161" s="16">
        <v>9000</v>
      </c>
      <c r="T161" s="16">
        <v>13500</v>
      </c>
      <c r="U161" s="16">
        <v>18000</v>
      </c>
      <c r="V161" s="16">
        <v>22500</v>
      </c>
      <c r="W161" s="16">
        <v>27000</v>
      </c>
      <c r="X161" s="16">
        <v>31500</v>
      </c>
      <c r="Y161" s="16">
        <v>36000</v>
      </c>
      <c r="Z161" s="16">
        <v>40500</v>
      </c>
      <c r="AA161" s="16">
        <v>45000</v>
      </c>
      <c r="AB161" s="36">
        <v>65</v>
      </c>
      <c r="AC161" s="16">
        <v>162</v>
      </c>
      <c r="AD161" s="36">
        <v>209</v>
      </c>
      <c r="AE161" s="16">
        <v>280</v>
      </c>
      <c r="AF161" s="36">
        <v>388</v>
      </c>
      <c r="AG161" s="368">
        <v>0</v>
      </c>
    </row>
    <row r="162" spans="1:33" ht="15">
      <c r="A162" s="2482"/>
      <c r="B162" s="368">
        <v>55</v>
      </c>
      <c r="C162" s="368">
        <f t="shared" si="14"/>
        <v>359</v>
      </c>
      <c r="D162" s="2475"/>
      <c r="E162" s="286" t="s">
        <v>303</v>
      </c>
      <c r="F162" s="673">
        <v>4</v>
      </c>
      <c r="G162" s="1699">
        <v>3</v>
      </c>
      <c r="H162" s="36">
        <v>7000</v>
      </c>
      <c r="I162" s="36">
        <v>7200</v>
      </c>
      <c r="J162" s="36">
        <v>7600</v>
      </c>
      <c r="K162" s="36">
        <v>9200</v>
      </c>
      <c r="L162" s="36">
        <v>13200</v>
      </c>
      <c r="M162" s="36">
        <v>21200</v>
      </c>
      <c r="N162" s="36">
        <v>37200</v>
      </c>
      <c r="O162" s="36">
        <v>71200</v>
      </c>
      <c r="P162" s="36">
        <v>116200</v>
      </c>
      <c r="Q162" s="36">
        <v>171200</v>
      </c>
      <c r="R162" s="16">
        <v>7000</v>
      </c>
      <c r="S162" s="16">
        <v>16000</v>
      </c>
      <c r="T162" s="16">
        <v>25000</v>
      </c>
      <c r="U162" s="16">
        <v>34000</v>
      </c>
      <c r="V162" s="16">
        <v>43000</v>
      </c>
      <c r="W162" s="16">
        <v>52000</v>
      </c>
      <c r="X162" s="16">
        <v>61000</v>
      </c>
      <c r="Y162" s="16">
        <v>70000</v>
      </c>
      <c r="Z162" s="16">
        <v>79000</v>
      </c>
      <c r="AA162" s="16">
        <v>88000</v>
      </c>
      <c r="AB162" s="36">
        <v>257</v>
      </c>
      <c r="AC162" s="16">
        <v>642</v>
      </c>
      <c r="AD162" s="36">
        <v>828</v>
      </c>
      <c r="AE162" s="16">
        <v>1113</v>
      </c>
      <c r="AF162" s="36">
        <v>1541</v>
      </c>
      <c r="AG162" s="368">
        <v>0</v>
      </c>
    </row>
    <row r="163" spans="1:33" ht="15">
      <c r="A163" s="2482"/>
      <c r="B163" s="368">
        <v>55</v>
      </c>
      <c r="C163" s="368">
        <f t="shared" si="14"/>
        <v>360</v>
      </c>
      <c r="D163" s="2475"/>
      <c r="E163" s="286" t="s">
        <v>304</v>
      </c>
      <c r="F163" s="673">
        <v>5</v>
      </c>
      <c r="G163" s="1699">
        <v>4</v>
      </c>
      <c r="H163" s="36">
        <v>0</v>
      </c>
      <c r="I163" s="36">
        <v>0</v>
      </c>
      <c r="J163" s="36">
        <v>450</v>
      </c>
      <c r="K163" s="36">
        <v>1350</v>
      </c>
      <c r="L163" s="36">
        <v>3150</v>
      </c>
      <c r="M163" s="36">
        <v>6150</v>
      </c>
      <c r="N163" s="36">
        <v>10650</v>
      </c>
      <c r="O163" s="36">
        <v>18150</v>
      </c>
      <c r="P163" s="36">
        <v>30150</v>
      </c>
      <c r="Q163" s="36">
        <v>48150</v>
      </c>
      <c r="R163" s="16">
        <v>6000</v>
      </c>
      <c r="S163" s="16">
        <v>12000</v>
      </c>
      <c r="T163" s="16">
        <v>18000</v>
      </c>
      <c r="U163" s="16">
        <v>24000</v>
      </c>
      <c r="V163" s="16">
        <v>30000</v>
      </c>
      <c r="W163" s="16">
        <v>36000</v>
      </c>
      <c r="X163" s="16">
        <v>42000</v>
      </c>
      <c r="Y163" s="16">
        <v>48000</v>
      </c>
      <c r="Z163" s="16">
        <v>54000</v>
      </c>
      <c r="AA163" s="16">
        <v>60000</v>
      </c>
      <c r="AB163" s="36">
        <v>73</v>
      </c>
      <c r="AC163" s="16">
        <v>181</v>
      </c>
      <c r="AD163" s="36">
        <v>233</v>
      </c>
      <c r="AE163" s="16">
        <v>313</v>
      </c>
      <c r="AF163" s="36">
        <v>434</v>
      </c>
      <c r="AG163" s="368">
        <v>0</v>
      </c>
    </row>
    <row r="164" spans="1:33" ht="15">
      <c r="A164" s="2482"/>
      <c r="B164" s="368">
        <v>55</v>
      </c>
      <c r="C164" s="368">
        <f t="shared" si="14"/>
        <v>361</v>
      </c>
      <c r="D164" s="2475"/>
      <c r="E164" s="286" t="s">
        <v>587</v>
      </c>
      <c r="F164" s="673">
        <v>6</v>
      </c>
      <c r="G164" s="1699">
        <v>5</v>
      </c>
      <c r="H164" s="36">
        <v>0</v>
      </c>
      <c r="I164" s="36">
        <v>0</v>
      </c>
      <c r="J164" s="36">
        <v>600</v>
      </c>
      <c r="K164" s="36">
        <v>3600</v>
      </c>
      <c r="L164" s="36">
        <v>10000</v>
      </c>
      <c r="M164" s="36">
        <v>22000</v>
      </c>
      <c r="N164" s="36">
        <v>40000</v>
      </c>
      <c r="O164" s="36">
        <v>67000</v>
      </c>
      <c r="P164" s="36">
        <v>103000</v>
      </c>
      <c r="Q164" s="36">
        <v>148000</v>
      </c>
      <c r="R164" s="16">
        <v>20000</v>
      </c>
      <c r="S164" s="16">
        <v>40000</v>
      </c>
      <c r="T164" s="16">
        <v>60000</v>
      </c>
      <c r="U164" s="16">
        <v>80000</v>
      </c>
      <c r="V164" s="16">
        <v>100000</v>
      </c>
      <c r="W164" s="16">
        <v>120000</v>
      </c>
      <c r="X164" s="16">
        <v>140000</v>
      </c>
      <c r="Y164" s="16">
        <v>160000</v>
      </c>
      <c r="Z164" s="16">
        <v>180000</v>
      </c>
      <c r="AA164" s="16">
        <v>200000</v>
      </c>
      <c r="AB164" s="36">
        <v>222</v>
      </c>
      <c r="AC164" s="16">
        <v>555</v>
      </c>
      <c r="AD164" s="36">
        <v>716</v>
      </c>
      <c r="AE164" s="16">
        <v>962</v>
      </c>
      <c r="AF164" s="36">
        <v>1332</v>
      </c>
      <c r="AG164" s="368">
        <v>0</v>
      </c>
    </row>
    <row r="165" spans="1:33" ht="15">
      <c r="A165" s="2482"/>
      <c r="B165" s="368">
        <v>55</v>
      </c>
      <c r="C165" s="368">
        <f t="shared" si="14"/>
        <v>362</v>
      </c>
      <c r="D165" s="2475"/>
      <c r="E165" s="286" t="s">
        <v>305</v>
      </c>
      <c r="F165" s="673">
        <v>7</v>
      </c>
      <c r="G165" s="1699">
        <v>6</v>
      </c>
      <c r="H165" s="36">
        <v>0</v>
      </c>
      <c r="I165" s="36">
        <v>0</v>
      </c>
      <c r="J165" s="36">
        <v>600</v>
      </c>
      <c r="K165" s="36">
        <v>3600</v>
      </c>
      <c r="L165" s="36">
        <v>10000</v>
      </c>
      <c r="M165" s="36">
        <v>22000</v>
      </c>
      <c r="N165" s="36">
        <v>40000</v>
      </c>
      <c r="O165" s="36">
        <v>67000</v>
      </c>
      <c r="P165" s="36">
        <v>103000</v>
      </c>
      <c r="Q165" s="36">
        <v>148000</v>
      </c>
      <c r="R165" s="16">
        <v>20000</v>
      </c>
      <c r="S165" s="16">
        <v>40000</v>
      </c>
      <c r="T165" s="16">
        <v>60000</v>
      </c>
      <c r="U165" s="16">
        <v>80000</v>
      </c>
      <c r="V165" s="16">
        <v>100000</v>
      </c>
      <c r="W165" s="16">
        <v>120000</v>
      </c>
      <c r="X165" s="16">
        <v>140000</v>
      </c>
      <c r="Y165" s="16">
        <v>160000</v>
      </c>
      <c r="Z165" s="16">
        <v>180000</v>
      </c>
      <c r="AA165" s="16">
        <v>200000</v>
      </c>
      <c r="AB165" s="36">
        <v>222</v>
      </c>
      <c r="AC165" s="16">
        <v>555</v>
      </c>
      <c r="AD165" s="36">
        <v>716</v>
      </c>
      <c r="AE165" s="16">
        <v>962</v>
      </c>
      <c r="AF165" s="36">
        <v>1332</v>
      </c>
      <c r="AG165" s="368">
        <v>0</v>
      </c>
    </row>
    <row r="166" spans="1:33" ht="15">
      <c r="A166" s="2482"/>
      <c r="B166" s="368">
        <v>55</v>
      </c>
      <c r="C166" s="368">
        <f t="shared" si="14"/>
        <v>363</v>
      </c>
      <c r="D166" s="2475"/>
      <c r="E166" s="695" t="s">
        <v>861</v>
      </c>
      <c r="F166" s="673">
        <v>8</v>
      </c>
      <c r="G166" s="1699">
        <v>7</v>
      </c>
      <c r="H166" s="36">
        <v>0</v>
      </c>
      <c r="I166" s="36">
        <v>0</v>
      </c>
      <c r="J166" s="36">
        <v>600</v>
      </c>
      <c r="K166" s="36">
        <v>1800</v>
      </c>
      <c r="L166" s="36">
        <v>3900</v>
      </c>
      <c r="M166" s="36">
        <v>7500</v>
      </c>
      <c r="N166" s="36">
        <v>13500</v>
      </c>
      <c r="O166" s="36">
        <v>22500</v>
      </c>
      <c r="P166" s="36">
        <v>37500</v>
      </c>
      <c r="Q166" s="36">
        <v>61500</v>
      </c>
      <c r="R166" s="16">
        <v>6000</v>
      </c>
      <c r="S166" s="16">
        <v>12000</v>
      </c>
      <c r="T166" s="16">
        <v>18000</v>
      </c>
      <c r="U166" s="16">
        <v>24000</v>
      </c>
      <c r="V166" s="16">
        <v>30000</v>
      </c>
      <c r="W166" s="16">
        <v>36000</v>
      </c>
      <c r="X166" s="16">
        <v>42000</v>
      </c>
      <c r="Y166" s="16">
        <v>48000</v>
      </c>
      <c r="Z166" s="16">
        <v>54000</v>
      </c>
      <c r="AA166" s="16">
        <v>60000</v>
      </c>
      <c r="AB166" s="36">
        <v>93</v>
      </c>
      <c r="AC166" s="16">
        <v>231</v>
      </c>
      <c r="AD166" s="36">
        <v>298</v>
      </c>
      <c r="AE166" s="16">
        <v>400</v>
      </c>
      <c r="AF166" s="36">
        <v>554</v>
      </c>
      <c r="AG166" s="368">
        <v>0</v>
      </c>
    </row>
    <row r="167" spans="1:33" ht="15">
      <c r="A167" s="2482"/>
      <c r="B167" s="368">
        <v>55</v>
      </c>
      <c r="C167" s="368">
        <f t="shared" ref="C167:C168" si="20">$C$121+F167+B167</f>
        <v>364</v>
      </c>
      <c r="D167" s="2475"/>
      <c r="E167" s="695" t="s">
        <v>862</v>
      </c>
      <c r="F167" s="673">
        <v>9</v>
      </c>
      <c r="G167" s="1699">
        <v>8</v>
      </c>
      <c r="H167" s="36">
        <v>0</v>
      </c>
      <c r="I167" s="36">
        <v>0</v>
      </c>
      <c r="J167" s="36">
        <v>600</v>
      </c>
      <c r="K167" s="36">
        <v>1800</v>
      </c>
      <c r="L167" s="36">
        <v>3900</v>
      </c>
      <c r="M167" s="36">
        <v>7500</v>
      </c>
      <c r="N167" s="36">
        <v>13500</v>
      </c>
      <c r="O167" s="36">
        <v>22500</v>
      </c>
      <c r="P167" s="36">
        <v>37500</v>
      </c>
      <c r="Q167" s="36">
        <v>61500</v>
      </c>
      <c r="R167" s="16">
        <v>6000</v>
      </c>
      <c r="S167" s="16">
        <v>12000</v>
      </c>
      <c r="T167" s="16">
        <v>18000</v>
      </c>
      <c r="U167" s="16">
        <v>24000</v>
      </c>
      <c r="V167" s="16">
        <v>30000</v>
      </c>
      <c r="W167" s="16">
        <v>36000</v>
      </c>
      <c r="X167" s="16">
        <v>42000</v>
      </c>
      <c r="Y167" s="16">
        <v>48000</v>
      </c>
      <c r="Z167" s="16">
        <v>54000</v>
      </c>
      <c r="AA167" s="16">
        <v>60000</v>
      </c>
      <c r="AB167" s="36">
        <v>93</v>
      </c>
      <c r="AC167" s="16">
        <v>231</v>
      </c>
      <c r="AD167" s="36">
        <v>298</v>
      </c>
      <c r="AE167" s="16">
        <v>400</v>
      </c>
      <c r="AF167" s="36">
        <v>554</v>
      </c>
      <c r="AG167" s="368">
        <v>0</v>
      </c>
    </row>
    <row r="168" spans="1:33" ht="15">
      <c r="A168" s="2482"/>
      <c r="B168" s="368">
        <v>55</v>
      </c>
      <c r="C168" s="368">
        <f t="shared" si="20"/>
        <v>365</v>
      </c>
      <c r="D168" s="2475"/>
      <c r="E168" s="695" t="s">
        <v>306</v>
      </c>
      <c r="F168" s="673">
        <v>10</v>
      </c>
      <c r="G168" s="1699">
        <v>9</v>
      </c>
      <c r="H168" s="36">
        <v>0</v>
      </c>
      <c r="I168" s="36">
        <v>0</v>
      </c>
      <c r="J168" s="36">
        <v>600</v>
      </c>
      <c r="K168" s="36">
        <v>1800</v>
      </c>
      <c r="L168" s="36">
        <v>3900</v>
      </c>
      <c r="M168" s="36">
        <v>7500</v>
      </c>
      <c r="N168" s="36">
        <v>13500</v>
      </c>
      <c r="O168" s="36">
        <v>22500</v>
      </c>
      <c r="P168" s="36">
        <v>37500</v>
      </c>
      <c r="Q168" s="36">
        <v>61500</v>
      </c>
      <c r="R168" s="16">
        <v>6000</v>
      </c>
      <c r="S168" s="16">
        <v>12000</v>
      </c>
      <c r="T168" s="16">
        <v>18000</v>
      </c>
      <c r="U168" s="16">
        <v>24000</v>
      </c>
      <c r="V168" s="16">
        <v>30000</v>
      </c>
      <c r="W168" s="16">
        <v>36000</v>
      </c>
      <c r="X168" s="16">
        <v>42000</v>
      </c>
      <c r="Y168" s="16">
        <v>48000</v>
      </c>
      <c r="Z168" s="16">
        <v>54000</v>
      </c>
      <c r="AA168" s="16">
        <v>60000</v>
      </c>
      <c r="AB168" s="36">
        <v>93</v>
      </c>
      <c r="AC168" s="16">
        <v>231</v>
      </c>
      <c r="AD168" s="36">
        <v>298</v>
      </c>
      <c r="AE168" s="16">
        <v>400</v>
      </c>
      <c r="AF168" s="36">
        <v>554</v>
      </c>
      <c r="AG168" s="368">
        <v>0</v>
      </c>
    </row>
    <row r="169" spans="1:33" ht="15">
      <c r="A169" s="2482"/>
      <c r="B169" s="368">
        <v>55</v>
      </c>
      <c r="C169" s="368">
        <f t="shared" si="14"/>
        <v>366</v>
      </c>
      <c r="D169" s="2475"/>
      <c r="E169" s="269" t="s">
        <v>409</v>
      </c>
      <c r="F169" s="673">
        <v>11</v>
      </c>
      <c r="G169" s="1699">
        <v>10</v>
      </c>
      <c r="H169" s="36">
        <v>0</v>
      </c>
      <c r="I169" s="36">
        <v>0</v>
      </c>
      <c r="J169" s="36">
        <v>600</v>
      </c>
      <c r="K169" s="36">
        <v>2400</v>
      </c>
      <c r="L169" s="36">
        <v>5400</v>
      </c>
      <c r="M169" s="36">
        <v>9900</v>
      </c>
      <c r="N169" s="36">
        <v>20900</v>
      </c>
      <c r="O169" s="36">
        <v>32900</v>
      </c>
      <c r="P169" s="36">
        <v>50900</v>
      </c>
      <c r="Q169" s="36">
        <v>80900</v>
      </c>
      <c r="R169" s="16">
        <v>10000</v>
      </c>
      <c r="S169" s="16">
        <v>20000</v>
      </c>
      <c r="T169" s="16">
        <v>30000</v>
      </c>
      <c r="U169" s="16">
        <v>40000</v>
      </c>
      <c r="V169" s="16">
        <v>50000</v>
      </c>
      <c r="W169" s="16">
        <v>60000</v>
      </c>
      <c r="X169" s="16">
        <v>70000</v>
      </c>
      <c r="Y169" s="16">
        <v>80000</v>
      </c>
      <c r="Z169" s="16">
        <v>90000</v>
      </c>
      <c r="AA169" s="16">
        <v>100000</v>
      </c>
      <c r="AB169" s="36">
        <v>122</v>
      </c>
      <c r="AC169" s="16">
        <v>304</v>
      </c>
      <c r="AD169" s="36">
        <v>392</v>
      </c>
      <c r="AE169" s="16">
        <v>526</v>
      </c>
      <c r="AF169" s="36">
        <v>729</v>
      </c>
      <c r="AG169" s="368">
        <v>0</v>
      </c>
    </row>
    <row r="170" spans="1:33" ht="15">
      <c r="A170" s="2482"/>
      <c r="B170" s="368">
        <v>55</v>
      </c>
      <c r="C170" s="368">
        <f>$C$121+F170+B170</f>
        <v>367</v>
      </c>
      <c r="D170" s="2475"/>
      <c r="E170" s="696" t="s">
        <v>492</v>
      </c>
      <c r="F170" s="673">
        <v>12</v>
      </c>
      <c r="G170" s="1699">
        <v>11</v>
      </c>
      <c r="H170" s="36">
        <v>2000</v>
      </c>
      <c r="I170" s="36">
        <v>2600</v>
      </c>
      <c r="J170" s="36">
        <v>3800</v>
      </c>
      <c r="K170" s="36">
        <v>5600</v>
      </c>
      <c r="L170" s="36">
        <v>8600</v>
      </c>
      <c r="M170" s="36">
        <v>13100</v>
      </c>
      <c r="N170" s="36">
        <v>24100</v>
      </c>
      <c r="O170" s="36">
        <v>36100</v>
      </c>
      <c r="P170" s="36">
        <v>54100</v>
      </c>
      <c r="Q170" s="36">
        <v>84100</v>
      </c>
      <c r="R170" s="16">
        <v>10000</v>
      </c>
      <c r="S170" s="16">
        <v>20000</v>
      </c>
      <c r="T170" s="16">
        <v>30000</v>
      </c>
      <c r="U170" s="16">
        <v>40000</v>
      </c>
      <c r="V170" s="16">
        <v>50000</v>
      </c>
      <c r="W170" s="16">
        <v>60000</v>
      </c>
      <c r="X170" s="16">
        <v>70000</v>
      </c>
      <c r="Y170" s="16">
        <v>80000</v>
      </c>
      <c r="Z170" s="16">
        <v>90000</v>
      </c>
      <c r="AA170" s="16">
        <v>100000</v>
      </c>
      <c r="AB170" s="36">
        <v>127</v>
      </c>
      <c r="AC170" s="16">
        <v>316</v>
      </c>
      <c r="AD170" s="36">
        <v>407</v>
      </c>
      <c r="AE170" s="16">
        <v>547</v>
      </c>
      <c r="AF170" s="36">
        <v>757</v>
      </c>
      <c r="AG170" s="368">
        <v>0</v>
      </c>
    </row>
    <row r="171" spans="1:33" ht="15">
      <c r="A171" s="2482"/>
      <c r="B171" s="368">
        <v>55</v>
      </c>
      <c r="C171" s="368">
        <f t="shared" si="14"/>
        <v>368</v>
      </c>
      <c r="D171" s="2475"/>
      <c r="E171" s="269" t="s">
        <v>461</v>
      </c>
      <c r="F171" s="673">
        <v>13</v>
      </c>
      <c r="G171" s="1699">
        <v>12</v>
      </c>
      <c r="H171" s="36">
        <v>0</v>
      </c>
      <c r="I171" s="36">
        <v>0</v>
      </c>
      <c r="J171" s="36">
        <v>600</v>
      </c>
      <c r="K171" s="36">
        <v>2400</v>
      </c>
      <c r="L171" s="36">
        <v>5400</v>
      </c>
      <c r="M171" s="36">
        <v>10400</v>
      </c>
      <c r="N171" s="36">
        <v>20400</v>
      </c>
      <c r="O171" s="36">
        <v>33600</v>
      </c>
      <c r="P171" s="36">
        <v>52800</v>
      </c>
      <c r="Q171" s="36">
        <v>79800</v>
      </c>
      <c r="R171" s="16">
        <v>10000</v>
      </c>
      <c r="S171" s="16">
        <v>20000</v>
      </c>
      <c r="T171" s="16">
        <v>30000</v>
      </c>
      <c r="U171" s="16">
        <v>40000</v>
      </c>
      <c r="V171" s="16">
        <v>50000</v>
      </c>
      <c r="W171" s="16">
        <v>60000</v>
      </c>
      <c r="X171" s="16">
        <v>70000</v>
      </c>
      <c r="Y171" s="16">
        <v>80000</v>
      </c>
      <c r="Z171" s="16">
        <v>90000</v>
      </c>
      <c r="AA171" s="16">
        <v>100000</v>
      </c>
      <c r="AB171" s="36">
        <v>120</v>
      </c>
      <c r="AC171" s="16">
        <v>300</v>
      </c>
      <c r="AD171" s="36">
        <v>386</v>
      </c>
      <c r="AE171" s="16">
        <v>519</v>
      </c>
      <c r="AF171" s="36">
        <v>719</v>
      </c>
      <c r="AG171" s="368">
        <v>0</v>
      </c>
    </row>
    <row r="172" spans="1:33" ht="15">
      <c r="A172" s="2482"/>
      <c r="B172" s="368">
        <v>55</v>
      </c>
      <c r="C172" s="368">
        <f t="shared" si="14"/>
        <v>369</v>
      </c>
      <c r="D172" s="2475"/>
      <c r="E172" s="269" t="s">
        <v>463</v>
      </c>
      <c r="F172" s="673">
        <v>14</v>
      </c>
      <c r="G172" s="1699">
        <v>13</v>
      </c>
      <c r="H172" s="36">
        <v>0</v>
      </c>
      <c r="I172" s="36">
        <v>0</v>
      </c>
      <c r="J172" s="36">
        <v>600</v>
      </c>
      <c r="K172" s="36">
        <v>2400</v>
      </c>
      <c r="L172" s="36">
        <v>5400</v>
      </c>
      <c r="M172" s="36">
        <v>9900</v>
      </c>
      <c r="N172" s="36">
        <v>20900</v>
      </c>
      <c r="O172" s="36">
        <v>32900</v>
      </c>
      <c r="P172" s="36">
        <v>50900</v>
      </c>
      <c r="Q172" s="36">
        <v>80900</v>
      </c>
      <c r="R172" s="16">
        <v>10000</v>
      </c>
      <c r="S172" s="16">
        <v>20000</v>
      </c>
      <c r="T172" s="16">
        <v>30000</v>
      </c>
      <c r="U172" s="16">
        <v>40000</v>
      </c>
      <c r="V172" s="16">
        <v>50000</v>
      </c>
      <c r="W172" s="16">
        <v>60000</v>
      </c>
      <c r="X172" s="16">
        <v>70000</v>
      </c>
      <c r="Y172" s="16">
        <v>80000</v>
      </c>
      <c r="Z172" s="16">
        <v>90000</v>
      </c>
      <c r="AA172" s="16">
        <v>100000</v>
      </c>
      <c r="AB172" s="36">
        <v>122</v>
      </c>
      <c r="AC172" s="16">
        <v>304</v>
      </c>
      <c r="AD172" s="36">
        <v>392</v>
      </c>
      <c r="AE172" s="16">
        <v>526</v>
      </c>
      <c r="AF172" s="36">
        <v>729</v>
      </c>
      <c r="AG172" s="368">
        <v>0</v>
      </c>
    </row>
    <row r="173" spans="1:33" ht="15">
      <c r="A173" s="2482"/>
      <c r="B173" s="368">
        <v>55</v>
      </c>
      <c r="C173" s="368">
        <f t="shared" si="14"/>
        <v>370</v>
      </c>
      <c r="D173" s="2475"/>
      <c r="E173" s="269" t="s">
        <v>466</v>
      </c>
      <c r="F173" s="673">
        <v>15</v>
      </c>
      <c r="G173" s="1699">
        <v>14</v>
      </c>
      <c r="H173" s="36">
        <v>0</v>
      </c>
      <c r="I173" s="36">
        <v>0</v>
      </c>
      <c r="J173" s="36">
        <v>600</v>
      </c>
      <c r="K173" s="36">
        <v>1800</v>
      </c>
      <c r="L173" s="36">
        <v>3900</v>
      </c>
      <c r="M173" s="36">
        <v>7500</v>
      </c>
      <c r="N173" s="36">
        <v>13500</v>
      </c>
      <c r="O173" s="36">
        <v>22500</v>
      </c>
      <c r="P173" s="36">
        <v>37500</v>
      </c>
      <c r="Q173" s="36">
        <v>61500</v>
      </c>
      <c r="R173" s="16">
        <v>5000</v>
      </c>
      <c r="S173" s="16">
        <v>10000</v>
      </c>
      <c r="T173" s="16">
        <v>15000</v>
      </c>
      <c r="U173" s="16">
        <v>20000</v>
      </c>
      <c r="V173" s="16">
        <v>25000</v>
      </c>
      <c r="W173" s="16">
        <v>30000</v>
      </c>
      <c r="X173" s="16">
        <v>35000</v>
      </c>
      <c r="Y173" s="16">
        <v>40000</v>
      </c>
      <c r="Z173" s="16">
        <v>45000</v>
      </c>
      <c r="AA173" s="16">
        <v>50000</v>
      </c>
      <c r="AB173" s="36">
        <v>36</v>
      </c>
      <c r="AC173" s="16">
        <v>54</v>
      </c>
      <c r="AD173" s="36">
        <v>80</v>
      </c>
      <c r="AE173" s="16">
        <v>120</v>
      </c>
      <c r="AF173" s="36">
        <v>180</v>
      </c>
      <c r="AG173" s="368">
        <v>0</v>
      </c>
    </row>
    <row r="174" spans="1:33" ht="15">
      <c r="A174" s="2482"/>
      <c r="B174" s="368">
        <v>55</v>
      </c>
      <c r="C174" s="368">
        <f t="shared" si="14"/>
        <v>371</v>
      </c>
      <c r="D174" s="2475"/>
      <c r="E174" s="278" t="s">
        <v>417</v>
      </c>
      <c r="F174" s="673">
        <v>16</v>
      </c>
      <c r="G174" s="1699">
        <v>15</v>
      </c>
      <c r="H174" s="36">
        <v>0</v>
      </c>
      <c r="I174" s="36">
        <v>0</v>
      </c>
      <c r="J174" s="36">
        <v>600</v>
      </c>
      <c r="K174" s="36">
        <v>2400</v>
      </c>
      <c r="L174" s="36">
        <v>5400</v>
      </c>
      <c r="M174" s="36">
        <v>9900</v>
      </c>
      <c r="N174" s="36">
        <v>20900</v>
      </c>
      <c r="O174" s="36">
        <v>32900</v>
      </c>
      <c r="P174" s="36">
        <v>50900</v>
      </c>
      <c r="Q174" s="36">
        <v>80900</v>
      </c>
      <c r="R174" s="16">
        <v>10000</v>
      </c>
      <c r="S174" s="16">
        <v>20000</v>
      </c>
      <c r="T174" s="16">
        <v>30000</v>
      </c>
      <c r="U174" s="16">
        <v>40000</v>
      </c>
      <c r="V174" s="16">
        <v>50000</v>
      </c>
      <c r="W174" s="16">
        <v>60000</v>
      </c>
      <c r="X174" s="16">
        <v>70000</v>
      </c>
      <c r="Y174" s="16">
        <v>80000</v>
      </c>
      <c r="Z174" s="16">
        <v>90000</v>
      </c>
      <c r="AA174" s="16">
        <v>100000</v>
      </c>
      <c r="AB174" s="36">
        <v>122</v>
      </c>
      <c r="AC174" s="16">
        <v>304</v>
      </c>
      <c r="AD174" s="36">
        <v>392</v>
      </c>
      <c r="AE174" s="16">
        <v>526</v>
      </c>
      <c r="AF174" s="36">
        <v>729</v>
      </c>
      <c r="AG174" s="368">
        <v>0</v>
      </c>
    </row>
    <row r="175" spans="1:33" ht="15">
      <c r="A175" s="2482"/>
      <c r="B175" s="368">
        <v>55</v>
      </c>
      <c r="C175" s="368">
        <f t="shared" si="14"/>
        <v>372</v>
      </c>
      <c r="D175" s="2475"/>
      <c r="E175" s="278" t="s">
        <v>472</v>
      </c>
      <c r="F175" s="673">
        <v>17</v>
      </c>
      <c r="G175" s="1699">
        <v>16</v>
      </c>
      <c r="H175" s="36">
        <v>0</v>
      </c>
      <c r="I175" s="36">
        <v>0</v>
      </c>
      <c r="J175" s="36">
        <v>600</v>
      </c>
      <c r="K175" s="36">
        <v>2400</v>
      </c>
      <c r="L175" s="36">
        <v>5400</v>
      </c>
      <c r="M175" s="36">
        <v>10400</v>
      </c>
      <c r="N175" s="36">
        <v>20400</v>
      </c>
      <c r="O175" s="36">
        <v>33600</v>
      </c>
      <c r="P175" s="36">
        <v>52800</v>
      </c>
      <c r="Q175" s="36">
        <v>79800</v>
      </c>
      <c r="R175" s="16">
        <v>10000</v>
      </c>
      <c r="S175" s="16">
        <v>20000</v>
      </c>
      <c r="T175" s="16">
        <v>30000</v>
      </c>
      <c r="U175" s="16">
        <v>40000</v>
      </c>
      <c r="V175" s="16">
        <v>50000</v>
      </c>
      <c r="W175" s="16">
        <v>60000</v>
      </c>
      <c r="X175" s="16">
        <v>70000</v>
      </c>
      <c r="Y175" s="16">
        <v>80000</v>
      </c>
      <c r="Z175" s="16">
        <v>90000</v>
      </c>
      <c r="AA175" s="16">
        <v>100000</v>
      </c>
      <c r="AB175" s="36">
        <v>120</v>
      </c>
      <c r="AC175" s="16">
        <v>300</v>
      </c>
      <c r="AD175" s="36">
        <v>386</v>
      </c>
      <c r="AE175" s="16">
        <v>519</v>
      </c>
      <c r="AF175" s="36">
        <v>719</v>
      </c>
      <c r="AG175" s="368">
        <v>0</v>
      </c>
    </row>
    <row r="176" spans="1:33" ht="15">
      <c r="A176" s="2482"/>
      <c r="B176" s="368">
        <v>55</v>
      </c>
      <c r="C176" s="368">
        <f t="shared" si="14"/>
        <v>373</v>
      </c>
      <c r="D176" s="2475"/>
      <c r="E176" s="278" t="s">
        <v>475</v>
      </c>
      <c r="F176" s="673">
        <v>18</v>
      </c>
      <c r="G176" s="1699">
        <v>17</v>
      </c>
      <c r="H176" s="36">
        <v>0</v>
      </c>
      <c r="I176" s="36">
        <v>0</v>
      </c>
      <c r="J176" s="36">
        <v>600</v>
      </c>
      <c r="K176" s="36">
        <v>2400</v>
      </c>
      <c r="L176" s="36">
        <v>5400</v>
      </c>
      <c r="M176" s="36">
        <v>9900</v>
      </c>
      <c r="N176" s="36">
        <v>20900</v>
      </c>
      <c r="O176" s="36">
        <v>32900</v>
      </c>
      <c r="P176" s="36">
        <v>50900</v>
      </c>
      <c r="Q176" s="36">
        <v>80900</v>
      </c>
      <c r="R176" s="16">
        <v>10000</v>
      </c>
      <c r="S176" s="16">
        <v>20000</v>
      </c>
      <c r="T176" s="16">
        <v>30000</v>
      </c>
      <c r="U176" s="16">
        <v>40000</v>
      </c>
      <c r="V176" s="16">
        <v>50000</v>
      </c>
      <c r="W176" s="16">
        <v>60000</v>
      </c>
      <c r="X176" s="16">
        <v>70000</v>
      </c>
      <c r="Y176" s="16">
        <v>80000</v>
      </c>
      <c r="Z176" s="16">
        <v>90000</v>
      </c>
      <c r="AA176" s="16">
        <v>100000</v>
      </c>
      <c r="AB176" s="36">
        <v>122</v>
      </c>
      <c r="AC176" s="16">
        <v>304</v>
      </c>
      <c r="AD176" s="36">
        <v>392</v>
      </c>
      <c r="AE176" s="16">
        <v>526</v>
      </c>
      <c r="AF176" s="36">
        <v>729</v>
      </c>
      <c r="AG176" s="368">
        <v>0</v>
      </c>
    </row>
    <row r="177" spans="1:43" ht="15">
      <c r="A177" s="2482"/>
      <c r="B177" s="368">
        <v>55</v>
      </c>
      <c r="C177" s="368">
        <f t="shared" si="14"/>
        <v>374</v>
      </c>
      <c r="D177" s="2475"/>
      <c r="E177" s="278" t="s">
        <v>478</v>
      </c>
      <c r="F177" s="673">
        <v>19</v>
      </c>
      <c r="G177" s="1699">
        <v>18</v>
      </c>
      <c r="H177" s="36">
        <v>0</v>
      </c>
      <c r="I177" s="36">
        <v>0</v>
      </c>
      <c r="J177" s="36">
        <v>600</v>
      </c>
      <c r="K177" s="36">
        <v>1800</v>
      </c>
      <c r="L177" s="36">
        <v>3900</v>
      </c>
      <c r="M177" s="36">
        <v>7500</v>
      </c>
      <c r="N177" s="36">
        <v>13500</v>
      </c>
      <c r="O177" s="36">
        <v>22500</v>
      </c>
      <c r="P177" s="36">
        <v>37500</v>
      </c>
      <c r="Q177" s="36">
        <v>61500</v>
      </c>
      <c r="R177" s="16">
        <v>5000</v>
      </c>
      <c r="S177" s="16">
        <v>10000</v>
      </c>
      <c r="T177" s="16">
        <v>15000</v>
      </c>
      <c r="U177" s="16">
        <v>20000</v>
      </c>
      <c r="V177" s="16">
        <v>25000</v>
      </c>
      <c r="W177" s="16">
        <v>30000</v>
      </c>
      <c r="X177" s="16">
        <v>35000</v>
      </c>
      <c r="Y177" s="16">
        <v>40000</v>
      </c>
      <c r="Z177" s="16">
        <v>45000</v>
      </c>
      <c r="AA177" s="16">
        <v>50000</v>
      </c>
      <c r="AB177" s="36">
        <v>36</v>
      </c>
      <c r="AC177" s="16">
        <v>54</v>
      </c>
      <c r="AD177" s="36">
        <v>80</v>
      </c>
      <c r="AE177" s="16">
        <v>120</v>
      </c>
      <c r="AF177" s="36">
        <v>180</v>
      </c>
      <c r="AG177" s="368">
        <v>0</v>
      </c>
    </row>
    <row r="178" spans="1:43" ht="15">
      <c r="A178" s="2481"/>
      <c r="E178" s="2478" t="s">
        <v>609</v>
      </c>
      <c r="F178" s="2477" t="s">
        <v>320</v>
      </c>
      <c r="G178" s="2263" t="s">
        <v>321</v>
      </c>
      <c r="H178" s="2448" t="s">
        <v>322</v>
      </c>
      <c r="I178" s="2448"/>
      <c r="J178" s="2448"/>
      <c r="K178" s="2448"/>
      <c r="L178" s="2448"/>
      <c r="M178" s="2448"/>
      <c r="N178" s="2448"/>
      <c r="O178" s="2448"/>
      <c r="P178" s="2448"/>
      <c r="Q178" s="2448"/>
      <c r="R178" s="2448" t="s">
        <v>323</v>
      </c>
      <c r="S178" s="2448"/>
      <c r="T178" s="2448"/>
      <c r="U178" s="2448"/>
      <c r="V178" s="2448"/>
      <c r="W178" s="2448"/>
      <c r="X178" s="2448"/>
      <c r="Y178" s="2448"/>
      <c r="Z178" s="2448"/>
      <c r="AA178" s="2448"/>
      <c r="AB178" s="246" t="s">
        <v>73</v>
      </c>
      <c r="AC178" s="246" t="s">
        <v>74</v>
      </c>
      <c r="AD178" s="246" t="s">
        <v>75</v>
      </c>
      <c r="AE178" s="246" t="s">
        <v>76</v>
      </c>
      <c r="AF178" s="246" t="s">
        <v>77</v>
      </c>
      <c r="AH178" s="2485" t="s">
        <v>867</v>
      </c>
      <c r="AI178" s="2485"/>
      <c r="AJ178" s="2485"/>
      <c r="AK178" s="2485"/>
      <c r="AL178" s="2485"/>
      <c r="AM178" s="2485"/>
      <c r="AN178" s="2485"/>
      <c r="AO178" s="2485"/>
      <c r="AP178" s="2485"/>
      <c r="AQ178" s="2485"/>
    </row>
    <row r="179" spans="1:43" ht="15">
      <c r="A179" s="2481"/>
      <c r="C179" s="368">
        <v>400</v>
      </c>
      <c r="E179" s="2447"/>
      <c r="F179" s="2477"/>
      <c r="G179" s="2263"/>
      <c r="H179" s="1701" t="s">
        <v>347</v>
      </c>
      <c r="I179" s="1701" t="s">
        <v>348</v>
      </c>
      <c r="J179" s="1701" t="s">
        <v>349</v>
      </c>
      <c r="K179" s="1701" t="s">
        <v>350</v>
      </c>
      <c r="L179" s="1701" t="s">
        <v>351</v>
      </c>
      <c r="M179" s="1701" t="s">
        <v>352</v>
      </c>
      <c r="N179" s="1701" t="s">
        <v>353</v>
      </c>
      <c r="O179" s="1701" t="s">
        <v>354</v>
      </c>
      <c r="P179" s="1701" t="s">
        <v>355</v>
      </c>
      <c r="Q179" s="1701" t="s">
        <v>356</v>
      </c>
      <c r="R179" s="1701" t="s">
        <v>347</v>
      </c>
      <c r="S179" s="1701" t="s">
        <v>348</v>
      </c>
      <c r="T179" s="1701" t="s">
        <v>349</v>
      </c>
      <c r="U179" s="1701" t="s">
        <v>350</v>
      </c>
      <c r="V179" s="1701" t="s">
        <v>351</v>
      </c>
      <c r="W179" s="1701" t="s">
        <v>352</v>
      </c>
      <c r="X179" s="1701" t="s">
        <v>353</v>
      </c>
      <c r="Y179" s="1701" t="s">
        <v>354</v>
      </c>
      <c r="Z179" s="1701" t="s">
        <v>355</v>
      </c>
      <c r="AA179" s="1701" t="s">
        <v>356</v>
      </c>
      <c r="AB179" s="1700" t="s">
        <v>357</v>
      </c>
      <c r="AC179" s="1700" t="s">
        <v>357</v>
      </c>
      <c r="AD179" s="1700" t="s">
        <v>357</v>
      </c>
      <c r="AE179" s="1700" t="s">
        <v>357</v>
      </c>
      <c r="AF179" s="1700" t="s">
        <v>357</v>
      </c>
      <c r="AH179" s="1710" t="s">
        <v>868</v>
      </c>
      <c r="AI179" s="1710" t="s">
        <v>869</v>
      </c>
      <c r="AJ179" s="1710" t="s">
        <v>870</v>
      </c>
      <c r="AK179" s="1710" t="s">
        <v>871</v>
      </c>
      <c r="AL179" s="1710" t="s">
        <v>872</v>
      </c>
      <c r="AM179" s="1710" t="s">
        <v>873</v>
      </c>
      <c r="AN179" s="1710" t="s">
        <v>874</v>
      </c>
      <c r="AO179" s="1710" t="s">
        <v>875</v>
      </c>
      <c r="AP179" s="1710" t="s">
        <v>876</v>
      </c>
      <c r="AQ179" s="1710" t="s">
        <v>877</v>
      </c>
    </row>
    <row r="180" spans="1:43" ht="15">
      <c r="A180" s="2481"/>
      <c r="C180" s="368">
        <f>$C$179+F180+B180</f>
        <v>401</v>
      </c>
      <c r="D180" s="2475" t="s">
        <v>696</v>
      </c>
      <c r="E180" s="1083" t="s">
        <v>61</v>
      </c>
      <c r="F180" s="1704">
        <v>1</v>
      </c>
      <c r="G180" s="1698"/>
      <c r="H180" s="1701"/>
      <c r="I180" s="1701"/>
      <c r="J180" s="1701"/>
      <c r="K180" s="1701"/>
      <c r="L180" s="1701"/>
      <c r="M180" s="1701"/>
      <c r="N180" s="1701"/>
      <c r="O180" s="1701"/>
      <c r="P180" s="1701"/>
      <c r="Q180" s="1701"/>
      <c r="R180" s="1701"/>
      <c r="S180" s="1701"/>
      <c r="T180" s="1701"/>
      <c r="U180" s="1701"/>
      <c r="V180" s="1701"/>
      <c r="W180" s="1701"/>
      <c r="X180" s="1701"/>
      <c r="Y180" s="1701"/>
      <c r="Z180" s="1701"/>
      <c r="AA180" s="1701"/>
      <c r="AB180" s="1700"/>
      <c r="AC180" s="1700"/>
      <c r="AD180" s="1700"/>
      <c r="AE180" s="1700"/>
      <c r="AF180" s="1700"/>
    </row>
    <row r="181" spans="1:43" ht="15">
      <c r="A181" s="2481"/>
      <c r="C181" s="368">
        <f t="shared" ref="C181:C204" si="21">$C$179+F181+B181</f>
        <v>402</v>
      </c>
      <c r="D181" s="2475"/>
      <c r="E181" s="261" t="s">
        <v>610</v>
      </c>
      <c r="F181" s="670">
        <v>2</v>
      </c>
      <c r="G181" s="1699">
        <v>0</v>
      </c>
      <c r="H181" s="36">
        <v>0</v>
      </c>
      <c r="I181" s="36">
        <v>0</v>
      </c>
      <c r="J181" s="36">
        <v>600</v>
      </c>
      <c r="K181" s="36">
        <v>3000</v>
      </c>
      <c r="L181" s="36">
        <v>9000</v>
      </c>
      <c r="M181" s="36">
        <v>18000</v>
      </c>
      <c r="N181" s="36">
        <v>33000</v>
      </c>
      <c r="O181" s="36">
        <v>57000</v>
      </c>
      <c r="P181" s="36">
        <v>93000</v>
      </c>
      <c r="Q181" s="36">
        <v>153000</v>
      </c>
      <c r="R181" s="16">
        <v>20000</v>
      </c>
      <c r="S181" s="16">
        <v>40000</v>
      </c>
      <c r="T181" s="16">
        <v>60000</v>
      </c>
      <c r="U181" s="16">
        <v>80000</v>
      </c>
      <c r="V181" s="16">
        <v>100000</v>
      </c>
      <c r="W181" s="16">
        <v>120000</v>
      </c>
      <c r="X181" s="16">
        <v>140000</v>
      </c>
      <c r="Y181" s="16">
        <v>160000</v>
      </c>
      <c r="Z181" s="16">
        <v>180000</v>
      </c>
      <c r="AA181" s="16">
        <v>200000</v>
      </c>
      <c r="AB181" s="36">
        <v>230</v>
      </c>
      <c r="AC181" s="16">
        <v>574</v>
      </c>
      <c r="AD181" s="36">
        <v>740</v>
      </c>
      <c r="AE181" s="16">
        <v>995</v>
      </c>
      <c r="AF181" s="36">
        <v>1377</v>
      </c>
      <c r="AG181" s="368">
        <v>0</v>
      </c>
    </row>
    <row r="182" spans="1:43" ht="15">
      <c r="A182" s="2481"/>
      <c r="C182" s="368">
        <f t="shared" si="21"/>
        <v>403</v>
      </c>
      <c r="D182" s="2475"/>
      <c r="E182" s="261" t="s">
        <v>573</v>
      </c>
      <c r="F182" s="1704">
        <v>3</v>
      </c>
      <c r="G182" s="1699">
        <v>1</v>
      </c>
      <c r="H182" s="36">
        <v>0</v>
      </c>
      <c r="I182" s="36">
        <v>0</v>
      </c>
      <c r="J182" s="36">
        <v>600</v>
      </c>
      <c r="K182" s="36">
        <v>3000</v>
      </c>
      <c r="L182" s="36">
        <v>9000</v>
      </c>
      <c r="M182" s="36">
        <v>18000</v>
      </c>
      <c r="N182" s="36">
        <v>33000</v>
      </c>
      <c r="O182" s="36">
        <v>57000</v>
      </c>
      <c r="P182" s="36">
        <v>93000</v>
      </c>
      <c r="Q182" s="36">
        <v>153000</v>
      </c>
      <c r="R182" s="16">
        <v>20000</v>
      </c>
      <c r="S182" s="16">
        <v>40000</v>
      </c>
      <c r="T182" s="16">
        <v>60000</v>
      </c>
      <c r="U182" s="16">
        <v>80000</v>
      </c>
      <c r="V182" s="16">
        <v>100000</v>
      </c>
      <c r="W182" s="16">
        <v>120000</v>
      </c>
      <c r="X182" s="16">
        <v>140000</v>
      </c>
      <c r="Y182" s="16">
        <v>160000</v>
      </c>
      <c r="Z182" s="16">
        <v>180000</v>
      </c>
      <c r="AA182" s="16">
        <v>200000</v>
      </c>
      <c r="AB182" s="36">
        <v>230</v>
      </c>
      <c r="AC182" s="16">
        <v>574</v>
      </c>
      <c r="AD182" s="36">
        <v>740</v>
      </c>
      <c r="AE182" s="16">
        <v>995</v>
      </c>
      <c r="AF182" s="36">
        <v>1377</v>
      </c>
      <c r="AG182" s="368">
        <v>0</v>
      </c>
    </row>
    <row r="183" spans="1:43" ht="15">
      <c r="A183" s="2481"/>
      <c r="C183" s="368">
        <f t="shared" si="21"/>
        <v>404</v>
      </c>
      <c r="D183" s="2475"/>
      <c r="E183" s="261" t="s">
        <v>574</v>
      </c>
      <c r="F183" s="670">
        <v>4</v>
      </c>
      <c r="G183" s="1699">
        <v>2</v>
      </c>
      <c r="H183" s="36">
        <v>0</v>
      </c>
      <c r="I183" s="36">
        <v>0</v>
      </c>
      <c r="J183" s="36">
        <v>600</v>
      </c>
      <c r="K183" s="36">
        <v>3000</v>
      </c>
      <c r="L183" s="36">
        <v>9000</v>
      </c>
      <c r="M183" s="36">
        <v>18000</v>
      </c>
      <c r="N183" s="36">
        <v>33000</v>
      </c>
      <c r="O183" s="36">
        <v>57000</v>
      </c>
      <c r="P183" s="36">
        <v>93000</v>
      </c>
      <c r="Q183" s="36">
        <v>153000</v>
      </c>
      <c r="R183" s="16">
        <v>20000</v>
      </c>
      <c r="S183" s="16">
        <v>40000</v>
      </c>
      <c r="T183" s="16">
        <v>60000</v>
      </c>
      <c r="U183" s="16">
        <v>80000</v>
      </c>
      <c r="V183" s="16">
        <v>100000</v>
      </c>
      <c r="W183" s="16">
        <v>120000</v>
      </c>
      <c r="X183" s="16">
        <v>140000</v>
      </c>
      <c r="Y183" s="16">
        <v>160000</v>
      </c>
      <c r="Z183" s="16">
        <v>180000</v>
      </c>
      <c r="AA183" s="16">
        <v>200000</v>
      </c>
      <c r="AB183" s="36">
        <v>230</v>
      </c>
      <c r="AC183" s="16">
        <v>574</v>
      </c>
      <c r="AD183" s="36">
        <v>740</v>
      </c>
      <c r="AE183" s="16">
        <v>995</v>
      </c>
      <c r="AF183" s="36">
        <v>1377</v>
      </c>
      <c r="AG183" s="368">
        <v>0</v>
      </c>
    </row>
    <row r="184" spans="1:43" ht="15">
      <c r="A184" s="2481"/>
      <c r="C184" s="368">
        <v>405</v>
      </c>
      <c r="D184" s="1702"/>
      <c r="E184" s="261"/>
      <c r="F184" s="670"/>
      <c r="G184" s="1699"/>
      <c r="H184" s="36"/>
      <c r="I184" s="36"/>
      <c r="J184" s="36"/>
      <c r="K184" s="36"/>
      <c r="L184" s="36"/>
      <c r="M184" s="36"/>
      <c r="N184" s="36"/>
      <c r="O184" s="36"/>
      <c r="P184" s="36"/>
      <c r="Q184" s="36"/>
      <c r="R184" s="16"/>
      <c r="S184" s="16"/>
      <c r="T184" s="16"/>
      <c r="U184" s="16"/>
      <c r="V184" s="16"/>
      <c r="W184" s="16"/>
      <c r="X184" s="16"/>
      <c r="Y184" s="16"/>
      <c r="Z184" s="16"/>
      <c r="AA184" s="16"/>
      <c r="AB184" s="36"/>
      <c r="AC184" s="16"/>
      <c r="AD184" s="36"/>
      <c r="AE184" s="16"/>
      <c r="AF184" s="36"/>
    </row>
    <row r="185" spans="1:43" ht="15">
      <c r="A185" s="2481"/>
      <c r="C185" s="368">
        <v>406</v>
      </c>
      <c r="D185" s="1702"/>
      <c r="E185" s="261"/>
      <c r="F185" s="670"/>
      <c r="G185" s="1699"/>
      <c r="H185" s="36"/>
      <c r="I185" s="36"/>
      <c r="J185" s="36"/>
      <c r="K185" s="36"/>
      <c r="L185" s="36"/>
      <c r="M185" s="36"/>
      <c r="N185" s="36"/>
      <c r="O185" s="36"/>
      <c r="P185" s="36"/>
      <c r="Q185" s="36"/>
      <c r="R185" s="16"/>
      <c r="S185" s="16"/>
      <c r="T185" s="16"/>
      <c r="U185" s="16"/>
      <c r="V185" s="16"/>
      <c r="W185" s="16"/>
      <c r="X185" s="16"/>
      <c r="Y185" s="16"/>
      <c r="Z185" s="16"/>
      <c r="AA185" s="16"/>
      <c r="AB185" s="36"/>
      <c r="AC185" s="16"/>
      <c r="AD185" s="36"/>
      <c r="AE185" s="16"/>
      <c r="AF185" s="36"/>
    </row>
    <row r="186" spans="1:43" ht="15" customHeight="1">
      <c r="A186" s="2481"/>
      <c r="B186" s="368">
        <v>25</v>
      </c>
      <c r="C186" s="368">
        <f t="shared" si="21"/>
        <v>426</v>
      </c>
      <c r="D186" s="2475" t="s">
        <v>698</v>
      </c>
      <c r="E186" s="1604" t="s">
        <v>61</v>
      </c>
      <c r="F186" s="670">
        <v>1</v>
      </c>
      <c r="G186" s="1699"/>
      <c r="H186" s="36"/>
      <c r="I186" s="36"/>
      <c r="J186" s="36"/>
      <c r="K186" s="36"/>
      <c r="L186" s="36"/>
      <c r="M186" s="36"/>
      <c r="N186" s="36"/>
      <c r="O186" s="36"/>
      <c r="P186" s="36"/>
      <c r="Q186" s="36"/>
      <c r="R186" s="16"/>
      <c r="S186" s="16"/>
      <c r="T186" s="16"/>
      <c r="U186" s="16"/>
      <c r="V186" s="16"/>
      <c r="W186" s="16"/>
      <c r="X186" s="16"/>
      <c r="Y186" s="16"/>
      <c r="Z186" s="16"/>
      <c r="AA186" s="16"/>
      <c r="AB186" s="36"/>
      <c r="AC186" s="16"/>
      <c r="AD186" s="36"/>
      <c r="AE186" s="16"/>
      <c r="AF186" s="36"/>
      <c r="AG186" s="368">
        <v>0</v>
      </c>
    </row>
    <row r="187" spans="1:43" ht="15">
      <c r="A187" s="2481"/>
      <c r="B187" s="368">
        <v>25</v>
      </c>
      <c r="C187" s="368">
        <f t="shared" si="21"/>
        <v>427</v>
      </c>
      <c r="D187" s="2475"/>
      <c r="E187" s="1601" t="s">
        <v>1163</v>
      </c>
      <c r="F187" s="1603">
        <v>2</v>
      </c>
      <c r="G187" s="1699">
        <v>0</v>
      </c>
      <c r="H187" s="36">
        <v>0</v>
      </c>
      <c r="I187" s="36">
        <v>1000</v>
      </c>
      <c r="J187" s="36">
        <v>3000</v>
      </c>
      <c r="K187" s="36">
        <v>6000</v>
      </c>
      <c r="L187" s="36">
        <v>11000</v>
      </c>
      <c r="M187" s="36">
        <v>19000</v>
      </c>
      <c r="N187" s="36">
        <v>30000</v>
      </c>
      <c r="O187" s="36">
        <v>45000</v>
      </c>
      <c r="P187" s="36">
        <v>70000</v>
      </c>
      <c r="Q187" s="36">
        <v>105000</v>
      </c>
      <c r="R187" s="16">
        <v>400300</v>
      </c>
      <c r="S187" s="16">
        <v>0</v>
      </c>
      <c r="T187" s="16">
        <v>0</v>
      </c>
      <c r="U187" s="16">
        <v>0</v>
      </c>
      <c r="V187" s="16">
        <v>0</v>
      </c>
      <c r="W187" s="16">
        <v>0</v>
      </c>
      <c r="X187" s="16">
        <v>0</v>
      </c>
      <c r="Y187" s="16">
        <v>0</v>
      </c>
      <c r="Z187" s="16">
        <v>0</v>
      </c>
      <c r="AA187" s="16">
        <v>0</v>
      </c>
      <c r="AB187" s="36">
        <v>50</v>
      </c>
      <c r="AC187" s="16">
        <v>65</v>
      </c>
      <c r="AD187" s="36">
        <v>85</v>
      </c>
      <c r="AE187" s="16">
        <v>115</v>
      </c>
      <c r="AF187" s="36">
        <v>130</v>
      </c>
      <c r="AG187" s="368">
        <v>0</v>
      </c>
    </row>
    <row r="188" spans="1:43" ht="15">
      <c r="A188" s="2481"/>
      <c r="B188" s="368">
        <v>25</v>
      </c>
      <c r="C188" s="368">
        <f t="shared" si="21"/>
        <v>428</v>
      </c>
      <c r="D188" s="2475"/>
      <c r="E188" s="668" t="s">
        <v>1159</v>
      </c>
      <c r="F188" s="670">
        <v>3</v>
      </c>
      <c r="G188" s="1699">
        <v>1</v>
      </c>
      <c r="H188" s="36">
        <v>0</v>
      </c>
      <c r="I188" s="36">
        <v>1000</v>
      </c>
      <c r="J188" s="36">
        <v>3000</v>
      </c>
      <c r="K188" s="36">
        <v>6000</v>
      </c>
      <c r="L188" s="36">
        <v>11000</v>
      </c>
      <c r="M188" s="36">
        <v>19000</v>
      </c>
      <c r="N188" s="36">
        <v>30000</v>
      </c>
      <c r="O188" s="36">
        <v>45000</v>
      </c>
      <c r="P188" s="36">
        <v>70000</v>
      </c>
      <c r="Q188" s="36">
        <v>105000</v>
      </c>
      <c r="R188" s="16">
        <v>336000</v>
      </c>
      <c r="S188" s="16">
        <v>0</v>
      </c>
      <c r="T188" s="16">
        <v>0</v>
      </c>
      <c r="U188" s="16">
        <v>0</v>
      </c>
      <c r="V188" s="16">
        <v>0</v>
      </c>
      <c r="W188" s="16">
        <v>0</v>
      </c>
      <c r="X188" s="16">
        <v>0</v>
      </c>
      <c r="Y188" s="16">
        <v>0</v>
      </c>
      <c r="Z188" s="16">
        <v>0</v>
      </c>
      <c r="AA188" s="16">
        <v>0</v>
      </c>
      <c r="AB188" s="36">
        <v>50</v>
      </c>
      <c r="AC188" s="16">
        <v>65</v>
      </c>
      <c r="AD188" s="36">
        <v>85</v>
      </c>
      <c r="AE188" s="16">
        <v>115</v>
      </c>
      <c r="AF188" s="36">
        <v>130</v>
      </c>
      <c r="AG188" s="368">
        <v>0</v>
      </c>
    </row>
    <row r="189" spans="1:43" ht="15">
      <c r="A189" s="2481"/>
      <c r="B189" s="368">
        <v>25</v>
      </c>
      <c r="C189" s="368">
        <f t="shared" si="21"/>
        <v>429</v>
      </c>
      <c r="D189" s="2475"/>
      <c r="E189" s="1601" t="s">
        <v>1160</v>
      </c>
      <c r="F189" s="1602">
        <v>4</v>
      </c>
      <c r="G189" s="1699">
        <v>2</v>
      </c>
      <c r="H189" s="36">
        <v>0</v>
      </c>
      <c r="I189" s="36">
        <v>1000</v>
      </c>
      <c r="J189" s="36">
        <v>3000</v>
      </c>
      <c r="K189" s="36">
        <v>6000</v>
      </c>
      <c r="L189" s="36">
        <v>11000</v>
      </c>
      <c r="M189" s="36">
        <v>19000</v>
      </c>
      <c r="N189" s="36">
        <v>30000</v>
      </c>
      <c r="O189" s="36">
        <v>45000</v>
      </c>
      <c r="P189" s="36">
        <v>70000</v>
      </c>
      <c r="Q189" s="36">
        <v>105000</v>
      </c>
      <c r="R189" s="16">
        <v>440000</v>
      </c>
      <c r="S189" s="16">
        <v>0</v>
      </c>
      <c r="T189" s="16">
        <v>0</v>
      </c>
      <c r="U189" s="16">
        <v>0</v>
      </c>
      <c r="V189" s="16">
        <v>0</v>
      </c>
      <c r="W189" s="16">
        <v>0</v>
      </c>
      <c r="X189" s="16">
        <v>0</v>
      </c>
      <c r="Y189" s="16">
        <v>0</v>
      </c>
      <c r="Z189" s="16">
        <v>0</v>
      </c>
      <c r="AA189" s="16">
        <v>0</v>
      </c>
      <c r="AB189" s="36">
        <v>50</v>
      </c>
      <c r="AC189" s="16">
        <v>65</v>
      </c>
      <c r="AD189" s="36">
        <v>85</v>
      </c>
      <c r="AE189" s="16">
        <v>115</v>
      </c>
      <c r="AF189" s="36">
        <v>130</v>
      </c>
      <c r="AG189" s="368">
        <v>0</v>
      </c>
    </row>
    <row r="190" spans="1:43" ht="15">
      <c r="A190" s="2481"/>
      <c r="B190" s="368">
        <v>25</v>
      </c>
      <c r="C190" s="368">
        <f t="shared" si="21"/>
        <v>430</v>
      </c>
      <c r="D190" s="2475"/>
      <c r="E190" s="668" t="s">
        <v>1164</v>
      </c>
      <c r="F190" s="670">
        <v>5</v>
      </c>
      <c r="G190" s="1699">
        <v>3</v>
      </c>
      <c r="H190" s="36">
        <v>0</v>
      </c>
      <c r="I190" s="36">
        <v>1000</v>
      </c>
      <c r="J190" s="36">
        <v>3000</v>
      </c>
      <c r="K190" s="36">
        <v>6000</v>
      </c>
      <c r="L190" s="36">
        <v>11000</v>
      </c>
      <c r="M190" s="36">
        <v>19000</v>
      </c>
      <c r="N190" s="36">
        <v>30000</v>
      </c>
      <c r="O190" s="36">
        <v>45000</v>
      </c>
      <c r="P190" s="36">
        <v>70000</v>
      </c>
      <c r="Q190" s="36">
        <v>105000</v>
      </c>
      <c r="R190" s="16">
        <v>576000</v>
      </c>
      <c r="S190" s="16">
        <v>0</v>
      </c>
      <c r="T190" s="16">
        <v>0</v>
      </c>
      <c r="U190" s="16">
        <v>0</v>
      </c>
      <c r="V190" s="16">
        <v>0</v>
      </c>
      <c r="W190" s="16">
        <v>0</v>
      </c>
      <c r="X190" s="16">
        <v>0</v>
      </c>
      <c r="Y190" s="16">
        <v>0</v>
      </c>
      <c r="Z190" s="16">
        <v>0</v>
      </c>
      <c r="AA190" s="16">
        <v>0</v>
      </c>
      <c r="AB190" s="36">
        <v>50</v>
      </c>
      <c r="AC190" s="16">
        <v>65</v>
      </c>
      <c r="AD190" s="36">
        <v>85</v>
      </c>
      <c r="AE190" s="16">
        <v>115</v>
      </c>
      <c r="AF190" s="36">
        <v>130</v>
      </c>
      <c r="AG190" s="368">
        <v>0</v>
      </c>
    </row>
    <row r="191" spans="1:43" ht="15">
      <c r="A191" s="2481"/>
      <c r="B191" s="368">
        <v>45</v>
      </c>
      <c r="C191" s="368">
        <f t="shared" si="21"/>
        <v>446</v>
      </c>
      <c r="D191" s="2475" t="s">
        <v>700</v>
      </c>
      <c r="E191" s="1605" t="s">
        <v>61</v>
      </c>
      <c r="F191" s="670">
        <v>1</v>
      </c>
      <c r="G191" s="1699"/>
      <c r="H191" s="36"/>
      <c r="I191" s="36"/>
      <c r="J191" s="36"/>
      <c r="K191" s="36"/>
      <c r="L191" s="36"/>
      <c r="M191" s="36"/>
      <c r="N191" s="36"/>
      <c r="O191" s="36"/>
      <c r="P191" s="36"/>
      <c r="Q191" s="36"/>
      <c r="R191" s="16"/>
      <c r="S191" s="16"/>
      <c r="T191" s="16"/>
      <c r="U191" s="16"/>
      <c r="V191" s="16"/>
      <c r="W191" s="16"/>
      <c r="X191" s="16"/>
      <c r="Y191" s="16"/>
      <c r="Z191" s="16"/>
      <c r="AA191" s="16"/>
      <c r="AB191" s="36"/>
      <c r="AC191" s="16"/>
      <c r="AD191" s="36"/>
      <c r="AE191" s="16"/>
      <c r="AF191" s="36"/>
      <c r="AG191" s="368">
        <v>0</v>
      </c>
    </row>
    <row r="192" spans="1:43" ht="15">
      <c r="A192" s="2481"/>
      <c r="B192" s="368">
        <v>45</v>
      </c>
      <c r="C192" s="368">
        <f t="shared" si="21"/>
        <v>447</v>
      </c>
      <c r="D192" s="2475"/>
      <c r="E192" s="278" t="s">
        <v>617</v>
      </c>
      <c r="F192" s="670">
        <v>2</v>
      </c>
      <c r="G192" s="1699">
        <v>0</v>
      </c>
      <c r="H192" s="36">
        <v>0</v>
      </c>
      <c r="I192" s="36">
        <v>0</v>
      </c>
      <c r="J192" s="36">
        <v>600</v>
      </c>
      <c r="K192" s="36">
        <v>2400</v>
      </c>
      <c r="L192" s="36">
        <v>5400</v>
      </c>
      <c r="M192" s="36">
        <v>9900</v>
      </c>
      <c r="N192" s="36">
        <v>20900</v>
      </c>
      <c r="O192" s="36">
        <v>32900</v>
      </c>
      <c r="P192" s="36">
        <v>50900</v>
      </c>
      <c r="Q192" s="36">
        <v>80900</v>
      </c>
      <c r="R192" s="16">
        <v>10000</v>
      </c>
      <c r="S192" s="16">
        <v>20000</v>
      </c>
      <c r="T192" s="16">
        <v>30000</v>
      </c>
      <c r="U192" s="16">
        <v>40000</v>
      </c>
      <c r="V192" s="16">
        <v>50000</v>
      </c>
      <c r="W192" s="16">
        <v>60000</v>
      </c>
      <c r="X192" s="16">
        <v>70000</v>
      </c>
      <c r="Y192" s="16">
        <v>80000</v>
      </c>
      <c r="Z192" s="16">
        <v>90000</v>
      </c>
      <c r="AA192" s="16">
        <v>100000</v>
      </c>
      <c r="AB192" s="36">
        <v>122</v>
      </c>
      <c r="AC192" s="16">
        <v>304</v>
      </c>
      <c r="AD192" s="36">
        <v>392</v>
      </c>
      <c r="AE192" s="16">
        <v>526</v>
      </c>
      <c r="AF192" s="36">
        <v>729</v>
      </c>
      <c r="AG192" s="368">
        <v>0</v>
      </c>
    </row>
    <row r="193" spans="1:43" ht="15">
      <c r="A193" s="2481"/>
      <c r="B193" s="368">
        <v>45</v>
      </c>
      <c r="C193" s="368">
        <f t="shared" si="21"/>
        <v>448</v>
      </c>
      <c r="D193" s="2475"/>
      <c r="E193" s="278" t="s">
        <v>530</v>
      </c>
      <c r="F193" s="670">
        <v>3</v>
      </c>
      <c r="G193" s="1699">
        <v>1</v>
      </c>
      <c r="H193" s="36">
        <v>0</v>
      </c>
      <c r="I193" s="36">
        <v>0</v>
      </c>
      <c r="J193" s="36">
        <v>600</v>
      </c>
      <c r="K193" s="36">
        <v>2400</v>
      </c>
      <c r="L193" s="36">
        <v>5400</v>
      </c>
      <c r="M193" s="36">
        <v>9900</v>
      </c>
      <c r="N193" s="36">
        <v>20900</v>
      </c>
      <c r="O193" s="36">
        <v>32900</v>
      </c>
      <c r="P193" s="36">
        <v>50900</v>
      </c>
      <c r="Q193" s="36">
        <v>80900</v>
      </c>
      <c r="R193" s="16">
        <v>10000</v>
      </c>
      <c r="S193" s="16">
        <v>20000</v>
      </c>
      <c r="T193" s="16">
        <v>30000</v>
      </c>
      <c r="U193" s="16">
        <v>40000</v>
      </c>
      <c r="V193" s="16">
        <v>50000</v>
      </c>
      <c r="W193" s="16">
        <v>60000</v>
      </c>
      <c r="X193" s="16">
        <v>70000</v>
      </c>
      <c r="Y193" s="16">
        <v>80000</v>
      </c>
      <c r="Z193" s="16">
        <v>90000</v>
      </c>
      <c r="AA193" s="16">
        <v>100000</v>
      </c>
      <c r="AB193" s="36">
        <v>122</v>
      </c>
      <c r="AC193" s="16">
        <v>304</v>
      </c>
      <c r="AD193" s="36">
        <v>392</v>
      </c>
      <c r="AE193" s="16">
        <v>526</v>
      </c>
      <c r="AF193" s="36">
        <v>729</v>
      </c>
      <c r="AG193" s="368">
        <v>0</v>
      </c>
    </row>
    <row r="194" spans="1:43" ht="15">
      <c r="A194" s="2481"/>
      <c r="B194" s="368">
        <v>45</v>
      </c>
      <c r="C194" s="368">
        <f t="shared" si="21"/>
        <v>449</v>
      </c>
      <c r="D194" s="2475"/>
      <c r="E194" s="278" t="s">
        <v>618</v>
      </c>
      <c r="F194" s="670">
        <v>4</v>
      </c>
      <c r="G194" s="1699">
        <v>2</v>
      </c>
      <c r="H194" s="36">
        <v>0</v>
      </c>
      <c r="I194" s="36">
        <v>0</v>
      </c>
      <c r="J194" s="36">
        <v>1400</v>
      </c>
      <c r="K194" s="36">
        <v>3700</v>
      </c>
      <c r="L194" s="36">
        <v>8200</v>
      </c>
      <c r="M194" s="36">
        <v>15000</v>
      </c>
      <c r="N194" s="36">
        <v>26000</v>
      </c>
      <c r="O194" s="36">
        <v>44000</v>
      </c>
      <c r="P194" s="36">
        <v>71000</v>
      </c>
      <c r="Q194" s="36">
        <v>116000</v>
      </c>
      <c r="R194" s="16">
        <v>15000</v>
      </c>
      <c r="S194" s="16">
        <v>30000</v>
      </c>
      <c r="T194" s="16">
        <v>45000</v>
      </c>
      <c r="U194" s="16">
        <v>60000</v>
      </c>
      <c r="V194" s="16">
        <v>75000</v>
      </c>
      <c r="W194" s="16">
        <v>90000</v>
      </c>
      <c r="X194" s="16">
        <v>105000</v>
      </c>
      <c r="Y194" s="16">
        <v>120000</v>
      </c>
      <c r="Z194" s="16">
        <v>135000</v>
      </c>
      <c r="AA194" s="16">
        <v>150000</v>
      </c>
      <c r="AB194" s="36">
        <v>174</v>
      </c>
      <c r="AC194" s="16">
        <v>435</v>
      </c>
      <c r="AD194" s="36">
        <v>561</v>
      </c>
      <c r="AE194" s="16">
        <v>754</v>
      </c>
      <c r="AF194" s="36">
        <v>1044</v>
      </c>
      <c r="AG194" s="368">
        <v>0</v>
      </c>
    </row>
    <row r="195" spans="1:43" ht="15">
      <c r="A195" s="2481"/>
      <c r="B195" s="368">
        <v>55</v>
      </c>
      <c r="C195" s="368">
        <f t="shared" si="21"/>
        <v>456</v>
      </c>
      <c r="D195" s="2475" t="s">
        <v>699</v>
      </c>
      <c r="E195" s="1606" t="s">
        <v>61</v>
      </c>
      <c r="F195" s="670">
        <v>1</v>
      </c>
      <c r="G195" s="1699"/>
      <c r="H195" s="36"/>
      <c r="I195" s="36"/>
      <c r="J195" s="36"/>
      <c r="K195" s="36"/>
      <c r="L195" s="36"/>
      <c r="M195" s="36"/>
      <c r="N195" s="36"/>
      <c r="O195" s="36"/>
      <c r="P195" s="36"/>
      <c r="Q195" s="36"/>
      <c r="R195" s="16"/>
      <c r="S195" s="16"/>
      <c r="T195" s="16"/>
      <c r="U195" s="16"/>
      <c r="V195" s="16"/>
      <c r="W195" s="16"/>
      <c r="X195" s="16"/>
      <c r="Y195" s="16"/>
      <c r="Z195" s="16"/>
      <c r="AA195" s="16"/>
      <c r="AB195" s="36"/>
      <c r="AC195" s="16"/>
      <c r="AD195" s="36"/>
      <c r="AE195" s="16"/>
      <c r="AF195" s="36"/>
      <c r="AG195" s="368">
        <v>0</v>
      </c>
    </row>
    <row r="196" spans="1:43" ht="15">
      <c r="A196" s="2481"/>
      <c r="B196" s="368">
        <v>55</v>
      </c>
      <c r="C196" s="368">
        <f t="shared" si="21"/>
        <v>457</v>
      </c>
      <c r="D196" s="2475"/>
      <c r="E196" s="286" t="s">
        <v>308</v>
      </c>
      <c r="F196" s="670">
        <v>2</v>
      </c>
      <c r="G196" s="1699">
        <v>0</v>
      </c>
      <c r="H196" s="36">
        <v>0</v>
      </c>
      <c r="I196" s="36">
        <v>0</v>
      </c>
      <c r="J196" s="36">
        <v>900</v>
      </c>
      <c r="K196" s="36">
        <v>2700</v>
      </c>
      <c r="L196" s="36">
        <v>5700</v>
      </c>
      <c r="M196" s="36">
        <v>10200</v>
      </c>
      <c r="N196" s="36">
        <v>17700</v>
      </c>
      <c r="O196" s="36">
        <v>29700</v>
      </c>
      <c r="P196" s="36">
        <v>47700</v>
      </c>
      <c r="Q196" s="36">
        <v>77700</v>
      </c>
      <c r="R196" s="16">
        <v>10000</v>
      </c>
      <c r="S196" s="16">
        <v>20000</v>
      </c>
      <c r="T196" s="16">
        <v>30000</v>
      </c>
      <c r="U196" s="16">
        <v>40000</v>
      </c>
      <c r="V196" s="16">
        <v>50000</v>
      </c>
      <c r="W196" s="16">
        <v>60000</v>
      </c>
      <c r="X196" s="16">
        <v>70000</v>
      </c>
      <c r="Y196" s="16">
        <v>80000</v>
      </c>
      <c r="Z196" s="16">
        <v>90000</v>
      </c>
      <c r="AA196" s="16">
        <v>100000</v>
      </c>
      <c r="AB196" s="36">
        <v>117</v>
      </c>
      <c r="AC196" s="16">
        <v>292</v>
      </c>
      <c r="AD196" s="36">
        <v>376</v>
      </c>
      <c r="AE196" s="16">
        <v>506</v>
      </c>
      <c r="AF196" s="36">
        <v>700</v>
      </c>
      <c r="AG196" s="368">
        <v>0</v>
      </c>
    </row>
    <row r="197" spans="1:43" ht="15">
      <c r="A197" s="2481"/>
      <c r="B197" s="368">
        <v>55</v>
      </c>
      <c r="C197" s="368">
        <f t="shared" si="21"/>
        <v>458</v>
      </c>
      <c r="D197" s="2475"/>
      <c r="E197" s="286" t="s">
        <v>309</v>
      </c>
      <c r="F197" s="670">
        <v>3</v>
      </c>
      <c r="G197" s="1699">
        <v>1</v>
      </c>
      <c r="H197" s="36">
        <v>0</v>
      </c>
      <c r="I197" s="36">
        <v>0</v>
      </c>
      <c r="J197" s="36">
        <v>600</v>
      </c>
      <c r="K197" s="36">
        <v>3000</v>
      </c>
      <c r="L197" s="36">
        <v>7200</v>
      </c>
      <c r="M197" s="36">
        <v>13800</v>
      </c>
      <c r="N197" s="36">
        <v>23800</v>
      </c>
      <c r="O197" s="36">
        <v>38800</v>
      </c>
      <c r="P197" s="36">
        <v>62800</v>
      </c>
      <c r="Q197" s="36">
        <v>98800</v>
      </c>
      <c r="R197" s="16">
        <v>16000</v>
      </c>
      <c r="S197" s="16">
        <v>32000</v>
      </c>
      <c r="T197" s="16">
        <v>48000</v>
      </c>
      <c r="U197" s="16">
        <v>64000</v>
      </c>
      <c r="V197" s="16">
        <v>80000</v>
      </c>
      <c r="W197" s="16">
        <v>96000</v>
      </c>
      <c r="X197" s="16">
        <v>112000</v>
      </c>
      <c r="Y197" s="16">
        <v>128000</v>
      </c>
      <c r="Z197" s="16">
        <v>144000</v>
      </c>
      <c r="AA197" s="16">
        <v>160000</v>
      </c>
      <c r="AB197" s="36">
        <v>149</v>
      </c>
      <c r="AC197" s="16">
        <v>371</v>
      </c>
      <c r="AD197" s="36">
        <v>478</v>
      </c>
      <c r="AE197" s="16">
        <v>643</v>
      </c>
      <c r="AF197" s="36">
        <v>890</v>
      </c>
      <c r="AG197" s="368">
        <v>0</v>
      </c>
    </row>
    <row r="198" spans="1:43" ht="15">
      <c r="A198" s="2481"/>
      <c r="B198" s="368">
        <v>55</v>
      </c>
      <c r="C198" s="368">
        <f t="shared" si="21"/>
        <v>459</v>
      </c>
      <c r="D198" s="2475"/>
      <c r="E198" s="286" t="s">
        <v>310</v>
      </c>
      <c r="F198" s="670">
        <v>4</v>
      </c>
      <c r="G198" s="1699">
        <v>2</v>
      </c>
      <c r="H198" s="36">
        <v>0</v>
      </c>
      <c r="I198" s="36">
        <v>0</v>
      </c>
      <c r="J198" s="36">
        <v>170</v>
      </c>
      <c r="K198" s="36">
        <v>850</v>
      </c>
      <c r="L198" s="36">
        <v>2550</v>
      </c>
      <c r="M198" s="36">
        <v>5050</v>
      </c>
      <c r="N198" s="36">
        <v>9250</v>
      </c>
      <c r="O198" s="36">
        <v>16050</v>
      </c>
      <c r="P198" s="36">
        <v>26050</v>
      </c>
      <c r="Q198" s="36">
        <v>43050</v>
      </c>
      <c r="R198" s="16">
        <v>4500</v>
      </c>
      <c r="S198" s="16">
        <v>9000</v>
      </c>
      <c r="T198" s="16">
        <v>13500</v>
      </c>
      <c r="U198" s="16">
        <v>18000</v>
      </c>
      <c r="V198" s="16">
        <v>22500</v>
      </c>
      <c r="W198" s="16">
        <v>27000</v>
      </c>
      <c r="X198" s="16">
        <v>31500</v>
      </c>
      <c r="Y198" s="16">
        <v>36000</v>
      </c>
      <c r="Z198" s="16">
        <v>40500</v>
      </c>
      <c r="AA198" s="16">
        <v>45000</v>
      </c>
      <c r="AB198" s="36">
        <v>65</v>
      </c>
      <c r="AC198" s="16">
        <v>162</v>
      </c>
      <c r="AD198" s="36">
        <v>209</v>
      </c>
      <c r="AE198" s="16">
        <v>280</v>
      </c>
      <c r="AF198" s="36">
        <v>388</v>
      </c>
      <c r="AG198" s="368">
        <v>0</v>
      </c>
    </row>
    <row r="199" spans="1:43" ht="15">
      <c r="A199" s="2481"/>
      <c r="B199" s="368">
        <v>55</v>
      </c>
      <c r="C199" s="368">
        <f t="shared" si="21"/>
        <v>460</v>
      </c>
      <c r="D199" s="2475"/>
      <c r="E199" s="286" t="s">
        <v>303</v>
      </c>
      <c r="F199" s="670">
        <v>5</v>
      </c>
      <c r="G199" s="1699">
        <v>3</v>
      </c>
      <c r="H199" s="36">
        <v>7000</v>
      </c>
      <c r="I199" s="36">
        <v>7200</v>
      </c>
      <c r="J199" s="36">
        <v>7600</v>
      </c>
      <c r="K199" s="36">
        <v>9200</v>
      </c>
      <c r="L199" s="36">
        <v>13200</v>
      </c>
      <c r="M199" s="36">
        <v>21200</v>
      </c>
      <c r="N199" s="36">
        <v>37200</v>
      </c>
      <c r="O199" s="36">
        <v>71200</v>
      </c>
      <c r="P199" s="36">
        <v>116200</v>
      </c>
      <c r="Q199" s="36">
        <v>171200</v>
      </c>
      <c r="R199" s="16">
        <v>7000</v>
      </c>
      <c r="S199" s="16">
        <v>16000</v>
      </c>
      <c r="T199" s="16">
        <v>25000</v>
      </c>
      <c r="U199" s="16">
        <v>34000</v>
      </c>
      <c r="V199" s="16">
        <v>43000</v>
      </c>
      <c r="W199" s="16">
        <v>52000</v>
      </c>
      <c r="X199" s="16">
        <v>61000</v>
      </c>
      <c r="Y199" s="16">
        <v>70000</v>
      </c>
      <c r="Z199" s="16">
        <v>79000</v>
      </c>
      <c r="AA199" s="16">
        <v>88000</v>
      </c>
      <c r="AB199" s="36">
        <v>257</v>
      </c>
      <c r="AC199" s="16">
        <v>642</v>
      </c>
      <c r="AD199" s="36">
        <v>828</v>
      </c>
      <c r="AE199" s="16">
        <v>1113</v>
      </c>
      <c r="AF199" s="36">
        <v>1541</v>
      </c>
      <c r="AG199" s="368">
        <v>0</v>
      </c>
    </row>
    <row r="200" spans="1:43" ht="15" customHeight="1">
      <c r="A200" s="2481"/>
      <c r="B200" s="368">
        <v>65</v>
      </c>
      <c r="C200" s="368">
        <f t="shared" si="21"/>
        <v>466</v>
      </c>
      <c r="D200" s="2475" t="s">
        <v>697</v>
      </c>
      <c r="E200" s="1708" t="s">
        <v>61</v>
      </c>
      <c r="F200" s="1711">
        <v>1</v>
      </c>
      <c r="G200" s="368">
        <v>0</v>
      </c>
      <c r="AG200" s="368">
        <v>0</v>
      </c>
    </row>
    <row r="201" spans="1:43" ht="15" customHeight="1">
      <c r="A201" s="2481"/>
      <c r="B201" s="368">
        <v>65</v>
      </c>
      <c r="C201" s="368">
        <f t="shared" si="21"/>
        <v>467</v>
      </c>
      <c r="D201" s="2475"/>
      <c r="E201" s="1119" t="s">
        <v>1172</v>
      </c>
      <c r="F201" s="1711">
        <v>2</v>
      </c>
      <c r="G201" s="368">
        <v>1</v>
      </c>
      <c r="H201" s="368">
        <v>0</v>
      </c>
      <c r="I201" s="1656">
        <v>1000</v>
      </c>
      <c r="J201" s="1656">
        <v>3000</v>
      </c>
      <c r="K201" s="1656">
        <v>6000</v>
      </c>
      <c r="L201" s="1656">
        <v>11000</v>
      </c>
      <c r="M201" s="1656">
        <v>19000</v>
      </c>
      <c r="N201" s="1656">
        <v>30000</v>
      </c>
      <c r="O201" s="1656">
        <v>45000</v>
      </c>
      <c r="P201" s="1656">
        <v>70000</v>
      </c>
      <c r="Q201" s="1656">
        <v>105000</v>
      </c>
      <c r="R201" s="368">
        <v>500000</v>
      </c>
      <c r="S201" s="368">
        <v>0</v>
      </c>
      <c r="T201" s="368">
        <v>0</v>
      </c>
      <c r="U201" s="368">
        <v>0</v>
      </c>
      <c r="V201" s="368">
        <v>0</v>
      </c>
      <c r="W201" s="368">
        <v>0</v>
      </c>
      <c r="X201" s="368">
        <v>0</v>
      </c>
      <c r="Y201" s="368">
        <v>0</v>
      </c>
      <c r="Z201" s="368">
        <v>0</v>
      </c>
      <c r="AA201" s="368">
        <v>0</v>
      </c>
      <c r="AB201" s="173"/>
      <c r="AC201" s="173"/>
      <c r="AD201" s="173"/>
      <c r="AE201" s="173"/>
      <c r="AF201" s="173"/>
      <c r="AG201" s="368">
        <v>0</v>
      </c>
    </row>
    <row r="202" spans="1:43" ht="15" customHeight="1" thickBot="1">
      <c r="A202" s="2481"/>
      <c r="B202" s="368">
        <v>65</v>
      </c>
      <c r="C202" s="368">
        <f t="shared" si="21"/>
        <v>468</v>
      </c>
      <c r="D202" s="2475"/>
      <c r="E202" s="1120" t="s">
        <v>1173</v>
      </c>
      <c r="F202" s="1711">
        <v>3</v>
      </c>
      <c r="G202" s="368">
        <v>2</v>
      </c>
      <c r="H202" s="368">
        <v>0</v>
      </c>
      <c r="I202" s="1656">
        <v>1000</v>
      </c>
      <c r="J202" s="1656">
        <v>3000</v>
      </c>
      <c r="K202" s="1656">
        <v>6000</v>
      </c>
      <c r="L202" s="1656">
        <v>11000</v>
      </c>
      <c r="M202" s="1656">
        <v>19000</v>
      </c>
      <c r="N202" s="1656">
        <v>30000</v>
      </c>
      <c r="O202" s="1656">
        <v>45000</v>
      </c>
      <c r="P202" s="1656">
        <v>70000</v>
      </c>
      <c r="Q202" s="1656">
        <v>105000</v>
      </c>
      <c r="R202" s="368">
        <v>350000</v>
      </c>
      <c r="S202" s="368">
        <v>0</v>
      </c>
      <c r="T202" s="368">
        <v>0</v>
      </c>
      <c r="U202" s="368">
        <v>0</v>
      </c>
      <c r="V202" s="368">
        <v>0</v>
      </c>
      <c r="W202" s="368">
        <v>0</v>
      </c>
      <c r="X202" s="368">
        <v>0</v>
      </c>
      <c r="Y202" s="368">
        <v>0</v>
      </c>
      <c r="Z202" s="368">
        <v>0</v>
      </c>
      <c r="AA202" s="368">
        <v>0</v>
      </c>
      <c r="AB202" s="173"/>
      <c r="AC202" s="173"/>
      <c r="AD202" s="173"/>
      <c r="AE202" s="173"/>
      <c r="AF202" s="173"/>
      <c r="AG202" s="368">
        <v>0</v>
      </c>
    </row>
    <row r="203" spans="1:43" ht="15" customHeight="1">
      <c r="A203" s="2481"/>
      <c r="B203" s="368">
        <v>70</v>
      </c>
      <c r="C203" s="368">
        <f t="shared" si="21"/>
        <v>471</v>
      </c>
      <c r="D203" s="2475" t="s">
        <v>836</v>
      </c>
      <c r="E203" s="173"/>
      <c r="F203" s="175">
        <v>1</v>
      </c>
      <c r="G203" s="173">
        <v>0</v>
      </c>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3"/>
      <c r="AD203" s="173"/>
      <c r="AE203" s="173"/>
      <c r="AF203" s="173"/>
      <c r="AG203" s="368">
        <v>0</v>
      </c>
    </row>
    <row r="204" spans="1:43" ht="15" customHeight="1">
      <c r="A204" s="2481"/>
      <c r="B204" s="368">
        <v>70</v>
      </c>
      <c r="C204" s="368">
        <f t="shared" si="21"/>
        <v>472</v>
      </c>
      <c r="D204" s="2475"/>
      <c r="E204" s="173"/>
      <c r="F204" s="175">
        <v>2</v>
      </c>
      <c r="G204" s="173">
        <v>1</v>
      </c>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3"/>
      <c r="AD204" s="173"/>
      <c r="AE204" s="173"/>
      <c r="AF204" s="173"/>
      <c r="AG204" s="368">
        <v>0</v>
      </c>
    </row>
    <row r="205" spans="1:43" ht="15" customHeight="1">
      <c r="A205" s="2481"/>
      <c r="B205" s="368">
        <v>70</v>
      </c>
      <c r="C205" s="368">
        <f>$C$179+F205+B205</f>
        <v>473</v>
      </c>
      <c r="D205" s="2475"/>
      <c r="E205" s="173"/>
      <c r="F205" s="175">
        <v>3</v>
      </c>
      <c r="G205" s="173">
        <v>2</v>
      </c>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3"/>
      <c r="AD205" s="173"/>
      <c r="AE205" s="173"/>
      <c r="AF205" s="173"/>
      <c r="AG205" s="368">
        <v>0</v>
      </c>
    </row>
    <row r="206" spans="1:43" ht="15" customHeight="1">
      <c r="A206" s="1707"/>
      <c r="B206" s="368">
        <v>80</v>
      </c>
      <c r="C206" s="368">
        <f>$C$179+F206+B206</f>
        <v>481</v>
      </c>
      <c r="D206" s="1702" t="s">
        <v>866</v>
      </c>
      <c r="E206" s="1708" t="s">
        <v>866</v>
      </c>
      <c r="F206" s="1711">
        <v>1</v>
      </c>
      <c r="G206" s="368">
        <v>0</v>
      </c>
      <c r="H206" s="368">
        <v>0</v>
      </c>
      <c r="I206" s="368">
        <v>0</v>
      </c>
      <c r="J206" s="368">
        <v>0</v>
      </c>
      <c r="K206" s="368">
        <v>0</v>
      </c>
      <c r="L206" s="368">
        <v>0</v>
      </c>
      <c r="M206" s="368">
        <v>0</v>
      </c>
      <c r="N206" s="368">
        <v>0</v>
      </c>
      <c r="O206" s="368">
        <v>0</v>
      </c>
      <c r="P206" s="368">
        <v>0</v>
      </c>
      <c r="Q206" s="368">
        <v>0</v>
      </c>
      <c r="R206" s="368">
        <v>0</v>
      </c>
      <c r="S206" s="368">
        <v>0</v>
      </c>
      <c r="T206" s="368">
        <v>0</v>
      </c>
      <c r="U206" s="368">
        <v>0</v>
      </c>
      <c r="V206" s="368">
        <v>0</v>
      </c>
      <c r="W206" s="368">
        <v>0</v>
      </c>
      <c r="X206" s="368">
        <v>0</v>
      </c>
      <c r="Y206" s="368">
        <v>0</v>
      </c>
      <c r="Z206" s="368">
        <v>0</v>
      </c>
      <c r="AA206" s="368">
        <v>0</v>
      </c>
      <c r="AB206" s="368">
        <v>0</v>
      </c>
      <c r="AC206" s="368">
        <v>0</v>
      </c>
      <c r="AD206" s="368">
        <v>0</v>
      </c>
      <c r="AE206" s="368">
        <v>0</v>
      </c>
      <c r="AF206" s="368">
        <v>0</v>
      </c>
      <c r="AG206" s="368">
        <v>0</v>
      </c>
      <c r="AH206" s="368">
        <v>0</v>
      </c>
      <c r="AI206" s="368">
        <v>1000</v>
      </c>
      <c r="AJ206" s="368">
        <v>2000</v>
      </c>
      <c r="AK206" s="368">
        <v>3000</v>
      </c>
      <c r="AL206" s="368">
        <v>4000</v>
      </c>
      <c r="AM206" s="368">
        <v>6000</v>
      </c>
      <c r="AN206" s="368">
        <v>8000</v>
      </c>
      <c r="AO206" s="368">
        <v>12000</v>
      </c>
      <c r="AP206" s="368">
        <v>18000</v>
      </c>
      <c r="AQ206" s="368">
        <v>25000</v>
      </c>
    </row>
    <row r="207" spans="1:43" ht="15" customHeight="1">
      <c r="A207" s="2481"/>
      <c r="E207" s="2475" t="s">
        <v>837</v>
      </c>
      <c r="F207" s="2477" t="s">
        <v>320</v>
      </c>
      <c r="G207" s="2263" t="s">
        <v>321</v>
      </c>
      <c r="H207" s="2448" t="s">
        <v>322</v>
      </c>
      <c r="I207" s="2448"/>
      <c r="J207" s="2448"/>
      <c r="K207" s="2448"/>
      <c r="L207" s="2448"/>
      <c r="M207" s="2448"/>
      <c r="N207" s="2448"/>
      <c r="O207" s="2448"/>
      <c r="P207" s="2448"/>
      <c r="Q207" s="2448"/>
      <c r="R207" s="2448" t="s">
        <v>323</v>
      </c>
      <c r="S207" s="2448"/>
      <c r="T207" s="2448"/>
      <c r="U207" s="2448"/>
      <c r="V207" s="2448"/>
      <c r="W207" s="2448"/>
      <c r="X207" s="2448"/>
      <c r="Y207" s="2448"/>
      <c r="Z207" s="2448"/>
      <c r="AA207" s="2448"/>
      <c r="AB207" s="246" t="s">
        <v>73</v>
      </c>
      <c r="AC207" s="246" t="s">
        <v>74</v>
      </c>
      <c r="AD207" s="246" t="s">
        <v>75</v>
      </c>
      <c r="AE207" s="246" t="s">
        <v>76</v>
      </c>
      <c r="AF207" s="246" t="s">
        <v>77</v>
      </c>
      <c r="AG207" s="368">
        <v>0</v>
      </c>
    </row>
    <row r="208" spans="1:43" ht="15" customHeight="1">
      <c r="A208" s="2481"/>
      <c r="C208" s="368">
        <v>500</v>
      </c>
      <c r="E208" s="2475"/>
      <c r="F208" s="2477"/>
      <c r="G208" s="2263"/>
      <c r="H208" s="1701" t="s">
        <v>347</v>
      </c>
      <c r="I208" s="1701" t="s">
        <v>348</v>
      </c>
      <c r="J208" s="1701" t="s">
        <v>349</v>
      </c>
      <c r="K208" s="1701" t="s">
        <v>350</v>
      </c>
      <c r="L208" s="1701" t="s">
        <v>351</v>
      </c>
      <c r="M208" s="1701" t="s">
        <v>352</v>
      </c>
      <c r="N208" s="1701" t="s">
        <v>353</v>
      </c>
      <c r="O208" s="1701" t="s">
        <v>354</v>
      </c>
      <c r="P208" s="1701" t="s">
        <v>355</v>
      </c>
      <c r="Q208" s="1701" t="s">
        <v>356</v>
      </c>
      <c r="R208" s="1701" t="s">
        <v>347</v>
      </c>
      <c r="S208" s="1701" t="s">
        <v>348</v>
      </c>
      <c r="T208" s="1701" t="s">
        <v>349</v>
      </c>
      <c r="U208" s="1701" t="s">
        <v>350</v>
      </c>
      <c r="V208" s="1701" t="s">
        <v>351</v>
      </c>
      <c r="W208" s="1701" t="s">
        <v>352</v>
      </c>
      <c r="X208" s="1701" t="s">
        <v>353</v>
      </c>
      <c r="Y208" s="1701" t="s">
        <v>354</v>
      </c>
      <c r="Z208" s="1701" t="s">
        <v>355</v>
      </c>
      <c r="AA208" s="1701" t="s">
        <v>356</v>
      </c>
      <c r="AB208" s="1700" t="s">
        <v>357</v>
      </c>
      <c r="AC208" s="1700" t="s">
        <v>357</v>
      </c>
      <c r="AD208" s="1700" t="s">
        <v>357</v>
      </c>
      <c r="AE208" s="1700" t="s">
        <v>357</v>
      </c>
      <c r="AF208" s="1700" t="s">
        <v>357</v>
      </c>
      <c r="AG208" s="368">
        <v>0</v>
      </c>
    </row>
    <row r="209" spans="1:33" ht="15" customHeight="1">
      <c r="A209" s="2481"/>
      <c r="C209" s="368">
        <v>501</v>
      </c>
      <c r="E209" s="1702"/>
      <c r="F209" s="1704"/>
      <c r="G209" s="1698"/>
      <c r="H209" s="1701"/>
      <c r="I209" s="1701"/>
      <c r="J209" s="1701"/>
      <c r="K209" s="1701"/>
      <c r="L209" s="1701"/>
      <c r="M209" s="1701"/>
      <c r="N209" s="1701"/>
      <c r="O209" s="1701"/>
      <c r="P209" s="1701"/>
      <c r="Q209" s="1701"/>
      <c r="R209" s="1701"/>
      <c r="S209" s="1701"/>
      <c r="T209" s="1701"/>
      <c r="U209" s="1701"/>
      <c r="V209" s="1701"/>
      <c r="W209" s="1701"/>
      <c r="X209" s="1701"/>
      <c r="Y209" s="1701"/>
      <c r="Z209" s="1701"/>
      <c r="AA209" s="1701"/>
      <c r="AB209" s="1700"/>
      <c r="AC209" s="1700"/>
      <c r="AD209" s="1700"/>
      <c r="AE209" s="1700"/>
      <c r="AF209" s="1700"/>
    </row>
    <row r="210" spans="1:33" ht="15" customHeight="1">
      <c r="A210" s="2481"/>
      <c r="C210" s="368">
        <v>502</v>
      </c>
      <c r="E210" s="1708" t="s">
        <v>878</v>
      </c>
      <c r="H210" s="368">
        <v>0</v>
      </c>
      <c r="I210" s="368">
        <v>1000</v>
      </c>
      <c r="J210" s="368">
        <v>1000</v>
      </c>
      <c r="K210" s="368">
        <v>2000</v>
      </c>
      <c r="L210" s="368">
        <v>200</v>
      </c>
      <c r="M210" s="368">
        <v>4000</v>
      </c>
      <c r="N210" s="368">
        <v>5000</v>
      </c>
      <c r="O210" s="368">
        <v>6000</v>
      </c>
      <c r="P210" s="368">
        <v>10000</v>
      </c>
      <c r="Q210" s="368">
        <v>15000</v>
      </c>
      <c r="R210" s="174" t="s">
        <v>738</v>
      </c>
      <c r="S210" s="368">
        <v>0</v>
      </c>
      <c r="T210" s="368">
        <v>0</v>
      </c>
      <c r="U210" s="368">
        <v>0</v>
      </c>
      <c r="V210" s="368">
        <v>0</v>
      </c>
      <c r="W210" s="368">
        <v>0</v>
      </c>
      <c r="X210" s="368">
        <v>0</v>
      </c>
      <c r="Y210" s="368">
        <v>0</v>
      </c>
      <c r="Z210" s="368">
        <v>0</v>
      </c>
      <c r="AA210" s="368">
        <v>0</v>
      </c>
      <c r="AB210" s="368">
        <v>19200</v>
      </c>
      <c r="AC210" s="368">
        <v>24000</v>
      </c>
      <c r="AD210" s="368">
        <v>33600</v>
      </c>
      <c r="AE210" s="368">
        <v>43600</v>
      </c>
      <c r="AF210" s="368">
        <v>48000</v>
      </c>
      <c r="AG210" s="368">
        <v>0</v>
      </c>
    </row>
    <row r="211" spans="1:33" ht="15" customHeight="1">
      <c r="A211" s="2481"/>
      <c r="C211" s="368">
        <v>503</v>
      </c>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c r="AC211" s="173"/>
      <c r="AD211" s="173"/>
      <c r="AE211" s="173"/>
      <c r="AF211" s="173"/>
      <c r="AG211" s="368">
        <v>0</v>
      </c>
    </row>
    <row r="212" spans="1:33" ht="15" customHeight="1">
      <c r="A212" s="2481"/>
      <c r="C212" s="368">
        <v>504</v>
      </c>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c r="AC212" s="173"/>
      <c r="AD212" s="173"/>
      <c r="AE212" s="173"/>
      <c r="AF212" s="173"/>
      <c r="AG212" s="368">
        <v>0</v>
      </c>
    </row>
    <row r="213" spans="1:33" ht="15" customHeight="1">
      <c r="A213" s="2481"/>
      <c r="C213" s="368">
        <v>505</v>
      </c>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3"/>
      <c r="AF213" s="173"/>
      <c r="AG213" s="368">
        <v>0</v>
      </c>
    </row>
    <row r="214" spans="1:33" ht="15" customHeight="1">
      <c r="A214" s="2481"/>
      <c r="C214" s="368">
        <v>506</v>
      </c>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c r="AC214" s="173"/>
      <c r="AD214" s="173"/>
      <c r="AE214" s="173"/>
      <c r="AF214" s="173"/>
      <c r="AG214" s="368">
        <v>0</v>
      </c>
    </row>
    <row r="215" spans="1:33">
      <c r="A215" s="2481"/>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3"/>
      <c r="AD215" s="173"/>
      <c r="AE215" s="173"/>
      <c r="AF215" s="173"/>
      <c r="AG215" s="368">
        <v>0</v>
      </c>
    </row>
    <row r="216" spans="1:33">
      <c r="A216" s="2481"/>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3"/>
      <c r="AD216" s="173"/>
      <c r="AE216" s="173"/>
      <c r="AF216" s="173"/>
      <c r="AG216" s="368">
        <v>0</v>
      </c>
    </row>
    <row r="217" spans="1:33">
      <c r="A217" s="2481"/>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3"/>
      <c r="AD217" s="173"/>
      <c r="AE217" s="173"/>
      <c r="AF217" s="173"/>
      <c r="AG217" s="368">
        <v>0</v>
      </c>
    </row>
    <row r="218" spans="1:33">
      <c r="A218" s="2481"/>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c r="AC218" s="173"/>
      <c r="AD218" s="173"/>
      <c r="AE218" s="173"/>
      <c r="AF218" s="173"/>
      <c r="AG218" s="368">
        <v>0</v>
      </c>
    </row>
    <row r="219" spans="1:33">
      <c r="A219" s="2481"/>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3"/>
      <c r="AD219" s="173"/>
      <c r="AE219" s="173"/>
      <c r="AF219" s="173"/>
      <c r="AG219" s="368">
        <v>0</v>
      </c>
    </row>
    <row r="220" spans="1:33">
      <c r="A220" s="2481"/>
      <c r="E220" s="173"/>
      <c r="F220" s="173"/>
      <c r="G220" s="173"/>
      <c r="H220" s="173"/>
      <c r="I220" s="173"/>
      <c r="J220" s="173"/>
      <c r="K220" s="173"/>
      <c r="L220" s="173"/>
      <c r="M220" s="174"/>
      <c r="N220" s="173"/>
      <c r="O220" s="173"/>
      <c r="P220" s="173"/>
      <c r="Q220" s="173"/>
      <c r="R220" s="173"/>
      <c r="S220" s="173"/>
      <c r="T220" s="173"/>
      <c r="U220" s="173"/>
      <c r="V220" s="173"/>
      <c r="W220" s="173"/>
      <c r="X220" s="173"/>
      <c r="Y220" s="173"/>
      <c r="Z220" s="173"/>
      <c r="AA220" s="173"/>
      <c r="AB220" s="173"/>
      <c r="AC220" s="173"/>
      <c r="AD220" s="173"/>
      <c r="AE220" s="173"/>
      <c r="AF220" s="173"/>
      <c r="AG220" s="368">
        <v>0</v>
      </c>
    </row>
    <row r="221" spans="1:33">
      <c r="A221" s="2481"/>
      <c r="D221" s="448"/>
      <c r="E221" s="1645"/>
      <c r="F221" s="1645"/>
      <c r="G221" s="1645"/>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3"/>
      <c r="AF221" s="173"/>
      <c r="AG221" s="368">
        <v>0</v>
      </c>
    </row>
    <row r="222" spans="1:33">
      <c r="A222" s="2481"/>
      <c r="D222" s="448"/>
      <c r="E222" s="1645"/>
      <c r="F222" s="1645"/>
      <c r="G222" s="1645"/>
      <c r="H222" s="173"/>
      <c r="I222" s="173"/>
      <c r="J222" s="173"/>
      <c r="K222" s="173"/>
      <c r="L222" s="173"/>
      <c r="M222" s="173"/>
      <c r="N222" s="173"/>
      <c r="O222" s="174"/>
      <c r="P222" s="173"/>
      <c r="Q222" s="173"/>
      <c r="R222" s="173"/>
      <c r="S222" s="173"/>
      <c r="T222" s="173"/>
      <c r="U222" s="173"/>
      <c r="V222" s="173"/>
      <c r="W222" s="173"/>
      <c r="X222" s="173"/>
      <c r="Y222" s="173"/>
      <c r="Z222" s="173"/>
      <c r="AA222" s="173"/>
      <c r="AB222" s="173"/>
      <c r="AC222" s="173"/>
      <c r="AD222" s="173"/>
      <c r="AE222" s="173"/>
      <c r="AF222" s="173"/>
      <c r="AG222" s="368">
        <v>0</v>
      </c>
    </row>
    <row r="223" spans="1:33">
      <c r="A223" s="2481"/>
      <c r="D223" s="448"/>
      <c r="E223" s="1645"/>
      <c r="F223" s="1645"/>
      <c r="G223" s="1645"/>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3"/>
      <c r="AD223" s="173"/>
      <c r="AE223" s="173"/>
      <c r="AF223" s="173"/>
      <c r="AG223" s="368">
        <v>0</v>
      </c>
    </row>
    <row r="224" spans="1:33" ht="15">
      <c r="A224" s="2481"/>
      <c r="D224" s="448"/>
      <c r="E224" s="1835"/>
      <c r="F224" s="1835"/>
      <c r="G224" s="1645"/>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c r="AG224" s="368">
        <v>0</v>
      </c>
    </row>
    <row r="225" spans="1:33">
      <c r="A225" s="2481"/>
      <c r="D225" s="448"/>
      <c r="E225" s="1645"/>
      <c r="F225" s="1645"/>
      <c r="G225" s="1645"/>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3"/>
      <c r="AD225" s="173"/>
      <c r="AE225" s="173"/>
      <c r="AF225" s="173"/>
      <c r="AG225" s="368">
        <v>0</v>
      </c>
    </row>
    <row r="226" spans="1:33">
      <c r="A226" s="2481"/>
      <c r="D226" s="448"/>
      <c r="E226" s="1645"/>
      <c r="F226" s="1645"/>
      <c r="G226" s="1645"/>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3"/>
      <c r="AD226" s="173"/>
      <c r="AE226" s="173"/>
      <c r="AF226" s="173"/>
      <c r="AG226" s="368">
        <v>0</v>
      </c>
    </row>
    <row r="227" spans="1:33">
      <c r="A227" s="2481"/>
      <c r="D227" s="448"/>
      <c r="E227" s="1645"/>
      <c r="F227" s="1645"/>
      <c r="G227" s="1645"/>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368">
        <v>0</v>
      </c>
    </row>
    <row r="228" spans="1:33">
      <c r="A228" s="2481"/>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c r="AC228" s="173"/>
      <c r="AD228" s="173"/>
      <c r="AE228" s="173"/>
      <c r="AF228" s="173"/>
      <c r="AG228" s="368">
        <v>0</v>
      </c>
    </row>
    <row r="229" spans="1:33">
      <c r="A229" s="2481"/>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c r="AC229" s="173"/>
      <c r="AD229" s="173"/>
      <c r="AE229" s="173"/>
      <c r="AF229" s="173"/>
      <c r="AG229" s="368">
        <v>0</v>
      </c>
    </row>
    <row r="230" spans="1:33">
      <c r="A230" s="2481"/>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c r="AC230" s="173"/>
      <c r="AD230" s="173"/>
      <c r="AE230" s="173"/>
      <c r="AF230" s="173"/>
      <c r="AG230" s="368">
        <v>0</v>
      </c>
    </row>
    <row r="231" spans="1:33">
      <c r="A231" s="2481"/>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c r="AC231" s="173"/>
      <c r="AD231" s="173"/>
      <c r="AE231" s="173"/>
      <c r="AF231" s="173"/>
      <c r="AG231" s="368">
        <v>0</v>
      </c>
    </row>
    <row r="232" spans="1:33">
      <c r="A232" s="2481"/>
      <c r="AG232" s="368">
        <v>0</v>
      </c>
    </row>
    <row r="233" spans="1:33">
      <c r="A233" s="2481"/>
      <c r="AG233" s="368">
        <v>0</v>
      </c>
    </row>
    <row r="234" spans="1:33">
      <c r="A234" s="2481"/>
      <c r="AG234" s="368">
        <v>0</v>
      </c>
    </row>
    <row r="235" spans="1:33">
      <c r="A235" s="2481"/>
      <c r="AG235" s="368">
        <v>0</v>
      </c>
    </row>
    <row r="236" spans="1:33">
      <c r="A236" s="2481"/>
      <c r="AG236" s="368">
        <v>0</v>
      </c>
    </row>
    <row r="238" spans="1:33" s="705" customFormat="1">
      <c r="D238" s="706"/>
    </row>
    <row r="239" spans="1:33" s="705" customFormat="1">
      <c r="D239" s="706"/>
    </row>
    <row r="240" spans="1:33" s="705" customFormat="1" ht="15">
      <c r="A240" s="720"/>
      <c r="D240" s="706"/>
      <c r="E240" s="2479"/>
      <c r="F240" s="2480"/>
      <c r="G240" s="2480"/>
      <c r="H240" s="2476"/>
      <c r="I240" s="2476"/>
      <c r="J240" s="2476"/>
      <c r="K240" s="2476"/>
      <c r="L240" s="2476"/>
      <c r="M240" s="2476"/>
      <c r="N240" s="2476"/>
      <c r="O240" s="2476"/>
      <c r="P240" s="2476"/>
      <c r="Q240" s="2476"/>
      <c r="R240" s="2476"/>
      <c r="S240" s="2476"/>
      <c r="T240" s="2476"/>
      <c r="U240" s="2476"/>
      <c r="V240" s="2476"/>
      <c r="W240" s="2476"/>
      <c r="X240" s="2476"/>
      <c r="Y240" s="2476"/>
      <c r="Z240" s="2476"/>
      <c r="AA240" s="2476"/>
      <c r="AB240" s="707"/>
      <c r="AC240" s="707"/>
      <c r="AD240" s="707"/>
      <c r="AE240" s="707"/>
      <c r="AF240" s="707"/>
      <c r="AG240" s="708"/>
    </row>
    <row r="241" spans="4:33" s="705" customFormat="1" ht="15">
      <c r="D241" s="706"/>
      <c r="E241" s="2479"/>
      <c r="F241" s="2480"/>
      <c r="G241" s="2480"/>
      <c r="H241" s="709"/>
      <c r="I241" s="709"/>
      <c r="J241" s="709"/>
      <c r="K241" s="709"/>
      <c r="L241" s="709"/>
      <c r="M241" s="709"/>
      <c r="N241" s="709"/>
      <c r="O241" s="709"/>
      <c r="P241" s="709"/>
      <c r="Q241" s="709"/>
      <c r="R241" s="709"/>
      <c r="S241" s="709"/>
      <c r="T241" s="709"/>
      <c r="U241" s="709"/>
      <c r="V241" s="709"/>
      <c r="W241" s="709"/>
      <c r="X241" s="709"/>
      <c r="Y241" s="709"/>
      <c r="Z241" s="709"/>
      <c r="AA241" s="709"/>
      <c r="AB241" s="1703"/>
      <c r="AC241" s="1703"/>
      <c r="AD241" s="1703"/>
      <c r="AE241" s="1703"/>
      <c r="AF241" s="1703"/>
      <c r="AG241" s="708"/>
    </row>
    <row r="242" spans="4:33" s="705" customFormat="1" ht="15">
      <c r="D242" s="718"/>
      <c r="E242" s="1705"/>
      <c r="F242" s="1706"/>
      <c r="G242" s="1706"/>
      <c r="H242" s="709"/>
      <c r="I242" s="709"/>
      <c r="J242" s="709"/>
      <c r="K242" s="709"/>
      <c r="L242" s="709"/>
      <c r="M242" s="709"/>
      <c r="N242" s="709"/>
      <c r="O242" s="709"/>
      <c r="P242" s="709"/>
      <c r="Q242" s="709"/>
      <c r="R242" s="709"/>
      <c r="S242" s="709"/>
      <c r="T242" s="709"/>
      <c r="U242" s="709"/>
      <c r="V242" s="709"/>
      <c r="W242" s="709"/>
      <c r="X242" s="709"/>
      <c r="Y242" s="709"/>
      <c r="Z242" s="709"/>
      <c r="AA242" s="709"/>
      <c r="AB242" s="1703"/>
      <c r="AC242" s="1703"/>
      <c r="AD242" s="1703"/>
      <c r="AE242" s="1703"/>
      <c r="AF242" s="1703"/>
    </row>
    <row r="243" spans="4:33" s="705" customFormat="1" ht="15">
      <c r="D243" s="718"/>
      <c r="E243" s="1709"/>
      <c r="F243" s="1705"/>
      <c r="G243" s="1705"/>
      <c r="H243" s="710"/>
      <c r="I243" s="710"/>
      <c r="J243" s="710"/>
      <c r="K243" s="710"/>
      <c r="L243" s="710"/>
      <c r="M243" s="710"/>
      <c r="N243" s="710"/>
      <c r="O243" s="710"/>
      <c r="P243" s="710"/>
      <c r="Q243" s="710"/>
      <c r="R243" s="711"/>
      <c r="S243" s="711"/>
      <c r="T243" s="711"/>
      <c r="U243" s="711"/>
      <c r="V243" s="711"/>
      <c r="W243" s="711"/>
      <c r="X243" s="711"/>
      <c r="Y243" s="711"/>
      <c r="Z243" s="711"/>
      <c r="AA243" s="711"/>
      <c r="AB243" s="710"/>
      <c r="AC243" s="711"/>
      <c r="AD243" s="710"/>
      <c r="AE243" s="711"/>
      <c r="AF243" s="710"/>
    </row>
    <row r="244" spans="4:33" s="705" customFormat="1" ht="15">
      <c r="D244" s="718"/>
      <c r="E244" s="1709"/>
      <c r="F244" s="1706"/>
      <c r="G244" s="1706"/>
      <c r="H244" s="710"/>
      <c r="I244" s="710"/>
      <c r="J244" s="710"/>
      <c r="K244" s="710"/>
      <c r="L244" s="710"/>
      <c r="M244" s="710"/>
      <c r="N244" s="710"/>
      <c r="O244" s="710"/>
      <c r="P244" s="710"/>
      <c r="Q244" s="710"/>
      <c r="R244" s="711"/>
      <c r="S244" s="711"/>
      <c r="T244" s="711"/>
      <c r="U244" s="711"/>
      <c r="V244" s="711"/>
      <c r="W244" s="711"/>
      <c r="X244" s="711"/>
      <c r="Y244" s="711"/>
      <c r="Z244" s="711"/>
      <c r="AA244" s="711"/>
      <c r="AB244" s="710"/>
      <c r="AC244" s="711"/>
      <c r="AD244" s="710"/>
      <c r="AE244" s="711"/>
      <c r="AF244" s="710"/>
    </row>
    <row r="245" spans="4:33" s="705" customFormat="1" ht="15">
      <c r="D245" s="718"/>
      <c r="E245" s="1709"/>
      <c r="F245" s="1705"/>
      <c r="G245" s="1705"/>
      <c r="H245" s="710"/>
      <c r="I245" s="710"/>
      <c r="J245" s="710"/>
      <c r="K245" s="710"/>
      <c r="L245" s="710"/>
      <c r="M245" s="710"/>
      <c r="N245" s="710"/>
      <c r="O245" s="710"/>
      <c r="P245" s="710"/>
      <c r="Q245" s="710"/>
      <c r="R245" s="711"/>
      <c r="S245" s="711"/>
      <c r="T245" s="711"/>
      <c r="U245" s="711"/>
      <c r="V245" s="711"/>
      <c r="W245" s="711"/>
      <c r="X245" s="711"/>
      <c r="Y245" s="711"/>
      <c r="Z245" s="711"/>
      <c r="AA245" s="711"/>
      <c r="AB245" s="710"/>
      <c r="AC245" s="711"/>
      <c r="AD245" s="710"/>
      <c r="AE245" s="711"/>
      <c r="AF245" s="710"/>
    </row>
    <row r="246" spans="4:33" s="705" customFormat="1" ht="15">
      <c r="D246" s="718"/>
      <c r="E246" s="1709"/>
      <c r="F246" s="1706"/>
      <c r="G246" s="1706"/>
      <c r="H246" s="710"/>
      <c r="I246" s="710"/>
      <c r="J246" s="710"/>
      <c r="K246" s="710"/>
      <c r="L246" s="710"/>
      <c r="M246" s="710"/>
      <c r="N246" s="710"/>
      <c r="O246" s="710"/>
      <c r="P246" s="710"/>
      <c r="Q246" s="710"/>
      <c r="R246" s="711"/>
      <c r="S246" s="711"/>
      <c r="T246" s="711"/>
      <c r="U246" s="711"/>
      <c r="V246" s="711"/>
      <c r="W246" s="711"/>
      <c r="X246" s="711"/>
      <c r="Y246" s="711"/>
      <c r="Z246" s="711"/>
      <c r="AA246" s="711"/>
      <c r="AB246" s="710"/>
      <c r="AC246" s="711"/>
      <c r="AD246" s="710"/>
      <c r="AE246" s="711"/>
      <c r="AF246" s="710"/>
    </row>
    <row r="247" spans="4:33" s="705" customFormat="1" ht="15">
      <c r="D247" s="718"/>
      <c r="E247" s="1709"/>
      <c r="F247" s="1705"/>
      <c r="G247" s="1705"/>
      <c r="H247" s="710"/>
      <c r="I247" s="710"/>
      <c r="J247" s="710"/>
      <c r="K247" s="710"/>
      <c r="L247" s="710"/>
      <c r="M247" s="710"/>
      <c r="N247" s="710"/>
      <c r="O247" s="710"/>
      <c r="P247" s="710"/>
      <c r="Q247" s="710"/>
      <c r="R247" s="711"/>
      <c r="S247" s="711"/>
      <c r="T247" s="711"/>
      <c r="U247" s="711"/>
      <c r="V247" s="711"/>
      <c r="W247" s="711"/>
      <c r="X247" s="711"/>
      <c r="Y247" s="711"/>
      <c r="Z247" s="711"/>
      <c r="AA247" s="711"/>
      <c r="AB247" s="710"/>
      <c r="AC247" s="711"/>
      <c r="AD247" s="710"/>
      <c r="AE247" s="711"/>
      <c r="AF247" s="710"/>
    </row>
    <row r="248" spans="4:33" s="705" customFormat="1" ht="15">
      <c r="D248" s="718"/>
      <c r="E248" s="1709"/>
      <c r="F248" s="1706"/>
      <c r="G248" s="1706"/>
      <c r="H248" s="710"/>
      <c r="I248" s="710"/>
      <c r="J248" s="710"/>
      <c r="K248" s="710"/>
      <c r="L248" s="710"/>
      <c r="M248" s="710"/>
      <c r="N248" s="710"/>
      <c r="O248" s="710"/>
      <c r="P248" s="710"/>
      <c r="Q248" s="710"/>
      <c r="R248" s="711"/>
      <c r="S248" s="711"/>
      <c r="T248" s="711"/>
      <c r="U248" s="711"/>
      <c r="V248" s="711"/>
      <c r="W248" s="711"/>
      <c r="X248" s="711"/>
      <c r="Y248" s="711"/>
      <c r="Z248" s="711"/>
      <c r="AA248" s="711"/>
      <c r="AB248" s="710"/>
      <c r="AC248" s="711"/>
      <c r="AD248" s="710"/>
      <c r="AE248" s="711"/>
      <c r="AF248" s="710"/>
    </row>
    <row r="249" spans="4:33" s="705" customFormat="1" ht="15">
      <c r="D249" s="718"/>
      <c r="E249" s="1709"/>
      <c r="F249" s="1705"/>
      <c r="G249" s="1705"/>
      <c r="H249" s="710"/>
      <c r="I249" s="710"/>
      <c r="J249" s="710"/>
      <c r="K249" s="710"/>
      <c r="L249" s="710"/>
      <c r="M249" s="710"/>
      <c r="N249" s="710"/>
      <c r="O249" s="710"/>
      <c r="P249" s="710"/>
      <c r="Q249" s="710"/>
      <c r="R249" s="711"/>
      <c r="S249" s="711"/>
      <c r="T249" s="711"/>
      <c r="U249" s="711"/>
      <c r="V249" s="711"/>
      <c r="W249" s="711"/>
      <c r="X249" s="711"/>
      <c r="Y249" s="711"/>
      <c r="Z249" s="711"/>
      <c r="AA249" s="711"/>
      <c r="AB249" s="710"/>
      <c r="AC249" s="711"/>
      <c r="AD249" s="710"/>
      <c r="AE249" s="711"/>
      <c r="AF249" s="710"/>
    </row>
    <row r="250" spans="4:33" s="705" customFormat="1" ht="15">
      <c r="D250" s="718"/>
      <c r="E250" s="1709"/>
      <c r="F250" s="1706"/>
      <c r="G250" s="1706"/>
      <c r="H250" s="710"/>
      <c r="I250" s="710"/>
      <c r="J250" s="710"/>
      <c r="K250" s="710"/>
      <c r="L250" s="710"/>
      <c r="M250" s="710"/>
      <c r="N250" s="710"/>
      <c r="O250" s="710"/>
      <c r="P250" s="710"/>
      <c r="Q250" s="710"/>
      <c r="R250" s="711"/>
      <c r="S250" s="711"/>
      <c r="T250" s="711"/>
      <c r="U250" s="711"/>
      <c r="V250" s="711"/>
      <c r="W250" s="711"/>
      <c r="X250" s="711"/>
      <c r="Y250" s="711"/>
      <c r="Z250" s="711"/>
      <c r="AA250" s="711"/>
      <c r="AB250" s="710"/>
      <c r="AC250" s="711"/>
      <c r="AD250" s="710"/>
      <c r="AE250" s="711"/>
      <c r="AF250" s="710"/>
    </row>
    <row r="251" spans="4:33" s="705" customFormat="1" ht="15">
      <c r="D251" s="718"/>
      <c r="E251" s="1709"/>
      <c r="F251" s="1705"/>
      <c r="G251" s="1705"/>
      <c r="H251" s="710"/>
      <c r="I251" s="710"/>
      <c r="J251" s="710"/>
      <c r="K251" s="710"/>
      <c r="L251" s="710"/>
      <c r="M251" s="710"/>
      <c r="N251" s="710"/>
      <c r="O251" s="710"/>
      <c r="P251" s="710"/>
      <c r="Q251" s="710"/>
      <c r="R251" s="711"/>
      <c r="S251" s="711"/>
      <c r="T251" s="711"/>
      <c r="U251" s="711"/>
      <c r="V251" s="711"/>
      <c r="W251" s="711"/>
      <c r="X251" s="711"/>
      <c r="Y251" s="711"/>
      <c r="Z251" s="711"/>
      <c r="AA251" s="711"/>
      <c r="AB251" s="710"/>
      <c r="AC251" s="711"/>
      <c r="AD251" s="710"/>
      <c r="AE251" s="711"/>
      <c r="AF251" s="710"/>
    </row>
    <row r="252" spans="4:33" s="705" customFormat="1" ht="15">
      <c r="D252" s="718"/>
      <c r="E252" s="1709"/>
      <c r="F252" s="1706"/>
      <c r="G252" s="1706"/>
      <c r="H252" s="710"/>
      <c r="I252" s="710"/>
      <c r="J252" s="710"/>
      <c r="K252" s="710"/>
      <c r="L252" s="710"/>
      <c r="M252" s="710"/>
      <c r="N252" s="710"/>
      <c r="O252" s="710"/>
      <c r="P252" s="710"/>
      <c r="Q252" s="710"/>
      <c r="R252" s="711"/>
      <c r="S252" s="711"/>
      <c r="T252" s="711"/>
      <c r="U252" s="711"/>
      <c r="V252" s="711"/>
      <c r="W252" s="711"/>
      <c r="X252" s="711"/>
      <c r="Y252" s="711"/>
      <c r="Z252" s="711"/>
      <c r="AA252" s="711"/>
      <c r="AB252" s="710"/>
      <c r="AC252" s="711"/>
      <c r="AD252" s="710"/>
      <c r="AE252" s="711"/>
      <c r="AF252" s="710"/>
    </row>
    <row r="253" spans="4:33" s="705" customFormat="1" ht="15">
      <c r="D253" s="718"/>
      <c r="E253" s="1709"/>
      <c r="F253" s="1705"/>
      <c r="G253" s="1705"/>
      <c r="H253" s="710"/>
      <c r="I253" s="710"/>
      <c r="J253" s="710"/>
      <c r="K253" s="710"/>
      <c r="L253" s="710"/>
      <c r="M253" s="710"/>
      <c r="N253" s="710"/>
      <c r="O253" s="710"/>
      <c r="P253" s="710"/>
      <c r="Q253" s="710"/>
      <c r="R253" s="711"/>
      <c r="S253" s="711"/>
      <c r="T253" s="711"/>
      <c r="U253" s="711"/>
      <c r="V253" s="711"/>
      <c r="W253" s="711"/>
      <c r="X253" s="711"/>
      <c r="Y253" s="711"/>
      <c r="Z253" s="711"/>
      <c r="AA253" s="711"/>
      <c r="AB253" s="710"/>
      <c r="AC253" s="711"/>
      <c r="AD253" s="710"/>
      <c r="AE253" s="711"/>
      <c r="AF253" s="710"/>
    </row>
    <row r="254" spans="4:33" s="705" customFormat="1" ht="15">
      <c r="D254" s="718"/>
      <c r="E254" s="1709"/>
      <c r="F254" s="1706"/>
      <c r="G254" s="1706"/>
      <c r="H254" s="710"/>
      <c r="I254" s="710"/>
      <c r="J254" s="710"/>
      <c r="K254" s="710"/>
      <c r="L254" s="710"/>
      <c r="M254" s="710"/>
      <c r="N254" s="710"/>
      <c r="O254" s="710"/>
      <c r="P254" s="710"/>
      <c r="Q254" s="710"/>
      <c r="R254" s="711"/>
      <c r="S254" s="711"/>
      <c r="T254" s="711"/>
      <c r="U254" s="711"/>
      <c r="V254" s="711"/>
      <c r="W254" s="711"/>
      <c r="X254" s="711"/>
      <c r="Y254" s="711"/>
      <c r="Z254" s="711"/>
      <c r="AA254" s="711"/>
      <c r="AB254" s="710"/>
      <c r="AC254" s="711"/>
      <c r="AD254" s="710"/>
      <c r="AE254" s="711"/>
      <c r="AF254" s="710"/>
    </row>
    <row r="255" spans="4:33" s="705" customFormat="1" ht="15">
      <c r="D255" s="718"/>
      <c r="E255" s="712"/>
      <c r="F255" s="1705"/>
      <c r="G255" s="1705"/>
      <c r="H255" s="710"/>
      <c r="I255" s="710"/>
      <c r="J255" s="710"/>
      <c r="K255" s="710"/>
      <c r="L255" s="710"/>
      <c r="M255" s="710"/>
      <c r="N255" s="710"/>
      <c r="O255" s="710"/>
      <c r="P255" s="710"/>
      <c r="Q255" s="710"/>
      <c r="R255" s="711"/>
      <c r="S255" s="711"/>
      <c r="T255" s="711"/>
      <c r="U255" s="711"/>
      <c r="V255" s="711"/>
      <c r="W255" s="711"/>
      <c r="X255" s="711"/>
      <c r="Y255" s="711"/>
      <c r="Z255" s="711"/>
      <c r="AA255" s="711"/>
      <c r="AB255" s="710"/>
      <c r="AC255" s="711"/>
      <c r="AD255" s="710"/>
      <c r="AE255" s="711"/>
      <c r="AF255" s="710"/>
    </row>
    <row r="256" spans="4:33" s="705" customFormat="1" ht="15">
      <c r="D256" s="718"/>
      <c r="E256" s="1709"/>
      <c r="F256" s="1706"/>
      <c r="G256" s="1706"/>
      <c r="H256" s="710"/>
      <c r="I256" s="710"/>
      <c r="J256" s="710"/>
      <c r="K256" s="710"/>
      <c r="L256" s="710"/>
      <c r="M256" s="710"/>
      <c r="N256" s="710"/>
      <c r="O256" s="710"/>
      <c r="P256" s="710"/>
      <c r="Q256" s="710"/>
      <c r="R256" s="711"/>
      <c r="S256" s="711"/>
      <c r="T256" s="711"/>
      <c r="U256" s="711"/>
      <c r="V256" s="711"/>
      <c r="W256" s="711"/>
      <c r="X256" s="711"/>
      <c r="Y256" s="711"/>
      <c r="Z256" s="711"/>
      <c r="AA256" s="711"/>
      <c r="AB256" s="710"/>
      <c r="AC256" s="711"/>
      <c r="AD256" s="710"/>
      <c r="AE256" s="711"/>
      <c r="AF256" s="710"/>
    </row>
    <row r="257" spans="4:32" s="705" customFormat="1" ht="15">
      <c r="D257" s="718"/>
      <c r="E257" s="1709"/>
      <c r="F257" s="1705"/>
      <c r="G257" s="1705"/>
      <c r="H257" s="710"/>
      <c r="I257" s="710"/>
      <c r="J257" s="710"/>
      <c r="K257" s="710"/>
      <c r="L257" s="710"/>
      <c r="M257" s="710"/>
      <c r="N257" s="710"/>
      <c r="O257" s="710"/>
      <c r="P257" s="710"/>
      <c r="Q257" s="710"/>
      <c r="R257" s="711"/>
      <c r="S257" s="711"/>
      <c r="T257" s="711"/>
      <c r="U257" s="711"/>
      <c r="V257" s="711"/>
      <c r="W257" s="711"/>
      <c r="X257" s="711"/>
      <c r="Y257" s="711"/>
      <c r="Z257" s="711"/>
      <c r="AA257" s="711"/>
      <c r="AB257" s="710"/>
      <c r="AC257" s="711"/>
      <c r="AD257" s="710"/>
      <c r="AE257" s="711"/>
      <c r="AF257" s="710"/>
    </row>
    <row r="258" spans="4:32" s="705" customFormat="1" ht="15">
      <c r="D258" s="718"/>
      <c r="E258" s="712"/>
      <c r="F258" s="1705"/>
      <c r="G258" s="713"/>
      <c r="H258" s="710"/>
      <c r="I258" s="710"/>
      <c r="J258" s="710"/>
      <c r="K258" s="710"/>
      <c r="L258" s="710"/>
      <c r="M258" s="710"/>
      <c r="N258" s="710"/>
      <c r="O258" s="710"/>
      <c r="P258" s="710"/>
      <c r="Q258" s="710"/>
      <c r="R258" s="711"/>
      <c r="S258" s="711"/>
      <c r="T258" s="711"/>
      <c r="U258" s="711"/>
      <c r="V258" s="711"/>
      <c r="W258" s="711"/>
      <c r="X258" s="711"/>
      <c r="Y258" s="711"/>
      <c r="Z258" s="711"/>
      <c r="AA258" s="711"/>
      <c r="AB258" s="710"/>
      <c r="AC258" s="711"/>
      <c r="AD258" s="710"/>
      <c r="AE258" s="711"/>
      <c r="AF258" s="710"/>
    </row>
    <row r="259" spans="4:32" s="705" customFormat="1" ht="15">
      <c r="D259" s="718"/>
      <c r="E259" s="1709"/>
      <c r="F259" s="1705"/>
      <c r="G259" s="1705"/>
      <c r="H259" s="710"/>
      <c r="I259" s="710"/>
      <c r="J259" s="710"/>
      <c r="K259" s="710"/>
      <c r="L259" s="710"/>
      <c r="M259" s="710"/>
      <c r="N259" s="710"/>
      <c r="O259" s="710"/>
      <c r="P259" s="710"/>
      <c r="Q259" s="710"/>
      <c r="R259" s="711"/>
      <c r="S259" s="711"/>
      <c r="T259" s="711"/>
      <c r="U259" s="711"/>
      <c r="V259" s="711"/>
      <c r="W259" s="711"/>
      <c r="X259" s="711"/>
      <c r="Y259" s="711"/>
      <c r="Z259" s="711"/>
      <c r="AA259" s="711"/>
      <c r="AB259" s="710"/>
      <c r="AC259" s="711"/>
      <c r="AD259" s="710"/>
      <c r="AE259" s="711"/>
      <c r="AF259" s="710"/>
    </row>
    <row r="260" spans="4:32" s="705" customFormat="1" ht="15">
      <c r="D260" s="718"/>
      <c r="E260" s="1709"/>
      <c r="F260" s="1705"/>
      <c r="G260" s="713"/>
      <c r="H260" s="710"/>
      <c r="I260" s="710"/>
      <c r="J260" s="710"/>
      <c r="K260" s="710"/>
      <c r="L260" s="710"/>
      <c r="M260" s="710"/>
      <c r="N260" s="710"/>
      <c r="O260" s="710"/>
      <c r="P260" s="710"/>
      <c r="Q260" s="710"/>
      <c r="R260" s="711"/>
      <c r="S260" s="711"/>
      <c r="T260" s="711"/>
      <c r="U260" s="711"/>
      <c r="V260" s="711"/>
      <c r="W260" s="711"/>
      <c r="X260" s="711"/>
      <c r="Y260" s="711"/>
      <c r="Z260" s="711"/>
      <c r="AA260" s="711"/>
      <c r="AB260" s="710"/>
      <c r="AC260" s="711"/>
      <c r="AD260" s="710"/>
      <c r="AE260" s="711"/>
      <c r="AF260" s="710"/>
    </row>
    <row r="261" spans="4:32" s="705" customFormat="1" ht="15">
      <c r="D261" s="718"/>
      <c r="E261" s="1709"/>
      <c r="F261" s="1705"/>
      <c r="G261" s="1705"/>
      <c r="H261" s="710"/>
      <c r="I261" s="710"/>
      <c r="J261" s="710"/>
      <c r="K261" s="710"/>
      <c r="L261" s="710"/>
      <c r="M261" s="710"/>
      <c r="N261" s="710"/>
      <c r="O261" s="710"/>
      <c r="P261" s="710"/>
      <c r="Q261" s="710"/>
      <c r="R261" s="711"/>
      <c r="S261" s="711"/>
      <c r="T261" s="711"/>
      <c r="U261" s="711"/>
      <c r="V261" s="711"/>
      <c r="W261" s="711"/>
      <c r="X261" s="711"/>
      <c r="Y261" s="711"/>
      <c r="Z261" s="711"/>
      <c r="AA261" s="711"/>
      <c r="AB261" s="710"/>
      <c r="AC261" s="711"/>
      <c r="AD261" s="710"/>
      <c r="AE261" s="711"/>
      <c r="AF261" s="710"/>
    </row>
    <row r="262" spans="4:32" s="705" customFormat="1" ht="15">
      <c r="D262" s="718"/>
      <c r="E262" s="1709"/>
      <c r="F262" s="1705"/>
      <c r="G262" s="713"/>
      <c r="H262" s="710"/>
      <c r="I262" s="710"/>
      <c r="J262" s="710"/>
      <c r="K262" s="710"/>
      <c r="L262" s="710"/>
      <c r="M262" s="710"/>
      <c r="N262" s="710"/>
      <c r="O262" s="710"/>
      <c r="P262" s="710"/>
      <c r="Q262" s="710"/>
      <c r="R262" s="711"/>
      <c r="S262" s="711"/>
      <c r="T262" s="711"/>
      <c r="U262" s="711"/>
      <c r="V262" s="711"/>
      <c r="W262" s="711"/>
      <c r="X262" s="711"/>
      <c r="Y262" s="711"/>
      <c r="Z262" s="711"/>
      <c r="AA262" s="711"/>
      <c r="AB262" s="710"/>
      <c r="AC262" s="711"/>
      <c r="AD262" s="710"/>
      <c r="AE262" s="711"/>
      <c r="AF262" s="710"/>
    </row>
    <row r="263" spans="4:32" s="705" customFormat="1" ht="15">
      <c r="D263" s="718"/>
      <c r="E263" s="1709"/>
      <c r="F263" s="1705"/>
      <c r="G263" s="1705"/>
      <c r="H263" s="710"/>
      <c r="I263" s="710"/>
      <c r="J263" s="710"/>
      <c r="K263" s="710"/>
      <c r="L263" s="710"/>
      <c r="M263" s="710"/>
      <c r="N263" s="710"/>
      <c r="O263" s="710"/>
      <c r="P263" s="710"/>
      <c r="Q263" s="710"/>
      <c r="R263" s="711"/>
      <c r="S263" s="711"/>
      <c r="T263" s="711"/>
      <c r="U263" s="711"/>
      <c r="V263" s="711"/>
      <c r="W263" s="711"/>
      <c r="X263" s="711"/>
      <c r="Y263" s="711"/>
      <c r="Z263" s="711"/>
      <c r="AA263" s="711"/>
      <c r="AB263" s="710"/>
      <c r="AC263" s="711"/>
      <c r="AD263" s="710"/>
      <c r="AE263" s="711"/>
      <c r="AF263" s="710"/>
    </row>
    <row r="264" spans="4:32" s="705" customFormat="1" ht="15">
      <c r="D264" s="718"/>
      <c r="E264" s="1709"/>
      <c r="F264" s="1705"/>
      <c r="G264" s="713"/>
      <c r="H264" s="710"/>
      <c r="I264" s="710"/>
      <c r="J264" s="710"/>
      <c r="K264" s="710"/>
      <c r="L264" s="710"/>
      <c r="M264" s="710"/>
      <c r="N264" s="710"/>
      <c r="O264" s="710"/>
      <c r="P264" s="710"/>
      <c r="Q264" s="710"/>
      <c r="R264" s="711"/>
      <c r="S264" s="711"/>
      <c r="T264" s="711"/>
      <c r="U264" s="711"/>
      <c r="V264" s="711"/>
      <c r="W264" s="711"/>
      <c r="X264" s="711"/>
      <c r="Y264" s="711"/>
      <c r="Z264" s="711"/>
      <c r="AA264" s="711"/>
      <c r="AB264" s="710"/>
      <c r="AC264" s="711"/>
      <c r="AD264" s="710"/>
      <c r="AE264" s="711"/>
      <c r="AF264" s="710"/>
    </row>
    <row r="265" spans="4:32" s="705" customFormat="1" ht="15">
      <c r="D265" s="718"/>
      <c r="E265" s="1709"/>
      <c r="F265" s="1705"/>
      <c r="G265" s="1705"/>
      <c r="H265" s="710"/>
      <c r="I265" s="710"/>
      <c r="J265" s="710"/>
      <c r="K265" s="710"/>
      <c r="L265" s="710"/>
      <c r="M265" s="710"/>
      <c r="N265" s="710"/>
      <c r="O265" s="710"/>
      <c r="P265" s="710"/>
      <c r="Q265" s="710"/>
      <c r="R265" s="711"/>
      <c r="S265" s="711"/>
      <c r="T265" s="711"/>
      <c r="U265" s="711"/>
      <c r="V265" s="711"/>
      <c r="W265" s="711"/>
      <c r="X265" s="711"/>
      <c r="Y265" s="711"/>
      <c r="Z265" s="711"/>
      <c r="AA265" s="711"/>
      <c r="AB265" s="710"/>
      <c r="AC265" s="711"/>
      <c r="AD265" s="710"/>
      <c r="AE265" s="711"/>
      <c r="AF265" s="710"/>
    </row>
    <row r="266" spans="4:32" s="705" customFormat="1" ht="15">
      <c r="D266" s="718"/>
      <c r="E266" s="714"/>
      <c r="F266" s="1705"/>
      <c r="G266" s="713"/>
      <c r="H266" s="710"/>
      <c r="I266" s="710"/>
      <c r="J266" s="710"/>
      <c r="K266" s="710"/>
      <c r="L266" s="710"/>
      <c r="M266" s="710"/>
      <c r="N266" s="710"/>
      <c r="O266" s="710"/>
      <c r="P266" s="710"/>
      <c r="Q266" s="710"/>
      <c r="R266" s="711"/>
      <c r="S266" s="711"/>
      <c r="T266" s="711"/>
      <c r="U266" s="711"/>
      <c r="V266" s="711"/>
      <c r="W266" s="711"/>
      <c r="X266" s="711"/>
      <c r="Y266" s="711"/>
      <c r="Z266" s="711"/>
      <c r="AA266" s="711"/>
      <c r="AB266" s="710"/>
      <c r="AC266" s="711"/>
      <c r="AD266" s="710"/>
      <c r="AE266" s="711"/>
      <c r="AF266" s="710"/>
    </row>
    <row r="267" spans="4:32" s="705" customFormat="1" ht="15">
      <c r="D267" s="718"/>
      <c r="E267" s="714"/>
      <c r="F267" s="1705"/>
      <c r="G267" s="1705"/>
      <c r="H267" s="710"/>
      <c r="I267" s="710"/>
      <c r="J267" s="710"/>
      <c r="K267" s="710"/>
      <c r="L267" s="710"/>
      <c r="M267" s="710"/>
      <c r="N267" s="710"/>
      <c r="O267" s="710"/>
      <c r="P267" s="710"/>
      <c r="Q267" s="710"/>
      <c r="R267" s="711"/>
      <c r="S267" s="711"/>
      <c r="T267" s="711"/>
      <c r="U267" s="711"/>
      <c r="V267" s="711"/>
      <c r="W267" s="711"/>
      <c r="X267" s="711"/>
      <c r="Y267" s="711"/>
      <c r="Z267" s="711"/>
      <c r="AA267" s="711"/>
      <c r="AB267" s="710"/>
      <c r="AC267" s="711"/>
      <c r="AD267" s="710"/>
      <c r="AE267" s="711"/>
      <c r="AF267" s="710"/>
    </row>
    <row r="268" spans="4:32" s="705" customFormat="1" ht="15">
      <c r="D268" s="718"/>
      <c r="E268" s="714"/>
      <c r="F268" s="1705"/>
      <c r="G268" s="713"/>
      <c r="H268" s="710"/>
      <c r="I268" s="710"/>
      <c r="J268" s="710"/>
      <c r="K268" s="710"/>
      <c r="L268" s="710"/>
      <c r="M268" s="710"/>
      <c r="N268" s="710"/>
      <c r="O268" s="710"/>
      <c r="P268" s="710"/>
      <c r="Q268" s="710"/>
      <c r="R268" s="711"/>
      <c r="S268" s="711"/>
      <c r="T268" s="711"/>
      <c r="U268" s="711"/>
      <c r="V268" s="711"/>
      <c r="W268" s="711"/>
      <c r="X268" s="711"/>
      <c r="Y268" s="711"/>
      <c r="Z268" s="711"/>
      <c r="AA268" s="711"/>
      <c r="AB268" s="710"/>
      <c r="AC268" s="711"/>
      <c r="AD268" s="710"/>
      <c r="AE268" s="711"/>
      <c r="AF268" s="710"/>
    </row>
    <row r="269" spans="4:32" s="705" customFormat="1" ht="15">
      <c r="D269" s="718"/>
      <c r="E269" s="714"/>
      <c r="F269" s="1705"/>
      <c r="G269" s="1705"/>
      <c r="H269" s="710"/>
      <c r="I269" s="710"/>
      <c r="J269" s="710"/>
      <c r="K269" s="710"/>
      <c r="L269" s="710"/>
      <c r="M269" s="710"/>
      <c r="N269" s="710"/>
      <c r="O269" s="710"/>
      <c r="P269" s="710"/>
      <c r="Q269" s="710"/>
      <c r="R269" s="711"/>
      <c r="S269" s="711"/>
      <c r="T269" s="711"/>
      <c r="U269" s="711"/>
      <c r="V269" s="711"/>
      <c r="W269" s="711"/>
      <c r="X269" s="711"/>
      <c r="Y269" s="711"/>
      <c r="Z269" s="711"/>
      <c r="AA269" s="711"/>
      <c r="AB269" s="710"/>
      <c r="AC269" s="711"/>
      <c r="AD269" s="710"/>
      <c r="AE269" s="711"/>
      <c r="AF269" s="710"/>
    </row>
    <row r="270" spans="4:32" s="705" customFormat="1" ht="15">
      <c r="D270" s="718"/>
      <c r="E270" s="714"/>
      <c r="F270" s="1705"/>
      <c r="G270" s="1705"/>
      <c r="H270" s="710"/>
      <c r="I270" s="710"/>
      <c r="J270" s="710"/>
      <c r="K270" s="710"/>
      <c r="L270" s="710"/>
      <c r="M270" s="710"/>
      <c r="N270" s="710"/>
      <c r="O270" s="710"/>
      <c r="P270" s="710"/>
      <c r="Q270" s="710"/>
      <c r="R270" s="711"/>
      <c r="S270" s="711"/>
      <c r="T270" s="711"/>
      <c r="U270" s="711"/>
      <c r="V270" s="711"/>
      <c r="W270" s="711"/>
      <c r="X270" s="711"/>
      <c r="Y270" s="711"/>
      <c r="Z270" s="711"/>
      <c r="AA270" s="711"/>
      <c r="AB270" s="710"/>
      <c r="AC270" s="711"/>
      <c r="AD270" s="710"/>
      <c r="AE270" s="711"/>
      <c r="AF270" s="710"/>
    </row>
    <row r="271" spans="4:32" s="705" customFormat="1" ht="15">
      <c r="D271" s="718"/>
      <c r="E271" s="715"/>
      <c r="F271" s="1705"/>
      <c r="G271" s="1705"/>
      <c r="H271" s="710"/>
      <c r="I271" s="710"/>
      <c r="J271" s="710"/>
      <c r="K271" s="710"/>
      <c r="L271" s="710"/>
      <c r="M271" s="710"/>
      <c r="N271" s="710"/>
      <c r="O271" s="710"/>
      <c r="P271" s="710"/>
      <c r="Q271" s="710"/>
      <c r="R271" s="711"/>
      <c r="S271" s="711"/>
      <c r="T271" s="711"/>
      <c r="U271" s="711"/>
      <c r="V271" s="711"/>
      <c r="W271" s="711"/>
      <c r="X271" s="711"/>
      <c r="Y271" s="711"/>
      <c r="Z271" s="711"/>
      <c r="AA271" s="711"/>
      <c r="AB271" s="710"/>
      <c r="AC271" s="711"/>
      <c r="AD271" s="710"/>
      <c r="AE271" s="711"/>
      <c r="AF271" s="710"/>
    </row>
    <row r="272" spans="4:32" s="705" customFormat="1" ht="15">
      <c r="D272" s="718"/>
      <c r="E272" s="715"/>
      <c r="F272" s="1705"/>
      <c r="G272" s="1705"/>
      <c r="H272" s="710"/>
      <c r="I272" s="710"/>
      <c r="J272" s="710"/>
      <c r="K272" s="710"/>
      <c r="L272" s="710"/>
      <c r="M272" s="710"/>
      <c r="N272" s="710"/>
      <c r="O272" s="710"/>
      <c r="P272" s="710"/>
      <c r="Q272" s="710"/>
      <c r="R272" s="711"/>
      <c r="S272" s="711"/>
      <c r="T272" s="711"/>
      <c r="U272" s="711"/>
      <c r="V272" s="711"/>
      <c r="W272" s="711"/>
      <c r="X272" s="711"/>
      <c r="Y272" s="711"/>
      <c r="Z272" s="711"/>
      <c r="AA272" s="711"/>
      <c r="AB272" s="710"/>
      <c r="AC272" s="711"/>
      <c r="AD272" s="710"/>
      <c r="AE272" s="711"/>
      <c r="AF272" s="710"/>
    </row>
    <row r="273" spans="4:32" s="705" customFormat="1" ht="15">
      <c r="D273" s="718"/>
      <c r="E273" s="715"/>
      <c r="F273" s="1705"/>
      <c r="G273" s="1705"/>
      <c r="H273" s="710"/>
      <c r="I273" s="710"/>
      <c r="J273" s="710"/>
      <c r="K273" s="710"/>
      <c r="L273" s="710"/>
      <c r="M273" s="710"/>
      <c r="N273" s="710"/>
      <c r="O273" s="710"/>
      <c r="P273" s="710"/>
      <c r="Q273" s="710"/>
      <c r="R273" s="711"/>
      <c r="S273" s="711"/>
      <c r="T273" s="711"/>
      <c r="U273" s="711"/>
      <c r="V273" s="711"/>
      <c r="W273" s="711"/>
      <c r="X273" s="711"/>
      <c r="Y273" s="711"/>
      <c r="Z273" s="711"/>
      <c r="AA273" s="711"/>
      <c r="AB273" s="710"/>
      <c r="AC273" s="711"/>
      <c r="AD273" s="710"/>
      <c r="AE273" s="711"/>
      <c r="AF273" s="710"/>
    </row>
    <row r="274" spans="4:32" s="705" customFormat="1" ht="15">
      <c r="D274" s="718"/>
      <c r="E274" s="715"/>
      <c r="F274" s="1705"/>
      <c r="G274" s="1705"/>
      <c r="H274" s="710"/>
      <c r="I274" s="710"/>
      <c r="J274" s="710"/>
      <c r="K274" s="710"/>
      <c r="L274" s="710"/>
      <c r="M274" s="710"/>
      <c r="N274" s="710"/>
      <c r="O274" s="710"/>
      <c r="P274" s="710"/>
      <c r="Q274" s="710"/>
      <c r="R274" s="711"/>
      <c r="S274" s="711"/>
      <c r="T274" s="711"/>
      <c r="U274" s="711"/>
      <c r="V274" s="711"/>
      <c r="W274" s="711"/>
      <c r="X274" s="711"/>
      <c r="Y274" s="711"/>
      <c r="Z274" s="711"/>
      <c r="AA274" s="711"/>
      <c r="AB274" s="710"/>
      <c r="AC274" s="711"/>
      <c r="AD274" s="710"/>
      <c r="AE274" s="711"/>
      <c r="AF274" s="710"/>
    </row>
    <row r="275" spans="4:32" s="705" customFormat="1" ht="15">
      <c r="D275" s="718"/>
      <c r="E275" s="715"/>
      <c r="F275" s="1705"/>
      <c r="G275" s="1705"/>
      <c r="H275" s="710"/>
      <c r="I275" s="710"/>
      <c r="J275" s="710"/>
      <c r="K275" s="710"/>
      <c r="L275" s="710"/>
      <c r="M275" s="710"/>
      <c r="N275" s="710"/>
      <c r="O275" s="710"/>
      <c r="P275" s="710"/>
      <c r="Q275" s="710"/>
      <c r="R275" s="711"/>
      <c r="S275" s="711"/>
      <c r="T275" s="711"/>
      <c r="U275" s="711"/>
      <c r="V275" s="711"/>
      <c r="W275" s="711"/>
      <c r="X275" s="711"/>
      <c r="Y275" s="711"/>
      <c r="Z275" s="711"/>
      <c r="AA275" s="711"/>
      <c r="AB275" s="710"/>
      <c r="AC275" s="711"/>
      <c r="AD275" s="710"/>
      <c r="AE275" s="711"/>
      <c r="AF275" s="710"/>
    </row>
    <row r="276" spans="4:32" s="705" customFormat="1" ht="15">
      <c r="D276" s="718"/>
      <c r="E276" s="715"/>
      <c r="F276" s="1705"/>
      <c r="G276" s="1705"/>
      <c r="H276" s="710"/>
      <c r="I276" s="710"/>
      <c r="J276" s="710"/>
      <c r="K276" s="710"/>
      <c r="L276" s="710"/>
      <c r="M276" s="710"/>
      <c r="N276" s="710"/>
      <c r="O276" s="710"/>
      <c r="P276" s="710"/>
      <c r="Q276" s="710"/>
      <c r="R276" s="711"/>
      <c r="S276" s="711"/>
      <c r="T276" s="711"/>
      <c r="U276" s="711"/>
      <c r="V276" s="711"/>
      <c r="W276" s="711"/>
      <c r="X276" s="711"/>
      <c r="Y276" s="711"/>
      <c r="Z276" s="711"/>
      <c r="AA276" s="711"/>
      <c r="AB276" s="710"/>
      <c r="AC276" s="711"/>
      <c r="AD276" s="710"/>
      <c r="AE276" s="711"/>
      <c r="AF276" s="710"/>
    </row>
    <row r="277" spans="4:32" s="705" customFormat="1" ht="15">
      <c r="D277" s="718"/>
      <c r="E277" s="715"/>
      <c r="F277" s="1705"/>
      <c r="G277" s="1705"/>
      <c r="H277" s="710"/>
      <c r="I277" s="710"/>
      <c r="J277" s="710"/>
      <c r="K277" s="710"/>
      <c r="L277" s="710"/>
      <c r="M277" s="710"/>
      <c r="N277" s="710"/>
      <c r="O277" s="710"/>
      <c r="P277" s="710"/>
      <c r="Q277" s="710"/>
      <c r="R277" s="711"/>
      <c r="S277" s="711"/>
      <c r="T277" s="711"/>
      <c r="U277" s="711"/>
      <c r="V277" s="711"/>
      <c r="W277" s="711"/>
      <c r="X277" s="711"/>
      <c r="Y277" s="711"/>
      <c r="Z277" s="711"/>
      <c r="AA277" s="711"/>
      <c r="AB277" s="710"/>
      <c r="AC277" s="711"/>
      <c r="AD277" s="710"/>
      <c r="AE277" s="711"/>
      <c r="AF277" s="710"/>
    </row>
    <row r="278" spans="4:32" s="705" customFormat="1" ht="15">
      <c r="D278" s="718"/>
      <c r="E278" s="715"/>
      <c r="F278" s="1705"/>
      <c r="G278" s="1705"/>
      <c r="H278" s="710"/>
      <c r="I278" s="710"/>
      <c r="J278" s="710"/>
      <c r="K278" s="710"/>
      <c r="L278" s="710"/>
      <c r="M278" s="710"/>
      <c r="N278" s="710"/>
      <c r="O278" s="710"/>
      <c r="P278" s="710"/>
      <c r="Q278" s="710"/>
      <c r="R278" s="711"/>
      <c r="S278" s="711"/>
      <c r="T278" s="711"/>
      <c r="U278" s="711"/>
      <c r="V278" s="711"/>
      <c r="W278" s="711"/>
      <c r="X278" s="711"/>
      <c r="Y278" s="711"/>
      <c r="Z278" s="711"/>
      <c r="AA278" s="711"/>
      <c r="AB278" s="710"/>
      <c r="AC278" s="711"/>
      <c r="AD278" s="710"/>
      <c r="AE278" s="711"/>
      <c r="AF278" s="710"/>
    </row>
    <row r="279" spans="4:32" s="705" customFormat="1" ht="15">
      <c r="D279" s="718"/>
      <c r="E279" s="715"/>
      <c r="F279" s="1705"/>
      <c r="G279" s="1705"/>
      <c r="H279" s="710"/>
      <c r="I279" s="710"/>
      <c r="J279" s="710"/>
      <c r="K279" s="710"/>
      <c r="L279" s="710"/>
      <c r="M279" s="710"/>
      <c r="N279" s="710"/>
      <c r="O279" s="710"/>
      <c r="P279" s="710"/>
      <c r="Q279" s="710"/>
      <c r="R279" s="711"/>
      <c r="S279" s="711"/>
      <c r="T279" s="711"/>
      <c r="U279" s="711"/>
      <c r="V279" s="711"/>
      <c r="W279" s="711"/>
      <c r="X279" s="711"/>
      <c r="Y279" s="711"/>
      <c r="Z279" s="711"/>
      <c r="AA279" s="711"/>
      <c r="AB279" s="710"/>
      <c r="AC279" s="711"/>
      <c r="AD279" s="710"/>
      <c r="AE279" s="711"/>
      <c r="AF279" s="710"/>
    </row>
    <row r="280" spans="4:32" s="705" customFormat="1" ht="15">
      <c r="D280" s="718"/>
      <c r="E280" s="716"/>
      <c r="F280" s="1705"/>
      <c r="G280" s="1705"/>
      <c r="H280" s="710"/>
      <c r="I280" s="710"/>
      <c r="J280" s="710"/>
      <c r="K280" s="710"/>
      <c r="L280" s="710"/>
      <c r="M280" s="710"/>
      <c r="N280" s="710"/>
      <c r="O280" s="710"/>
      <c r="P280" s="710"/>
      <c r="Q280" s="710"/>
      <c r="R280" s="711"/>
      <c r="S280" s="711"/>
      <c r="T280" s="711"/>
      <c r="U280" s="711"/>
      <c r="V280" s="711"/>
      <c r="W280" s="711"/>
      <c r="X280" s="711"/>
      <c r="Y280" s="711"/>
      <c r="Z280" s="711"/>
      <c r="AA280" s="711"/>
      <c r="AB280" s="710"/>
      <c r="AC280" s="711"/>
      <c r="AD280" s="710"/>
      <c r="AE280" s="711"/>
      <c r="AF280" s="710"/>
    </row>
    <row r="281" spans="4:32" s="705" customFormat="1" ht="15">
      <c r="D281" s="718"/>
      <c r="E281" s="716"/>
      <c r="F281" s="1705"/>
      <c r="G281" s="1705"/>
      <c r="H281" s="710"/>
      <c r="I281" s="710"/>
      <c r="J281" s="710"/>
      <c r="K281" s="710"/>
      <c r="L281" s="710"/>
      <c r="M281" s="710"/>
      <c r="N281" s="710"/>
      <c r="O281" s="710"/>
      <c r="P281" s="710"/>
      <c r="Q281" s="710"/>
      <c r="R281" s="711"/>
      <c r="S281" s="711"/>
      <c r="T281" s="711"/>
      <c r="U281" s="711"/>
      <c r="V281" s="711"/>
      <c r="W281" s="711"/>
      <c r="X281" s="711"/>
      <c r="Y281" s="711"/>
      <c r="Z281" s="711"/>
      <c r="AA281" s="711"/>
      <c r="AB281" s="710"/>
      <c r="AC281" s="711"/>
      <c r="AD281" s="710"/>
      <c r="AE281" s="711"/>
      <c r="AF281" s="710"/>
    </row>
    <row r="282" spans="4:32" s="705" customFormat="1" ht="15">
      <c r="D282" s="718"/>
      <c r="E282" s="716"/>
      <c r="F282" s="1705"/>
      <c r="G282" s="1705"/>
      <c r="H282" s="710"/>
      <c r="I282" s="710"/>
      <c r="J282" s="710"/>
      <c r="K282" s="710"/>
      <c r="L282" s="710"/>
      <c r="M282" s="710"/>
      <c r="N282" s="710"/>
      <c r="O282" s="710"/>
      <c r="P282" s="710"/>
      <c r="Q282" s="710"/>
      <c r="R282" s="711"/>
      <c r="S282" s="711"/>
      <c r="T282" s="711"/>
      <c r="U282" s="711"/>
      <c r="V282" s="711"/>
      <c r="W282" s="711"/>
      <c r="X282" s="711"/>
      <c r="Y282" s="711"/>
      <c r="Z282" s="711"/>
      <c r="AA282" s="711"/>
      <c r="AB282" s="710"/>
      <c r="AC282" s="711"/>
      <c r="AD282" s="710"/>
      <c r="AE282" s="711"/>
      <c r="AF282" s="710"/>
    </row>
    <row r="283" spans="4:32" s="705" customFormat="1" ht="15">
      <c r="D283" s="718"/>
      <c r="E283" s="716"/>
      <c r="F283" s="1705"/>
      <c r="G283" s="1705"/>
      <c r="H283" s="710"/>
      <c r="I283" s="710"/>
      <c r="J283" s="710"/>
      <c r="K283" s="710"/>
      <c r="L283" s="710"/>
      <c r="M283" s="710"/>
      <c r="N283" s="710"/>
      <c r="O283" s="710"/>
      <c r="P283" s="710"/>
      <c r="Q283" s="710"/>
      <c r="R283" s="711"/>
      <c r="S283" s="711"/>
      <c r="T283" s="711"/>
      <c r="U283" s="711"/>
      <c r="V283" s="711"/>
      <c r="W283" s="711"/>
      <c r="X283" s="711"/>
      <c r="Y283" s="711"/>
      <c r="Z283" s="711"/>
      <c r="AA283" s="711"/>
      <c r="AB283" s="710"/>
      <c r="AC283" s="711"/>
      <c r="AD283" s="710"/>
      <c r="AE283" s="711"/>
      <c r="AF283" s="710"/>
    </row>
    <row r="284" spans="4:32" s="705" customFormat="1" ht="15">
      <c r="D284" s="718"/>
      <c r="E284" s="716"/>
      <c r="F284" s="1705"/>
      <c r="G284" s="1705"/>
      <c r="H284" s="710"/>
      <c r="I284" s="710"/>
      <c r="J284" s="710"/>
      <c r="K284" s="710"/>
      <c r="L284" s="710"/>
      <c r="M284" s="710"/>
      <c r="N284" s="710"/>
      <c r="O284" s="710"/>
      <c r="P284" s="710"/>
      <c r="Q284" s="710"/>
      <c r="R284" s="711"/>
      <c r="S284" s="711"/>
      <c r="T284" s="711"/>
      <c r="U284" s="711"/>
      <c r="V284" s="711"/>
      <c r="W284" s="711"/>
      <c r="X284" s="711"/>
      <c r="Y284" s="711"/>
      <c r="Z284" s="711"/>
      <c r="AA284" s="711"/>
      <c r="AB284" s="710"/>
      <c r="AC284" s="711"/>
      <c r="AD284" s="710"/>
      <c r="AE284" s="711"/>
      <c r="AF284" s="710"/>
    </row>
    <row r="285" spans="4:32" s="705" customFormat="1" ht="15">
      <c r="D285" s="718"/>
      <c r="E285" s="716"/>
      <c r="F285" s="1705"/>
      <c r="G285" s="1705"/>
      <c r="H285" s="710"/>
      <c r="I285" s="710"/>
      <c r="J285" s="710"/>
      <c r="K285" s="710"/>
      <c r="L285" s="710"/>
      <c r="M285" s="710"/>
      <c r="N285" s="710"/>
      <c r="O285" s="710"/>
      <c r="P285" s="710"/>
      <c r="Q285" s="710"/>
      <c r="R285" s="711"/>
      <c r="S285" s="711"/>
      <c r="T285" s="711"/>
      <c r="U285" s="711"/>
      <c r="V285" s="711"/>
      <c r="W285" s="711"/>
      <c r="X285" s="711"/>
      <c r="Y285" s="711"/>
      <c r="Z285" s="711"/>
      <c r="AA285" s="711"/>
      <c r="AB285" s="710"/>
      <c r="AC285" s="711"/>
      <c r="AD285" s="710"/>
      <c r="AE285" s="711"/>
      <c r="AF285" s="710"/>
    </row>
    <row r="286" spans="4:32" s="705" customFormat="1" ht="15">
      <c r="D286" s="718"/>
      <c r="E286" s="716"/>
      <c r="F286" s="1705"/>
      <c r="G286" s="1705"/>
      <c r="H286" s="710"/>
      <c r="I286" s="710"/>
      <c r="J286" s="710"/>
      <c r="K286" s="710"/>
      <c r="L286" s="710"/>
      <c r="M286" s="710"/>
      <c r="N286" s="710"/>
      <c r="O286" s="710"/>
      <c r="P286" s="710"/>
      <c r="Q286" s="710"/>
      <c r="R286" s="711"/>
      <c r="S286" s="711"/>
      <c r="T286" s="711"/>
      <c r="U286" s="711"/>
      <c r="V286" s="711"/>
      <c r="W286" s="711"/>
      <c r="X286" s="711"/>
      <c r="Y286" s="711"/>
      <c r="Z286" s="711"/>
      <c r="AA286" s="711"/>
      <c r="AB286" s="710"/>
      <c r="AC286" s="711"/>
      <c r="AD286" s="710"/>
      <c r="AE286" s="711"/>
      <c r="AF286" s="710"/>
    </row>
    <row r="287" spans="4:32" s="705" customFormat="1" ht="15">
      <c r="D287" s="718"/>
      <c r="E287" s="1709"/>
      <c r="F287" s="1705"/>
      <c r="G287" s="1705"/>
      <c r="H287" s="710"/>
      <c r="I287" s="710"/>
      <c r="J287" s="710"/>
      <c r="K287" s="710"/>
      <c r="L287" s="710"/>
      <c r="M287" s="710"/>
      <c r="N287" s="710"/>
      <c r="O287" s="710"/>
      <c r="P287" s="710"/>
      <c r="Q287" s="710"/>
      <c r="R287" s="711"/>
      <c r="S287" s="711"/>
      <c r="T287" s="711"/>
      <c r="U287" s="711"/>
      <c r="V287" s="711"/>
      <c r="W287" s="711"/>
      <c r="X287" s="711"/>
      <c r="Y287" s="711"/>
      <c r="Z287" s="711"/>
      <c r="AA287" s="711"/>
      <c r="AB287" s="710"/>
      <c r="AC287" s="711"/>
      <c r="AD287" s="710"/>
      <c r="AE287" s="711"/>
      <c r="AF287" s="710"/>
    </row>
    <row r="288" spans="4:32" s="705" customFormat="1" ht="15">
      <c r="D288" s="718"/>
      <c r="E288" s="1709"/>
      <c r="F288" s="1705"/>
      <c r="G288" s="1705"/>
      <c r="H288" s="710"/>
      <c r="I288" s="710"/>
      <c r="J288" s="710"/>
      <c r="K288" s="710"/>
      <c r="L288" s="710"/>
      <c r="M288" s="710"/>
      <c r="N288" s="710"/>
      <c r="O288" s="710"/>
      <c r="P288" s="710"/>
      <c r="Q288" s="710"/>
      <c r="R288" s="711"/>
      <c r="S288" s="711"/>
      <c r="T288" s="711"/>
      <c r="U288" s="711"/>
      <c r="V288" s="711"/>
      <c r="W288" s="711"/>
      <c r="X288" s="711"/>
      <c r="Y288" s="711"/>
      <c r="Z288" s="711"/>
      <c r="AA288" s="711"/>
      <c r="AB288" s="710"/>
      <c r="AC288" s="711"/>
      <c r="AD288" s="710"/>
      <c r="AE288" s="711"/>
      <c r="AF288" s="710"/>
    </row>
    <row r="289" spans="4:32" s="705" customFormat="1" ht="15">
      <c r="D289" s="718"/>
      <c r="E289" s="1709"/>
      <c r="F289" s="1705"/>
      <c r="G289" s="1705"/>
      <c r="H289" s="710"/>
      <c r="I289" s="710"/>
      <c r="J289" s="710"/>
      <c r="K289" s="710"/>
      <c r="L289" s="710"/>
      <c r="M289" s="710"/>
      <c r="N289" s="710"/>
      <c r="O289" s="710"/>
      <c r="P289" s="710"/>
      <c r="Q289" s="710"/>
      <c r="R289" s="711"/>
      <c r="S289" s="711"/>
      <c r="T289" s="711"/>
      <c r="U289" s="711"/>
      <c r="V289" s="711"/>
      <c r="W289" s="711"/>
      <c r="X289" s="711"/>
      <c r="Y289" s="711"/>
      <c r="Z289" s="711"/>
      <c r="AA289" s="711"/>
      <c r="AB289" s="710"/>
      <c r="AC289" s="711"/>
      <c r="AD289" s="710"/>
      <c r="AE289" s="711"/>
      <c r="AF289" s="710"/>
    </row>
    <row r="290" spans="4:32" s="705" customFormat="1" ht="15">
      <c r="D290" s="718"/>
      <c r="E290" s="714"/>
      <c r="F290" s="1705"/>
      <c r="G290" s="1705"/>
      <c r="H290" s="710"/>
      <c r="I290" s="710"/>
      <c r="J290" s="710"/>
      <c r="K290" s="710"/>
      <c r="L290" s="710"/>
      <c r="M290" s="710"/>
      <c r="N290" s="710"/>
      <c r="O290" s="710"/>
      <c r="P290" s="710"/>
      <c r="Q290" s="710"/>
      <c r="R290" s="711"/>
      <c r="S290" s="711"/>
      <c r="T290" s="711"/>
      <c r="U290" s="711"/>
      <c r="V290" s="711"/>
      <c r="W290" s="711"/>
      <c r="X290" s="711"/>
      <c r="Y290" s="711"/>
      <c r="Z290" s="711"/>
      <c r="AA290" s="711"/>
      <c r="AB290" s="710"/>
      <c r="AC290" s="711"/>
      <c r="AD290" s="710"/>
      <c r="AE290" s="711"/>
      <c r="AF290" s="710"/>
    </row>
    <row r="291" spans="4:32" s="705" customFormat="1" ht="15">
      <c r="D291" s="718"/>
      <c r="E291" s="716"/>
      <c r="F291" s="1705"/>
      <c r="G291" s="1705"/>
      <c r="H291" s="710"/>
      <c r="I291" s="710"/>
      <c r="J291" s="710"/>
      <c r="K291" s="710"/>
      <c r="L291" s="710"/>
      <c r="M291" s="710"/>
      <c r="N291" s="710"/>
      <c r="O291" s="710"/>
      <c r="P291" s="710"/>
      <c r="Q291" s="710"/>
      <c r="R291" s="711"/>
      <c r="S291" s="711"/>
      <c r="T291" s="711"/>
      <c r="U291" s="711"/>
      <c r="V291" s="711"/>
      <c r="W291" s="711"/>
      <c r="X291" s="711"/>
      <c r="Y291" s="711"/>
      <c r="Z291" s="711"/>
      <c r="AA291" s="711"/>
      <c r="AB291" s="710"/>
      <c r="AC291" s="711"/>
      <c r="AD291" s="710"/>
      <c r="AE291" s="711"/>
      <c r="AF291" s="710"/>
    </row>
    <row r="292" spans="4:32" s="705" customFormat="1" ht="15">
      <c r="D292" s="718"/>
      <c r="E292" s="714"/>
      <c r="F292" s="1705"/>
      <c r="G292" s="1705"/>
      <c r="H292" s="710"/>
      <c r="I292" s="710"/>
      <c r="J292" s="710"/>
      <c r="K292" s="710"/>
      <c r="L292" s="710"/>
      <c r="M292" s="710"/>
      <c r="N292" s="710"/>
      <c r="O292" s="710"/>
      <c r="P292" s="710"/>
      <c r="Q292" s="710"/>
      <c r="R292" s="711"/>
      <c r="S292" s="711"/>
      <c r="T292" s="711"/>
      <c r="U292" s="711"/>
      <c r="V292" s="711"/>
      <c r="W292" s="711"/>
      <c r="X292" s="711"/>
      <c r="Y292" s="711"/>
      <c r="Z292" s="711"/>
      <c r="AA292" s="711"/>
      <c r="AB292" s="710"/>
      <c r="AC292" s="711"/>
      <c r="AD292" s="710"/>
      <c r="AE292" s="711"/>
      <c r="AF292" s="710"/>
    </row>
    <row r="293" spans="4:32" s="705" customFormat="1" ht="15">
      <c r="D293" s="718"/>
      <c r="E293" s="714"/>
      <c r="F293" s="1705"/>
      <c r="G293" s="1705"/>
      <c r="H293" s="710"/>
      <c r="I293" s="710"/>
      <c r="J293" s="710"/>
      <c r="K293" s="710"/>
      <c r="L293" s="710"/>
      <c r="M293" s="710"/>
      <c r="N293" s="710"/>
      <c r="O293" s="710"/>
      <c r="P293" s="710"/>
      <c r="Q293" s="710"/>
      <c r="R293" s="711"/>
      <c r="S293" s="711"/>
      <c r="T293" s="711"/>
      <c r="U293" s="711"/>
      <c r="V293" s="711"/>
      <c r="W293" s="711"/>
      <c r="X293" s="711"/>
      <c r="Y293" s="711"/>
      <c r="Z293" s="711"/>
      <c r="AA293" s="711"/>
      <c r="AB293" s="710"/>
      <c r="AC293" s="711"/>
      <c r="AD293" s="710"/>
      <c r="AE293" s="711"/>
      <c r="AF293" s="710"/>
    </row>
    <row r="294" spans="4:32" s="705" customFormat="1" ht="15">
      <c r="D294" s="718"/>
      <c r="E294" s="714"/>
      <c r="F294" s="1705"/>
      <c r="G294" s="1705"/>
      <c r="H294" s="710"/>
      <c r="I294" s="710"/>
      <c r="J294" s="710"/>
      <c r="K294" s="710"/>
      <c r="L294" s="710"/>
      <c r="M294" s="710"/>
      <c r="N294" s="710"/>
      <c r="O294" s="710"/>
      <c r="P294" s="710"/>
      <c r="Q294" s="710"/>
      <c r="R294" s="711"/>
      <c r="S294" s="711"/>
      <c r="T294" s="711"/>
      <c r="U294" s="711"/>
      <c r="V294" s="711"/>
      <c r="W294" s="711"/>
      <c r="X294" s="711"/>
      <c r="Y294" s="711"/>
      <c r="Z294" s="711"/>
      <c r="AA294" s="711"/>
      <c r="AB294" s="710"/>
      <c r="AC294" s="711"/>
      <c r="AD294" s="710"/>
      <c r="AE294" s="711"/>
      <c r="AF294" s="710"/>
    </row>
    <row r="295" spans="4:32" s="705" customFormat="1" ht="15">
      <c r="D295" s="718"/>
      <c r="E295" s="715"/>
      <c r="F295" s="1705"/>
      <c r="G295" s="1705"/>
      <c r="H295" s="710"/>
      <c r="I295" s="710"/>
      <c r="J295" s="710"/>
      <c r="K295" s="710"/>
      <c r="L295" s="710"/>
      <c r="M295" s="710"/>
      <c r="N295" s="710"/>
      <c r="O295" s="710"/>
      <c r="P295" s="710"/>
      <c r="Q295" s="710"/>
      <c r="R295" s="711"/>
      <c r="S295" s="711"/>
      <c r="T295" s="711"/>
      <c r="U295" s="711"/>
      <c r="V295" s="711"/>
      <c r="W295" s="711"/>
      <c r="X295" s="711"/>
      <c r="Y295" s="711"/>
      <c r="Z295" s="711"/>
      <c r="AA295" s="711"/>
      <c r="AB295" s="710"/>
      <c r="AC295" s="711"/>
      <c r="AD295" s="710"/>
      <c r="AE295" s="711"/>
      <c r="AF295" s="710"/>
    </row>
    <row r="296" spans="4:32" s="705" customFormat="1" ht="15">
      <c r="D296" s="718"/>
      <c r="E296" s="715"/>
      <c r="F296" s="1705"/>
      <c r="G296" s="1705"/>
      <c r="H296" s="710"/>
      <c r="I296" s="710"/>
      <c r="J296" s="710"/>
      <c r="K296" s="710"/>
      <c r="L296" s="710"/>
      <c r="M296" s="710"/>
      <c r="N296" s="710"/>
      <c r="O296" s="710"/>
      <c r="P296" s="710"/>
      <c r="Q296" s="710"/>
      <c r="R296" s="711"/>
      <c r="S296" s="711"/>
      <c r="T296" s="711"/>
      <c r="U296" s="711"/>
      <c r="V296" s="711"/>
      <c r="W296" s="711"/>
      <c r="X296" s="711"/>
      <c r="Y296" s="711"/>
      <c r="Z296" s="711"/>
      <c r="AA296" s="711"/>
      <c r="AB296" s="710"/>
      <c r="AC296" s="711"/>
      <c r="AD296" s="710"/>
      <c r="AE296" s="711"/>
      <c r="AF296" s="710"/>
    </row>
    <row r="297" spans="4:32" s="705" customFormat="1" ht="15">
      <c r="D297" s="718"/>
      <c r="E297" s="715"/>
      <c r="F297" s="1705"/>
      <c r="G297" s="1705"/>
      <c r="H297" s="710"/>
      <c r="I297" s="710"/>
      <c r="J297" s="710"/>
      <c r="K297" s="710"/>
      <c r="L297" s="710"/>
      <c r="M297" s="710"/>
      <c r="N297" s="710"/>
      <c r="O297" s="710"/>
      <c r="P297" s="710"/>
      <c r="Q297" s="710"/>
      <c r="R297" s="711"/>
      <c r="S297" s="711"/>
      <c r="T297" s="711"/>
      <c r="U297" s="711"/>
      <c r="V297" s="711"/>
      <c r="W297" s="711"/>
      <c r="X297" s="711"/>
      <c r="Y297" s="711"/>
      <c r="Z297" s="711"/>
      <c r="AA297" s="711"/>
      <c r="AB297" s="710"/>
      <c r="AC297" s="711"/>
      <c r="AD297" s="710"/>
      <c r="AE297" s="711"/>
      <c r="AF297" s="710"/>
    </row>
    <row r="298" spans="4:32" s="705" customFormat="1" ht="15">
      <c r="D298" s="718"/>
      <c r="E298" s="715"/>
      <c r="F298" s="1705"/>
      <c r="G298" s="1705"/>
      <c r="H298" s="710"/>
      <c r="I298" s="710"/>
      <c r="J298" s="710"/>
      <c r="K298" s="710"/>
      <c r="L298" s="710"/>
      <c r="M298" s="710"/>
      <c r="N298" s="710"/>
      <c r="O298" s="710"/>
      <c r="P298" s="710"/>
      <c r="Q298" s="710"/>
      <c r="R298" s="711"/>
      <c r="S298" s="711"/>
      <c r="T298" s="711"/>
      <c r="U298" s="711"/>
      <c r="V298" s="711"/>
      <c r="W298" s="711"/>
      <c r="X298" s="711"/>
      <c r="Y298" s="711"/>
      <c r="Z298" s="711"/>
      <c r="AA298" s="711"/>
      <c r="AB298" s="710"/>
      <c r="AC298" s="711"/>
      <c r="AD298" s="710"/>
      <c r="AE298" s="711"/>
      <c r="AF298" s="710"/>
    </row>
    <row r="299" spans="4:32" s="705" customFormat="1" ht="15">
      <c r="D299" s="717"/>
      <c r="E299" s="2479"/>
      <c r="F299" s="2480"/>
      <c r="G299" s="2480"/>
      <c r="H299" s="2476"/>
      <c r="I299" s="2476"/>
      <c r="J299" s="2476"/>
      <c r="K299" s="2476"/>
      <c r="L299" s="2476"/>
      <c r="M299" s="2476"/>
      <c r="N299" s="2476"/>
      <c r="O299" s="2476"/>
      <c r="P299" s="2476"/>
      <c r="Q299" s="2476"/>
      <c r="R299" s="2476"/>
      <c r="S299" s="2476"/>
      <c r="T299" s="2476"/>
      <c r="U299" s="2476"/>
      <c r="V299" s="2476"/>
      <c r="W299" s="2476"/>
      <c r="X299" s="2476"/>
      <c r="Y299" s="2476"/>
      <c r="Z299" s="2476"/>
      <c r="AA299" s="2476"/>
      <c r="AB299" s="707"/>
      <c r="AC299" s="707"/>
      <c r="AD299" s="707"/>
      <c r="AE299" s="707"/>
      <c r="AF299" s="707"/>
    </row>
    <row r="300" spans="4:32" s="705" customFormat="1" ht="15">
      <c r="D300" s="717"/>
      <c r="E300" s="2479"/>
      <c r="F300" s="2480"/>
      <c r="G300" s="2480"/>
      <c r="H300" s="709"/>
      <c r="I300" s="709"/>
      <c r="J300" s="709"/>
      <c r="K300" s="709"/>
      <c r="L300" s="709"/>
      <c r="M300" s="709"/>
      <c r="N300" s="709"/>
      <c r="O300" s="709"/>
      <c r="P300" s="709"/>
      <c r="Q300" s="709"/>
      <c r="R300" s="709"/>
      <c r="S300" s="709"/>
      <c r="T300" s="709"/>
      <c r="U300" s="709"/>
      <c r="V300" s="709"/>
      <c r="W300" s="709"/>
      <c r="X300" s="709"/>
      <c r="Y300" s="709"/>
      <c r="Z300" s="709"/>
      <c r="AA300" s="709"/>
      <c r="AB300" s="1703"/>
      <c r="AC300" s="1703"/>
      <c r="AD300" s="1703"/>
      <c r="AE300" s="1703"/>
      <c r="AF300" s="1703"/>
    </row>
    <row r="301" spans="4:32" s="705" customFormat="1" ht="15">
      <c r="D301" s="718"/>
      <c r="E301" s="1705"/>
      <c r="F301" s="1706"/>
      <c r="G301" s="1706"/>
      <c r="H301" s="709"/>
      <c r="I301" s="709"/>
      <c r="J301" s="709"/>
      <c r="K301" s="709"/>
      <c r="L301" s="709"/>
      <c r="M301" s="709"/>
      <c r="N301" s="709"/>
      <c r="O301" s="709"/>
      <c r="P301" s="709"/>
      <c r="Q301" s="709"/>
      <c r="R301" s="709"/>
      <c r="S301" s="709"/>
      <c r="T301" s="709"/>
      <c r="U301" s="709"/>
      <c r="V301" s="709"/>
      <c r="W301" s="709"/>
      <c r="X301" s="709"/>
      <c r="Y301" s="709"/>
      <c r="Z301" s="709"/>
      <c r="AA301" s="709"/>
      <c r="AB301" s="709"/>
      <c r="AC301" s="709"/>
      <c r="AD301" s="709"/>
      <c r="AE301" s="709"/>
      <c r="AF301" s="709"/>
    </row>
    <row r="302" spans="4:32" s="705" customFormat="1" ht="15">
      <c r="D302" s="718"/>
      <c r="E302" s="1709"/>
      <c r="F302" s="1705"/>
      <c r="G302" s="1705"/>
      <c r="H302" s="710"/>
      <c r="I302" s="710"/>
      <c r="J302" s="710"/>
      <c r="K302" s="710"/>
      <c r="L302" s="710"/>
      <c r="M302" s="710"/>
      <c r="N302" s="710"/>
      <c r="O302" s="710"/>
      <c r="P302" s="710"/>
      <c r="Q302" s="710"/>
      <c r="R302" s="711"/>
      <c r="S302" s="711"/>
      <c r="T302" s="711"/>
      <c r="U302" s="711"/>
      <c r="V302" s="711"/>
      <c r="W302" s="711"/>
      <c r="X302" s="711"/>
      <c r="Y302" s="711"/>
      <c r="Z302" s="711"/>
      <c r="AA302" s="711"/>
      <c r="AB302" s="710"/>
      <c r="AC302" s="711"/>
      <c r="AD302" s="710"/>
      <c r="AE302" s="711"/>
      <c r="AF302" s="710"/>
    </row>
    <row r="303" spans="4:32" s="705" customFormat="1" ht="15">
      <c r="D303" s="718"/>
      <c r="E303" s="1709"/>
      <c r="F303" s="1706"/>
      <c r="G303" s="1706"/>
      <c r="H303" s="710"/>
      <c r="I303" s="710"/>
      <c r="J303" s="710"/>
      <c r="K303" s="710"/>
      <c r="L303" s="710"/>
      <c r="M303" s="710"/>
      <c r="N303" s="710"/>
      <c r="O303" s="710"/>
      <c r="P303" s="710"/>
      <c r="Q303" s="710"/>
      <c r="R303" s="711"/>
      <c r="S303" s="711"/>
      <c r="T303" s="711"/>
      <c r="U303" s="711"/>
      <c r="V303" s="711"/>
      <c r="W303" s="711"/>
      <c r="X303" s="711"/>
      <c r="Y303" s="711"/>
      <c r="Z303" s="711"/>
      <c r="AA303" s="711"/>
      <c r="AB303" s="710"/>
      <c r="AC303" s="711"/>
      <c r="AD303" s="710"/>
      <c r="AE303" s="711"/>
      <c r="AF303" s="710"/>
    </row>
    <row r="304" spans="4:32" s="705" customFormat="1" ht="15">
      <c r="D304" s="718"/>
      <c r="E304" s="1709"/>
      <c r="F304" s="1705"/>
      <c r="G304" s="1705"/>
      <c r="H304" s="710"/>
      <c r="I304" s="710"/>
      <c r="J304" s="710"/>
      <c r="K304" s="710"/>
      <c r="L304" s="710"/>
      <c r="M304" s="710"/>
      <c r="N304" s="710"/>
      <c r="O304" s="710"/>
      <c r="P304" s="710"/>
      <c r="Q304" s="710"/>
      <c r="R304" s="711"/>
      <c r="S304" s="711"/>
      <c r="T304" s="711"/>
      <c r="U304" s="711"/>
      <c r="V304" s="711"/>
      <c r="W304" s="711"/>
      <c r="X304" s="711"/>
      <c r="Y304" s="711"/>
      <c r="Z304" s="711"/>
      <c r="AA304" s="711"/>
      <c r="AB304" s="710"/>
      <c r="AC304" s="711"/>
      <c r="AD304" s="710"/>
      <c r="AE304" s="711"/>
      <c r="AF304" s="710"/>
    </row>
    <row r="305" spans="4:32" s="705" customFormat="1" ht="15">
      <c r="D305" s="718"/>
      <c r="E305" s="1709"/>
      <c r="F305" s="1706"/>
      <c r="G305" s="1706"/>
      <c r="H305" s="710"/>
      <c r="I305" s="710"/>
      <c r="J305" s="710"/>
      <c r="K305" s="710"/>
      <c r="L305" s="710"/>
      <c r="M305" s="710"/>
      <c r="N305" s="710"/>
      <c r="O305" s="710"/>
      <c r="P305" s="710"/>
      <c r="Q305" s="710"/>
      <c r="R305" s="711"/>
      <c r="S305" s="711"/>
      <c r="T305" s="711"/>
      <c r="U305" s="711"/>
      <c r="V305" s="711"/>
      <c r="W305" s="711"/>
      <c r="X305" s="711"/>
      <c r="Y305" s="711"/>
      <c r="Z305" s="711"/>
      <c r="AA305" s="711"/>
      <c r="AB305" s="710"/>
      <c r="AC305" s="711"/>
      <c r="AD305" s="710"/>
      <c r="AE305" s="711"/>
      <c r="AF305" s="710"/>
    </row>
    <row r="306" spans="4:32" s="705" customFormat="1" ht="15">
      <c r="D306" s="718"/>
      <c r="E306" s="1709"/>
      <c r="F306" s="1705"/>
      <c r="G306" s="1705"/>
      <c r="H306" s="710"/>
      <c r="I306" s="710"/>
      <c r="J306" s="710"/>
      <c r="K306" s="710"/>
      <c r="L306" s="710"/>
      <c r="M306" s="710"/>
      <c r="N306" s="710"/>
      <c r="O306" s="710"/>
      <c r="P306" s="710"/>
      <c r="Q306" s="710"/>
      <c r="R306" s="711"/>
      <c r="S306" s="711"/>
      <c r="T306" s="711"/>
      <c r="U306" s="711"/>
      <c r="V306" s="711"/>
      <c r="W306" s="711"/>
      <c r="X306" s="711"/>
      <c r="Y306" s="711"/>
      <c r="Z306" s="711"/>
      <c r="AA306" s="711"/>
      <c r="AB306" s="710"/>
      <c r="AC306" s="711"/>
      <c r="AD306" s="710"/>
      <c r="AE306" s="711"/>
      <c r="AF306" s="710"/>
    </row>
    <row r="307" spans="4:32" s="705" customFormat="1" ht="15">
      <c r="D307" s="718"/>
      <c r="E307" s="1709"/>
      <c r="F307" s="1706"/>
      <c r="G307" s="1706"/>
      <c r="H307" s="710"/>
      <c r="I307" s="710"/>
      <c r="J307" s="710"/>
      <c r="K307" s="710"/>
      <c r="L307" s="710"/>
      <c r="M307" s="710"/>
      <c r="N307" s="710"/>
      <c r="O307" s="710"/>
      <c r="P307" s="710"/>
      <c r="Q307" s="710"/>
      <c r="R307" s="711"/>
      <c r="S307" s="711"/>
      <c r="T307" s="711"/>
      <c r="U307" s="711"/>
      <c r="V307" s="711"/>
      <c r="W307" s="711"/>
      <c r="X307" s="711"/>
      <c r="Y307" s="711"/>
      <c r="Z307" s="711"/>
      <c r="AA307" s="711"/>
      <c r="AB307" s="710"/>
      <c r="AC307" s="711"/>
      <c r="AD307" s="710"/>
      <c r="AE307" s="711"/>
      <c r="AF307" s="710"/>
    </row>
    <row r="308" spans="4:32" s="705" customFormat="1" ht="15">
      <c r="D308" s="718"/>
      <c r="E308" s="1709"/>
      <c r="F308" s="1705"/>
      <c r="G308" s="1705"/>
      <c r="H308" s="710"/>
      <c r="I308" s="710"/>
      <c r="J308" s="710"/>
      <c r="K308" s="710"/>
      <c r="L308" s="710"/>
      <c r="M308" s="710"/>
      <c r="N308" s="710"/>
      <c r="O308" s="710"/>
      <c r="P308" s="710"/>
      <c r="Q308" s="710"/>
      <c r="R308" s="711"/>
      <c r="S308" s="711"/>
      <c r="T308" s="711"/>
      <c r="U308" s="711"/>
      <c r="V308" s="711"/>
      <c r="W308" s="711"/>
      <c r="X308" s="711"/>
      <c r="Y308" s="711"/>
      <c r="Z308" s="711"/>
      <c r="AA308" s="711"/>
      <c r="AB308" s="710"/>
      <c r="AC308" s="711"/>
      <c r="AD308" s="710"/>
      <c r="AE308" s="711"/>
      <c r="AF308" s="710"/>
    </row>
    <row r="309" spans="4:32" s="705" customFormat="1" ht="15">
      <c r="D309" s="718"/>
      <c r="E309" s="1709"/>
      <c r="F309" s="1706"/>
      <c r="G309" s="1706"/>
      <c r="H309" s="710"/>
      <c r="I309" s="710"/>
      <c r="J309" s="710"/>
      <c r="K309" s="710"/>
      <c r="L309" s="710"/>
      <c r="M309" s="710"/>
      <c r="N309" s="710"/>
      <c r="O309" s="710"/>
      <c r="P309" s="710"/>
      <c r="Q309" s="710"/>
      <c r="R309" s="711"/>
      <c r="S309" s="711"/>
      <c r="T309" s="711"/>
      <c r="U309" s="711"/>
      <c r="V309" s="711"/>
      <c r="W309" s="711"/>
      <c r="X309" s="711"/>
      <c r="Y309" s="711"/>
      <c r="Z309" s="711"/>
      <c r="AA309" s="711"/>
      <c r="AB309" s="710"/>
      <c r="AC309" s="711"/>
      <c r="AD309" s="710"/>
      <c r="AE309" s="711"/>
      <c r="AF309" s="710"/>
    </row>
    <row r="310" spans="4:32" s="705" customFormat="1" ht="15">
      <c r="D310" s="718"/>
      <c r="E310" s="1709"/>
      <c r="F310" s="1705"/>
      <c r="G310" s="1705"/>
      <c r="H310" s="710"/>
      <c r="I310" s="710"/>
      <c r="J310" s="710"/>
      <c r="K310" s="710"/>
      <c r="L310" s="710"/>
      <c r="M310" s="710"/>
      <c r="N310" s="710"/>
      <c r="O310" s="710"/>
      <c r="P310" s="710"/>
      <c r="Q310" s="710"/>
      <c r="R310" s="711"/>
      <c r="S310" s="711"/>
      <c r="T310" s="711"/>
      <c r="U310" s="711"/>
      <c r="V310" s="711"/>
      <c r="W310" s="711"/>
      <c r="X310" s="711"/>
      <c r="Y310" s="711"/>
      <c r="Z310" s="711"/>
      <c r="AA310" s="711"/>
      <c r="AB310" s="710"/>
      <c r="AC310" s="711"/>
      <c r="AD310" s="710"/>
      <c r="AE310" s="711"/>
      <c r="AF310" s="710"/>
    </row>
    <row r="311" spans="4:32" s="705" customFormat="1" ht="15">
      <c r="D311" s="718"/>
      <c r="E311" s="1709"/>
      <c r="F311" s="1706"/>
      <c r="G311" s="1706"/>
      <c r="H311" s="710"/>
      <c r="I311" s="710"/>
      <c r="J311" s="710"/>
      <c r="K311" s="710"/>
      <c r="L311" s="710"/>
      <c r="M311" s="710"/>
      <c r="N311" s="710"/>
      <c r="O311" s="710"/>
      <c r="P311" s="710"/>
      <c r="Q311" s="710"/>
      <c r="R311" s="711"/>
      <c r="S311" s="711"/>
      <c r="T311" s="711"/>
      <c r="U311" s="711"/>
      <c r="V311" s="711"/>
      <c r="W311" s="711"/>
      <c r="X311" s="711"/>
      <c r="Y311" s="711"/>
      <c r="Z311" s="711"/>
      <c r="AA311" s="711"/>
      <c r="AB311" s="710"/>
      <c r="AC311" s="711"/>
      <c r="AD311" s="710"/>
      <c r="AE311" s="711"/>
      <c r="AF311" s="710"/>
    </row>
    <row r="312" spans="4:32" s="705" customFormat="1" ht="15">
      <c r="D312" s="718"/>
      <c r="E312" s="1709"/>
      <c r="F312" s="1705"/>
      <c r="G312" s="1705"/>
      <c r="H312" s="710"/>
      <c r="I312" s="710"/>
      <c r="J312" s="710"/>
      <c r="K312" s="710"/>
      <c r="L312" s="710"/>
      <c r="M312" s="710"/>
      <c r="N312" s="710"/>
      <c r="O312" s="710"/>
      <c r="P312" s="710"/>
      <c r="Q312" s="710"/>
      <c r="R312" s="711"/>
      <c r="S312" s="711"/>
      <c r="T312" s="711"/>
      <c r="U312" s="711"/>
      <c r="V312" s="711"/>
      <c r="W312" s="711"/>
      <c r="X312" s="711"/>
      <c r="Y312" s="711"/>
      <c r="Z312" s="711"/>
      <c r="AA312" s="711"/>
      <c r="AB312" s="710"/>
      <c r="AC312" s="711"/>
      <c r="AD312" s="710"/>
      <c r="AE312" s="711"/>
      <c r="AF312" s="710"/>
    </row>
    <row r="313" spans="4:32" s="705" customFormat="1" ht="15">
      <c r="D313" s="718"/>
      <c r="E313" s="1709"/>
      <c r="F313" s="1706"/>
      <c r="G313" s="1706"/>
      <c r="H313" s="710"/>
      <c r="I313" s="710"/>
      <c r="J313" s="710"/>
      <c r="K313" s="710"/>
      <c r="L313" s="710"/>
      <c r="M313" s="710"/>
      <c r="N313" s="710"/>
      <c r="O313" s="710"/>
      <c r="P313" s="710"/>
      <c r="Q313" s="710"/>
      <c r="R313" s="711"/>
      <c r="S313" s="711"/>
      <c r="T313" s="711"/>
      <c r="U313" s="711"/>
      <c r="V313" s="711"/>
      <c r="W313" s="711"/>
      <c r="X313" s="711"/>
      <c r="Y313" s="711"/>
      <c r="Z313" s="711"/>
      <c r="AA313" s="711"/>
      <c r="AB313" s="710"/>
      <c r="AC313" s="711"/>
      <c r="AD313" s="710"/>
      <c r="AE313" s="711"/>
      <c r="AF313" s="710"/>
    </row>
    <row r="314" spans="4:32" s="705" customFormat="1" ht="15">
      <c r="D314" s="718"/>
      <c r="E314" s="1709"/>
      <c r="F314" s="1705"/>
      <c r="G314" s="1705"/>
      <c r="H314" s="710"/>
      <c r="I314" s="710"/>
      <c r="J314" s="710"/>
      <c r="K314" s="710"/>
      <c r="L314" s="710"/>
      <c r="M314" s="710"/>
      <c r="N314" s="710"/>
      <c r="O314" s="710"/>
      <c r="P314" s="710"/>
      <c r="Q314" s="710"/>
      <c r="R314" s="711"/>
      <c r="S314" s="711"/>
      <c r="T314" s="711"/>
      <c r="U314" s="711"/>
      <c r="V314" s="711"/>
      <c r="W314" s="711"/>
      <c r="X314" s="711"/>
      <c r="Y314" s="711"/>
      <c r="Z314" s="711"/>
      <c r="AA314" s="711"/>
      <c r="AB314" s="710"/>
      <c r="AC314" s="711"/>
      <c r="AD314" s="710"/>
      <c r="AE314" s="711"/>
      <c r="AF314" s="710"/>
    </row>
    <row r="315" spans="4:32" s="705" customFormat="1" ht="15">
      <c r="D315" s="718"/>
      <c r="E315" s="1709"/>
      <c r="F315" s="1706"/>
      <c r="G315" s="1706"/>
      <c r="H315" s="710"/>
      <c r="I315" s="710"/>
      <c r="J315" s="710"/>
      <c r="K315" s="710"/>
      <c r="L315" s="710"/>
      <c r="M315" s="710"/>
      <c r="N315" s="710"/>
      <c r="O315" s="710"/>
      <c r="P315" s="710"/>
      <c r="Q315" s="710"/>
      <c r="R315" s="711"/>
      <c r="S315" s="711"/>
      <c r="T315" s="711"/>
      <c r="U315" s="711"/>
      <c r="V315" s="711"/>
      <c r="W315" s="711"/>
      <c r="X315" s="711"/>
      <c r="Y315" s="711"/>
      <c r="Z315" s="711"/>
      <c r="AA315" s="711"/>
      <c r="AB315" s="710"/>
      <c r="AC315" s="711"/>
      <c r="AD315" s="710"/>
      <c r="AE315" s="711"/>
      <c r="AF315" s="710"/>
    </row>
    <row r="316" spans="4:32" s="705" customFormat="1" ht="15">
      <c r="D316" s="718"/>
      <c r="E316" s="712"/>
      <c r="F316" s="1705"/>
      <c r="G316" s="1705"/>
      <c r="H316" s="710"/>
      <c r="I316" s="710"/>
      <c r="J316" s="710"/>
      <c r="K316" s="710"/>
      <c r="L316" s="710"/>
      <c r="M316" s="710"/>
      <c r="N316" s="710"/>
      <c r="O316" s="710"/>
      <c r="P316" s="710"/>
      <c r="Q316" s="710"/>
      <c r="R316" s="711"/>
      <c r="S316" s="711"/>
      <c r="T316" s="711"/>
      <c r="U316" s="711"/>
      <c r="V316" s="711"/>
      <c r="W316" s="711"/>
      <c r="X316" s="711"/>
      <c r="Y316" s="711"/>
      <c r="Z316" s="711"/>
      <c r="AA316" s="711"/>
      <c r="AB316" s="710"/>
      <c r="AC316" s="711"/>
      <c r="AD316" s="710"/>
      <c r="AE316" s="711"/>
      <c r="AF316" s="710"/>
    </row>
    <row r="317" spans="4:32" s="705" customFormat="1" ht="15">
      <c r="D317" s="718"/>
      <c r="E317" s="1709"/>
      <c r="F317" s="1705"/>
      <c r="G317" s="1705"/>
      <c r="H317" s="710"/>
      <c r="I317" s="710"/>
      <c r="J317" s="710"/>
      <c r="K317" s="710"/>
      <c r="L317" s="710"/>
      <c r="M317" s="710"/>
      <c r="N317" s="710"/>
      <c r="O317" s="710"/>
      <c r="P317" s="710"/>
      <c r="Q317" s="710"/>
      <c r="R317" s="711"/>
      <c r="S317" s="711"/>
      <c r="T317" s="711"/>
      <c r="U317" s="711"/>
      <c r="V317" s="711"/>
      <c r="W317" s="711"/>
      <c r="X317" s="711"/>
      <c r="Y317" s="711"/>
      <c r="Z317" s="711"/>
      <c r="AA317" s="711"/>
      <c r="AB317" s="710"/>
      <c r="AC317" s="711"/>
      <c r="AD317" s="710"/>
      <c r="AE317" s="711"/>
      <c r="AF317" s="710"/>
    </row>
    <row r="318" spans="4:32" s="705" customFormat="1" ht="15">
      <c r="D318" s="718"/>
      <c r="E318" s="1709"/>
      <c r="F318" s="1705"/>
      <c r="G318" s="1705"/>
      <c r="H318" s="710"/>
      <c r="I318" s="710"/>
      <c r="J318" s="710"/>
      <c r="K318" s="710"/>
      <c r="L318" s="710"/>
      <c r="M318" s="710"/>
      <c r="N318" s="710"/>
      <c r="O318" s="710"/>
      <c r="P318" s="710"/>
      <c r="Q318" s="710"/>
      <c r="R318" s="711"/>
      <c r="S318" s="711"/>
      <c r="T318" s="711"/>
      <c r="U318" s="711"/>
      <c r="V318" s="711"/>
      <c r="W318" s="711"/>
      <c r="X318" s="711"/>
      <c r="Y318" s="711"/>
      <c r="Z318" s="711"/>
      <c r="AA318" s="711"/>
      <c r="AB318" s="710"/>
      <c r="AC318" s="711"/>
      <c r="AD318" s="710"/>
      <c r="AE318" s="711"/>
      <c r="AF318" s="710"/>
    </row>
    <row r="319" spans="4:32" s="705" customFormat="1" ht="15">
      <c r="D319" s="718"/>
      <c r="E319" s="1709"/>
      <c r="F319" s="1705"/>
      <c r="G319" s="1705"/>
      <c r="H319" s="710"/>
      <c r="I319" s="710"/>
      <c r="J319" s="710"/>
      <c r="K319" s="710"/>
      <c r="L319" s="710"/>
      <c r="M319" s="710"/>
      <c r="N319" s="710"/>
      <c r="O319" s="710"/>
      <c r="P319" s="710"/>
      <c r="Q319" s="710"/>
      <c r="R319" s="711"/>
      <c r="S319" s="711"/>
      <c r="T319" s="711"/>
      <c r="U319" s="711"/>
      <c r="V319" s="711"/>
      <c r="W319" s="711"/>
      <c r="X319" s="711"/>
      <c r="Y319" s="711"/>
      <c r="Z319" s="711"/>
      <c r="AA319" s="711"/>
      <c r="AB319" s="710"/>
      <c r="AC319" s="711"/>
      <c r="AD319" s="710"/>
      <c r="AE319" s="711"/>
      <c r="AF319" s="710"/>
    </row>
    <row r="320" spans="4:32" s="705" customFormat="1" ht="15">
      <c r="D320" s="718"/>
      <c r="E320" s="1709"/>
      <c r="F320" s="1705"/>
      <c r="G320" s="1705"/>
      <c r="H320" s="710"/>
      <c r="I320" s="710"/>
      <c r="J320" s="710"/>
      <c r="K320" s="710"/>
      <c r="L320" s="710"/>
      <c r="M320" s="710"/>
      <c r="N320" s="710"/>
      <c r="O320" s="710"/>
      <c r="P320" s="710"/>
      <c r="Q320" s="710"/>
      <c r="R320" s="711"/>
      <c r="S320" s="711"/>
      <c r="T320" s="711"/>
      <c r="U320" s="711"/>
      <c r="V320" s="711"/>
      <c r="W320" s="711"/>
      <c r="X320" s="711"/>
      <c r="Y320" s="711"/>
      <c r="Z320" s="711"/>
      <c r="AA320" s="711"/>
      <c r="AB320" s="710"/>
      <c r="AC320" s="711"/>
      <c r="AD320" s="710"/>
      <c r="AE320" s="711"/>
      <c r="AF320" s="710"/>
    </row>
    <row r="321" spans="4:32" s="705" customFormat="1" ht="15">
      <c r="D321" s="718"/>
      <c r="E321" s="1709"/>
      <c r="F321" s="1705"/>
      <c r="G321" s="1705"/>
      <c r="H321" s="710"/>
      <c r="I321" s="710"/>
      <c r="J321" s="710"/>
      <c r="K321" s="710"/>
      <c r="L321" s="710"/>
      <c r="M321" s="710"/>
      <c r="N321" s="710"/>
      <c r="O321" s="710"/>
      <c r="P321" s="710"/>
      <c r="Q321" s="710"/>
      <c r="R321" s="711"/>
      <c r="S321" s="711"/>
      <c r="T321" s="711"/>
      <c r="U321" s="711"/>
      <c r="V321" s="711"/>
      <c r="W321" s="711"/>
      <c r="X321" s="711"/>
      <c r="Y321" s="711"/>
      <c r="Z321" s="711"/>
      <c r="AA321" s="711"/>
      <c r="AB321" s="710"/>
      <c r="AC321" s="711"/>
      <c r="AD321" s="710"/>
      <c r="AE321" s="711"/>
      <c r="AF321" s="710"/>
    </row>
    <row r="322" spans="4:32" s="705" customFormat="1" ht="15">
      <c r="D322" s="718"/>
      <c r="E322" s="1709"/>
      <c r="F322" s="1705"/>
      <c r="G322" s="1705"/>
      <c r="H322" s="710"/>
      <c r="I322" s="710"/>
      <c r="J322" s="710"/>
      <c r="K322" s="710"/>
      <c r="L322" s="710"/>
      <c r="M322" s="710"/>
      <c r="N322" s="710"/>
      <c r="O322" s="710"/>
      <c r="P322" s="710"/>
      <c r="Q322" s="710"/>
      <c r="R322" s="711"/>
      <c r="S322" s="711"/>
      <c r="T322" s="711"/>
      <c r="U322" s="711"/>
      <c r="V322" s="711"/>
      <c r="W322" s="711"/>
      <c r="X322" s="711"/>
      <c r="Y322" s="711"/>
      <c r="Z322" s="711"/>
      <c r="AA322" s="711"/>
      <c r="AB322" s="710"/>
      <c r="AC322" s="711"/>
      <c r="AD322" s="710"/>
      <c r="AE322" s="711"/>
      <c r="AF322" s="710"/>
    </row>
    <row r="323" spans="4:32" s="705" customFormat="1" ht="15">
      <c r="D323" s="718"/>
      <c r="E323" s="1709"/>
      <c r="F323" s="1705"/>
      <c r="G323" s="1705"/>
      <c r="H323" s="710"/>
      <c r="I323" s="710"/>
      <c r="J323" s="710"/>
      <c r="K323" s="710"/>
      <c r="L323" s="710"/>
      <c r="M323" s="710"/>
      <c r="N323" s="710"/>
      <c r="O323" s="710"/>
      <c r="P323" s="710"/>
      <c r="Q323" s="710"/>
      <c r="R323" s="711"/>
      <c r="S323" s="711"/>
      <c r="T323" s="711"/>
      <c r="U323" s="711"/>
      <c r="V323" s="711"/>
      <c r="W323" s="711"/>
      <c r="X323" s="711"/>
      <c r="Y323" s="711"/>
      <c r="Z323" s="711"/>
      <c r="AA323" s="711"/>
      <c r="AB323" s="710"/>
      <c r="AC323" s="711"/>
      <c r="AD323" s="710"/>
      <c r="AE323" s="711"/>
      <c r="AF323" s="710"/>
    </row>
    <row r="324" spans="4:32" s="705" customFormat="1" ht="15">
      <c r="D324" s="718"/>
      <c r="E324" s="714"/>
      <c r="F324" s="1705"/>
      <c r="G324" s="1705"/>
      <c r="H324" s="710"/>
      <c r="I324" s="710"/>
      <c r="J324" s="710"/>
      <c r="K324" s="710"/>
      <c r="L324" s="710"/>
      <c r="M324" s="710"/>
      <c r="N324" s="710"/>
      <c r="O324" s="710"/>
      <c r="P324" s="710"/>
      <c r="Q324" s="710"/>
      <c r="R324" s="711"/>
      <c r="S324" s="711"/>
      <c r="T324" s="711"/>
      <c r="U324" s="711"/>
      <c r="V324" s="711"/>
      <c r="W324" s="711"/>
      <c r="X324" s="711"/>
      <c r="Y324" s="711"/>
      <c r="Z324" s="711"/>
      <c r="AA324" s="711"/>
      <c r="AB324" s="710"/>
      <c r="AC324" s="711"/>
      <c r="AD324" s="710"/>
      <c r="AE324" s="711"/>
      <c r="AF324" s="710"/>
    </row>
    <row r="325" spans="4:32" s="705" customFormat="1" ht="15">
      <c r="D325" s="718"/>
      <c r="E325" s="714"/>
      <c r="F325" s="1705"/>
      <c r="G325" s="1705"/>
      <c r="H325" s="710"/>
      <c r="I325" s="710"/>
      <c r="J325" s="710"/>
      <c r="K325" s="710"/>
      <c r="L325" s="710"/>
      <c r="M325" s="710"/>
      <c r="N325" s="710"/>
      <c r="O325" s="710"/>
      <c r="P325" s="710"/>
      <c r="Q325" s="710"/>
      <c r="R325" s="711"/>
      <c r="S325" s="711"/>
      <c r="T325" s="711"/>
      <c r="U325" s="711"/>
      <c r="V325" s="711"/>
      <c r="W325" s="711"/>
      <c r="X325" s="711"/>
      <c r="Y325" s="711"/>
      <c r="Z325" s="711"/>
      <c r="AA325" s="711"/>
      <c r="AB325" s="710"/>
      <c r="AC325" s="711"/>
      <c r="AD325" s="710"/>
      <c r="AE325" s="711"/>
      <c r="AF325" s="710"/>
    </row>
    <row r="326" spans="4:32" s="705" customFormat="1" ht="15">
      <c r="D326" s="718"/>
      <c r="E326" s="714"/>
      <c r="F326" s="1705"/>
      <c r="G326" s="1705"/>
      <c r="H326" s="710"/>
      <c r="I326" s="710"/>
      <c r="J326" s="710"/>
      <c r="K326" s="710"/>
      <c r="L326" s="710"/>
      <c r="M326" s="710"/>
      <c r="N326" s="710"/>
      <c r="O326" s="710"/>
      <c r="P326" s="710"/>
      <c r="Q326" s="710"/>
      <c r="R326" s="711"/>
      <c r="S326" s="711"/>
      <c r="T326" s="711"/>
      <c r="U326" s="711"/>
      <c r="V326" s="711"/>
      <c r="W326" s="711"/>
      <c r="X326" s="711"/>
      <c r="Y326" s="711"/>
      <c r="Z326" s="711"/>
      <c r="AA326" s="711"/>
      <c r="AB326" s="710"/>
      <c r="AC326" s="711"/>
      <c r="AD326" s="710"/>
      <c r="AE326" s="711"/>
      <c r="AF326" s="710"/>
    </row>
    <row r="327" spans="4:32" s="705" customFormat="1" ht="15">
      <c r="D327" s="718"/>
      <c r="E327" s="714"/>
      <c r="F327" s="1705"/>
      <c r="G327" s="1705"/>
      <c r="H327" s="710"/>
      <c r="I327" s="710"/>
      <c r="J327" s="710"/>
      <c r="K327" s="710"/>
      <c r="L327" s="710"/>
      <c r="M327" s="710"/>
      <c r="N327" s="710"/>
      <c r="O327" s="710"/>
      <c r="P327" s="710"/>
      <c r="Q327" s="710"/>
      <c r="R327" s="711"/>
      <c r="S327" s="711"/>
      <c r="T327" s="711"/>
      <c r="U327" s="711"/>
      <c r="V327" s="711"/>
      <c r="W327" s="711"/>
      <c r="X327" s="711"/>
      <c r="Y327" s="711"/>
      <c r="Z327" s="711"/>
      <c r="AA327" s="711"/>
      <c r="AB327" s="710"/>
      <c r="AC327" s="711"/>
      <c r="AD327" s="710"/>
      <c r="AE327" s="711"/>
      <c r="AF327" s="710"/>
    </row>
    <row r="328" spans="4:32" s="705" customFormat="1" ht="15">
      <c r="D328" s="718"/>
      <c r="E328" s="714"/>
      <c r="F328" s="1705"/>
      <c r="G328" s="1705"/>
      <c r="H328" s="710"/>
      <c r="I328" s="710"/>
      <c r="J328" s="710"/>
      <c r="K328" s="710"/>
      <c r="L328" s="710"/>
      <c r="M328" s="710"/>
      <c r="N328" s="710"/>
      <c r="O328" s="710"/>
      <c r="P328" s="710"/>
      <c r="Q328" s="710"/>
      <c r="R328" s="711"/>
      <c r="S328" s="711"/>
      <c r="T328" s="711"/>
      <c r="U328" s="711"/>
      <c r="V328" s="711"/>
      <c r="W328" s="711"/>
      <c r="X328" s="711"/>
      <c r="Y328" s="711"/>
      <c r="Z328" s="711"/>
      <c r="AA328" s="711"/>
      <c r="AB328" s="710"/>
      <c r="AC328" s="711"/>
      <c r="AD328" s="710"/>
      <c r="AE328" s="711"/>
      <c r="AF328" s="710"/>
    </row>
    <row r="329" spans="4:32" s="705" customFormat="1" ht="15">
      <c r="D329" s="718"/>
      <c r="E329" s="715"/>
      <c r="F329" s="1705"/>
      <c r="G329" s="1705"/>
      <c r="H329" s="710"/>
      <c r="I329" s="710"/>
      <c r="J329" s="710"/>
      <c r="K329" s="710"/>
      <c r="L329" s="710"/>
      <c r="M329" s="710"/>
      <c r="N329" s="710"/>
      <c r="O329" s="710"/>
      <c r="P329" s="710"/>
      <c r="Q329" s="710"/>
      <c r="R329" s="711"/>
      <c r="S329" s="711"/>
      <c r="T329" s="711"/>
      <c r="U329" s="711"/>
      <c r="V329" s="711"/>
      <c r="W329" s="711"/>
      <c r="X329" s="711"/>
      <c r="Y329" s="711"/>
      <c r="Z329" s="711"/>
      <c r="AA329" s="711"/>
      <c r="AB329" s="710"/>
      <c r="AC329" s="711"/>
      <c r="AD329" s="710"/>
      <c r="AE329" s="711"/>
      <c r="AF329" s="710"/>
    </row>
    <row r="330" spans="4:32" s="705" customFormat="1" ht="15">
      <c r="D330" s="718"/>
      <c r="E330" s="715"/>
      <c r="F330" s="1705"/>
      <c r="G330" s="1705"/>
      <c r="H330" s="710"/>
      <c r="I330" s="710"/>
      <c r="J330" s="710"/>
      <c r="K330" s="710"/>
      <c r="L330" s="710"/>
      <c r="M330" s="710"/>
      <c r="N330" s="710"/>
      <c r="O330" s="710"/>
      <c r="P330" s="710"/>
      <c r="Q330" s="710"/>
      <c r="R330" s="711"/>
      <c r="S330" s="711"/>
      <c r="T330" s="711"/>
      <c r="U330" s="711"/>
      <c r="V330" s="711"/>
      <c r="W330" s="711"/>
      <c r="X330" s="711"/>
      <c r="Y330" s="711"/>
      <c r="Z330" s="711"/>
      <c r="AA330" s="711"/>
      <c r="AB330" s="710"/>
      <c r="AC330" s="711"/>
      <c r="AD330" s="710"/>
      <c r="AE330" s="711"/>
      <c r="AF330" s="710"/>
    </row>
    <row r="331" spans="4:32" s="705" customFormat="1" ht="15">
      <c r="D331" s="718"/>
      <c r="E331" s="715"/>
      <c r="F331" s="1705"/>
      <c r="G331" s="1705"/>
      <c r="H331" s="710"/>
      <c r="I331" s="710"/>
      <c r="J331" s="710"/>
      <c r="K331" s="710"/>
      <c r="L331" s="710"/>
      <c r="M331" s="710"/>
      <c r="N331" s="710"/>
      <c r="O331" s="710"/>
      <c r="P331" s="710"/>
      <c r="Q331" s="710"/>
      <c r="R331" s="711"/>
      <c r="S331" s="711"/>
      <c r="T331" s="711"/>
      <c r="U331" s="711"/>
      <c r="V331" s="711"/>
      <c r="W331" s="711"/>
      <c r="X331" s="711"/>
      <c r="Y331" s="711"/>
      <c r="Z331" s="711"/>
      <c r="AA331" s="711"/>
      <c r="AB331" s="710"/>
      <c r="AC331" s="711"/>
      <c r="AD331" s="710"/>
      <c r="AE331" s="711"/>
      <c r="AF331" s="710"/>
    </row>
    <row r="332" spans="4:32" s="705" customFormat="1" ht="15">
      <c r="D332" s="718"/>
      <c r="E332" s="715"/>
      <c r="F332" s="1705"/>
      <c r="G332" s="1705"/>
      <c r="H332" s="710"/>
      <c r="I332" s="710"/>
      <c r="J332" s="710"/>
      <c r="K332" s="710"/>
      <c r="L332" s="710"/>
      <c r="M332" s="710"/>
      <c r="N332" s="710"/>
      <c r="O332" s="710"/>
      <c r="P332" s="710"/>
      <c r="Q332" s="710"/>
      <c r="R332" s="711"/>
      <c r="S332" s="711"/>
      <c r="T332" s="711"/>
      <c r="U332" s="711"/>
      <c r="V332" s="711"/>
      <c r="W332" s="711"/>
      <c r="X332" s="711"/>
      <c r="Y332" s="711"/>
      <c r="Z332" s="711"/>
      <c r="AA332" s="711"/>
      <c r="AB332" s="710"/>
      <c r="AC332" s="711"/>
      <c r="AD332" s="710"/>
      <c r="AE332" s="711"/>
      <c r="AF332" s="710"/>
    </row>
    <row r="333" spans="4:32" s="705" customFormat="1" ht="15">
      <c r="D333" s="718"/>
      <c r="E333" s="715"/>
      <c r="F333" s="1705"/>
      <c r="G333" s="1705"/>
      <c r="H333" s="710"/>
      <c r="I333" s="710"/>
      <c r="J333" s="710"/>
      <c r="K333" s="710"/>
      <c r="L333" s="710"/>
      <c r="M333" s="710"/>
      <c r="N333" s="710"/>
      <c r="O333" s="710"/>
      <c r="P333" s="710"/>
      <c r="Q333" s="710"/>
      <c r="R333" s="711"/>
      <c r="S333" s="711"/>
      <c r="T333" s="711"/>
      <c r="U333" s="711"/>
      <c r="V333" s="711"/>
      <c r="W333" s="711"/>
      <c r="X333" s="711"/>
      <c r="Y333" s="711"/>
      <c r="Z333" s="711"/>
      <c r="AA333" s="711"/>
      <c r="AB333" s="710"/>
      <c r="AC333" s="711"/>
      <c r="AD333" s="710"/>
      <c r="AE333" s="711"/>
      <c r="AF333" s="710"/>
    </row>
    <row r="334" spans="4:32" s="705" customFormat="1" ht="15">
      <c r="D334" s="718"/>
      <c r="E334" s="715"/>
      <c r="F334" s="1705"/>
      <c r="G334" s="1705"/>
      <c r="H334" s="710"/>
      <c r="I334" s="710"/>
      <c r="J334" s="710"/>
      <c r="K334" s="710"/>
      <c r="L334" s="710"/>
      <c r="M334" s="710"/>
      <c r="N334" s="710"/>
      <c r="O334" s="710"/>
      <c r="P334" s="710"/>
      <c r="Q334" s="710"/>
      <c r="R334" s="711"/>
      <c r="S334" s="711"/>
      <c r="T334" s="711"/>
      <c r="U334" s="711"/>
      <c r="V334" s="711"/>
      <c r="W334" s="711"/>
      <c r="X334" s="711"/>
      <c r="Y334" s="711"/>
      <c r="Z334" s="711"/>
      <c r="AA334" s="711"/>
      <c r="AB334" s="710"/>
      <c r="AC334" s="711"/>
      <c r="AD334" s="710"/>
      <c r="AE334" s="711"/>
      <c r="AF334" s="710"/>
    </row>
    <row r="335" spans="4:32" s="705" customFormat="1" ht="15">
      <c r="D335" s="718"/>
      <c r="E335" s="715"/>
      <c r="F335" s="1705"/>
      <c r="G335" s="1705"/>
      <c r="H335" s="710"/>
      <c r="I335" s="710"/>
      <c r="J335" s="710"/>
      <c r="K335" s="710"/>
      <c r="L335" s="710"/>
      <c r="M335" s="710"/>
      <c r="N335" s="710"/>
      <c r="O335" s="710"/>
      <c r="P335" s="710"/>
      <c r="Q335" s="710"/>
      <c r="R335" s="711"/>
      <c r="S335" s="711"/>
      <c r="T335" s="711"/>
      <c r="U335" s="711"/>
      <c r="V335" s="711"/>
      <c r="W335" s="711"/>
      <c r="X335" s="711"/>
      <c r="Y335" s="711"/>
      <c r="Z335" s="711"/>
      <c r="AA335" s="711"/>
      <c r="AB335" s="710"/>
      <c r="AC335" s="711"/>
      <c r="AD335" s="710"/>
      <c r="AE335" s="711"/>
      <c r="AF335" s="710"/>
    </row>
    <row r="336" spans="4:32" s="705" customFormat="1" ht="15">
      <c r="D336" s="718"/>
      <c r="E336" s="715"/>
      <c r="F336" s="1705"/>
      <c r="G336" s="1705"/>
      <c r="H336" s="710"/>
      <c r="I336" s="710"/>
      <c r="J336" s="710"/>
      <c r="K336" s="710"/>
      <c r="L336" s="710"/>
      <c r="M336" s="710"/>
      <c r="N336" s="710"/>
      <c r="O336" s="710"/>
      <c r="P336" s="710"/>
      <c r="Q336" s="710"/>
      <c r="R336" s="711"/>
      <c r="S336" s="711"/>
      <c r="T336" s="711"/>
      <c r="U336" s="711"/>
      <c r="V336" s="711"/>
      <c r="W336" s="711"/>
      <c r="X336" s="711"/>
      <c r="Y336" s="711"/>
      <c r="Z336" s="711"/>
      <c r="AA336" s="711"/>
      <c r="AB336" s="710"/>
      <c r="AC336" s="711"/>
      <c r="AD336" s="710"/>
      <c r="AE336" s="711"/>
      <c r="AF336" s="710"/>
    </row>
    <row r="337" spans="4:32" s="705" customFormat="1" ht="15">
      <c r="D337" s="718"/>
      <c r="E337" s="715"/>
      <c r="F337" s="1705"/>
      <c r="G337" s="1705"/>
      <c r="H337" s="710"/>
      <c r="I337" s="710"/>
      <c r="J337" s="710"/>
      <c r="K337" s="710"/>
      <c r="L337" s="710"/>
      <c r="M337" s="710"/>
      <c r="N337" s="710"/>
      <c r="O337" s="710"/>
      <c r="P337" s="710"/>
      <c r="Q337" s="710"/>
      <c r="R337" s="711"/>
      <c r="S337" s="711"/>
      <c r="T337" s="711"/>
      <c r="U337" s="711"/>
      <c r="V337" s="711"/>
      <c r="W337" s="711"/>
      <c r="X337" s="711"/>
      <c r="Y337" s="711"/>
      <c r="Z337" s="711"/>
      <c r="AA337" s="711"/>
      <c r="AB337" s="710"/>
      <c r="AC337" s="711"/>
      <c r="AD337" s="710"/>
      <c r="AE337" s="711"/>
      <c r="AF337" s="710"/>
    </row>
    <row r="338" spans="4:32" s="705" customFormat="1" ht="15">
      <c r="D338" s="718"/>
      <c r="E338" s="716"/>
      <c r="F338" s="1705"/>
      <c r="G338" s="1705"/>
      <c r="H338" s="710"/>
      <c r="I338" s="710"/>
      <c r="J338" s="710"/>
      <c r="K338" s="710"/>
      <c r="L338" s="710"/>
      <c r="M338" s="710"/>
      <c r="N338" s="710"/>
      <c r="O338" s="710"/>
      <c r="P338" s="710"/>
      <c r="Q338" s="710"/>
      <c r="R338" s="711"/>
      <c r="S338" s="711"/>
      <c r="T338" s="711"/>
      <c r="U338" s="711"/>
      <c r="V338" s="711"/>
      <c r="W338" s="711"/>
      <c r="X338" s="711"/>
      <c r="Y338" s="711"/>
      <c r="Z338" s="711"/>
      <c r="AA338" s="711"/>
      <c r="AB338" s="710"/>
      <c r="AC338" s="711"/>
      <c r="AD338" s="710"/>
      <c r="AE338" s="711"/>
      <c r="AF338" s="710"/>
    </row>
    <row r="339" spans="4:32" s="705" customFormat="1" ht="15">
      <c r="D339" s="718"/>
      <c r="E339" s="716"/>
      <c r="F339" s="1705"/>
      <c r="G339" s="1705"/>
      <c r="H339" s="710"/>
      <c r="I339" s="710"/>
      <c r="J339" s="710"/>
      <c r="K339" s="710"/>
      <c r="L339" s="710"/>
      <c r="M339" s="710"/>
      <c r="N339" s="710"/>
      <c r="O339" s="710"/>
      <c r="P339" s="710"/>
      <c r="Q339" s="710"/>
      <c r="R339" s="711"/>
      <c r="S339" s="711"/>
      <c r="T339" s="711"/>
      <c r="U339" s="711"/>
      <c r="V339" s="711"/>
      <c r="W339" s="711"/>
      <c r="X339" s="711"/>
      <c r="Y339" s="711"/>
      <c r="Z339" s="711"/>
      <c r="AA339" s="711"/>
      <c r="AB339" s="710"/>
      <c r="AC339" s="711"/>
      <c r="AD339" s="710"/>
      <c r="AE339" s="711"/>
      <c r="AF339" s="710"/>
    </row>
    <row r="340" spans="4:32" s="705" customFormat="1" ht="15">
      <c r="D340" s="718"/>
      <c r="E340" s="716"/>
      <c r="F340" s="1705"/>
      <c r="G340" s="1705"/>
      <c r="H340" s="710"/>
      <c r="I340" s="710"/>
      <c r="J340" s="710"/>
      <c r="K340" s="710"/>
      <c r="L340" s="710"/>
      <c r="M340" s="710"/>
      <c r="N340" s="710"/>
      <c r="O340" s="710"/>
      <c r="P340" s="710"/>
      <c r="Q340" s="710"/>
      <c r="R340" s="711"/>
      <c r="S340" s="711"/>
      <c r="T340" s="711"/>
      <c r="U340" s="711"/>
      <c r="V340" s="711"/>
      <c r="W340" s="711"/>
      <c r="X340" s="711"/>
      <c r="Y340" s="711"/>
      <c r="Z340" s="711"/>
      <c r="AA340" s="711"/>
      <c r="AB340" s="710"/>
      <c r="AC340" s="711"/>
      <c r="AD340" s="710"/>
      <c r="AE340" s="711"/>
      <c r="AF340" s="710"/>
    </row>
    <row r="341" spans="4:32" s="705" customFormat="1" ht="15">
      <c r="D341" s="718"/>
      <c r="E341" s="716"/>
      <c r="F341" s="1705"/>
      <c r="G341" s="1705"/>
      <c r="H341" s="710"/>
      <c r="I341" s="710"/>
      <c r="J341" s="710"/>
      <c r="K341" s="710"/>
      <c r="L341" s="710"/>
      <c r="M341" s="710"/>
      <c r="N341" s="710"/>
      <c r="O341" s="710"/>
      <c r="P341" s="710"/>
      <c r="Q341" s="710"/>
      <c r="R341" s="711"/>
      <c r="S341" s="711"/>
      <c r="T341" s="711"/>
      <c r="U341" s="711"/>
      <c r="V341" s="711"/>
      <c r="W341" s="711"/>
      <c r="X341" s="711"/>
      <c r="Y341" s="711"/>
      <c r="Z341" s="711"/>
      <c r="AA341" s="711"/>
      <c r="AB341" s="710"/>
      <c r="AC341" s="711"/>
      <c r="AD341" s="710"/>
      <c r="AE341" s="711"/>
      <c r="AF341" s="710"/>
    </row>
    <row r="342" spans="4:32" s="705" customFormat="1" ht="15">
      <c r="D342" s="718"/>
      <c r="E342" s="716"/>
      <c r="F342" s="1705"/>
      <c r="G342" s="1705"/>
      <c r="H342" s="710"/>
      <c r="I342" s="710"/>
      <c r="J342" s="710"/>
      <c r="K342" s="710"/>
      <c r="L342" s="710"/>
      <c r="M342" s="710"/>
      <c r="N342" s="710"/>
      <c r="O342" s="710"/>
      <c r="P342" s="710"/>
      <c r="Q342" s="710"/>
      <c r="R342" s="711"/>
      <c r="S342" s="711"/>
      <c r="T342" s="711"/>
      <c r="U342" s="711"/>
      <c r="V342" s="711"/>
      <c r="W342" s="711"/>
      <c r="X342" s="711"/>
      <c r="Y342" s="711"/>
      <c r="Z342" s="711"/>
      <c r="AA342" s="711"/>
      <c r="AB342" s="710"/>
      <c r="AC342" s="711"/>
      <c r="AD342" s="710"/>
      <c r="AE342" s="711"/>
      <c r="AF342" s="710"/>
    </row>
    <row r="343" spans="4:32" s="705" customFormat="1" ht="15">
      <c r="D343" s="718"/>
      <c r="E343" s="716"/>
      <c r="F343" s="1705"/>
      <c r="G343" s="1705"/>
      <c r="H343" s="710"/>
      <c r="I343" s="710"/>
      <c r="J343" s="710"/>
      <c r="K343" s="710"/>
      <c r="L343" s="710"/>
      <c r="M343" s="710"/>
      <c r="N343" s="710"/>
      <c r="O343" s="710"/>
      <c r="P343" s="710"/>
      <c r="Q343" s="710"/>
      <c r="R343" s="711"/>
      <c r="S343" s="711"/>
      <c r="T343" s="711"/>
      <c r="U343" s="711"/>
      <c r="V343" s="711"/>
      <c r="W343" s="711"/>
      <c r="X343" s="711"/>
      <c r="Y343" s="711"/>
      <c r="Z343" s="711"/>
      <c r="AA343" s="711"/>
      <c r="AB343" s="710"/>
      <c r="AC343" s="711"/>
      <c r="AD343" s="710"/>
      <c r="AE343" s="711"/>
      <c r="AF343" s="710"/>
    </row>
    <row r="344" spans="4:32" s="705" customFormat="1" ht="15">
      <c r="D344" s="718"/>
      <c r="E344" s="1709"/>
      <c r="F344" s="1705"/>
      <c r="G344" s="1705"/>
      <c r="H344" s="710"/>
      <c r="I344" s="710"/>
      <c r="J344" s="710"/>
      <c r="K344" s="710"/>
      <c r="L344" s="710"/>
      <c r="M344" s="710"/>
      <c r="N344" s="710"/>
      <c r="O344" s="710"/>
      <c r="P344" s="710"/>
      <c r="Q344" s="710"/>
      <c r="R344" s="711"/>
      <c r="S344" s="711"/>
      <c r="T344" s="711"/>
      <c r="U344" s="711"/>
      <c r="V344" s="711"/>
      <c r="W344" s="711"/>
      <c r="X344" s="711"/>
      <c r="Y344" s="711"/>
      <c r="Z344" s="711"/>
      <c r="AA344" s="711"/>
      <c r="AB344" s="710"/>
      <c r="AC344" s="711"/>
      <c r="AD344" s="710"/>
      <c r="AE344" s="711"/>
      <c r="AF344" s="710"/>
    </row>
    <row r="345" spans="4:32" s="705" customFormat="1" ht="15">
      <c r="D345" s="718"/>
      <c r="E345" s="1709"/>
      <c r="F345" s="1705"/>
      <c r="G345" s="1705"/>
      <c r="H345" s="710"/>
      <c r="I345" s="710"/>
      <c r="J345" s="710"/>
      <c r="K345" s="710"/>
      <c r="L345" s="710"/>
      <c r="M345" s="710"/>
      <c r="N345" s="710"/>
      <c r="O345" s="710"/>
      <c r="P345" s="710"/>
      <c r="Q345" s="710"/>
      <c r="R345" s="711"/>
      <c r="S345" s="711"/>
      <c r="T345" s="711"/>
      <c r="U345" s="711"/>
      <c r="V345" s="711"/>
      <c r="W345" s="711"/>
      <c r="X345" s="711"/>
      <c r="Y345" s="711"/>
      <c r="Z345" s="711"/>
      <c r="AA345" s="711"/>
      <c r="AB345" s="710"/>
      <c r="AC345" s="711"/>
      <c r="AD345" s="710"/>
      <c r="AE345" s="711"/>
      <c r="AF345" s="710"/>
    </row>
    <row r="346" spans="4:32" s="705" customFormat="1" ht="15">
      <c r="D346" s="718"/>
      <c r="E346" s="1709"/>
      <c r="F346" s="1705"/>
      <c r="G346" s="1705"/>
      <c r="H346" s="710"/>
      <c r="I346" s="710"/>
      <c r="J346" s="710"/>
      <c r="K346" s="710"/>
      <c r="L346" s="710"/>
      <c r="M346" s="710"/>
      <c r="N346" s="710"/>
      <c r="O346" s="710"/>
      <c r="P346" s="710"/>
      <c r="Q346" s="710"/>
      <c r="R346" s="711"/>
      <c r="S346" s="711"/>
      <c r="T346" s="711"/>
      <c r="U346" s="711"/>
      <c r="V346" s="711"/>
      <c r="W346" s="711"/>
      <c r="X346" s="711"/>
      <c r="Y346" s="711"/>
      <c r="Z346" s="711"/>
      <c r="AA346" s="711"/>
      <c r="AB346" s="710"/>
      <c r="AC346" s="711"/>
      <c r="AD346" s="710"/>
      <c r="AE346" s="711"/>
      <c r="AF346" s="710"/>
    </row>
    <row r="347" spans="4:32" s="705" customFormat="1" ht="15">
      <c r="D347" s="718"/>
      <c r="E347" s="714"/>
      <c r="F347" s="1705"/>
      <c r="G347" s="1705"/>
      <c r="H347" s="710"/>
      <c r="I347" s="710"/>
      <c r="J347" s="710"/>
      <c r="K347" s="710"/>
      <c r="L347" s="710"/>
      <c r="M347" s="710"/>
      <c r="N347" s="710"/>
      <c r="O347" s="710"/>
      <c r="P347" s="710"/>
      <c r="Q347" s="710"/>
      <c r="R347" s="711"/>
      <c r="S347" s="711"/>
      <c r="T347" s="711"/>
      <c r="U347" s="711"/>
      <c r="V347" s="711"/>
      <c r="W347" s="711"/>
      <c r="X347" s="711"/>
      <c r="Y347" s="711"/>
      <c r="Z347" s="711"/>
      <c r="AA347" s="711"/>
      <c r="AB347" s="710"/>
      <c r="AC347" s="711"/>
      <c r="AD347" s="710"/>
      <c r="AE347" s="711"/>
      <c r="AF347" s="710"/>
    </row>
    <row r="348" spans="4:32" s="705" customFormat="1" ht="15">
      <c r="D348" s="718"/>
      <c r="E348" s="716"/>
      <c r="F348" s="1705"/>
      <c r="G348" s="1705"/>
      <c r="H348" s="710"/>
      <c r="I348" s="710"/>
      <c r="J348" s="710"/>
      <c r="K348" s="710"/>
      <c r="L348" s="710"/>
      <c r="M348" s="710"/>
      <c r="N348" s="710"/>
      <c r="O348" s="710"/>
      <c r="P348" s="710"/>
      <c r="Q348" s="710"/>
      <c r="R348" s="711"/>
      <c r="S348" s="711"/>
      <c r="T348" s="711"/>
      <c r="U348" s="711"/>
      <c r="V348" s="711"/>
      <c r="W348" s="711"/>
      <c r="X348" s="711"/>
      <c r="Y348" s="711"/>
      <c r="Z348" s="711"/>
      <c r="AA348" s="711"/>
      <c r="AB348" s="710"/>
      <c r="AC348" s="711"/>
      <c r="AD348" s="710"/>
      <c r="AE348" s="711"/>
      <c r="AF348" s="710"/>
    </row>
    <row r="349" spans="4:32" s="705" customFormat="1" ht="15">
      <c r="D349" s="718"/>
      <c r="E349" s="714"/>
      <c r="F349" s="1705"/>
      <c r="G349" s="1705"/>
      <c r="H349" s="710"/>
      <c r="I349" s="710"/>
      <c r="J349" s="710"/>
      <c r="K349" s="710"/>
      <c r="L349" s="710"/>
      <c r="M349" s="710"/>
      <c r="N349" s="710"/>
      <c r="O349" s="710"/>
      <c r="P349" s="710"/>
      <c r="Q349" s="710"/>
      <c r="R349" s="711"/>
      <c r="S349" s="711"/>
      <c r="T349" s="711"/>
      <c r="U349" s="711"/>
      <c r="V349" s="711"/>
      <c r="W349" s="711"/>
      <c r="X349" s="711"/>
      <c r="Y349" s="711"/>
      <c r="Z349" s="711"/>
      <c r="AA349" s="711"/>
      <c r="AB349" s="710"/>
      <c r="AC349" s="711"/>
      <c r="AD349" s="710"/>
      <c r="AE349" s="711"/>
      <c r="AF349" s="710"/>
    </row>
    <row r="350" spans="4:32" s="705" customFormat="1" ht="15">
      <c r="D350" s="718"/>
      <c r="E350" s="714"/>
      <c r="F350" s="1705"/>
      <c r="G350" s="1705"/>
      <c r="H350" s="710"/>
      <c r="I350" s="710"/>
      <c r="J350" s="710"/>
      <c r="K350" s="710"/>
      <c r="L350" s="710"/>
      <c r="M350" s="710"/>
      <c r="N350" s="710"/>
      <c r="O350" s="710"/>
      <c r="P350" s="710"/>
      <c r="Q350" s="710"/>
      <c r="R350" s="711"/>
      <c r="S350" s="711"/>
      <c r="T350" s="711"/>
      <c r="U350" s="711"/>
      <c r="V350" s="711"/>
      <c r="W350" s="711"/>
      <c r="X350" s="711"/>
      <c r="Y350" s="711"/>
      <c r="Z350" s="711"/>
      <c r="AA350" s="711"/>
      <c r="AB350" s="710"/>
      <c r="AC350" s="711"/>
      <c r="AD350" s="710"/>
      <c r="AE350" s="711"/>
      <c r="AF350" s="710"/>
    </row>
    <row r="351" spans="4:32" s="705" customFormat="1" ht="15">
      <c r="D351" s="718"/>
      <c r="E351" s="714"/>
      <c r="F351" s="1705"/>
      <c r="G351" s="1705"/>
      <c r="H351" s="710"/>
      <c r="I351" s="710"/>
      <c r="J351" s="710"/>
      <c r="K351" s="710"/>
      <c r="L351" s="710"/>
      <c r="M351" s="710"/>
      <c r="N351" s="710"/>
      <c r="O351" s="710"/>
      <c r="P351" s="710"/>
      <c r="Q351" s="710"/>
      <c r="R351" s="711"/>
      <c r="S351" s="711"/>
      <c r="T351" s="711"/>
      <c r="U351" s="711"/>
      <c r="V351" s="711"/>
      <c r="W351" s="711"/>
      <c r="X351" s="711"/>
      <c r="Y351" s="711"/>
      <c r="Z351" s="711"/>
      <c r="AA351" s="711"/>
      <c r="AB351" s="710"/>
      <c r="AC351" s="711"/>
      <c r="AD351" s="710"/>
      <c r="AE351" s="711"/>
      <c r="AF351" s="710"/>
    </row>
    <row r="352" spans="4:32" s="705" customFormat="1" ht="15">
      <c r="D352" s="718"/>
      <c r="E352" s="715"/>
      <c r="F352" s="1705"/>
      <c r="G352" s="1705"/>
      <c r="H352" s="710"/>
      <c r="I352" s="710"/>
      <c r="J352" s="710"/>
      <c r="K352" s="710"/>
      <c r="L352" s="710"/>
      <c r="M352" s="710"/>
      <c r="N352" s="710"/>
      <c r="O352" s="710"/>
      <c r="P352" s="710"/>
      <c r="Q352" s="710"/>
      <c r="R352" s="711"/>
      <c r="S352" s="711"/>
      <c r="T352" s="711"/>
      <c r="U352" s="711"/>
      <c r="V352" s="711"/>
      <c r="W352" s="711"/>
      <c r="X352" s="711"/>
      <c r="Y352" s="711"/>
      <c r="Z352" s="711"/>
      <c r="AA352" s="711"/>
      <c r="AB352" s="710"/>
      <c r="AC352" s="711"/>
      <c r="AD352" s="710"/>
      <c r="AE352" s="711"/>
      <c r="AF352" s="710"/>
    </row>
    <row r="353" spans="4:32" s="705" customFormat="1" ht="15">
      <c r="D353" s="718"/>
      <c r="E353" s="715"/>
      <c r="F353" s="1705"/>
      <c r="G353" s="1705"/>
      <c r="H353" s="710"/>
      <c r="I353" s="710"/>
      <c r="J353" s="710"/>
      <c r="K353" s="710"/>
      <c r="L353" s="710"/>
      <c r="M353" s="710"/>
      <c r="N353" s="710"/>
      <c r="O353" s="710"/>
      <c r="P353" s="710"/>
      <c r="Q353" s="710"/>
      <c r="R353" s="711"/>
      <c r="S353" s="711"/>
      <c r="T353" s="711"/>
      <c r="U353" s="711"/>
      <c r="V353" s="711"/>
      <c r="W353" s="711"/>
      <c r="X353" s="711"/>
      <c r="Y353" s="711"/>
      <c r="Z353" s="711"/>
      <c r="AA353" s="711"/>
      <c r="AB353" s="710"/>
      <c r="AC353" s="711"/>
      <c r="AD353" s="710"/>
      <c r="AE353" s="711"/>
      <c r="AF353" s="710"/>
    </row>
    <row r="354" spans="4:32" s="705" customFormat="1" ht="15">
      <c r="D354" s="718"/>
      <c r="E354" s="715"/>
      <c r="F354" s="1705"/>
      <c r="G354" s="1705"/>
      <c r="H354" s="710"/>
      <c r="I354" s="710"/>
      <c r="J354" s="710"/>
      <c r="K354" s="710"/>
      <c r="L354" s="710"/>
      <c r="M354" s="710"/>
      <c r="N354" s="710"/>
      <c r="O354" s="710"/>
      <c r="P354" s="710"/>
      <c r="Q354" s="710"/>
      <c r="R354" s="711"/>
      <c r="S354" s="711"/>
      <c r="T354" s="711"/>
      <c r="U354" s="711"/>
      <c r="V354" s="711"/>
      <c r="W354" s="711"/>
      <c r="X354" s="711"/>
      <c r="Y354" s="711"/>
      <c r="Z354" s="711"/>
      <c r="AA354" s="711"/>
      <c r="AB354" s="710"/>
      <c r="AC354" s="711"/>
      <c r="AD354" s="710"/>
      <c r="AE354" s="711"/>
      <c r="AF354" s="710"/>
    </row>
    <row r="355" spans="4:32" s="705" customFormat="1" ht="15">
      <c r="D355" s="718"/>
      <c r="E355" s="715"/>
      <c r="F355" s="1705"/>
      <c r="G355" s="1705"/>
      <c r="H355" s="710"/>
      <c r="I355" s="710"/>
      <c r="J355" s="710"/>
      <c r="K355" s="710"/>
      <c r="L355" s="710"/>
      <c r="M355" s="710"/>
      <c r="N355" s="710"/>
      <c r="O355" s="710"/>
      <c r="P355" s="710"/>
      <c r="Q355" s="710"/>
      <c r="R355" s="711"/>
      <c r="S355" s="711"/>
      <c r="T355" s="711"/>
      <c r="U355" s="711"/>
      <c r="V355" s="711"/>
      <c r="W355" s="711"/>
      <c r="X355" s="711"/>
      <c r="Y355" s="711"/>
      <c r="Z355" s="711"/>
      <c r="AA355" s="711"/>
      <c r="AB355" s="710"/>
      <c r="AC355" s="711"/>
      <c r="AD355" s="710"/>
      <c r="AE355" s="711"/>
      <c r="AF355" s="710"/>
    </row>
    <row r="356" spans="4:32" s="705" customFormat="1" ht="15">
      <c r="D356" s="717"/>
      <c r="E356" s="2479"/>
      <c r="F356" s="2480"/>
      <c r="G356" s="2480"/>
      <c r="H356" s="2476"/>
      <c r="I356" s="2476"/>
      <c r="J356" s="2476"/>
      <c r="K356" s="2476"/>
      <c r="L356" s="2476"/>
      <c r="M356" s="2476"/>
      <c r="N356" s="2476"/>
      <c r="O356" s="2476"/>
      <c r="P356" s="2476"/>
      <c r="Q356" s="2476"/>
      <c r="R356" s="2476"/>
      <c r="S356" s="2476"/>
      <c r="T356" s="2476"/>
      <c r="U356" s="2476"/>
      <c r="V356" s="2476"/>
      <c r="W356" s="2476"/>
      <c r="X356" s="2476"/>
      <c r="Y356" s="2476"/>
      <c r="Z356" s="2476"/>
      <c r="AA356" s="2476"/>
      <c r="AB356" s="707"/>
      <c r="AC356" s="707"/>
      <c r="AD356" s="707"/>
      <c r="AE356" s="707"/>
      <c r="AF356" s="707"/>
    </row>
    <row r="357" spans="4:32" s="705" customFormat="1" ht="15">
      <c r="D357" s="717"/>
      <c r="E357" s="2479"/>
      <c r="F357" s="2480"/>
      <c r="G357" s="2480"/>
      <c r="H357" s="709"/>
      <c r="I357" s="709"/>
      <c r="J357" s="709"/>
      <c r="K357" s="709"/>
      <c r="L357" s="709"/>
      <c r="M357" s="709"/>
      <c r="N357" s="709"/>
      <c r="O357" s="709"/>
      <c r="P357" s="709"/>
      <c r="Q357" s="709"/>
      <c r="R357" s="709"/>
      <c r="S357" s="709"/>
      <c r="T357" s="709"/>
      <c r="U357" s="709"/>
      <c r="V357" s="709"/>
      <c r="W357" s="709"/>
      <c r="X357" s="709"/>
      <c r="Y357" s="709"/>
      <c r="Z357" s="709"/>
      <c r="AA357" s="709"/>
      <c r="AB357" s="1703"/>
      <c r="AC357" s="1703"/>
      <c r="AD357" s="1703"/>
      <c r="AE357" s="1703"/>
      <c r="AF357" s="1703"/>
    </row>
    <row r="358" spans="4:32" s="705" customFormat="1" ht="15">
      <c r="D358" s="718"/>
      <c r="E358" s="1705"/>
      <c r="F358" s="1706"/>
      <c r="G358" s="1706"/>
      <c r="H358" s="709"/>
      <c r="I358" s="709"/>
      <c r="J358" s="709"/>
      <c r="K358" s="709"/>
      <c r="L358" s="709"/>
      <c r="M358" s="709"/>
      <c r="N358" s="709"/>
      <c r="O358" s="709"/>
      <c r="P358" s="709"/>
      <c r="Q358" s="709"/>
      <c r="R358" s="709"/>
      <c r="S358" s="709"/>
      <c r="T358" s="709"/>
      <c r="U358" s="709"/>
      <c r="V358" s="709"/>
      <c r="W358" s="709"/>
      <c r="X358" s="709"/>
      <c r="Y358" s="709"/>
      <c r="Z358" s="709"/>
      <c r="AA358" s="709"/>
      <c r="AB358" s="1703"/>
      <c r="AC358" s="1703"/>
      <c r="AD358" s="1703"/>
      <c r="AE358" s="1703"/>
      <c r="AF358" s="1703"/>
    </row>
    <row r="359" spans="4:32" s="705" customFormat="1" ht="15">
      <c r="D359" s="718"/>
      <c r="E359" s="1709"/>
      <c r="F359" s="1705"/>
      <c r="G359" s="1705"/>
      <c r="H359" s="710"/>
      <c r="I359" s="710"/>
      <c r="J359" s="710"/>
      <c r="K359" s="710"/>
      <c r="L359" s="710"/>
      <c r="M359" s="710"/>
      <c r="N359" s="710"/>
      <c r="O359" s="710"/>
      <c r="P359" s="710"/>
      <c r="Q359" s="710"/>
      <c r="R359" s="711"/>
      <c r="S359" s="711"/>
      <c r="T359" s="711"/>
      <c r="U359" s="711"/>
      <c r="V359" s="711"/>
      <c r="W359" s="711"/>
      <c r="X359" s="711"/>
      <c r="Y359" s="711"/>
      <c r="Z359" s="711"/>
      <c r="AA359" s="711"/>
      <c r="AB359" s="710"/>
      <c r="AC359" s="711"/>
      <c r="AD359" s="710"/>
      <c r="AE359" s="711"/>
      <c r="AF359" s="710"/>
    </row>
    <row r="360" spans="4:32" s="705" customFormat="1" ht="15">
      <c r="D360" s="718"/>
      <c r="E360" s="1709"/>
      <c r="F360" s="1706"/>
      <c r="G360" s="1706"/>
      <c r="H360" s="710"/>
      <c r="I360" s="710"/>
      <c r="J360" s="710"/>
      <c r="K360" s="710"/>
      <c r="L360" s="710"/>
      <c r="M360" s="710"/>
      <c r="N360" s="710"/>
      <c r="O360" s="710"/>
      <c r="P360" s="710"/>
      <c r="Q360" s="710"/>
      <c r="R360" s="711"/>
      <c r="S360" s="711"/>
      <c r="T360" s="711"/>
      <c r="U360" s="711"/>
      <c r="V360" s="711"/>
      <c r="W360" s="711"/>
      <c r="X360" s="711"/>
      <c r="Y360" s="711"/>
      <c r="Z360" s="711"/>
      <c r="AA360" s="711"/>
      <c r="AB360" s="710"/>
      <c r="AC360" s="711"/>
      <c r="AD360" s="710"/>
      <c r="AE360" s="711"/>
      <c r="AF360" s="710"/>
    </row>
    <row r="361" spans="4:32" s="705" customFormat="1" ht="15">
      <c r="D361" s="718"/>
      <c r="E361" s="712"/>
      <c r="F361" s="1705"/>
      <c r="G361" s="1705"/>
      <c r="H361" s="710"/>
      <c r="I361" s="710"/>
      <c r="J361" s="710"/>
      <c r="K361" s="710"/>
      <c r="L361" s="710"/>
      <c r="M361" s="710"/>
      <c r="N361" s="710"/>
      <c r="O361" s="710"/>
      <c r="P361" s="710"/>
      <c r="Q361" s="710"/>
      <c r="R361" s="711"/>
      <c r="S361" s="711"/>
      <c r="T361" s="711"/>
      <c r="U361" s="711"/>
      <c r="V361" s="711"/>
      <c r="W361" s="711"/>
      <c r="X361" s="711"/>
      <c r="Y361" s="711"/>
      <c r="Z361" s="711"/>
      <c r="AA361" s="711"/>
      <c r="AB361" s="710"/>
      <c r="AC361" s="711"/>
      <c r="AD361" s="710"/>
      <c r="AE361" s="711"/>
      <c r="AF361" s="710"/>
    </row>
    <row r="362" spans="4:32" s="705" customFormat="1" ht="15">
      <c r="D362" s="718"/>
      <c r="E362" s="1709"/>
      <c r="F362" s="1706"/>
      <c r="G362" s="1706"/>
      <c r="H362" s="710"/>
      <c r="I362" s="710"/>
      <c r="J362" s="710"/>
      <c r="K362" s="710"/>
      <c r="L362" s="710"/>
      <c r="M362" s="710"/>
      <c r="N362" s="710"/>
      <c r="O362" s="710"/>
      <c r="P362" s="710"/>
      <c r="Q362" s="710"/>
      <c r="R362" s="711"/>
      <c r="S362" s="711"/>
      <c r="T362" s="711"/>
      <c r="U362" s="711"/>
      <c r="V362" s="711"/>
      <c r="W362" s="711"/>
      <c r="X362" s="711"/>
      <c r="Y362" s="711"/>
      <c r="Z362" s="711"/>
      <c r="AA362" s="711"/>
      <c r="AB362" s="710"/>
      <c r="AC362" s="711"/>
      <c r="AD362" s="710"/>
      <c r="AE362" s="711"/>
      <c r="AF362" s="710"/>
    </row>
    <row r="363" spans="4:32" s="705" customFormat="1" ht="15">
      <c r="D363" s="718"/>
      <c r="E363" s="1709"/>
      <c r="F363" s="1705"/>
      <c r="G363" s="1705"/>
      <c r="H363" s="710"/>
      <c r="I363" s="710"/>
      <c r="J363" s="710"/>
      <c r="K363" s="710"/>
      <c r="L363" s="710"/>
      <c r="M363" s="710"/>
      <c r="N363" s="710"/>
      <c r="O363" s="710"/>
      <c r="P363" s="710"/>
      <c r="Q363" s="710"/>
      <c r="R363" s="711"/>
      <c r="S363" s="711"/>
      <c r="T363" s="711"/>
      <c r="U363" s="711"/>
      <c r="V363" s="711"/>
      <c r="W363" s="711"/>
      <c r="X363" s="711"/>
      <c r="Y363" s="711"/>
      <c r="Z363" s="711"/>
      <c r="AA363" s="711"/>
      <c r="AB363" s="710"/>
      <c r="AC363" s="711"/>
      <c r="AD363" s="710"/>
      <c r="AE363" s="711"/>
      <c r="AF363" s="710"/>
    </row>
    <row r="364" spans="4:32" s="705" customFormat="1" ht="15">
      <c r="D364" s="718"/>
      <c r="E364" s="1709"/>
      <c r="F364" s="1706"/>
      <c r="G364" s="1706"/>
      <c r="H364" s="710"/>
      <c r="I364" s="710"/>
      <c r="J364" s="710"/>
      <c r="K364" s="710"/>
      <c r="L364" s="710"/>
      <c r="M364" s="710"/>
      <c r="N364" s="710"/>
      <c r="O364" s="710"/>
      <c r="P364" s="710"/>
      <c r="Q364" s="710"/>
      <c r="R364" s="711"/>
      <c r="S364" s="711"/>
      <c r="T364" s="711"/>
      <c r="U364" s="711"/>
      <c r="V364" s="711"/>
      <c r="W364" s="711"/>
      <c r="X364" s="711"/>
      <c r="Y364" s="711"/>
      <c r="Z364" s="711"/>
      <c r="AA364" s="711"/>
      <c r="AB364" s="710"/>
      <c r="AC364" s="711"/>
      <c r="AD364" s="710"/>
      <c r="AE364" s="711"/>
      <c r="AF364" s="710"/>
    </row>
    <row r="365" spans="4:32" s="705" customFormat="1" ht="15">
      <c r="D365" s="718"/>
      <c r="E365" s="1709"/>
      <c r="F365" s="1705"/>
      <c r="G365" s="1705"/>
      <c r="H365" s="710"/>
      <c r="I365" s="710"/>
      <c r="J365" s="710"/>
      <c r="K365" s="710"/>
      <c r="L365" s="710"/>
      <c r="M365" s="710"/>
      <c r="N365" s="710"/>
      <c r="O365" s="710"/>
      <c r="P365" s="710"/>
      <c r="Q365" s="710"/>
      <c r="R365" s="711"/>
      <c r="S365" s="711"/>
      <c r="T365" s="711"/>
      <c r="U365" s="711"/>
      <c r="V365" s="711"/>
      <c r="W365" s="711"/>
      <c r="X365" s="711"/>
      <c r="Y365" s="711"/>
      <c r="Z365" s="711"/>
      <c r="AA365" s="711"/>
      <c r="AB365" s="710"/>
      <c r="AC365" s="711"/>
      <c r="AD365" s="710"/>
      <c r="AE365" s="711"/>
      <c r="AF365" s="710"/>
    </row>
    <row r="366" spans="4:32" s="705" customFormat="1" ht="15">
      <c r="D366" s="718"/>
      <c r="E366" s="712"/>
      <c r="F366" s="1706"/>
      <c r="G366" s="1706"/>
      <c r="H366" s="710"/>
      <c r="I366" s="710"/>
      <c r="J366" s="710"/>
      <c r="K366" s="710"/>
      <c r="L366" s="710"/>
      <c r="M366" s="710"/>
      <c r="N366" s="710"/>
      <c r="O366" s="710"/>
      <c r="P366" s="710"/>
      <c r="Q366" s="710"/>
      <c r="R366" s="711"/>
      <c r="S366" s="711"/>
      <c r="T366" s="711"/>
      <c r="U366" s="711"/>
      <c r="V366" s="711"/>
      <c r="W366" s="711"/>
      <c r="X366" s="711"/>
      <c r="Y366" s="711"/>
      <c r="Z366" s="711"/>
      <c r="AA366" s="711"/>
      <c r="AB366" s="710"/>
      <c r="AC366" s="711"/>
      <c r="AD366" s="710"/>
      <c r="AE366" s="711"/>
      <c r="AF366" s="710"/>
    </row>
    <row r="367" spans="4:32" s="705" customFormat="1" ht="15">
      <c r="D367" s="718"/>
      <c r="E367" s="712"/>
      <c r="F367" s="1705"/>
      <c r="G367" s="1705"/>
      <c r="H367" s="710"/>
      <c r="I367" s="710"/>
      <c r="J367" s="710"/>
      <c r="K367" s="710"/>
      <c r="L367" s="710"/>
      <c r="M367" s="710"/>
      <c r="N367" s="710"/>
      <c r="O367" s="710"/>
      <c r="P367" s="710"/>
      <c r="Q367" s="710"/>
      <c r="R367" s="711"/>
      <c r="S367" s="711"/>
      <c r="T367" s="711"/>
      <c r="U367" s="711"/>
      <c r="V367" s="711"/>
      <c r="W367" s="711"/>
      <c r="X367" s="711"/>
      <c r="Y367" s="711"/>
      <c r="Z367" s="711"/>
      <c r="AA367" s="711"/>
      <c r="AB367" s="710"/>
      <c r="AC367" s="711"/>
      <c r="AD367" s="710"/>
      <c r="AE367" s="711"/>
      <c r="AF367" s="710"/>
    </row>
    <row r="368" spans="4:32" s="705" customFormat="1" ht="15">
      <c r="D368" s="718"/>
      <c r="E368" s="1709"/>
      <c r="F368" s="1706"/>
      <c r="G368" s="1706"/>
      <c r="H368" s="710"/>
      <c r="I368" s="710"/>
      <c r="J368" s="710"/>
      <c r="K368" s="710"/>
      <c r="L368" s="710"/>
      <c r="M368" s="710"/>
      <c r="N368" s="710"/>
      <c r="O368" s="710"/>
      <c r="P368" s="710"/>
      <c r="Q368" s="710"/>
      <c r="R368" s="711"/>
      <c r="S368" s="711"/>
      <c r="T368" s="711"/>
      <c r="U368" s="711"/>
      <c r="V368" s="711"/>
      <c r="W368" s="711"/>
      <c r="X368" s="711"/>
      <c r="Y368" s="711"/>
      <c r="Z368" s="711"/>
      <c r="AA368" s="711"/>
      <c r="AB368" s="710"/>
      <c r="AC368" s="711"/>
      <c r="AD368" s="710"/>
      <c r="AE368" s="711"/>
      <c r="AF368" s="710"/>
    </row>
    <row r="369" spans="4:32" s="705" customFormat="1" ht="15">
      <c r="D369" s="718"/>
      <c r="E369" s="712"/>
      <c r="F369" s="1705"/>
      <c r="G369" s="1705"/>
      <c r="H369" s="710"/>
      <c r="I369" s="710"/>
      <c r="J369" s="710"/>
      <c r="K369" s="710"/>
      <c r="L369" s="710"/>
      <c r="M369" s="710"/>
      <c r="N369" s="710"/>
      <c r="O369" s="710"/>
      <c r="P369" s="710"/>
      <c r="Q369" s="710"/>
      <c r="R369" s="711"/>
      <c r="S369" s="711"/>
      <c r="T369" s="711"/>
      <c r="U369" s="711"/>
      <c r="V369" s="711"/>
      <c r="W369" s="711"/>
      <c r="X369" s="711"/>
      <c r="Y369" s="711"/>
      <c r="Z369" s="711"/>
      <c r="AA369" s="711"/>
      <c r="AB369" s="710"/>
      <c r="AC369" s="711"/>
      <c r="AD369" s="710"/>
      <c r="AE369" s="711"/>
      <c r="AF369" s="710"/>
    </row>
    <row r="370" spans="4:32" s="705" customFormat="1" ht="15">
      <c r="D370" s="718"/>
      <c r="E370" s="1709"/>
      <c r="F370" s="1706"/>
      <c r="G370" s="1706"/>
      <c r="H370" s="710"/>
      <c r="I370" s="710"/>
      <c r="J370" s="710"/>
      <c r="K370" s="710"/>
      <c r="L370" s="710"/>
      <c r="M370" s="710"/>
      <c r="N370" s="710"/>
      <c r="O370" s="710"/>
      <c r="P370" s="710"/>
      <c r="Q370" s="710"/>
      <c r="R370" s="711"/>
      <c r="S370" s="711"/>
      <c r="T370" s="711"/>
      <c r="U370" s="711"/>
      <c r="V370" s="711"/>
      <c r="W370" s="711"/>
      <c r="X370" s="711"/>
      <c r="Y370" s="711"/>
      <c r="Z370" s="711"/>
      <c r="AA370" s="711"/>
      <c r="AB370" s="710"/>
      <c r="AC370" s="711"/>
      <c r="AD370" s="710"/>
      <c r="AE370" s="711"/>
      <c r="AF370" s="710"/>
    </row>
    <row r="371" spans="4:32" s="705" customFormat="1" ht="15">
      <c r="D371" s="718"/>
      <c r="E371" s="1709"/>
      <c r="F371" s="1705"/>
      <c r="G371" s="1705"/>
      <c r="H371" s="710"/>
      <c r="I371" s="710"/>
      <c r="J371" s="710"/>
      <c r="K371" s="710"/>
      <c r="L371" s="710"/>
      <c r="M371" s="710"/>
      <c r="N371" s="710"/>
      <c r="O371" s="710"/>
      <c r="P371" s="710"/>
      <c r="Q371" s="710"/>
      <c r="R371" s="711"/>
      <c r="S371" s="711"/>
      <c r="T371" s="711"/>
      <c r="U371" s="711"/>
      <c r="V371" s="711"/>
      <c r="W371" s="711"/>
      <c r="X371" s="711"/>
      <c r="Y371" s="711"/>
      <c r="Z371" s="711"/>
      <c r="AA371" s="711"/>
      <c r="AB371" s="710"/>
      <c r="AC371" s="711"/>
      <c r="AD371" s="710"/>
      <c r="AE371" s="711"/>
      <c r="AF371" s="710"/>
    </row>
    <row r="372" spans="4:32" s="705" customFormat="1" ht="15">
      <c r="D372" s="718"/>
      <c r="E372" s="712"/>
      <c r="F372" s="1706"/>
      <c r="G372" s="1706"/>
      <c r="H372" s="710"/>
      <c r="I372" s="710"/>
      <c r="J372" s="710"/>
      <c r="K372" s="710"/>
      <c r="L372" s="710"/>
      <c r="M372" s="710"/>
      <c r="N372" s="710"/>
      <c r="O372" s="710"/>
      <c r="P372" s="710"/>
      <c r="Q372" s="710"/>
      <c r="R372" s="711"/>
      <c r="S372" s="711"/>
      <c r="T372" s="711"/>
      <c r="U372" s="711"/>
      <c r="V372" s="711"/>
      <c r="W372" s="711"/>
      <c r="X372" s="711"/>
      <c r="Y372" s="711"/>
      <c r="Z372" s="711"/>
      <c r="AA372" s="711"/>
      <c r="AB372" s="710"/>
      <c r="AC372" s="711"/>
      <c r="AD372" s="710"/>
      <c r="AE372" s="711"/>
      <c r="AF372" s="710"/>
    </row>
    <row r="373" spans="4:32" s="705" customFormat="1" ht="15">
      <c r="D373" s="718"/>
      <c r="E373" s="1709"/>
      <c r="F373" s="1705"/>
      <c r="G373" s="1705"/>
      <c r="H373" s="710"/>
      <c r="I373" s="710"/>
      <c r="J373" s="710"/>
      <c r="K373" s="710"/>
      <c r="L373" s="710"/>
      <c r="M373" s="710"/>
      <c r="N373" s="710"/>
      <c r="O373" s="710"/>
      <c r="P373" s="710"/>
      <c r="Q373" s="710"/>
      <c r="R373" s="711"/>
      <c r="S373" s="711"/>
      <c r="T373" s="711"/>
      <c r="U373" s="711"/>
      <c r="V373" s="711"/>
      <c r="W373" s="711"/>
      <c r="X373" s="711"/>
      <c r="Y373" s="711"/>
      <c r="Z373" s="711"/>
      <c r="AA373" s="711"/>
      <c r="AB373" s="710"/>
      <c r="AC373" s="711"/>
      <c r="AD373" s="710"/>
      <c r="AE373" s="711"/>
      <c r="AF373" s="710"/>
    </row>
    <row r="374" spans="4:32" s="705" customFormat="1" ht="15">
      <c r="D374" s="718"/>
      <c r="E374" s="1709"/>
      <c r="F374" s="1706"/>
      <c r="G374" s="1706"/>
      <c r="H374" s="710"/>
      <c r="I374" s="710"/>
      <c r="J374" s="710"/>
      <c r="K374" s="710"/>
      <c r="L374" s="710"/>
      <c r="M374" s="710"/>
      <c r="N374" s="710"/>
      <c r="O374" s="710"/>
      <c r="P374" s="710"/>
      <c r="Q374" s="710"/>
      <c r="R374" s="711"/>
      <c r="S374" s="711"/>
      <c r="T374" s="711"/>
      <c r="U374" s="711"/>
      <c r="V374" s="711"/>
      <c r="W374" s="711"/>
      <c r="X374" s="711"/>
      <c r="Y374" s="711"/>
      <c r="Z374" s="711"/>
      <c r="AA374" s="711"/>
      <c r="AB374" s="710"/>
      <c r="AC374" s="711"/>
      <c r="AD374" s="710"/>
      <c r="AE374" s="711"/>
      <c r="AF374" s="710"/>
    </row>
    <row r="375" spans="4:32" s="705" customFormat="1" ht="15">
      <c r="D375" s="718"/>
      <c r="E375" s="712"/>
      <c r="F375" s="1705"/>
      <c r="G375" s="1705"/>
      <c r="H375" s="710"/>
      <c r="I375" s="710"/>
      <c r="J375" s="710"/>
      <c r="K375" s="710"/>
      <c r="L375" s="710"/>
      <c r="M375" s="710"/>
      <c r="N375" s="710"/>
      <c r="O375" s="710"/>
      <c r="P375" s="710"/>
      <c r="Q375" s="710"/>
      <c r="R375" s="711"/>
      <c r="S375" s="711"/>
      <c r="T375" s="711"/>
      <c r="U375" s="711"/>
      <c r="V375" s="711"/>
      <c r="W375" s="711"/>
      <c r="X375" s="711"/>
      <c r="Y375" s="711"/>
      <c r="Z375" s="711"/>
      <c r="AA375" s="711"/>
      <c r="AB375" s="710"/>
      <c r="AC375" s="711"/>
      <c r="AD375" s="710"/>
      <c r="AE375" s="711"/>
      <c r="AF375" s="710"/>
    </row>
    <row r="376" spans="4:32" s="705" customFormat="1" ht="15">
      <c r="D376" s="718"/>
      <c r="E376" s="1709"/>
      <c r="F376" s="1705"/>
      <c r="G376" s="1705"/>
      <c r="H376" s="710"/>
      <c r="I376" s="710"/>
      <c r="J376" s="710"/>
      <c r="K376" s="710"/>
      <c r="L376" s="710"/>
      <c r="M376" s="710"/>
      <c r="N376" s="710"/>
      <c r="O376" s="710"/>
      <c r="P376" s="710"/>
      <c r="Q376" s="710"/>
      <c r="R376" s="711"/>
      <c r="S376" s="711"/>
      <c r="T376" s="711"/>
      <c r="U376" s="711"/>
      <c r="V376" s="711"/>
      <c r="W376" s="711"/>
      <c r="X376" s="711"/>
      <c r="Y376" s="711"/>
      <c r="Z376" s="711"/>
      <c r="AA376" s="711"/>
      <c r="AB376" s="710"/>
      <c r="AC376" s="711"/>
      <c r="AD376" s="710"/>
      <c r="AE376" s="711"/>
      <c r="AF376" s="710"/>
    </row>
    <row r="377" spans="4:32" s="705" customFormat="1" ht="15">
      <c r="D377" s="718"/>
      <c r="E377" s="1709"/>
      <c r="F377" s="1705"/>
      <c r="G377" s="1705"/>
      <c r="H377" s="710"/>
      <c r="I377" s="710"/>
      <c r="J377" s="710"/>
      <c r="K377" s="710"/>
      <c r="L377" s="710"/>
      <c r="M377" s="710"/>
      <c r="N377" s="710"/>
      <c r="O377" s="710"/>
      <c r="P377" s="710"/>
      <c r="Q377" s="710"/>
      <c r="R377" s="711"/>
      <c r="S377" s="711"/>
      <c r="T377" s="711"/>
      <c r="U377" s="711"/>
      <c r="V377" s="711"/>
      <c r="W377" s="711"/>
      <c r="X377" s="711"/>
      <c r="Y377" s="711"/>
      <c r="Z377" s="711"/>
      <c r="AA377" s="711"/>
      <c r="AB377" s="710"/>
      <c r="AC377" s="711"/>
      <c r="AD377" s="710"/>
      <c r="AE377" s="711"/>
      <c r="AF377" s="710"/>
    </row>
    <row r="378" spans="4:32" s="705" customFormat="1" ht="15">
      <c r="D378" s="718"/>
      <c r="E378" s="1709"/>
      <c r="F378" s="1705"/>
      <c r="G378" s="1705"/>
      <c r="H378" s="710"/>
      <c r="I378" s="710"/>
      <c r="J378" s="710"/>
      <c r="K378" s="710"/>
      <c r="L378" s="710"/>
      <c r="M378" s="710"/>
      <c r="N378" s="710"/>
      <c r="O378" s="710"/>
      <c r="P378" s="710"/>
      <c r="Q378" s="710"/>
      <c r="R378" s="711"/>
      <c r="S378" s="711"/>
      <c r="T378" s="711"/>
      <c r="U378" s="711"/>
      <c r="V378" s="711"/>
      <c r="W378" s="711"/>
      <c r="X378" s="711"/>
      <c r="Y378" s="711"/>
      <c r="Z378" s="711"/>
      <c r="AA378" s="711"/>
      <c r="AB378" s="710"/>
      <c r="AC378" s="711"/>
      <c r="AD378" s="710"/>
      <c r="AE378" s="711"/>
      <c r="AF378" s="710"/>
    </row>
    <row r="379" spans="4:32" s="705" customFormat="1" ht="15">
      <c r="D379" s="718"/>
      <c r="E379" s="1709"/>
      <c r="F379" s="1705"/>
      <c r="G379" s="1705"/>
      <c r="H379" s="710"/>
      <c r="I379" s="710"/>
      <c r="J379" s="710"/>
      <c r="K379" s="710"/>
      <c r="L379" s="710"/>
      <c r="M379" s="710"/>
      <c r="N379" s="710"/>
      <c r="O379" s="710"/>
      <c r="P379" s="710"/>
      <c r="Q379" s="710"/>
      <c r="R379" s="711"/>
      <c r="S379" s="711"/>
      <c r="T379" s="711"/>
      <c r="U379" s="711"/>
      <c r="V379" s="711"/>
      <c r="W379" s="711"/>
      <c r="X379" s="711"/>
      <c r="Y379" s="711"/>
      <c r="Z379" s="711"/>
      <c r="AA379" s="711"/>
      <c r="AB379" s="710"/>
      <c r="AC379" s="711"/>
      <c r="AD379" s="710"/>
      <c r="AE379" s="711"/>
      <c r="AF379" s="710"/>
    </row>
    <row r="380" spans="4:32" s="705" customFormat="1" ht="15">
      <c r="D380" s="718"/>
      <c r="E380" s="1709"/>
      <c r="F380" s="1705"/>
      <c r="G380" s="1705"/>
      <c r="H380" s="710"/>
      <c r="I380" s="710"/>
      <c r="J380" s="710"/>
      <c r="K380" s="710"/>
      <c r="L380" s="710"/>
      <c r="M380" s="710"/>
      <c r="N380" s="710"/>
      <c r="O380" s="710"/>
      <c r="P380" s="710"/>
      <c r="Q380" s="710"/>
      <c r="R380" s="711"/>
      <c r="S380" s="711"/>
      <c r="T380" s="711"/>
      <c r="U380" s="711"/>
      <c r="V380" s="711"/>
      <c r="W380" s="711"/>
      <c r="X380" s="711"/>
      <c r="Y380" s="711"/>
      <c r="Z380" s="711"/>
      <c r="AA380" s="711"/>
      <c r="AB380" s="710"/>
      <c r="AC380" s="711"/>
      <c r="AD380" s="710"/>
      <c r="AE380" s="711"/>
      <c r="AF380" s="710"/>
    </row>
    <row r="381" spans="4:32" s="705" customFormat="1" ht="15">
      <c r="D381" s="718"/>
      <c r="E381" s="1709"/>
      <c r="F381" s="1705"/>
      <c r="G381" s="1705"/>
      <c r="H381" s="710"/>
      <c r="I381" s="710"/>
      <c r="J381" s="710"/>
      <c r="K381" s="710"/>
      <c r="L381" s="710"/>
      <c r="M381" s="710"/>
      <c r="N381" s="710"/>
      <c r="O381" s="710"/>
      <c r="P381" s="710"/>
      <c r="Q381" s="710"/>
      <c r="R381" s="711"/>
      <c r="S381" s="711"/>
      <c r="T381" s="711"/>
      <c r="U381" s="711"/>
      <c r="V381" s="711"/>
      <c r="W381" s="711"/>
      <c r="X381" s="711"/>
      <c r="Y381" s="711"/>
      <c r="Z381" s="711"/>
      <c r="AA381" s="711"/>
      <c r="AB381" s="710"/>
      <c r="AC381" s="711"/>
      <c r="AD381" s="710"/>
      <c r="AE381" s="711"/>
      <c r="AF381" s="710"/>
    </row>
    <row r="382" spans="4:32" s="705" customFormat="1" ht="15">
      <c r="D382" s="718"/>
      <c r="E382" s="1709"/>
      <c r="F382" s="1705"/>
      <c r="G382" s="1705"/>
      <c r="H382" s="710"/>
      <c r="I382" s="710"/>
      <c r="J382" s="710"/>
      <c r="K382" s="710"/>
      <c r="L382" s="710"/>
      <c r="M382" s="710"/>
      <c r="N382" s="710"/>
      <c r="O382" s="710"/>
      <c r="P382" s="710"/>
      <c r="Q382" s="710"/>
      <c r="R382" s="711"/>
      <c r="S382" s="711"/>
      <c r="T382" s="711"/>
      <c r="U382" s="711"/>
      <c r="V382" s="711"/>
      <c r="W382" s="711"/>
      <c r="X382" s="711"/>
      <c r="Y382" s="711"/>
      <c r="Z382" s="711"/>
      <c r="AA382" s="711"/>
      <c r="AB382" s="710"/>
      <c r="AC382" s="711"/>
      <c r="AD382" s="710"/>
      <c r="AE382" s="711"/>
      <c r="AF382" s="710"/>
    </row>
    <row r="383" spans="4:32" s="705" customFormat="1" ht="15">
      <c r="D383" s="718"/>
      <c r="E383" s="714"/>
      <c r="F383" s="1705"/>
      <c r="G383" s="1705"/>
      <c r="H383" s="710"/>
      <c r="I383" s="710"/>
      <c r="J383" s="710"/>
      <c r="K383" s="710"/>
      <c r="L383" s="710"/>
      <c r="M383" s="710"/>
      <c r="N383" s="710"/>
      <c r="O383" s="710"/>
      <c r="P383" s="710"/>
      <c r="Q383" s="710"/>
      <c r="R383" s="711"/>
      <c r="S383" s="711"/>
      <c r="T383" s="711"/>
      <c r="U383" s="711"/>
      <c r="V383" s="711"/>
      <c r="W383" s="711"/>
      <c r="X383" s="711"/>
      <c r="Y383" s="711"/>
      <c r="Z383" s="711"/>
      <c r="AA383" s="711"/>
      <c r="AB383" s="710"/>
      <c r="AC383" s="711"/>
      <c r="AD383" s="710"/>
      <c r="AE383" s="711"/>
      <c r="AF383" s="710"/>
    </row>
    <row r="384" spans="4:32" s="705" customFormat="1" ht="15">
      <c r="D384" s="718"/>
      <c r="E384" s="714"/>
      <c r="F384" s="1705"/>
      <c r="G384" s="1705"/>
      <c r="H384" s="710"/>
      <c r="I384" s="710"/>
      <c r="J384" s="710"/>
      <c r="K384" s="710"/>
      <c r="L384" s="710"/>
      <c r="M384" s="710"/>
      <c r="N384" s="710"/>
      <c r="O384" s="710"/>
      <c r="P384" s="710"/>
      <c r="Q384" s="710"/>
      <c r="R384" s="711"/>
      <c r="S384" s="711"/>
      <c r="T384" s="711"/>
      <c r="U384" s="711"/>
      <c r="V384" s="711"/>
      <c r="W384" s="711"/>
      <c r="X384" s="711"/>
      <c r="Y384" s="711"/>
      <c r="Z384" s="711"/>
      <c r="AA384" s="711"/>
      <c r="AB384" s="710"/>
      <c r="AC384" s="711"/>
      <c r="AD384" s="710"/>
      <c r="AE384" s="711"/>
      <c r="AF384" s="710"/>
    </row>
    <row r="385" spans="4:32" s="705" customFormat="1" ht="15">
      <c r="D385" s="718"/>
      <c r="E385" s="714"/>
      <c r="F385" s="1705"/>
      <c r="G385" s="1705"/>
      <c r="H385" s="710"/>
      <c r="I385" s="710"/>
      <c r="J385" s="710"/>
      <c r="K385" s="710"/>
      <c r="L385" s="710"/>
      <c r="M385" s="710"/>
      <c r="N385" s="710"/>
      <c r="O385" s="710"/>
      <c r="P385" s="710"/>
      <c r="Q385" s="710"/>
      <c r="R385" s="711"/>
      <c r="S385" s="711"/>
      <c r="T385" s="711"/>
      <c r="U385" s="711"/>
      <c r="V385" s="711"/>
      <c r="W385" s="711"/>
      <c r="X385" s="711"/>
      <c r="Y385" s="711"/>
      <c r="Z385" s="711"/>
      <c r="AA385" s="711"/>
      <c r="AB385" s="710"/>
      <c r="AC385" s="711"/>
      <c r="AD385" s="710"/>
      <c r="AE385" s="711"/>
      <c r="AF385" s="710"/>
    </row>
    <row r="386" spans="4:32" s="705" customFormat="1" ht="15">
      <c r="D386" s="718"/>
      <c r="E386" s="714"/>
      <c r="F386" s="1705"/>
      <c r="G386" s="1705"/>
      <c r="H386" s="710"/>
      <c r="I386" s="710"/>
      <c r="J386" s="710"/>
      <c r="K386" s="710"/>
      <c r="L386" s="710"/>
      <c r="M386" s="710"/>
      <c r="N386" s="710"/>
      <c r="O386" s="710"/>
      <c r="P386" s="710"/>
      <c r="Q386" s="710"/>
      <c r="R386" s="711"/>
      <c r="S386" s="711"/>
      <c r="T386" s="711"/>
      <c r="U386" s="711"/>
      <c r="V386" s="711"/>
      <c r="W386" s="711"/>
      <c r="X386" s="711"/>
      <c r="Y386" s="711"/>
      <c r="Z386" s="711"/>
      <c r="AA386" s="711"/>
      <c r="AB386" s="710"/>
      <c r="AC386" s="711"/>
      <c r="AD386" s="710"/>
      <c r="AE386" s="711"/>
      <c r="AF386" s="710"/>
    </row>
    <row r="387" spans="4:32" s="705" customFormat="1" ht="15">
      <c r="D387" s="718"/>
      <c r="E387" s="715"/>
      <c r="F387" s="1705"/>
      <c r="G387" s="1705"/>
      <c r="H387" s="710"/>
      <c r="I387" s="710"/>
      <c r="J387" s="710"/>
      <c r="K387" s="710"/>
      <c r="L387" s="710"/>
      <c r="M387" s="710"/>
      <c r="N387" s="710"/>
      <c r="O387" s="710"/>
      <c r="P387" s="710"/>
      <c r="Q387" s="710"/>
      <c r="R387" s="711"/>
      <c r="S387" s="711"/>
      <c r="T387" s="711"/>
      <c r="U387" s="711"/>
      <c r="V387" s="711"/>
      <c r="W387" s="711"/>
      <c r="X387" s="711"/>
      <c r="Y387" s="711"/>
      <c r="Z387" s="711"/>
      <c r="AA387" s="711"/>
      <c r="AB387" s="710"/>
      <c r="AC387" s="711"/>
      <c r="AD387" s="710"/>
      <c r="AE387" s="711"/>
      <c r="AF387" s="710"/>
    </row>
    <row r="388" spans="4:32" s="705" customFormat="1" ht="15">
      <c r="D388" s="718"/>
      <c r="E388" s="715"/>
      <c r="F388" s="1705"/>
      <c r="G388" s="1705"/>
      <c r="H388" s="710"/>
      <c r="I388" s="710"/>
      <c r="J388" s="710"/>
      <c r="K388" s="710"/>
      <c r="L388" s="710"/>
      <c r="M388" s="710"/>
      <c r="N388" s="710"/>
      <c r="O388" s="710"/>
      <c r="P388" s="710"/>
      <c r="Q388" s="710"/>
      <c r="R388" s="711"/>
      <c r="S388" s="711"/>
      <c r="T388" s="711"/>
      <c r="U388" s="711"/>
      <c r="V388" s="711"/>
      <c r="W388" s="711"/>
      <c r="X388" s="711"/>
      <c r="Y388" s="711"/>
      <c r="Z388" s="711"/>
      <c r="AA388" s="711"/>
      <c r="AB388" s="710"/>
      <c r="AC388" s="711"/>
      <c r="AD388" s="710"/>
      <c r="AE388" s="711"/>
      <c r="AF388" s="710"/>
    </row>
    <row r="389" spans="4:32" s="705" customFormat="1" ht="15">
      <c r="D389" s="718"/>
      <c r="E389" s="715"/>
      <c r="F389" s="1705"/>
      <c r="G389" s="1705"/>
      <c r="H389" s="710"/>
      <c r="I389" s="710"/>
      <c r="J389" s="710"/>
      <c r="K389" s="710"/>
      <c r="L389" s="710"/>
      <c r="M389" s="710"/>
      <c r="N389" s="710"/>
      <c r="O389" s="710"/>
      <c r="P389" s="710"/>
      <c r="Q389" s="710"/>
      <c r="R389" s="711"/>
      <c r="S389" s="711"/>
      <c r="T389" s="711"/>
      <c r="U389" s="711"/>
      <c r="V389" s="711"/>
      <c r="W389" s="711"/>
      <c r="X389" s="711"/>
      <c r="Y389" s="711"/>
      <c r="Z389" s="711"/>
      <c r="AA389" s="711"/>
      <c r="AB389" s="710"/>
      <c r="AC389" s="711"/>
      <c r="AD389" s="710"/>
      <c r="AE389" s="711"/>
      <c r="AF389" s="710"/>
    </row>
    <row r="390" spans="4:32" s="705" customFormat="1" ht="15">
      <c r="D390" s="718"/>
      <c r="E390" s="715"/>
      <c r="F390" s="1705"/>
      <c r="G390" s="1705"/>
      <c r="H390" s="710"/>
      <c r="I390" s="710"/>
      <c r="J390" s="710"/>
      <c r="K390" s="710"/>
      <c r="L390" s="710"/>
      <c r="M390" s="710"/>
      <c r="N390" s="710"/>
      <c r="O390" s="710"/>
      <c r="P390" s="710"/>
      <c r="Q390" s="710"/>
      <c r="R390" s="711"/>
      <c r="S390" s="711"/>
      <c r="T390" s="711"/>
      <c r="U390" s="711"/>
      <c r="V390" s="711"/>
      <c r="W390" s="711"/>
      <c r="X390" s="711"/>
      <c r="Y390" s="711"/>
      <c r="Z390" s="711"/>
      <c r="AA390" s="711"/>
      <c r="AB390" s="710"/>
      <c r="AC390" s="711"/>
      <c r="AD390" s="710"/>
      <c r="AE390" s="711"/>
      <c r="AF390" s="710"/>
    </row>
    <row r="391" spans="4:32" s="705" customFormat="1" ht="15">
      <c r="D391" s="718"/>
      <c r="E391" s="715"/>
      <c r="F391" s="1705"/>
      <c r="G391" s="1705"/>
      <c r="H391" s="710"/>
      <c r="I391" s="710"/>
      <c r="J391" s="710"/>
      <c r="K391" s="710"/>
      <c r="L391" s="710"/>
      <c r="M391" s="710"/>
      <c r="N391" s="710"/>
      <c r="O391" s="710"/>
      <c r="P391" s="710"/>
      <c r="Q391" s="710"/>
      <c r="R391" s="711"/>
      <c r="S391" s="711"/>
      <c r="T391" s="711"/>
      <c r="U391" s="711"/>
      <c r="V391" s="711"/>
      <c r="W391" s="711"/>
      <c r="X391" s="711"/>
      <c r="Y391" s="711"/>
      <c r="Z391" s="711"/>
      <c r="AA391" s="711"/>
      <c r="AB391" s="710"/>
      <c r="AC391" s="711"/>
      <c r="AD391" s="710"/>
      <c r="AE391" s="711"/>
      <c r="AF391" s="710"/>
    </row>
    <row r="392" spans="4:32" s="705" customFormat="1" ht="15">
      <c r="D392" s="718"/>
      <c r="E392" s="715"/>
      <c r="F392" s="1705"/>
      <c r="G392" s="1705"/>
      <c r="H392" s="710"/>
      <c r="I392" s="710"/>
      <c r="J392" s="710"/>
      <c r="K392" s="710"/>
      <c r="L392" s="710"/>
      <c r="M392" s="710"/>
      <c r="N392" s="710"/>
      <c r="O392" s="710"/>
      <c r="P392" s="710"/>
      <c r="Q392" s="710"/>
      <c r="R392" s="711"/>
      <c r="S392" s="711"/>
      <c r="T392" s="711"/>
      <c r="U392" s="711"/>
      <c r="V392" s="711"/>
      <c r="W392" s="711"/>
      <c r="X392" s="711"/>
      <c r="Y392" s="711"/>
      <c r="Z392" s="711"/>
      <c r="AA392" s="711"/>
      <c r="AB392" s="710"/>
      <c r="AC392" s="711"/>
      <c r="AD392" s="710"/>
      <c r="AE392" s="711"/>
      <c r="AF392" s="710"/>
    </row>
    <row r="393" spans="4:32" s="705" customFormat="1" ht="15">
      <c r="D393" s="718"/>
      <c r="E393" s="715"/>
      <c r="F393" s="1705"/>
      <c r="G393" s="1705"/>
      <c r="H393" s="710"/>
      <c r="I393" s="710"/>
      <c r="J393" s="710"/>
      <c r="K393" s="710"/>
      <c r="L393" s="710"/>
      <c r="M393" s="710"/>
      <c r="N393" s="710"/>
      <c r="O393" s="710"/>
      <c r="P393" s="710"/>
      <c r="Q393" s="710"/>
      <c r="R393" s="711"/>
      <c r="S393" s="711"/>
      <c r="T393" s="711"/>
      <c r="U393" s="711"/>
      <c r="V393" s="711"/>
      <c r="W393" s="711"/>
      <c r="X393" s="711"/>
      <c r="Y393" s="711"/>
      <c r="Z393" s="711"/>
      <c r="AA393" s="711"/>
      <c r="AB393" s="710"/>
      <c r="AC393" s="711"/>
      <c r="AD393" s="710"/>
      <c r="AE393" s="711"/>
      <c r="AF393" s="710"/>
    </row>
    <row r="394" spans="4:32" s="705" customFormat="1" ht="15">
      <c r="D394" s="718"/>
      <c r="E394" s="715"/>
      <c r="F394" s="1705"/>
      <c r="G394" s="1705"/>
      <c r="H394" s="710"/>
      <c r="I394" s="710"/>
      <c r="J394" s="710"/>
      <c r="K394" s="710"/>
      <c r="L394" s="710"/>
      <c r="M394" s="710"/>
      <c r="N394" s="710"/>
      <c r="O394" s="710"/>
      <c r="P394" s="710"/>
      <c r="Q394" s="710"/>
      <c r="R394" s="711"/>
      <c r="S394" s="711"/>
      <c r="T394" s="711"/>
      <c r="U394" s="711"/>
      <c r="V394" s="711"/>
      <c r="W394" s="711"/>
      <c r="X394" s="711"/>
      <c r="Y394" s="711"/>
      <c r="Z394" s="711"/>
      <c r="AA394" s="711"/>
      <c r="AB394" s="710"/>
      <c r="AC394" s="711"/>
      <c r="AD394" s="710"/>
      <c r="AE394" s="711"/>
      <c r="AF394" s="710"/>
    </row>
    <row r="395" spans="4:32" s="705" customFormat="1" ht="15">
      <c r="D395" s="719"/>
      <c r="E395" s="715"/>
      <c r="F395" s="1705"/>
      <c r="G395" s="1705"/>
      <c r="H395" s="710"/>
      <c r="I395" s="710"/>
      <c r="J395" s="710"/>
      <c r="K395" s="710"/>
      <c r="L395" s="710"/>
      <c r="M395" s="710"/>
      <c r="N395" s="710"/>
      <c r="O395" s="710"/>
      <c r="P395" s="710"/>
      <c r="Q395" s="710"/>
      <c r="R395" s="711"/>
      <c r="S395" s="711"/>
      <c r="T395" s="711"/>
      <c r="U395" s="711"/>
      <c r="V395" s="711"/>
      <c r="W395" s="711"/>
      <c r="X395" s="711"/>
      <c r="Y395" s="711"/>
      <c r="Z395" s="711"/>
      <c r="AA395" s="711"/>
      <c r="AB395" s="710"/>
      <c r="AC395" s="711"/>
      <c r="AD395" s="710"/>
      <c r="AE395" s="711"/>
      <c r="AF395" s="710"/>
    </row>
    <row r="396" spans="4:32" s="705" customFormat="1" ht="15">
      <c r="D396" s="719"/>
      <c r="E396" s="716"/>
      <c r="F396" s="1705"/>
      <c r="G396" s="1705"/>
      <c r="H396" s="710"/>
      <c r="I396" s="710"/>
      <c r="J396" s="710"/>
      <c r="K396" s="710"/>
      <c r="L396" s="710"/>
      <c r="M396" s="710"/>
      <c r="N396" s="710"/>
      <c r="O396" s="710"/>
      <c r="P396" s="710"/>
      <c r="Q396" s="710"/>
      <c r="R396" s="711"/>
      <c r="S396" s="711"/>
      <c r="T396" s="711"/>
      <c r="U396" s="711"/>
      <c r="V396" s="711"/>
      <c r="W396" s="711"/>
      <c r="X396" s="711"/>
      <c r="Y396" s="711"/>
      <c r="Z396" s="711"/>
      <c r="AA396" s="711"/>
      <c r="AB396" s="710"/>
      <c r="AC396" s="711"/>
      <c r="AD396" s="710"/>
      <c r="AE396" s="711"/>
      <c r="AF396" s="710"/>
    </row>
    <row r="397" spans="4:32" s="705" customFormat="1" ht="15">
      <c r="D397" s="719"/>
      <c r="E397" s="716"/>
      <c r="F397" s="1705"/>
      <c r="G397" s="1705"/>
      <c r="H397" s="710"/>
      <c r="I397" s="710"/>
      <c r="J397" s="710"/>
      <c r="K397" s="710"/>
      <c r="L397" s="710"/>
      <c r="M397" s="710"/>
      <c r="N397" s="710"/>
      <c r="O397" s="710"/>
      <c r="P397" s="710"/>
      <c r="Q397" s="710"/>
      <c r="R397" s="711"/>
      <c r="S397" s="711"/>
      <c r="T397" s="711"/>
      <c r="U397" s="711"/>
      <c r="V397" s="711"/>
      <c r="W397" s="711"/>
      <c r="X397" s="711"/>
      <c r="Y397" s="711"/>
      <c r="Z397" s="711"/>
      <c r="AA397" s="711"/>
      <c r="AB397" s="710"/>
      <c r="AC397" s="711"/>
      <c r="AD397" s="710"/>
      <c r="AE397" s="711"/>
      <c r="AF397" s="710"/>
    </row>
    <row r="398" spans="4:32" s="705" customFormat="1" ht="15">
      <c r="D398" s="719"/>
      <c r="E398" s="716"/>
      <c r="F398" s="1705"/>
      <c r="G398" s="1705"/>
      <c r="H398" s="710"/>
      <c r="I398" s="710"/>
      <c r="J398" s="710"/>
      <c r="K398" s="710"/>
      <c r="L398" s="710"/>
      <c r="M398" s="710"/>
      <c r="N398" s="710"/>
      <c r="O398" s="710"/>
      <c r="P398" s="710"/>
      <c r="Q398" s="710"/>
      <c r="R398" s="711"/>
      <c r="S398" s="711"/>
      <c r="T398" s="711"/>
      <c r="U398" s="711"/>
      <c r="V398" s="711"/>
      <c r="W398" s="711"/>
      <c r="X398" s="711"/>
      <c r="Y398" s="711"/>
      <c r="Z398" s="711"/>
      <c r="AA398" s="711"/>
      <c r="AB398" s="710"/>
      <c r="AC398" s="711"/>
      <c r="AD398" s="710"/>
      <c r="AE398" s="711"/>
      <c r="AF398" s="710"/>
    </row>
    <row r="399" spans="4:32" s="705" customFormat="1" ht="15">
      <c r="D399" s="719"/>
      <c r="E399" s="716"/>
      <c r="F399" s="1705"/>
      <c r="G399" s="1705"/>
      <c r="H399" s="710"/>
      <c r="I399" s="710"/>
      <c r="J399" s="710"/>
      <c r="K399" s="710"/>
      <c r="L399" s="710"/>
      <c r="M399" s="710"/>
      <c r="N399" s="710"/>
      <c r="O399" s="710"/>
      <c r="P399" s="710"/>
      <c r="Q399" s="710"/>
      <c r="R399" s="711"/>
      <c r="S399" s="711"/>
      <c r="T399" s="711"/>
      <c r="U399" s="711"/>
      <c r="V399" s="711"/>
      <c r="W399" s="711"/>
      <c r="X399" s="711"/>
      <c r="Y399" s="711"/>
      <c r="Z399" s="711"/>
      <c r="AA399" s="711"/>
      <c r="AB399" s="710"/>
      <c r="AC399" s="711"/>
      <c r="AD399" s="710"/>
      <c r="AE399" s="711"/>
      <c r="AF399" s="710"/>
    </row>
    <row r="400" spans="4:32" s="705" customFormat="1" ht="15">
      <c r="D400" s="719"/>
      <c r="E400" s="716"/>
      <c r="F400" s="1705"/>
      <c r="G400" s="1705"/>
      <c r="H400" s="710"/>
      <c r="I400" s="710"/>
      <c r="J400" s="710"/>
      <c r="K400" s="710"/>
      <c r="L400" s="710"/>
      <c r="M400" s="710"/>
      <c r="N400" s="710"/>
      <c r="O400" s="710"/>
      <c r="P400" s="710"/>
      <c r="Q400" s="710"/>
      <c r="R400" s="711"/>
      <c r="S400" s="711"/>
      <c r="T400" s="711"/>
      <c r="U400" s="711"/>
      <c r="V400" s="711"/>
      <c r="W400" s="711"/>
      <c r="X400" s="711"/>
      <c r="Y400" s="711"/>
      <c r="Z400" s="711"/>
      <c r="AA400" s="711"/>
      <c r="AB400" s="710"/>
      <c r="AC400" s="711"/>
      <c r="AD400" s="710"/>
      <c r="AE400" s="711"/>
      <c r="AF400" s="710"/>
    </row>
    <row r="401" spans="4:32" s="705" customFormat="1" ht="15">
      <c r="D401" s="719"/>
      <c r="E401" s="716"/>
      <c r="F401" s="1705"/>
      <c r="G401" s="1705"/>
      <c r="H401" s="710"/>
      <c r="I401" s="710"/>
      <c r="J401" s="710"/>
      <c r="K401" s="710"/>
      <c r="L401" s="710"/>
      <c r="M401" s="710"/>
      <c r="N401" s="710"/>
      <c r="O401" s="710"/>
      <c r="P401" s="710"/>
      <c r="Q401" s="710"/>
      <c r="R401" s="711"/>
      <c r="S401" s="711"/>
      <c r="T401" s="711"/>
      <c r="U401" s="711"/>
      <c r="V401" s="711"/>
      <c r="W401" s="711"/>
      <c r="X401" s="711"/>
      <c r="Y401" s="711"/>
      <c r="Z401" s="711"/>
      <c r="AA401" s="711"/>
      <c r="AB401" s="710"/>
      <c r="AC401" s="711"/>
      <c r="AD401" s="710"/>
      <c r="AE401" s="711"/>
      <c r="AF401" s="710"/>
    </row>
    <row r="402" spans="4:32" s="705" customFormat="1" ht="15">
      <c r="D402" s="719"/>
      <c r="E402" s="1709"/>
      <c r="F402" s="1705"/>
      <c r="G402" s="1705"/>
      <c r="H402" s="710"/>
      <c r="I402" s="710"/>
      <c r="J402" s="710"/>
      <c r="K402" s="710"/>
      <c r="L402" s="710"/>
      <c r="M402" s="710"/>
      <c r="N402" s="710"/>
      <c r="O402" s="710"/>
      <c r="P402" s="710"/>
      <c r="Q402" s="710"/>
      <c r="R402" s="711"/>
      <c r="S402" s="711"/>
      <c r="T402" s="711"/>
      <c r="U402" s="711"/>
      <c r="V402" s="711"/>
      <c r="W402" s="711"/>
      <c r="X402" s="711"/>
      <c r="Y402" s="711"/>
      <c r="Z402" s="711"/>
      <c r="AA402" s="711"/>
      <c r="AB402" s="710"/>
      <c r="AC402" s="711"/>
      <c r="AD402" s="710"/>
      <c r="AE402" s="711"/>
      <c r="AF402" s="710"/>
    </row>
    <row r="403" spans="4:32" s="705" customFormat="1" ht="15">
      <c r="D403" s="719"/>
      <c r="E403" s="1709"/>
      <c r="F403" s="1705"/>
      <c r="G403" s="1705"/>
      <c r="H403" s="710"/>
      <c r="I403" s="710"/>
      <c r="J403" s="710"/>
      <c r="K403" s="710"/>
      <c r="L403" s="710"/>
      <c r="M403" s="710"/>
      <c r="N403" s="710"/>
      <c r="O403" s="710"/>
      <c r="P403" s="710"/>
      <c r="Q403" s="710"/>
      <c r="R403" s="711"/>
      <c r="S403" s="711"/>
      <c r="T403" s="711"/>
      <c r="U403" s="711"/>
      <c r="V403" s="711"/>
      <c r="W403" s="711"/>
      <c r="X403" s="711"/>
      <c r="Y403" s="711"/>
      <c r="Z403" s="711"/>
      <c r="AA403" s="711"/>
      <c r="AB403" s="710"/>
      <c r="AC403" s="711"/>
      <c r="AD403" s="710"/>
      <c r="AE403" s="711"/>
      <c r="AF403" s="710"/>
    </row>
    <row r="404" spans="4:32" s="705" customFormat="1" ht="15">
      <c r="D404" s="719"/>
      <c r="E404" s="1709"/>
      <c r="F404" s="1705"/>
      <c r="G404" s="1705"/>
      <c r="H404" s="710"/>
      <c r="I404" s="710"/>
      <c r="J404" s="710"/>
      <c r="K404" s="710"/>
      <c r="L404" s="710"/>
      <c r="M404" s="710"/>
      <c r="N404" s="710"/>
      <c r="O404" s="710"/>
      <c r="P404" s="710"/>
      <c r="Q404" s="710"/>
      <c r="R404" s="711"/>
      <c r="S404" s="711"/>
      <c r="T404" s="711"/>
      <c r="U404" s="711"/>
      <c r="V404" s="711"/>
      <c r="W404" s="711"/>
      <c r="X404" s="711"/>
      <c r="Y404" s="711"/>
      <c r="Z404" s="711"/>
      <c r="AA404" s="711"/>
      <c r="AB404" s="710"/>
      <c r="AC404" s="711"/>
      <c r="AD404" s="710"/>
      <c r="AE404" s="711"/>
      <c r="AF404" s="710"/>
    </row>
    <row r="405" spans="4:32" s="705" customFormat="1" ht="15">
      <c r="D405" s="719"/>
      <c r="E405" s="714"/>
      <c r="F405" s="1705"/>
      <c r="G405" s="1705"/>
      <c r="H405" s="710"/>
      <c r="I405" s="710"/>
      <c r="J405" s="710"/>
      <c r="K405" s="710"/>
      <c r="L405" s="710"/>
      <c r="M405" s="710"/>
      <c r="N405" s="710"/>
      <c r="O405" s="710"/>
      <c r="P405" s="710"/>
      <c r="Q405" s="710"/>
      <c r="R405" s="711"/>
      <c r="S405" s="711"/>
      <c r="T405" s="711"/>
      <c r="U405" s="711"/>
      <c r="V405" s="711"/>
      <c r="W405" s="711"/>
      <c r="X405" s="711"/>
      <c r="Y405" s="711"/>
      <c r="Z405" s="711"/>
      <c r="AA405" s="711"/>
      <c r="AB405" s="710"/>
      <c r="AC405" s="711"/>
      <c r="AD405" s="710"/>
      <c r="AE405" s="711"/>
      <c r="AF405" s="710"/>
    </row>
    <row r="406" spans="4:32" s="705" customFormat="1" ht="15">
      <c r="D406" s="719"/>
      <c r="E406" s="716"/>
      <c r="F406" s="1705"/>
      <c r="G406" s="1705"/>
      <c r="H406" s="710"/>
      <c r="I406" s="710"/>
      <c r="J406" s="710"/>
      <c r="K406" s="710"/>
      <c r="L406" s="710"/>
      <c r="M406" s="710"/>
      <c r="N406" s="710"/>
      <c r="O406" s="710"/>
      <c r="P406" s="710"/>
      <c r="Q406" s="710"/>
      <c r="R406" s="711"/>
      <c r="S406" s="711"/>
      <c r="T406" s="711"/>
      <c r="U406" s="711"/>
      <c r="V406" s="711"/>
      <c r="W406" s="711"/>
      <c r="X406" s="711"/>
      <c r="Y406" s="711"/>
      <c r="Z406" s="711"/>
      <c r="AA406" s="711"/>
      <c r="AB406" s="710"/>
      <c r="AC406" s="711"/>
      <c r="AD406" s="710"/>
      <c r="AE406" s="711"/>
      <c r="AF406" s="710"/>
    </row>
    <row r="407" spans="4:32" s="705" customFormat="1" ht="15">
      <c r="D407" s="719"/>
      <c r="E407" s="714"/>
      <c r="F407" s="1705"/>
      <c r="G407" s="1705"/>
      <c r="H407" s="710"/>
      <c r="I407" s="710"/>
      <c r="J407" s="710"/>
      <c r="K407" s="710"/>
      <c r="L407" s="710"/>
      <c r="M407" s="710"/>
      <c r="N407" s="710"/>
      <c r="O407" s="710"/>
      <c r="P407" s="710"/>
      <c r="Q407" s="710"/>
      <c r="R407" s="711"/>
      <c r="S407" s="711"/>
      <c r="T407" s="711"/>
      <c r="U407" s="711"/>
      <c r="V407" s="711"/>
      <c r="W407" s="711"/>
      <c r="X407" s="711"/>
      <c r="Y407" s="711"/>
      <c r="Z407" s="711"/>
      <c r="AA407" s="711"/>
      <c r="AB407" s="710"/>
      <c r="AC407" s="711"/>
      <c r="AD407" s="710"/>
      <c r="AE407" s="711"/>
      <c r="AF407" s="710"/>
    </row>
    <row r="408" spans="4:32" s="705" customFormat="1" ht="15">
      <c r="D408" s="719"/>
      <c r="E408" s="714"/>
      <c r="F408" s="1705"/>
      <c r="G408" s="1705"/>
      <c r="H408" s="710"/>
      <c r="I408" s="710"/>
      <c r="J408" s="710"/>
      <c r="K408" s="710"/>
      <c r="L408" s="710"/>
      <c r="M408" s="710"/>
      <c r="N408" s="710"/>
      <c r="O408" s="710"/>
      <c r="P408" s="710"/>
      <c r="Q408" s="710"/>
      <c r="R408" s="711"/>
      <c r="S408" s="711"/>
      <c r="T408" s="711"/>
      <c r="U408" s="711"/>
      <c r="V408" s="711"/>
      <c r="W408" s="711"/>
      <c r="X408" s="711"/>
      <c r="Y408" s="711"/>
      <c r="Z408" s="711"/>
      <c r="AA408" s="711"/>
      <c r="AB408" s="710"/>
      <c r="AC408" s="711"/>
      <c r="AD408" s="710"/>
      <c r="AE408" s="711"/>
      <c r="AF408" s="710"/>
    </row>
    <row r="409" spans="4:32" s="705" customFormat="1" ht="15">
      <c r="D409" s="719"/>
      <c r="E409" s="714"/>
      <c r="F409" s="1705"/>
      <c r="G409" s="1705"/>
      <c r="H409" s="710"/>
      <c r="I409" s="710"/>
      <c r="J409" s="710"/>
      <c r="K409" s="710"/>
      <c r="L409" s="710"/>
      <c r="M409" s="710"/>
      <c r="N409" s="710"/>
      <c r="O409" s="710"/>
      <c r="P409" s="710"/>
      <c r="Q409" s="710"/>
      <c r="R409" s="711"/>
      <c r="S409" s="711"/>
      <c r="T409" s="711"/>
      <c r="U409" s="711"/>
      <c r="V409" s="711"/>
      <c r="W409" s="711"/>
      <c r="X409" s="711"/>
      <c r="Y409" s="711"/>
      <c r="Z409" s="711"/>
      <c r="AA409" s="711"/>
      <c r="AB409" s="710"/>
      <c r="AC409" s="711"/>
      <c r="AD409" s="710"/>
      <c r="AE409" s="711"/>
      <c r="AF409" s="710"/>
    </row>
    <row r="410" spans="4:32" s="705" customFormat="1" ht="15">
      <c r="D410" s="719"/>
      <c r="E410" s="715"/>
      <c r="F410" s="1705"/>
      <c r="G410" s="1705"/>
      <c r="H410" s="710"/>
      <c r="I410" s="710"/>
      <c r="J410" s="710"/>
      <c r="K410" s="710"/>
      <c r="L410" s="710"/>
      <c r="M410" s="710"/>
      <c r="N410" s="710"/>
      <c r="O410" s="710"/>
      <c r="P410" s="710"/>
      <c r="Q410" s="710"/>
      <c r="R410" s="711"/>
      <c r="S410" s="711"/>
      <c r="T410" s="711"/>
      <c r="U410" s="711"/>
      <c r="V410" s="711"/>
      <c r="W410" s="711"/>
      <c r="X410" s="711"/>
      <c r="Y410" s="711"/>
      <c r="Z410" s="711"/>
      <c r="AA410" s="711"/>
      <c r="AB410" s="710"/>
      <c r="AC410" s="711"/>
      <c r="AD410" s="710"/>
      <c r="AE410" s="711"/>
      <c r="AF410" s="710"/>
    </row>
    <row r="411" spans="4:32" s="705" customFormat="1" ht="15">
      <c r="D411" s="719"/>
      <c r="E411" s="715"/>
      <c r="F411" s="1705"/>
      <c r="G411" s="1705"/>
      <c r="H411" s="710"/>
      <c r="I411" s="710"/>
      <c r="J411" s="710"/>
      <c r="K411" s="710"/>
      <c r="L411" s="710"/>
      <c r="M411" s="710"/>
      <c r="N411" s="710"/>
      <c r="O411" s="710"/>
      <c r="P411" s="710"/>
      <c r="Q411" s="710"/>
      <c r="R411" s="711"/>
      <c r="S411" s="711"/>
      <c r="T411" s="711"/>
      <c r="U411" s="711"/>
      <c r="V411" s="711"/>
      <c r="W411" s="711"/>
      <c r="X411" s="711"/>
      <c r="Y411" s="711"/>
      <c r="Z411" s="711"/>
      <c r="AA411" s="711"/>
      <c r="AB411" s="710"/>
      <c r="AC411" s="711"/>
      <c r="AD411" s="710"/>
      <c r="AE411" s="711"/>
      <c r="AF411" s="710"/>
    </row>
    <row r="412" spans="4:32" s="705" customFormat="1" ht="15">
      <c r="D412" s="719"/>
      <c r="E412" s="715"/>
      <c r="F412" s="1705"/>
      <c r="G412" s="1705"/>
      <c r="H412" s="710"/>
      <c r="I412" s="710"/>
      <c r="J412" s="710"/>
      <c r="K412" s="710"/>
      <c r="L412" s="710"/>
      <c r="M412" s="710"/>
      <c r="N412" s="710"/>
      <c r="O412" s="710"/>
      <c r="P412" s="710"/>
      <c r="Q412" s="710"/>
      <c r="R412" s="711"/>
      <c r="S412" s="711"/>
      <c r="T412" s="711"/>
      <c r="U412" s="711"/>
      <c r="V412" s="711"/>
      <c r="W412" s="711"/>
      <c r="X412" s="711"/>
      <c r="Y412" s="711"/>
      <c r="Z412" s="711"/>
      <c r="AA412" s="711"/>
      <c r="AB412" s="710"/>
      <c r="AC412" s="711"/>
      <c r="AD412" s="710"/>
      <c r="AE412" s="711"/>
      <c r="AF412" s="710"/>
    </row>
    <row r="413" spans="4:32" s="705" customFormat="1" ht="15">
      <c r="D413" s="719"/>
      <c r="E413" s="715"/>
      <c r="F413" s="1705"/>
      <c r="G413" s="1705"/>
      <c r="H413" s="710"/>
      <c r="I413" s="710"/>
      <c r="J413" s="710"/>
      <c r="K413" s="710"/>
      <c r="L413" s="710"/>
      <c r="M413" s="710"/>
      <c r="N413" s="710"/>
      <c r="O413" s="710"/>
      <c r="P413" s="710"/>
      <c r="Q413" s="710"/>
      <c r="R413" s="711"/>
      <c r="S413" s="711"/>
      <c r="T413" s="711"/>
      <c r="U413" s="711"/>
      <c r="V413" s="711"/>
      <c r="W413" s="711"/>
      <c r="X413" s="711"/>
      <c r="Y413" s="711"/>
      <c r="Z413" s="711"/>
      <c r="AA413" s="711"/>
      <c r="AB413" s="710"/>
      <c r="AC413" s="711"/>
      <c r="AD413" s="710"/>
      <c r="AE413" s="711"/>
      <c r="AF413" s="710"/>
    </row>
    <row r="414" spans="4:32" s="705" customFormat="1" ht="15">
      <c r="D414" s="706"/>
      <c r="E414" s="2484"/>
      <c r="F414" s="2480"/>
      <c r="G414" s="2480"/>
      <c r="H414" s="2476"/>
      <c r="I414" s="2476"/>
      <c r="J414" s="2476"/>
      <c r="K414" s="2476"/>
      <c r="L414" s="2476"/>
      <c r="M414" s="2476"/>
      <c r="N414" s="2476"/>
      <c r="O414" s="2476"/>
      <c r="P414" s="2476"/>
      <c r="Q414" s="2476"/>
      <c r="R414" s="2476"/>
      <c r="S414" s="2476"/>
      <c r="T414" s="2476"/>
      <c r="U414" s="2476"/>
      <c r="V414" s="2476"/>
      <c r="W414" s="2476"/>
      <c r="X414" s="2476"/>
      <c r="Y414" s="2476"/>
      <c r="Z414" s="2476"/>
      <c r="AA414" s="2476"/>
      <c r="AB414" s="707"/>
      <c r="AC414" s="707"/>
      <c r="AD414" s="707"/>
      <c r="AE414" s="707"/>
      <c r="AF414" s="707"/>
    </row>
    <row r="415" spans="4:32" s="705" customFormat="1" ht="15">
      <c r="D415" s="706"/>
      <c r="E415" s="2479"/>
      <c r="F415" s="2480"/>
      <c r="G415" s="2480"/>
      <c r="H415" s="709"/>
      <c r="I415" s="709"/>
      <c r="J415" s="709"/>
      <c r="K415" s="709"/>
      <c r="L415" s="709"/>
      <c r="M415" s="709"/>
      <c r="N415" s="709"/>
      <c r="O415" s="709"/>
      <c r="P415" s="709"/>
      <c r="Q415" s="709"/>
      <c r="R415" s="709"/>
      <c r="S415" s="709"/>
      <c r="T415" s="709"/>
      <c r="U415" s="709"/>
      <c r="V415" s="709"/>
      <c r="W415" s="709"/>
      <c r="X415" s="709"/>
      <c r="Y415" s="709"/>
      <c r="Z415" s="709"/>
      <c r="AA415" s="709"/>
      <c r="AB415" s="1703"/>
      <c r="AC415" s="1703"/>
      <c r="AD415" s="1703"/>
      <c r="AE415" s="1703"/>
      <c r="AF415" s="1703"/>
    </row>
    <row r="416" spans="4:32" s="705" customFormat="1" ht="15">
      <c r="D416" s="719"/>
      <c r="E416" s="1705"/>
      <c r="F416" s="1706"/>
      <c r="G416" s="1706"/>
      <c r="H416" s="709"/>
      <c r="I416" s="709"/>
      <c r="J416" s="709"/>
      <c r="K416" s="709"/>
      <c r="L416" s="709"/>
      <c r="M416" s="709"/>
      <c r="N416" s="709"/>
      <c r="O416" s="709"/>
      <c r="P416" s="709"/>
      <c r="Q416" s="709"/>
      <c r="R416" s="709"/>
      <c r="S416" s="709"/>
      <c r="T416" s="709"/>
      <c r="U416" s="709"/>
      <c r="V416" s="709"/>
      <c r="W416" s="709"/>
      <c r="X416" s="709"/>
      <c r="Y416" s="709"/>
      <c r="Z416" s="709"/>
      <c r="AA416" s="709"/>
      <c r="AB416" s="1703"/>
      <c r="AC416" s="1703"/>
      <c r="AD416" s="1703"/>
      <c r="AE416" s="1703"/>
      <c r="AF416" s="1703"/>
    </row>
    <row r="417" spans="4:32" s="705" customFormat="1" ht="15">
      <c r="D417" s="719"/>
      <c r="E417" s="712"/>
      <c r="F417" s="1705"/>
      <c r="G417" s="1705"/>
      <c r="H417" s="710"/>
      <c r="I417" s="710"/>
      <c r="J417" s="710"/>
      <c r="K417" s="710"/>
      <c r="L417" s="710"/>
      <c r="M417" s="710"/>
      <c r="N417" s="710"/>
      <c r="O417" s="710"/>
      <c r="P417" s="710"/>
      <c r="Q417" s="710"/>
      <c r="R417" s="711"/>
      <c r="S417" s="711"/>
      <c r="T417" s="711"/>
      <c r="U417" s="711"/>
      <c r="V417" s="711"/>
      <c r="W417" s="711"/>
      <c r="X417" s="711"/>
      <c r="Y417" s="711"/>
      <c r="Z417" s="711"/>
      <c r="AA417" s="711"/>
      <c r="AB417" s="710"/>
      <c r="AC417" s="711"/>
      <c r="AD417" s="710"/>
      <c r="AE417" s="711"/>
      <c r="AF417" s="710"/>
    </row>
    <row r="418" spans="4:32" s="705" customFormat="1" ht="15">
      <c r="D418" s="719"/>
      <c r="E418" s="712"/>
      <c r="F418" s="1706"/>
      <c r="G418" s="1705"/>
      <c r="H418" s="710"/>
      <c r="I418" s="710"/>
      <c r="J418" s="710"/>
      <c r="K418" s="710"/>
      <c r="L418" s="710"/>
      <c r="M418" s="710"/>
      <c r="N418" s="710"/>
      <c r="O418" s="710"/>
      <c r="P418" s="710"/>
      <c r="Q418" s="710"/>
      <c r="R418" s="711"/>
      <c r="S418" s="711"/>
      <c r="T418" s="711"/>
      <c r="U418" s="711"/>
      <c r="V418" s="711"/>
      <c r="W418" s="711"/>
      <c r="X418" s="711"/>
      <c r="Y418" s="711"/>
      <c r="Z418" s="711"/>
      <c r="AA418" s="711"/>
      <c r="AB418" s="710"/>
      <c r="AC418" s="711"/>
      <c r="AD418" s="710"/>
      <c r="AE418" s="711"/>
      <c r="AF418" s="710"/>
    </row>
    <row r="419" spans="4:32" s="705" customFormat="1" ht="15">
      <c r="D419" s="719"/>
      <c r="E419" s="712"/>
      <c r="F419" s="1705"/>
      <c r="G419" s="1705"/>
      <c r="H419" s="710"/>
      <c r="I419" s="710"/>
      <c r="J419" s="710"/>
      <c r="K419" s="710"/>
      <c r="L419" s="710"/>
      <c r="M419" s="710"/>
      <c r="N419" s="710"/>
      <c r="O419" s="710"/>
      <c r="P419" s="710"/>
      <c r="Q419" s="710"/>
      <c r="R419" s="711"/>
      <c r="S419" s="711"/>
      <c r="T419" s="711"/>
      <c r="U419" s="711"/>
      <c r="V419" s="711"/>
      <c r="W419" s="711"/>
      <c r="X419" s="711"/>
      <c r="Y419" s="711"/>
      <c r="Z419" s="711"/>
      <c r="AA419" s="711"/>
      <c r="AB419" s="710"/>
      <c r="AC419" s="711"/>
      <c r="AD419" s="710"/>
      <c r="AE419" s="711"/>
      <c r="AF419" s="710"/>
    </row>
    <row r="420" spans="4:32" s="705" customFormat="1" ht="15">
      <c r="D420" s="719"/>
      <c r="E420" s="712"/>
      <c r="F420" s="1705"/>
      <c r="G420" s="1705"/>
      <c r="H420" s="710"/>
      <c r="I420" s="710"/>
      <c r="J420" s="710"/>
      <c r="K420" s="710"/>
      <c r="L420" s="710"/>
      <c r="M420" s="710"/>
      <c r="N420" s="710"/>
      <c r="O420" s="710"/>
      <c r="P420" s="710"/>
      <c r="Q420" s="710"/>
      <c r="R420" s="711"/>
      <c r="S420" s="711"/>
      <c r="T420" s="711"/>
      <c r="U420" s="711"/>
      <c r="V420" s="711"/>
      <c r="W420" s="711"/>
      <c r="X420" s="711"/>
      <c r="Y420" s="711"/>
      <c r="Z420" s="711"/>
      <c r="AA420" s="711"/>
      <c r="AB420" s="710"/>
      <c r="AC420" s="711"/>
      <c r="AD420" s="710"/>
      <c r="AE420" s="711"/>
      <c r="AF420" s="710"/>
    </row>
    <row r="421" spans="4:32" s="705" customFormat="1" ht="15">
      <c r="D421" s="719"/>
      <c r="E421" s="714"/>
      <c r="F421" s="1705"/>
      <c r="G421" s="1705"/>
      <c r="H421" s="710"/>
      <c r="I421" s="710"/>
      <c r="J421" s="710"/>
      <c r="K421" s="710"/>
      <c r="L421" s="710"/>
      <c r="M421" s="710"/>
      <c r="N421" s="710"/>
      <c r="O421" s="710"/>
      <c r="P421" s="710"/>
      <c r="Q421" s="710"/>
      <c r="R421" s="711"/>
      <c r="S421" s="711"/>
      <c r="T421" s="711"/>
      <c r="U421" s="711"/>
      <c r="V421" s="711"/>
      <c r="W421" s="711"/>
      <c r="X421" s="711"/>
      <c r="Y421" s="711"/>
      <c r="Z421" s="711"/>
      <c r="AA421" s="711"/>
      <c r="AB421" s="710"/>
      <c r="AC421" s="711"/>
      <c r="AD421" s="710"/>
      <c r="AE421" s="711"/>
      <c r="AF421" s="710"/>
    </row>
    <row r="422" spans="4:32" s="705" customFormat="1" ht="15">
      <c r="D422" s="719"/>
      <c r="E422" s="714"/>
      <c r="F422" s="1705"/>
      <c r="G422" s="1705"/>
      <c r="H422" s="710"/>
      <c r="I422" s="710"/>
      <c r="J422" s="710"/>
      <c r="K422" s="710"/>
      <c r="L422" s="710"/>
      <c r="M422" s="710"/>
      <c r="N422" s="710"/>
      <c r="O422" s="710"/>
      <c r="P422" s="710"/>
      <c r="Q422" s="710"/>
      <c r="R422" s="711"/>
      <c r="S422" s="711"/>
      <c r="T422" s="711"/>
      <c r="U422" s="711"/>
      <c r="V422" s="711"/>
      <c r="W422" s="711"/>
      <c r="X422" s="711"/>
      <c r="Y422" s="711"/>
      <c r="Z422" s="711"/>
      <c r="AA422" s="711"/>
      <c r="AB422" s="710"/>
      <c r="AC422" s="711"/>
      <c r="AD422" s="710"/>
      <c r="AE422" s="711"/>
      <c r="AF422" s="710"/>
    </row>
    <row r="423" spans="4:32" s="705" customFormat="1" ht="15">
      <c r="D423" s="719"/>
      <c r="E423" s="714"/>
      <c r="F423" s="1705"/>
      <c r="G423" s="1705"/>
      <c r="H423" s="710"/>
      <c r="I423" s="710"/>
      <c r="J423" s="710"/>
      <c r="K423" s="710"/>
      <c r="L423" s="710"/>
      <c r="M423" s="710"/>
      <c r="N423" s="710"/>
      <c r="O423" s="710"/>
      <c r="P423" s="710"/>
      <c r="Q423" s="710"/>
      <c r="R423" s="711"/>
      <c r="S423" s="711"/>
      <c r="T423" s="711"/>
      <c r="U423" s="711"/>
      <c r="V423" s="711"/>
      <c r="W423" s="711"/>
      <c r="X423" s="711"/>
      <c r="Y423" s="711"/>
      <c r="Z423" s="711"/>
      <c r="AA423" s="711"/>
      <c r="AB423" s="710"/>
      <c r="AC423" s="711"/>
      <c r="AD423" s="710"/>
      <c r="AE423" s="711"/>
      <c r="AF423" s="710"/>
    </row>
    <row r="424" spans="4:32" s="705" customFormat="1" ht="15">
      <c r="D424" s="719"/>
      <c r="E424" s="1709"/>
      <c r="F424" s="1705"/>
      <c r="G424" s="1705"/>
      <c r="H424" s="710"/>
      <c r="I424" s="710"/>
      <c r="J424" s="710"/>
      <c r="K424" s="710"/>
      <c r="L424" s="710"/>
      <c r="M424" s="710"/>
      <c r="N424" s="710"/>
      <c r="O424" s="710"/>
      <c r="P424" s="710"/>
      <c r="Q424" s="710"/>
      <c r="R424" s="711"/>
      <c r="S424" s="711"/>
      <c r="T424" s="711"/>
      <c r="U424" s="711"/>
      <c r="V424" s="711"/>
      <c r="W424" s="711"/>
      <c r="X424" s="711"/>
      <c r="Y424" s="711"/>
      <c r="Z424" s="711"/>
      <c r="AA424" s="711"/>
      <c r="AB424" s="710"/>
      <c r="AC424" s="711"/>
      <c r="AD424" s="710"/>
      <c r="AE424" s="711"/>
      <c r="AF424" s="710"/>
    </row>
    <row r="425" spans="4:32" s="705" customFormat="1" ht="15">
      <c r="D425" s="719"/>
      <c r="E425" s="714"/>
      <c r="F425" s="1705"/>
      <c r="G425" s="1705"/>
      <c r="H425" s="710"/>
      <c r="I425" s="710"/>
      <c r="J425" s="710"/>
      <c r="K425" s="710"/>
      <c r="L425" s="710"/>
      <c r="M425" s="710"/>
      <c r="N425" s="710"/>
      <c r="O425" s="710"/>
      <c r="P425" s="710"/>
      <c r="Q425" s="710"/>
      <c r="R425" s="711"/>
      <c r="S425" s="711"/>
      <c r="T425" s="711"/>
      <c r="U425" s="711"/>
      <c r="V425" s="711"/>
      <c r="W425" s="711"/>
      <c r="X425" s="711"/>
      <c r="Y425" s="711"/>
      <c r="Z425" s="711"/>
      <c r="AA425" s="711"/>
      <c r="AB425" s="710"/>
      <c r="AC425" s="711"/>
      <c r="AD425" s="710"/>
      <c r="AE425" s="711"/>
      <c r="AF425" s="710"/>
    </row>
    <row r="426" spans="4:32" s="705" customFormat="1" ht="15">
      <c r="D426" s="719"/>
      <c r="E426" s="715"/>
      <c r="F426" s="1705"/>
      <c r="G426" s="1705"/>
      <c r="H426" s="710"/>
      <c r="I426" s="710"/>
      <c r="J426" s="710"/>
      <c r="K426" s="710"/>
      <c r="L426" s="710"/>
      <c r="M426" s="710"/>
      <c r="N426" s="710"/>
      <c r="O426" s="710"/>
      <c r="P426" s="710"/>
      <c r="Q426" s="710"/>
      <c r="R426" s="711"/>
      <c r="S426" s="711"/>
      <c r="T426" s="711"/>
      <c r="U426" s="711"/>
      <c r="V426" s="711"/>
      <c r="W426" s="711"/>
      <c r="X426" s="711"/>
      <c r="Y426" s="711"/>
      <c r="Z426" s="711"/>
      <c r="AA426" s="711"/>
      <c r="AB426" s="710"/>
      <c r="AC426" s="711"/>
      <c r="AD426" s="710"/>
      <c r="AE426" s="711"/>
      <c r="AF426" s="710"/>
    </row>
    <row r="427" spans="4:32" s="705" customFormat="1" ht="15">
      <c r="D427" s="719"/>
      <c r="E427" s="715"/>
      <c r="F427" s="1705"/>
      <c r="G427" s="1705"/>
      <c r="H427" s="710"/>
      <c r="I427" s="710"/>
      <c r="J427" s="710"/>
      <c r="K427" s="710"/>
      <c r="L427" s="710"/>
      <c r="M427" s="710"/>
      <c r="N427" s="710"/>
      <c r="O427" s="710"/>
      <c r="P427" s="710"/>
      <c r="Q427" s="710"/>
      <c r="R427" s="711"/>
      <c r="S427" s="711"/>
      <c r="T427" s="711"/>
      <c r="U427" s="711"/>
      <c r="V427" s="711"/>
      <c r="W427" s="711"/>
      <c r="X427" s="711"/>
      <c r="Y427" s="711"/>
      <c r="Z427" s="711"/>
      <c r="AA427" s="711"/>
      <c r="AB427" s="710"/>
      <c r="AC427" s="711"/>
      <c r="AD427" s="710"/>
      <c r="AE427" s="711"/>
      <c r="AF427" s="710"/>
    </row>
    <row r="428" spans="4:32" s="705" customFormat="1" ht="15">
      <c r="D428" s="719"/>
      <c r="E428" s="715"/>
      <c r="F428" s="1705"/>
      <c r="G428" s="1705"/>
      <c r="H428" s="710"/>
      <c r="I428" s="710"/>
      <c r="J428" s="710"/>
      <c r="K428" s="710"/>
      <c r="L428" s="710"/>
      <c r="M428" s="710"/>
      <c r="N428" s="710"/>
      <c r="O428" s="710"/>
      <c r="P428" s="710"/>
      <c r="Q428" s="710"/>
      <c r="R428" s="711"/>
      <c r="S428" s="711"/>
      <c r="T428" s="711"/>
      <c r="U428" s="711"/>
      <c r="V428" s="711"/>
      <c r="W428" s="711"/>
      <c r="X428" s="711"/>
      <c r="Y428" s="711"/>
      <c r="Z428" s="711"/>
      <c r="AA428" s="711"/>
      <c r="AB428" s="710"/>
      <c r="AC428" s="711"/>
      <c r="AD428" s="710"/>
      <c r="AE428" s="711"/>
      <c r="AF428" s="710"/>
    </row>
    <row r="429" spans="4:32" s="705" customFormat="1" ht="15">
      <c r="D429" s="719"/>
      <c r="E429" s="715"/>
      <c r="F429" s="1705"/>
      <c r="G429" s="1705"/>
      <c r="H429" s="710"/>
      <c r="I429" s="710"/>
      <c r="J429" s="710"/>
      <c r="K429" s="710"/>
      <c r="L429" s="710"/>
      <c r="M429" s="710"/>
      <c r="N429" s="710"/>
      <c r="O429" s="710"/>
      <c r="P429" s="710"/>
      <c r="Q429" s="710"/>
      <c r="R429" s="711"/>
      <c r="S429" s="711"/>
      <c r="T429" s="711"/>
      <c r="U429" s="711"/>
      <c r="V429" s="711"/>
      <c r="W429" s="711"/>
      <c r="X429" s="711"/>
      <c r="Y429" s="711"/>
      <c r="Z429" s="711"/>
      <c r="AA429" s="711"/>
      <c r="AB429" s="710"/>
      <c r="AC429" s="711"/>
      <c r="AD429" s="710"/>
      <c r="AE429" s="711"/>
      <c r="AF429" s="710"/>
    </row>
    <row r="430" spans="4:32" s="705" customFormat="1" ht="15">
      <c r="D430" s="719"/>
      <c r="E430" s="716"/>
      <c r="F430" s="1705"/>
      <c r="G430" s="1705"/>
      <c r="H430" s="710"/>
      <c r="I430" s="710"/>
      <c r="J430" s="710"/>
      <c r="K430" s="710"/>
      <c r="L430" s="710"/>
      <c r="M430" s="710"/>
      <c r="N430" s="710"/>
      <c r="O430" s="710"/>
      <c r="P430" s="710"/>
      <c r="Q430" s="710"/>
      <c r="R430" s="711"/>
      <c r="S430" s="711"/>
      <c r="T430" s="711"/>
      <c r="U430" s="711"/>
      <c r="V430" s="711"/>
      <c r="W430" s="711"/>
      <c r="X430" s="711"/>
      <c r="Y430" s="711"/>
      <c r="Z430" s="711"/>
      <c r="AA430" s="711"/>
      <c r="AB430" s="710"/>
      <c r="AC430" s="711"/>
      <c r="AD430" s="710"/>
      <c r="AE430" s="711"/>
      <c r="AF430" s="710"/>
    </row>
    <row r="431" spans="4:32" s="705" customFormat="1" ht="15">
      <c r="D431" s="719"/>
      <c r="E431" s="716"/>
      <c r="F431" s="1705"/>
      <c r="G431" s="1705"/>
      <c r="H431" s="710"/>
      <c r="I431" s="710"/>
      <c r="J431" s="710"/>
      <c r="K431" s="710"/>
      <c r="L431" s="710"/>
      <c r="M431" s="710"/>
      <c r="N431" s="710"/>
      <c r="O431" s="710"/>
      <c r="P431" s="710"/>
      <c r="Q431" s="710"/>
      <c r="R431" s="711"/>
      <c r="S431" s="711"/>
      <c r="T431" s="711"/>
      <c r="U431" s="711"/>
      <c r="V431" s="711"/>
      <c r="W431" s="711"/>
      <c r="X431" s="711"/>
      <c r="Y431" s="711"/>
      <c r="Z431" s="711"/>
      <c r="AA431" s="711"/>
      <c r="AB431" s="710"/>
      <c r="AC431" s="711"/>
      <c r="AD431" s="710"/>
      <c r="AE431" s="711"/>
      <c r="AF431" s="710"/>
    </row>
    <row r="432" spans="4:32" s="705" customFormat="1" ht="15">
      <c r="D432" s="719"/>
      <c r="E432" s="716"/>
      <c r="F432" s="1705"/>
      <c r="G432" s="1705"/>
      <c r="H432" s="710"/>
      <c r="I432" s="710"/>
      <c r="J432" s="710"/>
      <c r="K432" s="710"/>
      <c r="L432" s="710"/>
      <c r="M432" s="710"/>
      <c r="N432" s="710"/>
      <c r="O432" s="710"/>
      <c r="P432" s="710"/>
      <c r="Q432" s="710"/>
      <c r="R432" s="711"/>
      <c r="S432" s="711"/>
      <c r="T432" s="711"/>
      <c r="U432" s="711"/>
      <c r="V432" s="711"/>
      <c r="W432" s="711"/>
      <c r="X432" s="711"/>
      <c r="Y432" s="711"/>
      <c r="Z432" s="711"/>
      <c r="AA432" s="711"/>
      <c r="AB432" s="710"/>
      <c r="AC432" s="711"/>
      <c r="AD432" s="710"/>
      <c r="AE432" s="711"/>
      <c r="AF432" s="710"/>
    </row>
    <row r="433" spans="4:32" s="705" customFormat="1" ht="15">
      <c r="D433" s="719"/>
      <c r="E433" s="716"/>
      <c r="F433" s="1705"/>
      <c r="G433" s="1705"/>
      <c r="H433" s="710"/>
      <c r="I433" s="710"/>
      <c r="J433" s="710"/>
      <c r="K433" s="710"/>
      <c r="L433" s="710"/>
      <c r="M433" s="710"/>
      <c r="N433" s="710"/>
      <c r="O433" s="710"/>
      <c r="P433" s="710"/>
      <c r="Q433" s="710"/>
      <c r="R433" s="711"/>
      <c r="S433" s="711"/>
      <c r="T433" s="711"/>
      <c r="U433" s="711"/>
      <c r="V433" s="711"/>
      <c r="W433" s="711"/>
      <c r="X433" s="711"/>
      <c r="Y433" s="711"/>
      <c r="Z433" s="711"/>
      <c r="AA433" s="711"/>
      <c r="AB433" s="710"/>
      <c r="AC433" s="711"/>
      <c r="AD433" s="710"/>
      <c r="AE433" s="711"/>
      <c r="AF433" s="710"/>
    </row>
    <row r="434" spans="4:32" s="705" customFormat="1">
      <c r="D434" s="719"/>
      <c r="F434" s="706"/>
    </row>
    <row r="435" spans="4:32" s="705" customFormat="1">
      <c r="D435" s="719"/>
      <c r="F435" s="706"/>
    </row>
    <row r="436" spans="4:32" s="705" customFormat="1">
      <c r="D436" s="719"/>
      <c r="F436" s="706"/>
    </row>
    <row r="437" spans="4:32" s="705" customFormat="1">
      <c r="D437" s="719"/>
      <c r="F437" s="706"/>
    </row>
    <row r="438" spans="4:32" s="705" customFormat="1">
      <c r="D438" s="719"/>
      <c r="F438" s="706"/>
    </row>
    <row r="439" spans="4:32" s="705" customFormat="1">
      <c r="D439" s="719"/>
      <c r="F439" s="706"/>
    </row>
    <row r="440" spans="4:32" s="705" customFormat="1" ht="15">
      <c r="D440" s="706"/>
      <c r="E440" s="2483"/>
      <c r="F440" s="2480"/>
      <c r="G440" s="2480"/>
      <c r="H440" s="2476"/>
      <c r="I440" s="2476"/>
      <c r="J440" s="2476"/>
      <c r="K440" s="2476"/>
      <c r="L440" s="2476"/>
      <c r="M440" s="2476"/>
      <c r="N440" s="2476"/>
      <c r="O440" s="2476"/>
      <c r="P440" s="2476"/>
      <c r="Q440" s="2476"/>
      <c r="R440" s="2476"/>
      <c r="S440" s="2476"/>
      <c r="T440" s="2476"/>
      <c r="U440" s="2476"/>
      <c r="V440" s="2476"/>
      <c r="W440" s="2476"/>
      <c r="X440" s="2476"/>
      <c r="Y440" s="2476"/>
      <c r="Z440" s="2476"/>
      <c r="AA440" s="2476"/>
      <c r="AB440" s="707"/>
      <c r="AC440" s="707"/>
      <c r="AD440" s="707"/>
      <c r="AE440" s="707"/>
      <c r="AF440" s="707"/>
    </row>
    <row r="441" spans="4:32" s="705" customFormat="1" ht="15">
      <c r="D441" s="706"/>
      <c r="E441" s="2483"/>
      <c r="F441" s="2480"/>
      <c r="G441" s="2480"/>
      <c r="H441" s="709"/>
      <c r="I441" s="709"/>
      <c r="J441" s="709"/>
      <c r="K441" s="709"/>
      <c r="L441" s="709"/>
      <c r="M441" s="709"/>
      <c r="N441" s="709"/>
      <c r="O441" s="709"/>
      <c r="P441" s="709"/>
      <c r="Q441" s="709"/>
      <c r="R441" s="709"/>
      <c r="S441" s="709"/>
      <c r="T441" s="709"/>
      <c r="U441" s="709"/>
      <c r="V441" s="709"/>
      <c r="W441" s="709"/>
      <c r="X441" s="709"/>
      <c r="Y441" s="709"/>
      <c r="Z441" s="709"/>
      <c r="AA441" s="709"/>
      <c r="AB441" s="1703"/>
      <c r="AC441" s="1703"/>
      <c r="AD441" s="1703"/>
      <c r="AE441" s="1703"/>
      <c r="AF441" s="1703"/>
    </row>
    <row r="442" spans="4:32" s="705" customFormat="1">
      <c r="D442" s="706"/>
    </row>
    <row r="443" spans="4:32" s="705" customFormat="1">
      <c r="D443" s="706"/>
    </row>
    <row r="444" spans="4:32" s="705" customFormat="1">
      <c r="D444" s="706"/>
    </row>
    <row r="445" spans="4:32" s="705" customFormat="1">
      <c r="D445" s="706"/>
    </row>
    <row r="446" spans="4:32" s="705" customFormat="1">
      <c r="D446" s="706"/>
    </row>
    <row r="447" spans="4:32" s="705" customFormat="1">
      <c r="D447" s="706"/>
    </row>
    <row r="448" spans="4:32" s="705" customFormat="1">
      <c r="D448" s="706"/>
    </row>
    <row r="449" spans="4:4" s="705" customFormat="1">
      <c r="D449" s="706"/>
    </row>
    <row r="450" spans="4:4" s="705" customFormat="1">
      <c r="D450" s="706"/>
    </row>
    <row r="451" spans="4:4" s="705" customFormat="1">
      <c r="D451" s="706"/>
    </row>
    <row r="452" spans="4:4" s="705" customFormat="1">
      <c r="D452" s="706"/>
    </row>
    <row r="453" spans="4:4" s="705" customFormat="1">
      <c r="D453" s="706"/>
    </row>
    <row r="454" spans="4:4" s="705" customFormat="1">
      <c r="D454" s="706"/>
    </row>
    <row r="455" spans="4:4" s="705" customFormat="1">
      <c r="D455" s="706"/>
    </row>
    <row r="456" spans="4:4" s="705" customFormat="1">
      <c r="D456" s="706"/>
    </row>
    <row r="457" spans="4:4" s="705" customFormat="1">
      <c r="D457" s="706"/>
    </row>
    <row r="458" spans="4:4" s="705" customFormat="1">
      <c r="D458" s="706"/>
    </row>
    <row r="459" spans="4:4" s="705" customFormat="1">
      <c r="D459" s="706"/>
    </row>
    <row r="460" spans="4:4" s="705" customFormat="1">
      <c r="D460" s="706"/>
    </row>
    <row r="461" spans="4:4" s="705" customFormat="1">
      <c r="D461" s="706"/>
    </row>
    <row r="462" spans="4:4" s="705" customFormat="1">
      <c r="D462" s="706"/>
    </row>
    <row r="463" spans="4:4" s="705" customFormat="1">
      <c r="D463" s="706"/>
    </row>
    <row r="464" spans="4:4" s="705" customFormat="1">
      <c r="D464" s="706"/>
    </row>
    <row r="465" spans="4:33" s="705" customFormat="1">
      <c r="D465" s="706"/>
    </row>
    <row r="466" spans="4:33" s="705" customFormat="1">
      <c r="D466" s="706"/>
    </row>
    <row r="467" spans="4:33" s="705" customFormat="1">
      <c r="D467" s="706"/>
    </row>
    <row r="468" spans="4:33" s="705" customFormat="1">
      <c r="D468" s="706"/>
    </row>
    <row r="469" spans="4:33">
      <c r="AG469" s="368">
        <v>0</v>
      </c>
    </row>
  </sheetData>
  <sheetProtection password="D145" sheet="1" objects="1" scenarios="1"/>
  <mergeCells count="77">
    <mergeCell ref="AH3:AQ3"/>
    <mergeCell ref="AH63:AQ63"/>
    <mergeCell ref="AH120:AQ120"/>
    <mergeCell ref="AH178:AQ178"/>
    <mergeCell ref="G3:G4"/>
    <mergeCell ref="H3:Q3"/>
    <mergeCell ref="R3:AA3"/>
    <mergeCell ref="E207:E208"/>
    <mergeCell ref="F207:F208"/>
    <mergeCell ref="G207:G208"/>
    <mergeCell ref="H207:Q207"/>
    <mergeCell ref="R207:AA207"/>
    <mergeCell ref="A3:A62"/>
    <mergeCell ref="A120:A177"/>
    <mergeCell ref="A178:A205"/>
    <mergeCell ref="E3:E4"/>
    <mergeCell ref="F3:F4"/>
    <mergeCell ref="D5:D21"/>
    <mergeCell ref="D22:D33"/>
    <mergeCell ref="D34:D42"/>
    <mergeCell ref="D43:D62"/>
    <mergeCell ref="D65:D79"/>
    <mergeCell ref="D80:D91"/>
    <mergeCell ref="D92:D100"/>
    <mergeCell ref="D101:D119"/>
    <mergeCell ref="D122:D138"/>
    <mergeCell ref="D139:D149"/>
    <mergeCell ref="D195:D199"/>
    <mergeCell ref="A207:A236"/>
    <mergeCell ref="G440:G441"/>
    <mergeCell ref="H440:Q440"/>
    <mergeCell ref="R440:AA440"/>
    <mergeCell ref="A63:A119"/>
    <mergeCell ref="E440:E441"/>
    <mergeCell ref="F440:F441"/>
    <mergeCell ref="H414:Q414"/>
    <mergeCell ref="R414:AA414"/>
    <mergeCell ref="E414:E415"/>
    <mergeCell ref="F414:F415"/>
    <mergeCell ref="G414:G415"/>
    <mergeCell ref="G356:G357"/>
    <mergeCell ref="H356:Q356"/>
    <mergeCell ref="R356:AA356"/>
    <mergeCell ref="E356:E357"/>
    <mergeCell ref="F356:F357"/>
    <mergeCell ref="F299:F300"/>
    <mergeCell ref="G299:G300"/>
    <mergeCell ref="H299:Q299"/>
    <mergeCell ref="R299:AA299"/>
    <mergeCell ref="E299:E300"/>
    <mergeCell ref="E240:E241"/>
    <mergeCell ref="F240:F241"/>
    <mergeCell ref="G240:G241"/>
    <mergeCell ref="H240:Q240"/>
    <mergeCell ref="R240:AA240"/>
    <mergeCell ref="E63:E64"/>
    <mergeCell ref="F63:F64"/>
    <mergeCell ref="G63:G64"/>
    <mergeCell ref="H63:Q63"/>
    <mergeCell ref="R63:AA63"/>
    <mergeCell ref="E178:E179"/>
    <mergeCell ref="F178:F179"/>
    <mergeCell ref="G178:G179"/>
    <mergeCell ref="H178:Q178"/>
    <mergeCell ref="R178:AA178"/>
    <mergeCell ref="E120:E121"/>
    <mergeCell ref="F120:F121"/>
    <mergeCell ref="G120:G121"/>
    <mergeCell ref="H120:Q120"/>
    <mergeCell ref="R120:AA120"/>
    <mergeCell ref="D200:D202"/>
    <mergeCell ref="D203:D205"/>
    <mergeCell ref="D150:D158"/>
    <mergeCell ref="D159:D177"/>
    <mergeCell ref="D180:D183"/>
    <mergeCell ref="D186:D190"/>
    <mergeCell ref="D191:D194"/>
  </mergeCells>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Feuil11"/>
  <dimension ref="A1:E338"/>
  <sheetViews>
    <sheetView zoomScale="115" zoomScaleNormal="115" workbookViewId="0">
      <selection activeCell="G11" sqref="G11"/>
    </sheetView>
  </sheetViews>
  <sheetFormatPr baseColWidth="10" defaultRowHeight="12.75"/>
  <cols>
    <col min="1" max="1" width="21.28515625" bestFit="1" customWidth="1"/>
    <col min="3" max="3" width="11.85546875" customWidth="1"/>
  </cols>
  <sheetData>
    <row r="1" spans="1:4" ht="25.5">
      <c r="A1" s="733" t="s">
        <v>896</v>
      </c>
      <c r="B1" s="734" t="s">
        <v>897</v>
      </c>
      <c r="C1" s="734" t="s">
        <v>898</v>
      </c>
      <c r="D1" s="735" t="s">
        <v>899</v>
      </c>
    </row>
    <row r="2" spans="1:4">
      <c r="A2" s="736" t="s">
        <v>900</v>
      </c>
      <c r="B2" s="731">
        <v>90</v>
      </c>
      <c r="C2" s="731" t="s">
        <v>901</v>
      </c>
      <c r="D2" s="737">
        <v>2950</v>
      </c>
    </row>
    <row r="3" spans="1:4">
      <c r="A3" s="2486" t="s">
        <v>902</v>
      </c>
      <c r="B3" s="2488">
        <v>90</v>
      </c>
      <c r="C3" s="731" t="s">
        <v>903</v>
      </c>
      <c r="D3" s="2487">
        <v>2950</v>
      </c>
    </row>
    <row r="4" spans="1:4">
      <c r="A4" s="2486"/>
      <c r="B4" s="2488"/>
      <c r="C4" s="731" t="s">
        <v>904</v>
      </c>
      <c r="D4" s="2487"/>
    </row>
    <row r="5" spans="1:4">
      <c r="A5" s="2486"/>
      <c r="B5" s="2488"/>
      <c r="C5" s="731" t="s">
        <v>905</v>
      </c>
      <c r="D5" s="2487"/>
    </row>
    <row r="6" spans="1:4">
      <c r="A6" s="2486"/>
      <c r="B6" s="2488"/>
      <c r="C6" s="731" t="s">
        <v>906</v>
      </c>
      <c r="D6" s="2487"/>
    </row>
    <row r="7" spans="1:4">
      <c r="A7" s="2486"/>
      <c r="B7" s="2488"/>
      <c r="C7" s="731" t="s">
        <v>907</v>
      </c>
      <c r="D7" s="2487"/>
    </row>
    <row r="8" spans="1:4">
      <c r="A8" s="2486"/>
      <c r="B8" s="2488"/>
      <c r="C8" s="731" t="s">
        <v>908</v>
      </c>
      <c r="D8" s="2487"/>
    </row>
    <row r="9" spans="1:4">
      <c r="A9" s="2486"/>
      <c r="B9" s="2488"/>
      <c r="C9" s="731" t="s">
        <v>909</v>
      </c>
      <c r="D9" s="2487"/>
    </row>
    <row r="10" spans="1:4">
      <c r="A10" s="2486"/>
      <c r="B10" s="2488"/>
      <c r="C10" s="731" t="s">
        <v>910</v>
      </c>
      <c r="D10" s="2487"/>
    </row>
    <row r="11" spans="1:4" ht="38.25" customHeight="1">
      <c r="A11" s="2486" t="s">
        <v>911</v>
      </c>
      <c r="B11" s="2488">
        <v>24</v>
      </c>
      <c r="C11" s="731" t="s">
        <v>912</v>
      </c>
      <c r="D11" s="2487">
        <v>750</v>
      </c>
    </row>
    <row r="12" spans="1:4">
      <c r="A12" s="2486"/>
      <c r="B12" s="2488"/>
      <c r="C12" s="731" t="s">
        <v>913</v>
      </c>
      <c r="D12" s="2487"/>
    </row>
    <row r="13" spans="1:4">
      <c r="A13" s="2486"/>
      <c r="B13" s="2488"/>
      <c r="C13" s="731" t="s">
        <v>914</v>
      </c>
      <c r="D13" s="2487"/>
    </row>
    <row r="14" spans="1:4">
      <c r="A14" s="2486"/>
      <c r="B14" s="2488"/>
      <c r="C14" s="731" t="s">
        <v>901</v>
      </c>
      <c r="D14" s="2487"/>
    </row>
    <row r="15" spans="1:4">
      <c r="A15" s="2486"/>
      <c r="B15" s="2488"/>
      <c r="C15" s="731" t="s">
        <v>915</v>
      </c>
      <c r="D15" s="2487"/>
    </row>
    <row r="16" spans="1:4" ht="12.75" customHeight="1">
      <c r="A16" s="2486" t="s">
        <v>911</v>
      </c>
      <c r="B16" s="2488">
        <v>30</v>
      </c>
      <c r="C16" s="731" t="s">
        <v>916</v>
      </c>
      <c r="D16" s="2487">
        <v>850</v>
      </c>
    </row>
    <row r="17" spans="1:4" ht="25.5">
      <c r="A17" s="2486"/>
      <c r="B17" s="2488"/>
      <c r="C17" s="731" t="s">
        <v>917</v>
      </c>
      <c r="D17" s="2487"/>
    </row>
    <row r="18" spans="1:4" ht="25.5">
      <c r="A18" s="2486"/>
      <c r="B18" s="2488"/>
      <c r="C18" s="731" t="s">
        <v>918</v>
      </c>
      <c r="D18" s="2487"/>
    </row>
    <row r="19" spans="1:4">
      <c r="A19" s="2486"/>
      <c r="B19" s="2488"/>
      <c r="C19" s="731" t="s">
        <v>919</v>
      </c>
      <c r="D19" s="2487"/>
    </row>
    <row r="20" spans="1:4">
      <c r="A20" s="2486"/>
      <c r="B20" s="2488"/>
      <c r="C20" s="731" t="s">
        <v>920</v>
      </c>
      <c r="D20" s="2487"/>
    </row>
    <row r="21" spans="1:4">
      <c r="A21" s="2486"/>
      <c r="B21" s="2488"/>
      <c r="C21" s="731" t="s">
        <v>921</v>
      </c>
      <c r="D21" s="2487"/>
    </row>
    <row r="22" spans="1:4" ht="38.25" customHeight="1">
      <c r="A22" s="2486" t="s">
        <v>911</v>
      </c>
      <c r="B22" s="2488">
        <v>37</v>
      </c>
      <c r="C22" s="731" t="s">
        <v>916</v>
      </c>
      <c r="D22" s="2487">
        <v>1050</v>
      </c>
    </row>
    <row r="23" spans="1:4" ht="25.5">
      <c r="A23" s="2486"/>
      <c r="B23" s="2488"/>
      <c r="C23" s="731" t="s">
        <v>917</v>
      </c>
      <c r="D23" s="2487"/>
    </row>
    <row r="24" spans="1:4" ht="25.5">
      <c r="A24" s="2486"/>
      <c r="B24" s="2488"/>
      <c r="C24" s="731" t="s">
        <v>918</v>
      </c>
      <c r="D24" s="2487"/>
    </row>
    <row r="25" spans="1:4">
      <c r="A25" s="2486"/>
      <c r="B25" s="2488"/>
      <c r="C25" s="731" t="s">
        <v>919</v>
      </c>
      <c r="D25" s="2487"/>
    </row>
    <row r="26" spans="1:4">
      <c r="A26" s="2486"/>
      <c r="B26" s="2488"/>
      <c r="C26" s="731" t="s">
        <v>920</v>
      </c>
      <c r="D26" s="2487"/>
    </row>
    <row r="27" spans="1:4">
      <c r="A27" s="2486"/>
      <c r="B27" s="2488"/>
      <c r="C27" s="731" t="s">
        <v>921</v>
      </c>
      <c r="D27" s="2487"/>
    </row>
    <row r="28" spans="1:4" ht="12.75" customHeight="1">
      <c r="A28" s="2486" t="s">
        <v>911</v>
      </c>
      <c r="B28" s="2488">
        <v>54</v>
      </c>
      <c r="C28" s="731" t="s">
        <v>922</v>
      </c>
      <c r="D28" s="2487">
        <v>1450</v>
      </c>
    </row>
    <row r="29" spans="1:4">
      <c r="A29" s="2486"/>
      <c r="B29" s="2488"/>
      <c r="C29" s="731" t="s">
        <v>923</v>
      </c>
      <c r="D29" s="2487"/>
    </row>
    <row r="30" spans="1:4" ht="38.25" customHeight="1">
      <c r="A30" s="2486" t="s">
        <v>911</v>
      </c>
      <c r="B30" s="2488">
        <v>64</v>
      </c>
      <c r="C30" s="731" t="s">
        <v>924</v>
      </c>
      <c r="D30" s="2487">
        <v>1750</v>
      </c>
    </row>
    <row r="31" spans="1:4">
      <c r="A31" s="2486"/>
      <c r="B31" s="2488"/>
      <c r="C31" s="731" t="s">
        <v>923</v>
      </c>
      <c r="D31" s="2487"/>
    </row>
    <row r="32" spans="1:4">
      <c r="A32" s="2486"/>
      <c r="B32" s="2488"/>
      <c r="C32" s="731" t="s">
        <v>925</v>
      </c>
      <c r="D32" s="2487"/>
    </row>
    <row r="33" spans="1:4">
      <c r="A33" s="2486"/>
      <c r="B33" s="2488"/>
      <c r="C33" s="731" t="s">
        <v>926</v>
      </c>
      <c r="D33" s="2487"/>
    </row>
    <row r="34" spans="1:4" ht="12.75" customHeight="1">
      <c r="A34" s="2486" t="s">
        <v>911</v>
      </c>
      <c r="B34" s="2488">
        <v>75</v>
      </c>
      <c r="C34" s="731" t="s">
        <v>925</v>
      </c>
      <c r="D34" s="2487">
        <v>2050</v>
      </c>
    </row>
    <row r="35" spans="1:4">
      <c r="A35" s="2486"/>
      <c r="B35" s="2488"/>
      <c r="C35" s="731" t="s">
        <v>923</v>
      </c>
      <c r="D35" s="2487"/>
    </row>
    <row r="36" spans="1:4">
      <c r="A36" s="2486"/>
      <c r="B36" s="2488"/>
      <c r="C36" s="731" t="s">
        <v>926</v>
      </c>
      <c r="D36" s="2487"/>
    </row>
    <row r="37" spans="1:4">
      <c r="A37" s="2486"/>
      <c r="B37" s="2488"/>
      <c r="C37" s="731" t="s">
        <v>922</v>
      </c>
      <c r="D37" s="2487"/>
    </row>
    <row r="38" spans="1:4">
      <c r="A38" s="2486"/>
      <c r="B38" s="2488"/>
      <c r="C38" s="731" t="s">
        <v>927</v>
      </c>
      <c r="D38" s="2487"/>
    </row>
    <row r="39" spans="1:4" ht="12.75" customHeight="1">
      <c r="A39" s="2486" t="s">
        <v>911</v>
      </c>
      <c r="B39" s="2488">
        <v>87</v>
      </c>
      <c r="C39" s="731" t="s">
        <v>925</v>
      </c>
      <c r="D39" s="2487">
        <v>2450</v>
      </c>
    </row>
    <row r="40" spans="1:4">
      <c r="A40" s="2486"/>
      <c r="B40" s="2488"/>
      <c r="C40" s="731" t="s">
        <v>923</v>
      </c>
      <c r="D40" s="2487"/>
    </row>
    <row r="41" spans="1:4" ht="12.75" customHeight="1">
      <c r="A41" s="736" t="s">
        <v>911</v>
      </c>
      <c r="B41" s="731">
        <v>90</v>
      </c>
      <c r="C41" s="731" t="s">
        <v>923</v>
      </c>
      <c r="D41" s="737">
        <v>2950</v>
      </c>
    </row>
    <row r="42" spans="1:4" ht="25.5">
      <c r="A42" s="2486" t="s">
        <v>928</v>
      </c>
      <c r="B42" s="2488">
        <v>24</v>
      </c>
      <c r="C42" s="731" t="s">
        <v>929</v>
      </c>
      <c r="D42" s="2487">
        <v>800</v>
      </c>
    </row>
    <row r="43" spans="1:4">
      <c r="A43" s="2486"/>
      <c r="B43" s="2488"/>
      <c r="C43" s="731" t="s">
        <v>901</v>
      </c>
      <c r="D43" s="2487"/>
    </row>
    <row r="44" spans="1:4">
      <c r="A44" s="2486" t="s">
        <v>928</v>
      </c>
      <c r="B44" s="2488">
        <v>30</v>
      </c>
      <c r="C44" s="731" t="s">
        <v>916</v>
      </c>
      <c r="D44" s="2487">
        <v>900</v>
      </c>
    </row>
    <row r="45" spans="1:4" ht="25.5">
      <c r="A45" s="2486"/>
      <c r="B45" s="2488"/>
      <c r="C45" s="731" t="s">
        <v>917</v>
      </c>
      <c r="D45" s="2487"/>
    </row>
    <row r="46" spans="1:4" ht="25.5">
      <c r="A46" s="2486"/>
      <c r="B46" s="2488"/>
      <c r="C46" s="731" t="s">
        <v>918</v>
      </c>
      <c r="D46" s="2487"/>
    </row>
    <row r="47" spans="1:4">
      <c r="A47" s="2486"/>
      <c r="B47" s="2488"/>
      <c r="C47" s="731" t="s">
        <v>919</v>
      </c>
      <c r="D47" s="2487"/>
    </row>
    <row r="48" spans="1:4">
      <c r="A48" s="2486"/>
      <c r="B48" s="2488"/>
      <c r="C48" s="731" t="s">
        <v>920</v>
      </c>
      <c r="D48" s="2487"/>
    </row>
    <row r="49" spans="1:5">
      <c r="A49" s="2486"/>
      <c r="B49" s="2488"/>
      <c r="C49" s="731" t="s">
        <v>921</v>
      </c>
      <c r="D49" s="2487"/>
    </row>
    <row r="50" spans="1:5" ht="25.5">
      <c r="A50" s="2489" t="s">
        <v>930</v>
      </c>
      <c r="B50" s="2490">
        <v>64</v>
      </c>
      <c r="C50" s="732" t="s">
        <v>946</v>
      </c>
      <c r="D50" s="2491">
        <v>1800</v>
      </c>
      <c r="E50" s="729"/>
    </row>
    <row r="51" spans="1:5" s="368" customFormat="1">
      <c r="A51" s="2489"/>
      <c r="B51" s="2490"/>
      <c r="C51" s="732" t="s">
        <v>923</v>
      </c>
      <c r="D51" s="2491"/>
      <c r="E51" s="729"/>
    </row>
    <row r="52" spans="1:5" s="368" customFormat="1">
      <c r="A52" s="2489"/>
      <c r="B52" s="2490"/>
      <c r="C52" s="732" t="s">
        <v>925</v>
      </c>
      <c r="D52" s="2491"/>
      <c r="E52" s="729"/>
    </row>
    <row r="53" spans="1:5" s="368" customFormat="1">
      <c r="A53" s="2489"/>
      <c r="B53" s="2490"/>
      <c r="C53" s="732" t="s">
        <v>935</v>
      </c>
      <c r="D53" s="2491"/>
      <c r="E53" s="729"/>
    </row>
    <row r="54" spans="1:5">
      <c r="A54" s="2489" t="s">
        <v>930</v>
      </c>
      <c r="B54" s="2490">
        <v>75</v>
      </c>
      <c r="C54" s="732" t="s">
        <v>947</v>
      </c>
      <c r="D54" s="2491">
        <v>2100</v>
      </c>
    </row>
    <row r="55" spans="1:5" s="368" customFormat="1">
      <c r="A55" s="2489"/>
      <c r="B55" s="2490"/>
      <c r="C55" s="732" t="s">
        <v>901</v>
      </c>
      <c r="D55" s="2491"/>
    </row>
    <row r="56" spans="1:5" s="368" customFormat="1">
      <c r="A56" s="2489"/>
      <c r="B56" s="2490"/>
      <c r="C56" s="732" t="s">
        <v>936</v>
      </c>
      <c r="D56" s="2491"/>
    </row>
    <row r="57" spans="1:5">
      <c r="A57" s="738" t="s">
        <v>930</v>
      </c>
      <c r="B57" s="732">
        <v>87</v>
      </c>
      <c r="C57" s="732" t="s">
        <v>925</v>
      </c>
      <c r="D57" s="739">
        <v>2500</v>
      </c>
    </row>
    <row r="58" spans="1:5" ht="25.5">
      <c r="A58" s="2489" t="s">
        <v>931</v>
      </c>
      <c r="B58" s="2490">
        <v>24</v>
      </c>
      <c r="C58" s="732" t="s">
        <v>949</v>
      </c>
      <c r="D58" s="2491">
        <v>1015</v>
      </c>
    </row>
    <row r="59" spans="1:5" s="368" customFormat="1">
      <c r="A59" s="2489"/>
      <c r="B59" s="2490"/>
      <c r="C59" s="732" t="s">
        <v>916</v>
      </c>
      <c r="D59" s="2491"/>
    </row>
    <row r="60" spans="1:5" s="368" customFormat="1" ht="25.5">
      <c r="A60" s="2489"/>
      <c r="B60" s="2490"/>
      <c r="C60" s="732" t="s">
        <v>948</v>
      </c>
      <c r="D60" s="2491"/>
    </row>
    <row r="61" spans="1:5" s="368" customFormat="1">
      <c r="A61" s="2489"/>
      <c r="B61" s="2490"/>
      <c r="C61" s="732" t="s">
        <v>912</v>
      </c>
      <c r="D61" s="2491"/>
    </row>
    <row r="62" spans="1:5">
      <c r="A62" s="2489" t="s">
        <v>931</v>
      </c>
      <c r="B62" s="2490">
        <v>30</v>
      </c>
      <c r="C62" s="732" t="s">
        <v>951</v>
      </c>
      <c r="D62" s="2491">
        <v>1115</v>
      </c>
    </row>
    <row r="63" spans="1:5" s="368" customFormat="1" ht="25.5">
      <c r="A63" s="2489"/>
      <c r="B63" s="2490"/>
      <c r="C63" s="732" t="s">
        <v>950</v>
      </c>
      <c r="D63" s="2491"/>
    </row>
    <row r="64" spans="1:5" s="368" customFormat="1">
      <c r="A64" s="2489"/>
      <c r="B64" s="2490"/>
      <c r="C64" s="732" t="s">
        <v>935</v>
      </c>
      <c r="D64" s="2491"/>
    </row>
    <row r="65" spans="1:4" s="368" customFormat="1">
      <c r="A65" s="2489"/>
      <c r="B65" s="2490"/>
      <c r="C65" s="732" t="s">
        <v>941</v>
      </c>
      <c r="D65" s="2491"/>
    </row>
    <row r="66" spans="1:4">
      <c r="A66" s="2489" t="s">
        <v>931</v>
      </c>
      <c r="B66" s="2490">
        <v>37</v>
      </c>
      <c r="C66" s="732" t="s">
        <v>901</v>
      </c>
      <c r="D66" s="2491">
        <v>1315</v>
      </c>
    </row>
    <row r="67" spans="1:4" s="368" customFormat="1">
      <c r="A67" s="2489"/>
      <c r="B67" s="2490"/>
      <c r="C67" s="732" t="s">
        <v>912</v>
      </c>
      <c r="D67" s="2491"/>
    </row>
    <row r="68" spans="1:4" s="368" customFormat="1">
      <c r="A68" s="2489"/>
      <c r="B68" s="2490"/>
      <c r="C68" s="732" t="s">
        <v>941</v>
      </c>
      <c r="D68" s="2491"/>
    </row>
    <row r="69" spans="1:4" s="368" customFormat="1" ht="25.5">
      <c r="A69" s="2489"/>
      <c r="B69" s="2490"/>
      <c r="C69" s="732" t="s">
        <v>934</v>
      </c>
      <c r="D69" s="2491"/>
    </row>
    <row r="70" spans="1:4">
      <c r="A70" s="738" t="s">
        <v>931</v>
      </c>
      <c r="B70" s="732">
        <v>54</v>
      </c>
      <c r="C70" s="732" t="s">
        <v>932</v>
      </c>
      <c r="D70" s="739">
        <v>1750</v>
      </c>
    </row>
    <row r="71" spans="1:4">
      <c r="A71" s="2489" t="s">
        <v>931</v>
      </c>
      <c r="B71" s="2490">
        <v>64</v>
      </c>
      <c r="C71" s="732" t="s">
        <v>952</v>
      </c>
      <c r="D71" s="2491">
        <v>2015</v>
      </c>
    </row>
    <row r="72" spans="1:4" s="368" customFormat="1" ht="25.5">
      <c r="A72" s="2489"/>
      <c r="B72" s="2490"/>
      <c r="C72" s="732" t="s">
        <v>946</v>
      </c>
      <c r="D72" s="2491"/>
    </row>
    <row r="73" spans="1:4" ht="25.5">
      <c r="A73" s="2489" t="s">
        <v>931</v>
      </c>
      <c r="B73" s="2490">
        <v>75</v>
      </c>
      <c r="C73" s="732" t="s">
        <v>953</v>
      </c>
      <c r="D73" s="2491">
        <v>2315</v>
      </c>
    </row>
    <row r="74" spans="1:4" s="368" customFormat="1" ht="13.5" customHeight="1">
      <c r="A74" s="2489"/>
      <c r="B74" s="2490"/>
      <c r="C74" s="732" t="s">
        <v>925</v>
      </c>
      <c r="D74" s="2491"/>
    </row>
    <row r="75" spans="1:4">
      <c r="A75" s="738" t="s">
        <v>931</v>
      </c>
      <c r="B75" s="732">
        <v>87</v>
      </c>
      <c r="C75" s="732" t="s">
        <v>932</v>
      </c>
      <c r="D75" s="739">
        <v>2715</v>
      </c>
    </row>
    <row r="76" spans="1:4">
      <c r="A76" s="738" t="s">
        <v>931</v>
      </c>
      <c r="B76" s="732">
        <v>75</v>
      </c>
      <c r="C76" s="732" t="s">
        <v>932</v>
      </c>
      <c r="D76" s="739">
        <v>2315</v>
      </c>
    </row>
    <row r="77" spans="1:4" ht="25.5">
      <c r="A77" s="738" t="s">
        <v>933</v>
      </c>
      <c r="B77" s="732">
        <v>54</v>
      </c>
      <c r="C77" s="732" t="s">
        <v>934</v>
      </c>
      <c r="D77" s="739">
        <v>1450</v>
      </c>
    </row>
    <row r="78" spans="1:4">
      <c r="A78" s="738" t="s">
        <v>933</v>
      </c>
      <c r="B78" s="732">
        <v>64</v>
      </c>
      <c r="C78" s="732" t="s">
        <v>935</v>
      </c>
      <c r="D78" s="739">
        <v>1885</v>
      </c>
    </row>
    <row r="79" spans="1:4">
      <c r="A79" s="738" t="s">
        <v>933</v>
      </c>
      <c r="B79" s="732">
        <v>75</v>
      </c>
      <c r="C79" s="732" t="s">
        <v>935</v>
      </c>
      <c r="D79" s="739">
        <v>2185</v>
      </c>
    </row>
    <row r="80" spans="1:4" ht="25.5">
      <c r="A80" s="738" t="s">
        <v>933</v>
      </c>
      <c r="B80" s="732">
        <v>87</v>
      </c>
      <c r="C80" s="732" t="s">
        <v>927</v>
      </c>
      <c r="D80" s="739">
        <v>2585</v>
      </c>
    </row>
    <row r="81" spans="1:4">
      <c r="A81" s="2489" t="s">
        <v>20</v>
      </c>
      <c r="B81" s="2490">
        <v>20</v>
      </c>
      <c r="C81" s="732" t="s">
        <v>955</v>
      </c>
      <c r="D81" s="2491">
        <v>1800</v>
      </c>
    </row>
    <row r="82" spans="1:4" s="368" customFormat="1">
      <c r="A82" s="2489"/>
      <c r="B82" s="2490"/>
      <c r="C82" s="732" t="s">
        <v>954</v>
      </c>
      <c r="D82" s="2491"/>
    </row>
    <row r="83" spans="1:4">
      <c r="A83" s="738" t="s">
        <v>20</v>
      </c>
      <c r="B83" s="732">
        <v>38</v>
      </c>
      <c r="C83" s="732" t="s">
        <v>936</v>
      </c>
      <c r="D83" s="739">
        <v>2400</v>
      </c>
    </row>
    <row r="84" spans="1:4">
      <c r="A84" s="2489" t="s">
        <v>6</v>
      </c>
      <c r="B84" s="2490">
        <v>20</v>
      </c>
      <c r="C84" s="732" t="s">
        <v>957</v>
      </c>
      <c r="D84" s="2491">
        <v>1800</v>
      </c>
    </row>
    <row r="85" spans="1:4" s="368" customFormat="1">
      <c r="A85" s="2489"/>
      <c r="B85" s="2490"/>
      <c r="C85" s="732" t="s">
        <v>915</v>
      </c>
      <c r="D85" s="2491"/>
    </row>
    <row r="86" spans="1:4" s="368" customFormat="1">
      <c r="A86" s="2489"/>
      <c r="B86" s="2490"/>
      <c r="C86" s="732" t="s">
        <v>956</v>
      </c>
      <c r="D86" s="2491"/>
    </row>
    <row r="87" spans="1:4" s="368" customFormat="1">
      <c r="A87" s="2489"/>
      <c r="B87" s="2490"/>
      <c r="C87" s="732" t="s">
        <v>954</v>
      </c>
      <c r="D87" s="2491"/>
    </row>
    <row r="88" spans="1:4">
      <c r="A88" s="2489" t="s">
        <v>6</v>
      </c>
      <c r="B88" s="2490">
        <v>65</v>
      </c>
      <c r="C88" s="732" t="s">
        <v>958</v>
      </c>
      <c r="D88" s="2491">
        <v>3650</v>
      </c>
    </row>
    <row r="89" spans="1:4" s="368" customFormat="1">
      <c r="A89" s="2489"/>
      <c r="B89" s="2490"/>
      <c r="C89" s="732" t="s">
        <v>935</v>
      </c>
      <c r="D89" s="2491"/>
    </row>
    <row r="90" spans="1:4">
      <c r="A90" s="2489" t="s">
        <v>6</v>
      </c>
      <c r="B90" s="2490">
        <v>76</v>
      </c>
      <c r="C90" s="732" t="s">
        <v>959</v>
      </c>
      <c r="D90" s="2491">
        <v>4150</v>
      </c>
    </row>
    <row r="91" spans="1:4" s="368" customFormat="1" ht="25.5">
      <c r="A91" s="2489"/>
      <c r="B91" s="2490"/>
      <c r="C91" s="732" t="s">
        <v>927</v>
      </c>
      <c r="D91" s="2491"/>
    </row>
    <row r="92" spans="1:4" s="368" customFormat="1">
      <c r="A92" s="2489"/>
      <c r="B92" s="2490"/>
      <c r="C92" s="732" t="s">
        <v>935</v>
      </c>
      <c r="D92" s="2491"/>
    </row>
    <row r="93" spans="1:4">
      <c r="A93" s="2489" t="s">
        <v>7</v>
      </c>
      <c r="B93" s="2490">
        <v>20</v>
      </c>
      <c r="C93" s="732" t="s">
        <v>955</v>
      </c>
      <c r="D93" s="2491">
        <v>2400</v>
      </c>
    </row>
    <row r="94" spans="1:4" s="368" customFormat="1">
      <c r="A94" s="2489"/>
      <c r="B94" s="2490"/>
      <c r="C94" s="732" t="s">
        <v>954</v>
      </c>
      <c r="D94" s="2491"/>
    </row>
    <row r="95" spans="1:4">
      <c r="A95" s="738" t="s">
        <v>7</v>
      </c>
      <c r="B95" s="732">
        <v>31</v>
      </c>
      <c r="C95" s="732" t="s">
        <v>937</v>
      </c>
      <c r="D95" s="739">
        <v>2800</v>
      </c>
    </row>
    <row r="96" spans="1:4">
      <c r="A96" s="738" t="s">
        <v>7</v>
      </c>
      <c r="B96" s="732">
        <v>38</v>
      </c>
      <c r="C96" s="732" t="s">
        <v>937</v>
      </c>
      <c r="D96" s="739">
        <v>3000</v>
      </c>
    </row>
    <row r="97" spans="1:4">
      <c r="A97" s="738" t="s">
        <v>938</v>
      </c>
      <c r="B97" s="732">
        <v>64</v>
      </c>
      <c r="C97" s="732" t="s">
        <v>939</v>
      </c>
      <c r="D97" s="739">
        <v>4200</v>
      </c>
    </row>
    <row r="98" spans="1:4">
      <c r="A98" s="2489" t="s">
        <v>940</v>
      </c>
      <c r="B98" s="732">
        <v>20</v>
      </c>
      <c r="C98" s="732" t="s">
        <v>956</v>
      </c>
      <c r="D98" s="2491">
        <v>2400</v>
      </c>
    </row>
    <row r="99" spans="1:4" s="368" customFormat="1">
      <c r="A99" s="2489"/>
      <c r="B99" s="732"/>
      <c r="C99" s="732" t="s">
        <v>954</v>
      </c>
      <c r="D99" s="2491"/>
    </row>
    <row r="100" spans="1:4" ht="25.5">
      <c r="A100" s="738" t="s">
        <v>940</v>
      </c>
      <c r="B100" s="732">
        <v>31</v>
      </c>
      <c r="C100" s="732" t="s">
        <v>918</v>
      </c>
      <c r="D100" s="739">
        <v>2800</v>
      </c>
    </row>
    <row r="101" spans="1:4">
      <c r="A101" s="738" t="s">
        <v>940</v>
      </c>
      <c r="B101" s="732">
        <v>38</v>
      </c>
      <c r="C101" s="732" t="s">
        <v>936</v>
      </c>
      <c r="D101" s="739">
        <v>3000</v>
      </c>
    </row>
    <row r="102" spans="1:4">
      <c r="A102" s="738" t="s">
        <v>7</v>
      </c>
      <c r="B102" s="732">
        <v>76</v>
      </c>
      <c r="C102" s="732" t="s">
        <v>941</v>
      </c>
      <c r="D102" s="739">
        <v>4750</v>
      </c>
    </row>
    <row r="103" spans="1:4">
      <c r="A103" s="2489" t="s">
        <v>22</v>
      </c>
      <c r="B103" s="2490">
        <v>20</v>
      </c>
      <c r="C103" s="732" t="s">
        <v>960</v>
      </c>
      <c r="D103" s="2491">
        <v>2100</v>
      </c>
    </row>
    <row r="104" spans="1:4" s="368" customFormat="1">
      <c r="A104" s="2489"/>
      <c r="B104" s="2490"/>
      <c r="C104" s="732" t="s">
        <v>954</v>
      </c>
      <c r="D104" s="2491"/>
    </row>
    <row r="105" spans="1:4" ht="25.5">
      <c r="A105" s="738" t="s">
        <v>22</v>
      </c>
      <c r="B105" s="732">
        <v>31</v>
      </c>
      <c r="C105" s="732" t="s">
        <v>942</v>
      </c>
      <c r="D105" s="739">
        <v>2500</v>
      </c>
    </row>
    <row r="106" spans="1:4">
      <c r="A106" s="738" t="s">
        <v>22</v>
      </c>
      <c r="B106" s="732">
        <v>38</v>
      </c>
      <c r="C106" s="732" t="s">
        <v>936</v>
      </c>
      <c r="D106" s="739">
        <v>2700</v>
      </c>
    </row>
    <row r="107" spans="1:4">
      <c r="A107" s="738" t="s">
        <v>22</v>
      </c>
      <c r="B107" s="732">
        <v>76</v>
      </c>
      <c r="C107" s="732" t="s">
        <v>937</v>
      </c>
      <c r="D107" s="739">
        <v>4450</v>
      </c>
    </row>
    <row r="108" spans="1:4">
      <c r="A108" s="2489" t="s">
        <v>8</v>
      </c>
      <c r="B108" s="2490">
        <v>20</v>
      </c>
      <c r="C108" s="732" t="s">
        <v>961</v>
      </c>
      <c r="D108" s="2491">
        <v>2100</v>
      </c>
    </row>
    <row r="109" spans="1:4" s="368" customFormat="1">
      <c r="A109" s="2489"/>
      <c r="B109" s="2490"/>
      <c r="C109" s="732" t="s">
        <v>954</v>
      </c>
      <c r="D109" s="2491"/>
    </row>
    <row r="110" spans="1:4" s="368" customFormat="1">
      <c r="A110" s="2489"/>
      <c r="B110" s="2490"/>
      <c r="C110" s="732" t="s">
        <v>910</v>
      </c>
      <c r="D110" s="2491"/>
    </row>
    <row r="111" spans="1:4" s="368" customFormat="1">
      <c r="A111" s="2489"/>
      <c r="B111" s="2490"/>
      <c r="C111" s="732" t="s">
        <v>956</v>
      </c>
      <c r="D111" s="2491"/>
    </row>
    <row r="112" spans="1:4">
      <c r="A112" s="738" t="s">
        <v>8</v>
      </c>
      <c r="B112" s="732">
        <v>25</v>
      </c>
      <c r="C112" s="732" t="s">
        <v>915</v>
      </c>
      <c r="D112" s="739">
        <v>2300</v>
      </c>
    </row>
    <row r="113" spans="1:4">
      <c r="A113" s="738" t="s">
        <v>8</v>
      </c>
      <c r="B113" s="732">
        <v>65</v>
      </c>
      <c r="C113" s="732" t="s">
        <v>936</v>
      </c>
      <c r="D113" s="739">
        <v>3950</v>
      </c>
    </row>
    <row r="114" spans="1:4" ht="25.5">
      <c r="A114" s="738" t="s">
        <v>8</v>
      </c>
      <c r="B114" s="732">
        <v>76</v>
      </c>
      <c r="C114" s="732" t="s">
        <v>927</v>
      </c>
      <c r="D114" s="739">
        <v>4450</v>
      </c>
    </row>
    <row r="115" spans="1:4" ht="25.5">
      <c r="A115" s="738" t="s">
        <v>8</v>
      </c>
      <c r="B115" s="732">
        <v>88</v>
      </c>
      <c r="C115" s="732" t="s">
        <v>927</v>
      </c>
      <c r="D115" s="739">
        <v>4700</v>
      </c>
    </row>
    <row r="116" spans="1:4">
      <c r="A116" s="738" t="s">
        <v>943</v>
      </c>
      <c r="B116" s="732">
        <v>31</v>
      </c>
      <c r="C116" s="732" t="s">
        <v>937</v>
      </c>
      <c r="D116" s="739">
        <v>2750</v>
      </c>
    </row>
    <row r="117" spans="1:4">
      <c r="A117" s="738" t="s">
        <v>943</v>
      </c>
      <c r="B117" s="732">
        <v>65</v>
      </c>
      <c r="C117" s="732" t="s">
        <v>941</v>
      </c>
      <c r="D117" s="739">
        <v>4200</v>
      </c>
    </row>
    <row r="118" spans="1:4" ht="25.5">
      <c r="A118" s="738" t="s">
        <v>943</v>
      </c>
      <c r="B118" s="732">
        <v>76</v>
      </c>
      <c r="C118" s="732" t="s">
        <v>927</v>
      </c>
      <c r="D118" s="739">
        <v>4700</v>
      </c>
    </row>
    <row r="119" spans="1:4">
      <c r="A119" s="738" t="s">
        <v>944</v>
      </c>
      <c r="B119" s="732">
        <v>38</v>
      </c>
      <c r="C119" s="732" t="s">
        <v>935</v>
      </c>
      <c r="D119" s="739">
        <v>2950</v>
      </c>
    </row>
    <row r="120" spans="1:4">
      <c r="A120" s="2489" t="s">
        <v>945</v>
      </c>
      <c r="B120" s="2490">
        <v>20</v>
      </c>
      <c r="C120" s="732" t="s">
        <v>903</v>
      </c>
      <c r="D120" s="2491">
        <v>4200</v>
      </c>
    </row>
    <row r="121" spans="1:4" s="368" customFormat="1">
      <c r="A121" s="2489"/>
      <c r="B121" s="2490"/>
      <c r="C121" s="732" t="s">
        <v>960</v>
      </c>
      <c r="D121" s="2491"/>
    </row>
    <row r="122" spans="1:4" s="368" customFormat="1">
      <c r="A122" s="2489"/>
      <c r="B122" s="2490"/>
      <c r="C122" s="732" t="s">
        <v>904</v>
      </c>
      <c r="D122" s="2491"/>
    </row>
    <row r="123" spans="1:4" s="368" customFormat="1">
      <c r="A123" s="2489"/>
      <c r="B123" s="2490"/>
      <c r="C123" s="732" t="s">
        <v>954</v>
      </c>
      <c r="D123" s="2491"/>
    </row>
    <row r="124" spans="1:4" ht="25.5">
      <c r="A124" s="738" t="s">
        <v>12</v>
      </c>
      <c r="B124" s="732">
        <v>78</v>
      </c>
      <c r="C124" s="732" t="s">
        <v>927</v>
      </c>
      <c r="D124" s="739">
        <v>8500</v>
      </c>
    </row>
    <row r="125" spans="1:4">
      <c r="A125" s="2489" t="s">
        <v>10</v>
      </c>
      <c r="B125" s="2490">
        <v>20</v>
      </c>
      <c r="C125" s="732" t="s">
        <v>954</v>
      </c>
      <c r="D125" s="2491">
        <v>4990</v>
      </c>
    </row>
    <row r="126" spans="1:4" s="368" customFormat="1">
      <c r="A126" s="2489"/>
      <c r="B126" s="2490"/>
      <c r="C126" s="732" t="s">
        <v>915</v>
      </c>
      <c r="D126" s="2491"/>
    </row>
    <row r="127" spans="1:4" s="368" customFormat="1">
      <c r="A127" s="2489"/>
      <c r="B127" s="2490"/>
      <c r="C127" s="732" t="s">
        <v>956</v>
      </c>
      <c r="D127" s="2491"/>
    </row>
    <row r="128" spans="1:4" s="368" customFormat="1" ht="15" customHeight="1">
      <c r="A128" s="2489"/>
      <c r="B128" s="2490"/>
      <c r="C128" s="732" t="s">
        <v>962</v>
      </c>
      <c r="D128" s="2491"/>
    </row>
    <row r="129" spans="1:4" s="368" customFormat="1" ht="15" customHeight="1">
      <c r="A129" s="2489"/>
      <c r="B129" s="2490"/>
      <c r="C129" s="732" t="s">
        <v>904</v>
      </c>
      <c r="D129" s="2491"/>
    </row>
    <row r="130" spans="1:4">
      <c r="A130" s="738" t="s">
        <v>10</v>
      </c>
      <c r="B130" s="732">
        <v>28</v>
      </c>
      <c r="C130" s="732" t="s">
        <v>937</v>
      </c>
      <c r="D130" s="739">
        <v>5540</v>
      </c>
    </row>
    <row r="131" spans="1:4">
      <c r="A131" s="738" t="s">
        <v>10</v>
      </c>
      <c r="B131" s="732">
        <v>67</v>
      </c>
      <c r="C131" s="732" t="s">
        <v>935</v>
      </c>
      <c r="D131" s="739">
        <v>8290</v>
      </c>
    </row>
    <row r="132" spans="1:4">
      <c r="A132" s="2489" t="s">
        <v>10</v>
      </c>
      <c r="B132" s="2490">
        <v>78</v>
      </c>
      <c r="C132" s="732" t="s">
        <v>935</v>
      </c>
      <c r="D132" s="2491">
        <v>9290</v>
      </c>
    </row>
    <row r="133" spans="1:4" s="368" customFormat="1" ht="25.5">
      <c r="A133" s="2489"/>
      <c r="B133" s="2490"/>
      <c r="C133" s="732" t="s">
        <v>927</v>
      </c>
      <c r="D133" s="2491"/>
    </row>
    <row r="134" spans="1:4" s="368" customFormat="1">
      <c r="A134" s="2489"/>
      <c r="B134" s="2490"/>
      <c r="C134" s="732" t="s">
        <v>941</v>
      </c>
      <c r="D134" s="2491"/>
    </row>
    <row r="135" spans="1:4">
      <c r="A135" s="2495" t="s">
        <v>26</v>
      </c>
      <c r="B135" s="2492">
        <v>20</v>
      </c>
      <c r="C135" s="732" t="s">
        <v>955</v>
      </c>
      <c r="D135" s="2498">
        <v>4200</v>
      </c>
    </row>
    <row r="136" spans="1:4" s="368" customFormat="1">
      <c r="A136" s="2496"/>
      <c r="B136" s="2493"/>
      <c r="C136" s="732" t="s">
        <v>903</v>
      </c>
      <c r="D136" s="2499"/>
    </row>
    <row r="137" spans="1:4" s="368" customFormat="1">
      <c r="A137" s="2496"/>
      <c r="B137" s="2493"/>
      <c r="C137" s="732" t="s">
        <v>954</v>
      </c>
      <c r="D137" s="2499"/>
    </row>
    <row r="138" spans="1:4" s="368" customFormat="1">
      <c r="A138" s="2497"/>
      <c r="B138" s="2494"/>
      <c r="C138" s="732" t="s">
        <v>904</v>
      </c>
      <c r="D138" s="2500"/>
    </row>
    <row r="139" spans="1:4">
      <c r="A139" s="738" t="s">
        <v>26</v>
      </c>
      <c r="B139" s="732">
        <v>90</v>
      </c>
      <c r="C139" s="732" t="s">
        <v>939</v>
      </c>
      <c r="D139" s="739" t="s">
        <v>932</v>
      </c>
    </row>
    <row r="140" spans="1:4" ht="25.5">
      <c r="A140" s="738" t="s">
        <v>13</v>
      </c>
      <c r="B140" s="732">
        <v>78</v>
      </c>
      <c r="C140" s="732" t="s">
        <v>927</v>
      </c>
      <c r="D140" s="739">
        <v>9550</v>
      </c>
    </row>
    <row r="141" spans="1:4">
      <c r="A141" s="2489" t="s">
        <v>25</v>
      </c>
      <c r="B141" s="2490">
        <v>20</v>
      </c>
      <c r="C141" s="732" t="s">
        <v>963</v>
      </c>
      <c r="D141" s="2491">
        <v>5200</v>
      </c>
    </row>
    <row r="142" spans="1:4" s="368" customFormat="1">
      <c r="A142" s="2489"/>
      <c r="B142" s="2490"/>
      <c r="C142" s="732" t="s">
        <v>960</v>
      </c>
      <c r="D142" s="2491"/>
    </row>
    <row r="143" spans="1:4" s="368" customFormat="1">
      <c r="A143" s="2489"/>
      <c r="B143" s="2490"/>
      <c r="C143" s="732" t="s">
        <v>904</v>
      </c>
      <c r="D143" s="2491"/>
    </row>
    <row r="144" spans="1:4" s="368" customFormat="1">
      <c r="A144" s="2489"/>
      <c r="B144" s="2490"/>
      <c r="C144" s="732" t="s">
        <v>954</v>
      </c>
      <c r="D144" s="2491"/>
    </row>
    <row r="145" spans="1:4">
      <c r="A145" s="738" t="s">
        <v>25</v>
      </c>
      <c r="B145" s="732">
        <v>34</v>
      </c>
      <c r="C145" s="732" t="s">
        <v>935</v>
      </c>
      <c r="D145" s="739">
        <v>6250</v>
      </c>
    </row>
    <row r="146" spans="1:4">
      <c r="A146" s="2489" t="s">
        <v>11</v>
      </c>
      <c r="B146" s="2490">
        <v>20</v>
      </c>
      <c r="C146" s="732" t="s">
        <v>964</v>
      </c>
      <c r="D146" s="2491">
        <v>5200</v>
      </c>
    </row>
    <row r="147" spans="1:4" s="368" customFormat="1">
      <c r="A147" s="2489"/>
      <c r="B147" s="2490"/>
      <c r="C147" s="732" t="s">
        <v>960</v>
      </c>
      <c r="D147" s="2491"/>
    </row>
    <row r="148" spans="1:4">
      <c r="A148" s="2489" t="s">
        <v>11</v>
      </c>
      <c r="B148" s="2490">
        <v>67</v>
      </c>
      <c r="C148" s="732" t="s">
        <v>941</v>
      </c>
      <c r="D148" s="2491">
        <v>8500</v>
      </c>
    </row>
    <row r="149" spans="1:4" s="368" customFormat="1">
      <c r="A149" s="2489"/>
      <c r="B149" s="2490"/>
      <c r="C149" s="732" t="s">
        <v>935</v>
      </c>
      <c r="D149" s="2491"/>
    </row>
    <row r="150" spans="1:4">
      <c r="A150" s="2489" t="s">
        <v>24</v>
      </c>
      <c r="B150" s="2490">
        <v>20</v>
      </c>
      <c r="C150" s="732" t="s">
        <v>960</v>
      </c>
      <c r="D150" s="2491">
        <v>4990</v>
      </c>
    </row>
    <row r="151" spans="1:4" s="368" customFormat="1">
      <c r="A151" s="2489"/>
      <c r="B151" s="2490"/>
      <c r="C151" s="732" t="s">
        <v>954</v>
      </c>
      <c r="D151" s="2491"/>
    </row>
    <row r="152" spans="1:4" s="368" customFormat="1">
      <c r="A152" s="2489"/>
      <c r="B152" s="2490"/>
      <c r="C152" s="732" t="s">
        <v>904</v>
      </c>
      <c r="D152" s="2491"/>
    </row>
    <row r="153" spans="1:4" s="368" customFormat="1">
      <c r="A153" s="2489"/>
      <c r="B153" s="2490"/>
      <c r="C153" s="732" t="s">
        <v>965</v>
      </c>
      <c r="D153" s="2491"/>
    </row>
    <row r="154" spans="1:4" ht="13.5" thickBot="1">
      <c r="A154" s="740" t="s">
        <v>24</v>
      </c>
      <c r="B154" s="741">
        <v>90</v>
      </c>
      <c r="C154" s="741" t="s">
        <v>925</v>
      </c>
      <c r="D154" s="742">
        <v>10290</v>
      </c>
    </row>
    <row r="155" spans="1:4">
      <c r="A155" s="730"/>
      <c r="B155" s="730"/>
      <c r="C155" s="730"/>
      <c r="D155" s="730"/>
    </row>
    <row r="156" spans="1:4">
      <c r="A156" s="730"/>
      <c r="B156" s="730"/>
      <c r="C156" s="730"/>
      <c r="D156" s="730"/>
    </row>
    <row r="157" spans="1:4">
      <c r="A157" s="730"/>
      <c r="B157" s="730"/>
      <c r="C157" s="730"/>
      <c r="D157" s="730"/>
    </row>
    <row r="158" spans="1:4">
      <c r="A158" s="730"/>
      <c r="B158" s="730"/>
      <c r="C158" s="730"/>
      <c r="D158" s="730"/>
    </row>
    <row r="159" spans="1:4">
      <c r="A159" s="730"/>
      <c r="B159" s="730"/>
      <c r="C159" s="730"/>
      <c r="D159" s="730"/>
    </row>
    <row r="160" spans="1:4">
      <c r="A160" s="730"/>
      <c r="B160" s="730"/>
      <c r="C160" s="730"/>
      <c r="D160" s="730"/>
    </row>
    <row r="161" spans="1:4">
      <c r="A161" s="730"/>
      <c r="B161" s="730"/>
      <c r="C161" s="730"/>
      <c r="D161" s="730"/>
    </row>
    <row r="162" spans="1:4">
      <c r="A162" s="730"/>
      <c r="B162" s="730"/>
      <c r="C162" s="730"/>
      <c r="D162" s="730"/>
    </row>
    <row r="163" spans="1:4">
      <c r="A163" s="730"/>
      <c r="B163" s="730"/>
      <c r="C163" s="730"/>
      <c r="D163" s="730"/>
    </row>
    <row r="164" spans="1:4">
      <c r="A164" s="730"/>
      <c r="B164" s="730"/>
      <c r="C164" s="730"/>
      <c r="D164" s="730"/>
    </row>
    <row r="165" spans="1:4">
      <c r="A165" s="730"/>
      <c r="B165" s="730"/>
      <c r="C165" s="730"/>
      <c r="D165" s="730"/>
    </row>
    <row r="166" spans="1:4">
      <c r="A166" s="730"/>
      <c r="B166" s="730"/>
      <c r="C166" s="730"/>
      <c r="D166" s="730"/>
    </row>
    <row r="167" spans="1:4">
      <c r="A167" s="730"/>
      <c r="B167" s="730"/>
      <c r="C167" s="730"/>
      <c r="D167" s="730"/>
    </row>
    <row r="168" spans="1:4">
      <c r="A168" s="730"/>
      <c r="B168" s="730"/>
      <c r="C168" s="730"/>
      <c r="D168" s="730"/>
    </row>
    <row r="169" spans="1:4">
      <c r="A169" s="730"/>
      <c r="B169" s="730"/>
      <c r="C169" s="730"/>
      <c r="D169" s="730"/>
    </row>
    <row r="170" spans="1:4">
      <c r="A170" s="730"/>
      <c r="B170" s="730"/>
      <c r="C170" s="730"/>
      <c r="D170" s="730"/>
    </row>
    <row r="171" spans="1:4">
      <c r="A171" s="730"/>
      <c r="B171" s="730"/>
      <c r="C171" s="730"/>
      <c r="D171" s="730"/>
    </row>
    <row r="172" spans="1:4">
      <c r="A172" s="730"/>
      <c r="B172" s="730"/>
      <c r="C172" s="730"/>
      <c r="D172" s="730"/>
    </row>
    <row r="173" spans="1:4">
      <c r="A173" s="730"/>
      <c r="B173" s="730"/>
      <c r="C173" s="730"/>
      <c r="D173" s="730"/>
    </row>
    <row r="174" spans="1:4">
      <c r="A174" s="730"/>
      <c r="B174" s="730"/>
      <c r="C174" s="730"/>
      <c r="D174" s="730"/>
    </row>
    <row r="175" spans="1:4">
      <c r="A175" s="730"/>
      <c r="B175" s="730"/>
      <c r="C175" s="730"/>
      <c r="D175" s="730"/>
    </row>
    <row r="176" spans="1:4">
      <c r="A176" s="730"/>
      <c r="B176" s="730"/>
      <c r="C176" s="730"/>
      <c r="D176" s="730"/>
    </row>
    <row r="177" spans="1:4">
      <c r="A177" s="730"/>
      <c r="B177" s="730"/>
      <c r="C177" s="730"/>
      <c r="D177" s="730"/>
    </row>
    <row r="178" spans="1:4">
      <c r="A178" s="730"/>
      <c r="B178" s="730"/>
      <c r="C178" s="730"/>
      <c r="D178" s="730"/>
    </row>
    <row r="179" spans="1:4">
      <c r="A179" s="730"/>
      <c r="B179" s="730"/>
      <c r="C179" s="730"/>
      <c r="D179" s="730"/>
    </row>
    <row r="180" spans="1:4">
      <c r="A180" s="730"/>
      <c r="B180" s="730"/>
      <c r="C180" s="730"/>
      <c r="D180" s="730"/>
    </row>
    <row r="181" spans="1:4">
      <c r="A181" s="730"/>
      <c r="B181" s="730"/>
      <c r="C181" s="730"/>
      <c r="D181" s="730"/>
    </row>
    <row r="182" spans="1:4">
      <c r="A182" s="730"/>
      <c r="B182" s="730"/>
      <c r="C182" s="730"/>
      <c r="D182" s="730"/>
    </row>
    <row r="183" spans="1:4">
      <c r="A183" s="730"/>
      <c r="B183" s="730"/>
      <c r="C183" s="730"/>
      <c r="D183" s="730"/>
    </row>
    <row r="184" spans="1:4">
      <c r="A184" s="730"/>
      <c r="B184" s="730"/>
      <c r="C184" s="730"/>
      <c r="D184" s="730"/>
    </row>
    <row r="185" spans="1:4">
      <c r="A185" s="730"/>
      <c r="B185" s="730"/>
      <c r="C185" s="730"/>
      <c r="D185" s="730"/>
    </row>
    <row r="186" spans="1:4">
      <c r="A186" s="730"/>
      <c r="B186" s="730"/>
      <c r="C186" s="730"/>
      <c r="D186" s="730"/>
    </row>
    <row r="187" spans="1:4">
      <c r="A187" s="730"/>
      <c r="B187" s="730"/>
      <c r="C187" s="730"/>
      <c r="D187" s="730"/>
    </row>
    <row r="188" spans="1:4">
      <c r="A188" s="730"/>
      <c r="B188" s="730"/>
      <c r="C188" s="730"/>
      <c r="D188" s="730"/>
    </row>
    <row r="189" spans="1:4">
      <c r="A189" s="730"/>
      <c r="B189" s="730"/>
      <c r="C189" s="730"/>
      <c r="D189" s="730"/>
    </row>
    <row r="190" spans="1:4">
      <c r="A190" s="730"/>
      <c r="B190" s="730"/>
      <c r="C190" s="730"/>
      <c r="D190" s="730"/>
    </row>
    <row r="191" spans="1:4">
      <c r="A191" s="730"/>
      <c r="B191" s="730"/>
      <c r="C191" s="730"/>
      <c r="D191" s="730"/>
    </row>
    <row r="192" spans="1:4">
      <c r="A192" s="730"/>
      <c r="B192" s="730"/>
      <c r="C192" s="730"/>
      <c r="D192" s="730"/>
    </row>
    <row r="193" spans="1:4">
      <c r="A193" s="730"/>
      <c r="B193" s="730"/>
      <c r="C193" s="730"/>
      <c r="D193" s="730"/>
    </row>
    <row r="194" spans="1:4">
      <c r="A194" s="730"/>
      <c r="B194" s="730"/>
      <c r="C194" s="730"/>
      <c r="D194" s="730"/>
    </row>
    <row r="195" spans="1:4">
      <c r="A195" s="730"/>
      <c r="B195" s="730"/>
      <c r="C195" s="730"/>
      <c r="D195" s="730"/>
    </row>
    <row r="196" spans="1:4">
      <c r="A196" s="730"/>
      <c r="B196" s="730"/>
      <c r="C196" s="730"/>
      <c r="D196" s="730"/>
    </row>
    <row r="197" spans="1:4">
      <c r="A197" s="730"/>
      <c r="B197" s="730"/>
      <c r="C197" s="730"/>
      <c r="D197" s="730"/>
    </row>
    <row r="198" spans="1:4">
      <c r="A198" s="730"/>
      <c r="B198" s="730"/>
      <c r="C198" s="730"/>
      <c r="D198" s="730"/>
    </row>
    <row r="199" spans="1:4">
      <c r="A199" s="730"/>
      <c r="B199" s="730"/>
      <c r="C199" s="730"/>
      <c r="D199" s="730"/>
    </row>
    <row r="200" spans="1:4">
      <c r="A200" s="730"/>
      <c r="B200" s="730"/>
      <c r="C200" s="730"/>
      <c r="D200" s="730"/>
    </row>
    <row r="201" spans="1:4">
      <c r="A201" s="730"/>
      <c r="B201" s="730"/>
      <c r="C201" s="730"/>
      <c r="D201" s="730"/>
    </row>
    <row r="202" spans="1:4">
      <c r="A202" s="730"/>
      <c r="B202" s="730"/>
      <c r="C202" s="730"/>
      <c r="D202" s="730"/>
    </row>
    <row r="203" spans="1:4">
      <c r="A203" s="730"/>
      <c r="B203" s="730"/>
      <c r="C203" s="730"/>
      <c r="D203" s="730"/>
    </row>
    <row r="204" spans="1:4">
      <c r="A204" s="730"/>
      <c r="B204" s="730"/>
      <c r="C204" s="730"/>
      <c r="D204" s="730"/>
    </row>
    <row r="205" spans="1:4">
      <c r="A205" s="730"/>
      <c r="B205" s="730"/>
      <c r="C205" s="730"/>
      <c r="D205" s="730"/>
    </row>
    <row r="206" spans="1:4">
      <c r="A206" s="730"/>
      <c r="B206" s="730"/>
      <c r="C206" s="730"/>
      <c r="D206" s="730"/>
    </row>
    <row r="207" spans="1:4">
      <c r="A207" s="730"/>
      <c r="B207" s="730"/>
      <c r="C207" s="730"/>
      <c r="D207" s="730"/>
    </row>
    <row r="208" spans="1:4">
      <c r="A208" s="730"/>
      <c r="B208" s="730"/>
      <c r="C208" s="730"/>
      <c r="D208" s="730"/>
    </row>
    <row r="209" spans="1:4">
      <c r="A209" s="730"/>
      <c r="B209" s="730"/>
      <c r="C209" s="730"/>
      <c r="D209" s="730"/>
    </row>
    <row r="210" spans="1:4">
      <c r="A210" s="730"/>
      <c r="B210" s="730"/>
      <c r="C210" s="730"/>
      <c r="D210" s="730"/>
    </row>
    <row r="211" spans="1:4">
      <c r="A211" s="730"/>
      <c r="B211" s="730"/>
      <c r="C211" s="730"/>
      <c r="D211" s="730"/>
    </row>
    <row r="212" spans="1:4">
      <c r="A212" s="730"/>
      <c r="B212" s="730"/>
      <c r="C212" s="730"/>
      <c r="D212" s="730"/>
    </row>
    <row r="213" spans="1:4">
      <c r="A213" s="730"/>
      <c r="B213" s="730"/>
      <c r="C213" s="730"/>
      <c r="D213" s="730"/>
    </row>
    <row r="214" spans="1:4">
      <c r="A214" s="730"/>
      <c r="B214" s="730"/>
      <c r="C214" s="730"/>
      <c r="D214" s="730"/>
    </row>
    <row r="215" spans="1:4">
      <c r="A215" s="730"/>
      <c r="B215" s="730"/>
      <c r="C215" s="730"/>
      <c r="D215" s="730"/>
    </row>
    <row r="216" spans="1:4">
      <c r="A216" s="730"/>
      <c r="B216" s="730"/>
      <c r="C216" s="730"/>
      <c r="D216" s="730"/>
    </row>
    <row r="217" spans="1:4">
      <c r="A217" s="730"/>
      <c r="B217" s="730"/>
      <c r="C217" s="730"/>
      <c r="D217" s="730"/>
    </row>
    <row r="218" spans="1:4">
      <c r="A218" s="730"/>
      <c r="B218" s="730"/>
      <c r="C218" s="730"/>
      <c r="D218" s="730"/>
    </row>
    <row r="219" spans="1:4">
      <c r="A219" s="730"/>
      <c r="B219" s="730"/>
      <c r="C219" s="730"/>
      <c r="D219" s="730"/>
    </row>
    <row r="220" spans="1:4">
      <c r="A220" s="730"/>
      <c r="B220" s="730"/>
      <c r="C220" s="730"/>
      <c r="D220" s="730"/>
    </row>
    <row r="221" spans="1:4">
      <c r="A221" s="730"/>
      <c r="B221" s="730"/>
      <c r="C221" s="730"/>
      <c r="D221" s="730"/>
    </row>
    <row r="222" spans="1:4">
      <c r="A222" s="730"/>
      <c r="B222" s="730"/>
      <c r="C222" s="730"/>
      <c r="D222" s="730"/>
    </row>
    <row r="223" spans="1:4">
      <c r="A223" s="730"/>
      <c r="B223" s="730"/>
      <c r="C223" s="730"/>
      <c r="D223" s="730"/>
    </row>
    <row r="224" spans="1:4">
      <c r="A224" s="730"/>
      <c r="B224" s="730"/>
      <c r="C224" s="730"/>
      <c r="D224" s="730"/>
    </row>
    <row r="225" spans="1:4">
      <c r="A225" s="730"/>
      <c r="B225" s="730"/>
      <c r="C225" s="730"/>
      <c r="D225" s="730"/>
    </row>
    <row r="226" spans="1:4">
      <c r="A226" s="730"/>
      <c r="B226" s="730"/>
      <c r="C226" s="730"/>
      <c r="D226" s="730"/>
    </row>
    <row r="227" spans="1:4">
      <c r="A227" s="730"/>
      <c r="B227" s="730"/>
      <c r="C227" s="730"/>
      <c r="D227" s="730"/>
    </row>
    <row r="228" spans="1:4">
      <c r="A228" s="730"/>
      <c r="B228" s="730"/>
      <c r="C228" s="730"/>
      <c r="D228" s="730"/>
    </row>
    <row r="229" spans="1:4">
      <c r="A229" s="730"/>
      <c r="B229" s="730"/>
      <c r="C229" s="730"/>
      <c r="D229" s="730"/>
    </row>
    <row r="230" spans="1:4">
      <c r="A230" s="730"/>
      <c r="B230" s="730"/>
      <c r="C230" s="730"/>
      <c r="D230" s="730"/>
    </row>
    <row r="231" spans="1:4">
      <c r="A231" s="730"/>
      <c r="B231" s="730"/>
      <c r="C231" s="730"/>
      <c r="D231" s="730"/>
    </row>
    <row r="232" spans="1:4">
      <c r="A232" s="730"/>
      <c r="B232" s="730"/>
      <c r="C232" s="730"/>
      <c r="D232" s="730"/>
    </row>
    <row r="233" spans="1:4">
      <c r="A233" s="730"/>
      <c r="B233" s="730"/>
      <c r="C233" s="730"/>
      <c r="D233" s="730"/>
    </row>
    <row r="234" spans="1:4">
      <c r="A234" s="730"/>
      <c r="B234" s="730"/>
      <c r="C234" s="730"/>
      <c r="D234" s="730"/>
    </row>
    <row r="235" spans="1:4">
      <c r="A235" s="730"/>
      <c r="B235" s="730"/>
      <c r="C235" s="730"/>
      <c r="D235" s="730"/>
    </row>
    <row r="236" spans="1:4">
      <c r="A236" s="730"/>
      <c r="B236" s="730"/>
      <c r="C236" s="730"/>
      <c r="D236" s="730"/>
    </row>
    <row r="237" spans="1:4">
      <c r="A237" s="730"/>
      <c r="B237" s="730"/>
      <c r="C237" s="730"/>
      <c r="D237" s="730"/>
    </row>
    <row r="238" spans="1:4">
      <c r="A238" s="730"/>
      <c r="B238" s="730"/>
      <c r="C238" s="730"/>
      <c r="D238" s="730"/>
    </row>
    <row r="239" spans="1:4">
      <c r="A239" s="730"/>
      <c r="B239" s="730"/>
      <c r="C239" s="730"/>
      <c r="D239" s="730"/>
    </row>
    <row r="240" spans="1:4">
      <c r="A240" s="730"/>
      <c r="B240" s="730"/>
      <c r="C240" s="730"/>
      <c r="D240" s="730"/>
    </row>
    <row r="241" spans="1:4">
      <c r="A241" s="730"/>
      <c r="B241" s="730"/>
      <c r="C241" s="730"/>
      <c r="D241" s="730"/>
    </row>
    <row r="242" spans="1:4">
      <c r="A242" s="730"/>
      <c r="B242" s="730"/>
      <c r="C242" s="730"/>
      <c r="D242" s="730"/>
    </row>
    <row r="243" spans="1:4">
      <c r="A243" s="730"/>
      <c r="B243" s="730"/>
      <c r="C243" s="730"/>
      <c r="D243" s="730"/>
    </row>
    <row r="244" spans="1:4">
      <c r="A244" s="730"/>
      <c r="B244" s="730"/>
      <c r="C244" s="730"/>
      <c r="D244" s="730"/>
    </row>
    <row r="245" spans="1:4">
      <c r="A245" s="730"/>
      <c r="B245" s="730"/>
      <c r="C245" s="730"/>
      <c r="D245" s="730"/>
    </row>
    <row r="246" spans="1:4">
      <c r="A246" s="730"/>
      <c r="B246" s="730"/>
      <c r="C246" s="730"/>
      <c r="D246" s="730"/>
    </row>
    <row r="247" spans="1:4">
      <c r="A247" s="730"/>
      <c r="B247" s="730"/>
      <c r="C247" s="730"/>
      <c r="D247" s="730"/>
    </row>
    <row r="248" spans="1:4">
      <c r="A248" s="730"/>
      <c r="B248" s="730"/>
      <c r="C248" s="730"/>
      <c r="D248" s="730"/>
    </row>
    <row r="249" spans="1:4">
      <c r="A249" s="730"/>
      <c r="B249" s="730"/>
      <c r="C249" s="730"/>
      <c r="D249" s="730"/>
    </row>
    <row r="250" spans="1:4">
      <c r="A250" s="730"/>
      <c r="B250" s="730"/>
      <c r="C250" s="730"/>
      <c r="D250" s="730"/>
    </row>
    <row r="251" spans="1:4">
      <c r="A251" s="730"/>
      <c r="B251" s="730"/>
      <c r="C251" s="730"/>
      <c r="D251" s="730"/>
    </row>
    <row r="252" spans="1:4">
      <c r="A252" s="730"/>
      <c r="B252" s="730"/>
      <c r="C252" s="730"/>
      <c r="D252" s="730"/>
    </row>
    <row r="253" spans="1:4">
      <c r="A253" s="730"/>
      <c r="B253" s="730"/>
      <c r="C253" s="730"/>
      <c r="D253" s="730"/>
    </row>
    <row r="254" spans="1:4">
      <c r="A254" s="730"/>
      <c r="B254" s="730"/>
      <c r="C254" s="730"/>
      <c r="D254" s="730"/>
    </row>
    <row r="255" spans="1:4">
      <c r="A255" s="730"/>
      <c r="B255" s="730"/>
      <c r="C255" s="730"/>
      <c r="D255" s="730"/>
    </row>
    <row r="256" spans="1:4">
      <c r="A256" s="730"/>
      <c r="B256" s="730"/>
      <c r="C256" s="730"/>
      <c r="D256" s="730"/>
    </row>
    <row r="257" spans="1:4">
      <c r="A257" s="730"/>
      <c r="B257" s="730"/>
      <c r="C257" s="730"/>
      <c r="D257" s="730"/>
    </row>
    <row r="258" spans="1:4">
      <c r="A258" s="730"/>
      <c r="B258" s="730"/>
      <c r="C258" s="730"/>
      <c r="D258" s="730"/>
    </row>
    <row r="259" spans="1:4">
      <c r="A259" s="730"/>
      <c r="B259" s="730"/>
      <c r="C259" s="730"/>
      <c r="D259" s="730"/>
    </row>
    <row r="260" spans="1:4">
      <c r="A260" s="730"/>
      <c r="B260" s="730"/>
      <c r="C260" s="730"/>
      <c r="D260" s="730"/>
    </row>
    <row r="261" spans="1:4">
      <c r="A261" s="730"/>
      <c r="B261" s="730"/>
      <c r="C261" s="730"/>
      <c r="D261" s="730"/>
    </row>
    <row r="262" spans="1:4">
      <c r="A262" s="730"/>
      <c r="B262" s="730"/>
      <c r="C262" s="730"/>
      <c r="D262" s="730"/>
    </row>
    <row r="263" spans="1:4">
      <c r="A263" s="730"/>
      <c r="B263" s="730"/>
      <c r="C263" s="730"/>
      <c r="D263" s="730"/>
    </row>
    <row r="264" spans="1:4">
      <c r="A264" s="730"/>
      <c r="B264" s="730"/>
      <c r="C264" s="730"/>
      <c r="D264" s="730"/>
    </row>
    <row r="265" spans="1:4">
      <c r="A265" s="730"/>
      <c r="B265" s="730"/>
      <c r="C265" s="730"/>
      <c r="D265" s="730"/>
    </row>
    <row r="266" spans="1:4">
      <c r="A266" s="730"/>
      <c r="B266" s="730"/>
      <c r="C266" s="730"/>
      <c r="D266" s="730"/>
    </row>
    <row r="267" spans="1:4">
      <c r="A267" s="730"/>
      <c r="B267" s="730"/>
      <c r="C267" s="730"/>
      <c r="D267" s="730"/>
    </row>
    <row r="268" spans="1:4">
      <c r="A268" s="730"/>
      <c r="B268" s="730"/>
      <c r="C268" s="730"/>
      <c r="D268" s="730"/>
    </row>
    <row r="269" spans="1:4">
      <c r="A269" s="730"/>
      <c r="B269" s="730"/>
      <c r="C269" s="730"/>
      <c r="D269" s="730"/>
    </row>
    <row r="270" spans="1:4">
      <c r="A270" s="730"/>
      <c r="B270" s="730"/>
      <c r="C270" s="730"/>
      <c r="D270" s="730"/>
    </row>
    <row r="271" spans="1:4">
      <c r="A271" s="730"/>
      <c r="B271" s="730"/>
      <c r="C271" s="730"/>
      <c r="D271" s="730"/>
    </row>
    <row r="272" spans="1:4">
      <c r="A272" s="730"/>
      <c r="B272" s="730"/>
      <c r="C272" s="730"/>
      <c r="D272" s="730"/>
    </row>
    <row r="273" spans="1:4">
      <c r="A273" s="730"/>
      <c r="B273" s="730"/>
      <c r="C273" s="730"/>
      <c r="D273" s="730"/>
    </row>
    <row r="274" spans="1:4">
      <c r="A274" s="730"/>
      <c r="B274" s="730"/>
      <c r="C274" s="730"/>
      <c r="D274" s="730"/>
    </row>
    <row r="275" spans="1:4">
      <c r="A275" s="730"/>
      <c r="B275" s="730"/>
      <c r="C275" s="730"/>
      <c r="D275" s="730"/>
    </row>
    <row r="276" spans="1:4">
      <c r="A276" s="730"/>
      <c r="B276" s="730"/>
      <c r="C276" s="730"/>
      <c r="D276" s="730"/>
    </row>
    <row r="277" spans="1:4">
      <c r="A277" s="730"/>
      <c r="B277" s="730"/>
      <c r="C277" s="730"/>
      <c r="D277" s="730"/>
    </row>
    <row r="278" spans="1:4">
      <c r="A278" s="730"/>
      <c r="B278" s="730"/>
      <c r="C278" s="730"/>
      <c r="D278" s="730"/>
    </row>
    <row r="279" spans="1:4">
      <c r="A279" s="730"/>
      <c r="B279" s="730"/>
      <c r="C279" s="730"/>
      <c r="D279" s="730"/>
    </row>
    <row r="280" spans="1:4">
      <c r="A280" s="730"/>
      <c r="B280" s="730"/>
      <c r="C280" s="730"/>
      <c r="D280" s="730"/>
    </row>
    <row r="281" spans="1:4">
      <c r="A281" s="730"/>
      <c r="B281" s="730"/>
      <c r="C281" s="730"/>
      <c r="D281" s="730"/>
    </row>
    <row r="282" spans="1:4">
      <c r="A282" s="730"/>
      <c r="B282" s="730"/>
      <c r="C282" s="730"/>
      <c r="D282" s="730"/>
    </row>
    <row r="283" spans="1:4">
      <c r="A283" s="730"/>
      <c r="B283" s="730"/>
      <c r="C283" s="730"/>
      <c r="D283" s="730"/>
    </row>
    <row r="284" spans="1:4">
      <c r="A284" s="730"/>
      <c r="B284" s="730"/>
      <c r="C284" s="730"/>
      <c r="D284" s="730"/>
    </row>
    <row r="285" spans="1:4">
      <c r="A285" s="730"/>
      <c r="B285" s="730"/>
      <c r="C285" s="730"/>
      <c r="D285" s="730"/>
    </row>
    <row r="286" spans="1:4">
      <c r="A286" s="730"/>
      <c r="B286" s="730"/>
      <c r="C286" s="730"/>
      <c r="D286" s="730"/>
    </row>
    <row r="287" spans="1:4">
      <c r="A287" s="730"/>
      <c r="B287" s="730"/>
      <c r="C287" s="730"/>
      <c r="D287" s="730"/>
    </row>
    <row r="288" spans="1:4">
      <c r="A288" s="730"/>
      <c r="B288" s="730"/>
      <c r="C288" s="730"/>
      <c r="D288" s="730"/>
    </row>
    <row r="289" spans="1:4">
      <c r="A289" s="730"/>
      <c r="B289" s="730"/>
      <c r="C289" s="730"/>
      <c r="D289" s="730"/>
    </row>
    <row r="290" spans="1:4">
      <c r="A290" s="730"/>
      <c r="B290" s="730"/>
      <c r="C290" s="730"/>
      <c r="D290" s="730"/>
    </row>
    <row r="291" spans="1:4">
      <c r="A291" s="730"/>
      <c r="B291" s="730"/>
      <c r="C291" s="730"/>
      <c r="D291" s="730"/>
    </row>
    <row r="292" spans="1:4">
      <c r="A292" s="730"/>
      <c r="B292" s="730"/>
      <c r="C292" s="730"/>
      <c r="D292" s="730"/>
    </row>
    <row r="293" spans="1:4">
      <c r="A293" s="730"/>
      <c r="B293" s="730"/>
      <c r="C293" s="730"/>
      <c r="D293" s="730"/>
    </row>
    <row r="294" spans="1:4">
      <c r="A294" s="730"/>
      <c r="B294" s="730"/>
      <c r="C294" s="730"/>
      <c r="D294" s="730"/>
    </row>
    <row r="295" spans="1:4">
      <c r="A295" s="730"/>
      <c r="B295" s="730"/>
      <c r="C295" s="730"/>
      <c r="D295" s="730"/>
    </row>
    <row r="296" spans="1:4">
      <c r="A296" s="730"/>
      <c r="B296" s="730"/>
      <c r="C296" s="730"/>
      <c r="D296" s="730"/>
    </row>
    <row r="297" spans="1:4">
      <c r="A297" s="730"/>
      <c r="B297" s="730"/>
      <c r="C297" s="730"/>
      <c r="D297" s="730"/>
    </row>
    <row r="298" spans="1:4">
      <c r="A298" s="730"/>
      <c r="B298" s="730"/>
      <c r="C298" s="730"/>
      <c r="D298" s="730"/>
    </row>
    <row r="299" spans="1:4">
      <c r="A299" s="730"/>
      <c r="B299" s="730"/>
      <c r="C299" s="730"/>
      <c r="D299" s="730"/>
    </row>
    <row r="300" spans="1:4">
      <c r="A300" s="730"/>
      <c r="B300" s="730"/>
      <c r="C300" s="730"/>
      <c r="D300" s="730"/>
    </row>
    <row r="301" spans="1:4">
      <c r="A301" s="730"/>
      <c r="B301" s="730"/>
      <c r="C301" s="730"/>
      <c r="D301" s="730"/>
    </row>
    <row r="302" spans="1:4">
      <c r="A302" s="730"/>
      <c r="B302" s="730"/>
      <c r="C302" s="730"/>
      <c r="D302" s="730"/>
    </row>
    <row r="303" spans="1:4">
      <c r="A303" s="730"/>
      <c r="B303" s="730"/>
      <c r="C303" s="730"/>
      <c r="D303" s="730"/>
    </row>
    <row r="304" spans="1:4">
      <c r="A304" s="730"/>
      <c r="B304" s="730"/>
      <c r="C304" s="730"/>
      <c r="D304" s="730"/>
    </row>
    <row r="305" spans="1:4">
      <c r="A305" s="730"/>
      <c r="B305" s="730"/>
      <c r="C305" s="730"/>
      <c r="D305" s="730"/>
    </row>
    <row r="306" spans="1:4">
      <c r="A306" s="730"/>
      <c r="B306" s="730"/>
      <c r="C306" s="730"/>
      <c r="D306" s="730"/>
    </row>
    <row r="307" spans="1:4">
      <c r="A307" s="730"/>
      <c r="B307" s="730"/>
      <c r="C307" s="730"/>
      <c r="D307" s="730"/>
    </row>
    <row r="308" spans="1:4">
      <c r="A308" s="730"/>
      <c r="B308" s="730"/>
      <c r="C308" s="730"/>
      <c r="D308" s="730"/>
    </row>
    <row r="309" spans="1:4">
      <c r="A309" s="730"/>
      <c r="B309" s="730"/>
      <c r="C309" s="730"/>
      <c r="D309" s="730"/>
    </row>
    <row r="310" spans="1:4">
      <c r="A310" s="730"/>
      <c r="B310" s="730"/>
      <c r="C310" s="730"/>
      <c r="D310" s="730"/>
    </row>
    <row r="311" spans="1:4">
      <c r="A311" s="730"/>
      <c r="B311" s="730"/>
      <c r="C311" s="730"/>
      <c r="D311" s="730"/>
    </row>
    <row r="312" spans="1:4">
      <c r="A312" s="730"/>
      <c r="B312" s="730"/>
      <c r="C312" s="730"/>
      <c r="D312" s="730"/>
    </row>
    <row r="313" spans="1:4">
      <c r="A313" s="730"/>
      <c r="B313" s="730"/>
      <c r="C313" s="730"/>
      <c r="D313" s="730"/>
    </row>
    <row r="314" spans="1:4">
      <c r="A314" s="730"/>
      <c r="B314" s="730"/>
      <c r="C314" s="730"/>
      <c r="D314" s="730"/>
    </row>
    <row r="315" spans="1:4">
      <c r="A315" s="730"/>
      <c r="B315" s="730"/>
      <c r="C315" s="730"/>
      <c r="D315" s="730"/>
    </row>
    <row r="316" spans="1:4">
      <c r="A316" s="730"/>
      <c r="B316" s="730"/>
      <c r="C316" s="730"/>
      <c r="D316" s="730"/>
    </row>
    <row r="317" spans="1:4">
      <c r="A317" s="730"/>
      <c r="B317" s="730"/>
      <c r="C317" s="730"/>
      <c r="D317" s="730"/>
    </row>
    <row r="318" spans="1:4">
      <c r="A318" s="730"/>
      <c r="B318" s="730"/>
      <c r="C318" s="730"/>
      <c r="D318" s="730"/>
    </row>
    <row r="319" spans="1:4">
      <c r="A319" s="730"/>
      <c r="B319" s="730"/>
      <c r="C319" s="730"/>
      <c r="D319" s="730"/>
    </row>
    <row r="320" spans="1:4">
      <c r="A320" s="730"/>
      <c r="B320" s="730"/>
      <c r="C320" s="730"/>
      <c r="D320" s="730"/>
    </row>
    <row r="321" spans="1:4">
      <c r="A321" s="730"/>
      <c r="B321" s="730"/>
      <c r="C321" s="730"/>
      <c r="D321" s="730"/>
    </row>
    <row r="322" spans="1:4">
      <c r="A322" s="730"/>
      <c r="B322" s="730"/>
      <c r="C322" s="730"/>
      <c r="D322" s="730"/>
    </row>
    <row r="323" spans="1:4">
      <c r="A323" s="730"/>
      <c r="B323" s="730"/>
      <c r="C323" s="730"/>
      <c r="D323" s="730"/>
    </row>
    <row r="324" spans="1:4">
      <c r="A324" s="730"/>
      <c r="B324" s="730"/>
      <c r="C324" s="730"/>
      <c r="D324" s="730"/>
    </row>
    <row r="325" spans="1:4">
      <c r="A325" s="730"/>
      <c r="B325" s="730"/>
      <c r="C325" s="730"/>
      <c r="D325" s="730"/>
    </row>
    <row r="326" spans="1:4">
      <c r="A326" s="730"/>
      <c r="B326" s="730"/>
      <c r="C326" s="730"/>
      <c r="D326" s="730"/>
    </row>
    <row r="327" spans="1:4">
      <c r="A327" s="730"/>
      <c r="B327" s="730"/>
      <c r="C327" s="730"/>
      <c r="D327" s="730"/>
    </row>
    <row r="328" spans="1:4">
      <c r="A328" s="730"/>
      <c r="B328" s="730"/>
      <c r="C328" s="730"/>
      <c r="D328" s="730"/>
    </row>
    <row r="329" spans="1:4">
      <c r="A329" s="730"/>
      <c r="B329" s="730"/>
      <c r="C329" s="730"/>
      <c r="D329" s="730"/>
    </row>
    <row r="330" spans="1:4">
      <c r="A330" s="730"/>
      <c r="B330" s="730"/>
      <c r="C330" s="730"/>
      <c r="D330" s="730"/>
    </row>
    <row r="331" spans="1:4">
      <c r="A331" s="730"/>
      <c r="B331" s="730"/>
      <c r="C331" s="730"/>
      <c r="D331" s="730"/>
    </row>
    <row r="332" spans="1:4">
      <c r="A332" s="730"/>
      <c r="B332" s="730"/>
      <c r="C332" s="730"/>
      <c r="D332" s="730"/>
    </row>
    <row r="333" spans="1:4">
      <c r="A333" s="730"/>
      <c r="B333" s="730"/>
      <c r="C333" s="730"/>
      <c r="D333" s="730"/>
    </row>
    <row r="334" spans="1:4">
      <c r="A334" s="730"/>
      <c r="B334" s="730"/>
      <c r="C334" s="730"/>
      <c r="D334" s="730"/>
    </row>
    <row r="335" spans="1:4">
      <c r="A335" s="730"/>
      <c r="B335" s="730"/>
      <c r="C335" s="730"/>
      <c r="D335" s="730"/>
    </row>
    <row r="336" spans="1:4">
      <c r="A336" s="730"/>
      <c r="B336" s="730"/>
      <c r="C336" s="730"/>
      <c r="D336" s="730"/>
    </row>
    <row r="337" spans="1:4">
      <c r="A337" s="730"/>
      <c r="B337" s="730"/>
      <c r="C337" s="730"/>
      <c r="D337" s="730"/>
    </row>
    <row r="338" spans="1:4">
      <c r="A338" s="730"/>
      <c r="B338" s="730"/>
      <c r="C338" s="730"/>
      <c r="D338" s="730"/>
    </row>
  </sheetData>
  <mergeCells count="98">
    <mergeCell ref="A150:A153"/>
    <mergeCell ref="B150:B153"/>
    <mergeCell ref="D150:D153"/>
    <mergeCell ref="B135:B138"/>
    <mergeCell ref="A135:A138"/>
    <mergeCell ref="D135:D138"/>
    <mergeCell ref="A146:A147"/>
    <mergeCell ref="B146:B147"/>
    <mergeCell ref="D146:D147"/>
    <mergeCell ref="A148:A149"/>
    <mergeCell ref="B148:B149"/>
    <mergeCell ref="D148:D149"/>
    <mergeCell ref="A132:A134"/>
    <mergeCell ref="B132:B134"/>
    <mergeCell ref="D132:D134"/>
    <mergeCell ref="A141:A144"/>
    <mergeCell ref="B141:B144"/>
    <mergeCell ref="D141:D144"/>
    <mergeCell ref="A120:A123"/>
    <mergeCell ref="B120:B123"/>
    <mergeCell ref="D120:D123"/>
    <mergeCell ref="A125:A129"/>
    <mergeCell ref="B125:B129"/>
    <mergeCell ref="D125:D129"/>
    <mergeCell ref="A108:A111"/>
    <mergeCell ref="B108:B111"/>
    <mergeCell ref="D108:D111"/>
    <mergeCell ref="A90:A92"/>
    <mergeCell ref="B90:B92"/>
    <mergeCell ref="D90:D92"/>
    <mergeCell ref="A93:A94"/>
    <mergeCell ref="B93:B94"/>
    <mergeCell ref="D93:D94"/>
    <mergeCell ref="A98:A99"/>
    <mergeCell ref="D98:D99"/>
    <mergeCell ref="A103:A104"/>
    <mergeCell ref="B103:B104"/>
    <mergeCell ref="D103:D104"/>
    <mergeCell ref="A84:A87"/>
    <mergeCell ref="B84:B87"/>
    <mergeCell ref="D84:D87"/>
    <mergeCell ref="A88:A89"/>
    <mergeCell ref="B88:B89"/>
    <mergeCell ref="D88:D89"/>
    <mergeCell ref="A73:A74"/>
    <mergeCell ref="B73:B74"/>
    <mergeCell ref="D73:D74"/>
    <mergeCell ref="A81:A82"/>
    <mergeCell ref="B81:B82"/>
    <mergeCell ref="D81:D82"/>
    <mergeCell ref="A66:A69"/>
    <mergeCell ref="B66:B69"/>
    <mergeCell ref="D66:D69"/>
    <mergeCell ref="A71:A72"/>
    <mergeCell ref="B71:B72"/>
    <mergeCell ref="D71:D72"/>
    <mergeCell ref="A58:A61"/>
    <mergeCell ref="B58:B61"/>
    <mergeCell ref="D58:D61"/>
    <mergeCell ref="A62:A65"/>
    <mergeCell ref="B62:B65"/>
    <mergeCell ref="D62:D65"/>
    <mergeCell ref="A50:A53"/>
    <mergeCell ref="B50:B53"/>
    <mergeCell ref="D50:D53"/>
    <mergeCell ref="A54:A56"/>
    <mergeCell ref="B54:B56"/>
    <mergeCell ref="D54:D56"/>
    <mergeCell ref="B42:B43"/>
    <mergeCell ref="D42:D43"/>
    <mergeCell ref="A44:A49"/>
    <mergeCell ref="B44:B49"/>
    <mergeCell ref="D44:D49"/>
    <mergeCell ref="A42:A43"/>
    <mergeCell ref="A34:A38"/>
    <mergeCell ref="B34:B38"/>
    <mergeCell ref="D34:D38"/>
    <mergeCell ref="A39:A40"/>
    <mergeCell ref="B39:B40"/>
    <mergeCell ref="D39:D40"/>
    <mergeCell ref="B28:B29"/>
    <mergeCell ref="D28:D29"/>
    <mergeCell ref="A28:A29"/>
    <mergeCell ref="A30:A33"/>
    <mergeCell ref="B30:B33"/>
    <mergeCell ref="D30:D33"/>
    <mergeCell ref="D16:D21"/>
    <mergeCell ref="A16:A21"/>
    <mergeCell ref="B16:B21"/>
    <mergeCell ref="A22:A27"/>
    <mergeCell ref="B22:B27"/>
    <mergeCell ref="D22:D27"/>
    <mergeCell ref="A3:A10"/>
    <mergeCell ref="D3:D10"/>
    <mergeCell ref="B3:B10"/>
    <mergeCell ref="B11:B15"/>
    <mergeCell ref="A11:A15"/>
    <mergeCell ref="D11:D15"/>
  </mergeCells>
  <conditionalFormatting sqref="C1:C1048576">
    <cfRule type="containsText" dxfId="11" priority="4" operator="containsText" text="delta aurican">
      <formula>NOT(ISERROR(SEARCH("delta aurican",C1)))</formula>
    </cfRule>
    <cfRule type="containsText" dxfId="10" priority="5" operator="containsText" text="munnin">
      <formula>NOT(ISERROR(SEARCH("munnin",C1)))</formula>
    </cfRule>
    <cfRule type="containsText" dxfId="9" priority="6" operator="containsText" text="gamma">
      <formula>NOT(ISERROR(SEARCH("gamma",C1)))</formula>
    </cfRule>
    <cfRule type="containsText" dxfId="8" priority="7" operator="containsText" text="gamma">
      <formula>NOT(ISERROR(SEARCH("gamma",C1)))</formula>
    </cfRule>
    <cfRule type="containsText" dxfId="7" priority="8" operator="containsText" text="abalon">
      <formula>NOT(ISERROR(SEARCH("abalon",C1)))</formula>
    </cfRule>
    <cfRule type="containsText" dxfId="6" priority="9" operator="containsText" text="aretis">
      <formula>NOT(ISERROR(SEARCH("aretis",C1)))</formula>
    </cfRule>
    <cfRule type="containsText" dxfId="5" priority="10" operator="containsText" text="vidofnir">
      <formula>NOT(ISERROR(SEARCH("vidofnir",C1)))</formula>
    </cfRule>
    <cfRule type="containsText" dxfId="4" priority="11" operator="containsText" text="hatir">
      <formula>NOT(ISERROR(SEARCH("hatir",C1)))</formula>
    </cfRule>
    <cfRule type="containsText" dxfId="3" priority="12" operator="containsText" text="Duneyrr">
      <formula>NOT(ISERROR(SEARCH("Duneyrr",C1)))</formula>
    </cfRule>
    <cfRule type="colorScale" priority="13">
      <colorScale>
        <cfvo type="min" val="0"/>
        <cfvo type="percentile" val="50"/>
        <cfvo type="max" val="0"/>
        <color rgb="FFF8696B"/>
        <color rgb="FFFFEB84"/>
        <color rgb="FF63BE7B"/>
      </colorScale>
    </cfRule>
    <cfRule type="containsText" dxfId="2" priority="3" operator="containsText" text="calibaan">
      <formula>NOT(ISERROR(SEARCH("calibaan",C1)))</formula>
    </cfRule>
    <cfRule type="containsText" dxfId="1" priority="2" operator="containsText" text="Tau A">
      <formula>NOT(ISERROR(SEARCH("Tau A",C1)))</formula>
    </cfRule>
    <cfRule type="containsText" dxfId="0" priority="1" operator="containsText" text="sig">
      <formula>NOT(ISERROR(SEARCH("sig",C1)))</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80</vt:i4>
      </vt:variant>
    </vt:vector>
  </HeadingPairs>
  <TitlesOfParts>
    <vt:vector size="93" baseType="lpstr">
      <vt:lpstr>Ships Table</vt:lpstr>
      <vt:lpstr>Computer Table</vt:lpstr>
      <vt:lpstr>Hull Table</vt:lpstr>
      <vt:lpstr>Engine Table</vt:lpstr>
      <vt:lpstr>Skill Calculator</vt:lpstr>
      <vt:lpstr>Reference Card</vt:lpstr>
      <vt:lpstr>image vaisseaux</vt:lpstr>
      <vt:lpstr>cout equipement</vt:lpstr>
      <vt:lpstr>trouver npc</vt:lpstr>
      <vt:lpstr>Weapons Table</vt:lpstr>
      <vt:lpstr>muntions</vt:lpstr>
      <vt:lpstr>Calculateur</vt:lpstr>
      <vt:lpstr>calculateur2</vt:lpstr>
      <vt:lpstr>allowed1_1</vt:lpstr>
      <vt:lpstr>allowed1_2</vt:lpstr>
      <vt:lpstr>computer_table1</vt:lpstr>
      <vt:lpstr>computer_table2</vt:lpstr>
      <vt:lpstr>computer_table3</vt:lpstr>
      <vt:lpstr>computer_table4</vt:lpstr>
      <vt:lpstr>engine_table1</vt:lpstr>
      <vt:lpstr>engine_table2</vt:lpstr>
      <vt:lpstr>engine_table3</vt:lpstr>
      <vt:lpstr>engine_table4</vt:lpstr>
      <vt:lpstr>hull_table1</vt:lpstr>
      <vt:lpstr>hull_table2</vt:lpstr>
      <vt:lpstr>hull_table3</vt:lpstr>
      <vt:lpstr>hull_table4</vt:lpstr>
      <vt:lpstr>reference_card1</vt:lpstr>
      <vt:lpstr>reference_card10</vt:lpstr>
      <vt:lpstr>reference_card11</vt:lpstr>
      <vt:lpstr>reference_card12</vt:lpstr>
      <vt:lpstr>reference_card13</vt:lpstr>
      <vt:lpstr>reference_card14</vt:lpstr>
      <vt:lpstr>reference_card15</vt:lpstr>
      <vt:lpstr>reference_card16</vt:lpstr>
      <vt:lpstr>reference_card17</vt:lpstr>
      <vt:lpstr>reference_card18</vt:lpstr>
      <vt:lpstr>reference_card19</vt:lpstr>
      <vt:lpstr>reference_card20</vt:lpstr>
      <vt:lpstr>reference_card21</vt:lpstr>
      <vt:lpstr>reference_card22</vt:lpstr>
      <vt:lpstr>reference_card23</vt:lpstr>
      <vt:lpstr>reference_card24</vt:lpstr>
      <vt:lpstr>reference_card25</vt:lpstr>
      <vt:lpstr>reference_card26</vt:lpstr>
      <vt:lpstr>reference_card27</vt:lpstr>
      <vt:lpstr>reference_card28</vt:lpstr>
      <vt:lpstr>reference_card29</vt:lpstr>
      <vt:lpstr>reference_card3</vt:lpstr>
      <vt:lpstr>reference_card30</vt:lpstr>
      <vt:lpstr>reference_card31</vt:lpstr>
      <vt:lpstr>reference_card32</vt:lpstr>
      <vt:lpstr>reference_card33</vt:lpstr>
      <vt:lpstr>reference_card34</vt:lpstr>
      <vt:lpstr>reference_card35</vt:lpstr>
      <vt:lpstr>reference_card36</vt:lpstr>
      <vt:lpstr>reference_card37</vt:lpstr>
      <vt:lpstr>reference_card38</vt:lpstr>
      <vt:lpstr>reference_card39</vt:lpstr>
      <vt:lpstr>reference_card4</vt:lpstr>
      <vt:lpstr>reference_card40</vt:lpstr>
      <vt:lpstr>reference_card41</vt:lpstr>
      <vt:lpstr>reference_card42</vt:lpstr>
      <vt:lpstr>reference_card43</vt:lpstr>
      <vt:lpstr>reference_card44</vt:lpstr>
      <vt:lpstr>reference_card45</vt:lpstr>
      <vt:lpstr>reference_card46</vt:lpstr>
      <vt:lpstr>reference_card47</vt:lpstr>
      <vt:lpstr>reference_card48</vt:lpstr>
      <vt:lpstr>reference_card49</vt:lpstr>
      <vt:lpstr>reference_card5</vt:lpstr>
      <vt:lpstr>reference_card50</vt:lpstr>
      <vt:lpstr>reference_card51</vt:lpstr>
      <vt:lpstr>reference_card52</vt:lpstr>
      <vt:lpstr>reference_card53</vt:lpstr>
      <vt:lpstr>reference_card54</vt:lpstr>
      <vt:lpstr>reference_card55</vt:lpstr>
      <vt:lpstr>reference_card6</vt:lpstr>
      <vt:lpstr>reference_card7</vt:lpstr>
      <vt:lpstr>reference_card8</vt:lpstr>
      <vt:lpstr>reference_card9</vt:lpstr>
      <vt:lpstr>ships_table1</vt:lpstr>
      <vt:lpstr>ships_table2</vt:lpstr>
      <vt:lpstr>ships_table3</vt:lpstr>
      <vt:lpstr>ships_table4</vt:lpstr>
      <vt:lpstr>skill_calculator1</vt:lpstr>
      <vt:lpstr>skill_calculator2</vt:lpstr>
      <vt:lpstr>skill_calculator3</vt:lpstr>
      <vt:lpstr>skill_calculator4</vt:lpstr>
      <vt:lpstr>weapons_table1</vt:lpstr>
      <vt:lpstr>weapons_table2</vt:lpstr>
      <vt:lpstr>weapons_table3</vt:lpstr>
      <vt:lpstr>weapons_table4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omage53</dc:creator>
  <cp:lastModifiedBy>pre-user</cp:lastModifiedBy>
  <cp:lastPrinted>2015-02-07T18:51:49Z</cp:lastPrinted>
  <dcterms:created xsi:type="dcterms:W3CDTF">2014-05-24T12:53:17Z</dcterms:created>
  <dcterms:modified xsi:type="dcterms:W3CDTF">2015-03-19T17:02:32Z</dcterms:modified>
</cp:coreProperties>
</file>