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hidePivotFieldList="1" defaultThemeVersion="124226"/>
  <bookViews>
    <workbookView xWindow="0" yWindow="0" windowWidth="16395" windowHeight="5655" tabRatio="429" activeTab="1"/>
  </bookViews>
  <sheets>
    <sheet name="listes" sheetId="7" r:id="rId1"/>
    <sheet name="Stock" sheetId="5" r:id="rId2"/>
    <sheet name="Entrée" sheetId="3" r:id="rId3"/>
    <sheet name="Sortie" sheetId="2" r:id="rId4"/>
    <sheet name="Récapitulatif journée" sheetId="9" r:id="rId5"/>
    <sheet name="Récapitulatif Mensuel " sheetId="11" r:id="rId6"/>
    <sheet name="Récapitulatif dettes clients" sheetId="10" r:id="rId7"/>
    <sheet name="Mode d'emploi" sheetId="8" r:id="rId8"/>
  </sheets>
  <definedNames>
    <definedName name="base">T_entrée[Fournisseur]</definedName>
    <definedName name="Désignations" localSheetId="2">OFFSET(listes!$B$1,1,MATCH(Entrée!XFD1,Familles,0),COUNTA(OFFSET(listes!$B$1,1,MATCH(Entrée!XFD1,Familles,0),1000,1))+1,1)</definedName>
    <definedName name="désignations" localSheetId="3">OFFSET(listes!$B$1,1,MATCH(Sortie!XFD1,Familles,0),COUNTA(OFFSET(listes!$B$1,1,MATCH(Sortie!XFD1,Familles,0),1000,1))+1,1)</definedName>
    <definedName name="Désignations" localSheetId="1">OFFSET(listes!$B$1,1,MATCH(Stock!XFD1,Familles,0),COUNTA(OFFSET(listes!$B$1,1,MATCH(Stock!XFD1,Familles,0),1000,1))+1,1)</definedName>
    <definedName name="Familles">OFFSET(listes!$B$1,0,1,1,COUNTA(listes!$1:$1)-1)</definedName>
    <definedName name="fliste">T_entrée[Fournisseur]</definedName>
    <definedName name="Fournisseurs">OFFSET(listes!$A$1,1,,SUMPRODUCT((listes!$A:$A&lt;&gt;"")*1),1)</definedName>
    <definedName name="Références">T_stock[Référence]</definedName>
  </definedNames>
  <calcPr calcId="125725"/>
  <pivotCaches>
    <pivotCache cacheId="26" r:id="rId9"/>
    <pivotCache cacheId="29" r:id="rId10"/>
  </pivotCaches>
</workbook>
</file>

<file path=xl/calcChain.xml><?xml version="1.0" encoding="utf-8"?>
<calcChain xmlns="http://schemas.openxmlformats.org/spreadsheetml/2006/main">
  <c r="E9" i="11"/>
  <c r="D9" s="1"/>
  <c r="D4"/>
  <c r="D5"/>
  <c r="D6"/>
  <c r="C15" i="3"/>
  <c r="D15"/>
  <c r="E15"/>
  <c r="F15"/>
  <c r="G15"/>
  <c r="H12" i="5"/>
  <c r="J12" s="1"/>
  <c r="K10" i="11"/>
  <c r="I10"/>
  <c r="H10"/>
  <c r="G10"/>
  <c r="F10"/>
  <c r="A2" i="7" a="1"/>
  <c r="A2" s="1"/>
  <c r="A3" s="1" a="1"/>
  <c r="A3" s="1"/>
  <c r="B11"/>
  <c r="B12"/>
  <c r="B13"/>
  <c r="B14"/>
  <c r="B3"/>
  <c r="B4"/>
  <c r="B5"/>
  <c r="B6"/>
  <c r="B7"/>
  <c r="B8"/>
  <c r="B9"/>
  <c r="B10"/>
  <c r="B2"/>
  <c r="E5" i="11"/>
  <c r="E6"/>
  <c r="E7"/>
  <c r="D7" s="1"/>
  <c r="E8"/>
  <c r="D8" s="1"/>
  <c r="E4"/>
  <c r="C12" i="2"/>
  <c r="C14" i="3"/>
  <c r="D14"/>
  <c r="D12" i="2" s="1"/>
  <c r="E14" i="3"/>
  <c r="E12" i="2" s="1"/>
  <c r="F14" i="3"/>
  <c r="G14"/>
  <c r="F12" i="2" s="1"/>
  <c r="I12" s="1"/>
  <c r="N12" s="1"/>
  <c r="H11" i="5"/>
  <c r="J11" s="1"/>
  <c r="C13" i="3"/>
  <c r="D13"/>
  <c r="E13"/>
  <c r="F13"/>
  <c r="G13"/>
  <c r="C11" i="2"/>
  <c r="C12" i="3"/>
  <c r="D12"/>
  <c r="E12"/>
  <c r="F12"/>
  <c r="G12"/>
  <c r="C11"/>
  <c r="D11"/>
  <c r="E11"/>
  <c r="F11"/>
  <c r="G11"/>
  <c r="C10"/>
  <c r="D10"/>
  <c r="D7" i="2" s="1"/>
  <c r="F10" i="3"/>
  <c r="K7" i="2" s="1"/>
  <c r="J7" s="1"/>
  <c r="G10" i="3"/>
  <c r="F7" i="2" s="1"/>
  <c r="I7" s="1"/>
  <c r="N7" s="1"/>
  <c r="G13"/>
  <c r="C10"/>
  <c r="C6"/>
  <c r="C7"/>
  <c r="C8"/>
  <c r="C9"/>
  <c r="C5"/>
  <c r="E7"/>
  <c r="C9" i="3"/>
  <c r="D9"/>
  <c r="D6" i="2" s="1"/>
  <c r="E9" i="3"/>
  <c r="E6" i="2" s="1"/>
  <c r="F9" i="3"/>
  <c r="K6" i="2" s="1"/>
  <c r="J6" s="1"/>
  <c r="G9" i="3"/>
  <c r="F6" i="2" s="1"/>
  <c r="I6" s="1"/>
  <c r="N6" s="1"/>
  <c r="H10" i="5"/>
  <c r="J10" s="1"/>
  <c r="H9"/>
  <c r="J9" s="1"/>
  <c r="C8" i="3"/>
  <c r="D8"/>
  <c r="E8"/>
  <c r="F8"/>
  <c r="G8"/>
  <c r="C7"/>
  <c r="D7"/>
  <c r="D9" i="2" s="1"/>
  <c r="E7" i="3"/>
  <c r="E9" i="2" s="1"/>
  <c r="F7" i="3"/>
  <c r="K9" i="2" s="1"/>
  <c r="J9" s="1"/>
  <c r="G7" i="3"/>
  <c r="F9" i="2" s="1"/>
  <c r="I9" s="1"/>
  <c r="N9" s="1"/>
  <c r="C6" i="3"/>
  <c r="D6"/>
  <c r="D8" i="2" s="1"/>
  <c r="E6" i="3"/>
  <c r="E8" i="2" s="1"/>
  <c r="F6" i="3"/>
  <c r="K8" i="2" s="1"/>
  <c r="J8" s="1"/>
  <c r="G6" i="3"/>
  <c r="F8" i="2" s="1"/>
  <c r="I8" s="1"/>
  <c r="N8" s="1"/>
  <c r="C5" i="3"/>
  <c r="D5"/>
  <c r="D5" i="2" s="1"/>
  <c r="E5" i="3"/>
  <c r="E5" i="2" s="1"/>
  <c r="F5" i="3"/>
  <c r="K5" i="2" s="1"/>
  <c r="J5" s="1"/>
  <c r="G5" i="3"/>
  <c r="F5" i="2" s="1"/>
  <c r="H8" i="5"/>
  <c r="J8" s="1"/>
  <c r="H7"/>
  <c r="J7" s="1"/>
  <c r="H6"/>
  <c r="J6" s="1"/>
  <c r="H5"/>
  <c r="J5" s="1"/>
  <c r="H16" i="3"/>
  <c r="C13" i="5"/>
  <c r="K11" i="2" l="1"/>
  <c r="J11" s="1"/>
  <c r="K12"/>
  <c r="J12" s="1"/>
  <c r="K10"/>
  <c r="J10" s="1"/>
  <c r="I5"/>
  <c r="N5" s="1"/>
  <c r="D10" i="11"/>
  <c r="E10"/>
  <c r="A4" i="7" a="1"/>
  <c r="A4" s="1"/>
  <c r="E11" i="2"/>
  <c r="F11"/>
  <c r="I11" s="1"/>
  <c r="N11" s="1"/>
  <c r="D11"/>
  <c r="F10"/>
  <c r="I10" s="1"/>
  <c r="N10" s="1"/>
  <c r="D10"/>
  <c r="E10"/>
  <c r="C16" i="3"/>
  <c r="H13" i="5"/>
  <c r="A5" i="7" l="1" a="1"/>
  <c r="A5" s="1"/>
  <c r="E13" i="2"/>
  <c r="A6" i="7" l="1" a="1"/>
  <c r="A6" s="1"/>
  <c r="A7" s="1" a="1"/>
  <c r="A7" s="1"/>
  <c r="A8" l="1" a="1"/>
  <c r="A8" s="1"/>
  <c r="A9" s="1" a="1"/>
  <c r="A9" s="1"/>
  <c r="A10" s="1" a="1"/>
  <c r="A10" s="1"/>
  <c r="A11" l="1" a="1"/>
  <c r="A11" s="1"/>
  <c r="A12" s="1" a="1"/>
  <c r="A12" s="1"/>
  <c r="A13" l="1" a="1"/>
  <c r="A13" s="1"/>
  <c r="A14" l="1" a="1"/>
  <c r="A14" s="1"/>
  <c r="A15" s="1" a="1"/>
  <c r="A15" s="1"/>
  <c r="A16" s="1" a="1"/>
  <c r="A16" s="1"/>
  <c r="A17" s="1" a="1"/>
  <c r="A17" s="1"/>
  <c r="A18" s="1" a="1"/>
  <c r="A18" s="1"/>
  <c r="A19" s="1" a="1"/>
  <c r="A19" s="1"/>
  <c r="A20" s="1" a="1"/>
  <c r="A20" s="1"/>
  <c r="A21" s="1" a="1"/>
  <c r="A21" s="1"/>
  <c r="A22" s="1" a="1"/>
  <c r="A22" s="1"/>
  <c r="A23" s="1" a="1"/>
  <c r="A23" s="1"/>
  <c r="A24" s="1" a="1"/>
  <c r="A24" s="1"/>
  <c r="A25" s="1" a="1"/>
  <c r="A25" s="1"/>
  <c r="A26" s="1" a="1"/>
  <c r="A26" s="1"/>
  <c r="A27" s="1" a="1"/>
  <c r="A27" s="1"/>
  <c r="A28" s="1" a="1"/>
  <c r="A28" s="1"/>
  <c r="A29" s="1" a="1"/>
  <c r="A29" s="1"/>
  <c r="A30" s="1" a="1"/>
  <c r="A30" s="1"/>
</calcChain>
</file>

<file path=xl/comments1.xml><?xml version="1.0" encoding="utf-8"?>
<comments xmlns="http://schemas.openxmlformats.org/spreadsheetml/2006/main">
  <authors>
    <author>GB</author>
  </authors>
  <commentList>
    <comment ref="K13" authorId="0">
      <text>
        <r>
          <rPr>
            <b/>
            <sz val="9"/>
            <color indexed="81"/>
            <rFont val="Tahoma"/>
            <family val="2"/>
          </rPr>
          <t>TAB sur cellule gauche
ou clic droit insérer lignes
aggrandi le tableau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GB</author>
  </authors>
  <commentList>
    <comment ref="I16" authorId="0">
      <text>
        <r>
          <rPr>
            <b/>
            <sz val="9"/>
            <color indexed="81"/>
            <rFont val="Tahoma"/>
            <family val="2"/>
          </rPr>
          <t>TAB sur cellule gauche
ou clic droit insérer lignes
aggrandi le tableau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GB</author>
  </authors>
  <commentList>
    <comment ref="F4" authorId="0">
      <text>
        <r>
          <rPr>
            <sz val="9"/>
            <color indexed="81"/>
            <rFont val="Tahoma"/>
            <family val="2"/>
          </rPr>
          <t>Pour mettre à jour
clic droit sur tableau
choisir</t>
        </r>
        <r>
          <rPr>
            <b/>
            <sz val="9"/>
            <color indexed="81"/>
            <rFont val="Tahoma"/>
            <family val="2"/>
          </rPr>
          <t xml:space="preserve"> "Actualiser"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GB</author>
  </authors>
  <commentList>
    <comment ref="A1" authorId="0">
      <text>
        <r>
          <rPr>
            <sz val="9"/>
            <color indexed="81"/>
            <rFont val="Tahoma"/>
            <family val="2"/>
          </rPr>
          <t>Pour mettre à jour clic droit sur "Dates"
choisir</t>
        </r>
        <r>
          <rPr>
            <b/>
            <sz val="9"/>
            <color indexed="81"/>
            <rFont val="Tahoma"/>
            <family val="2"/>
          </rPr>
          <t xml:space="preserve"> "Actualiser"</t>
        </r>
      </text>
    </comment>
    <comment ref="L3" authorId="0">
      <text>
        <r>
          <rPr>
            <sz val="9"/>
            <color indexed="81"/>
            <rFont val="Tahoma"/>
            <family val="2"/>
          </rPr>
          <t xml:space="preserve">Rajouter des lignes au tableau (colonnes D:K)
après l'actualisation du chiffre d'affaires
</t>
        </r>
      </text>
    </comment>
  </commentList>
</comments>
</file>

<file path=xl/comments5.xml><?xml version="1.0" encoding="utf-8"?>
<comments xmlns="http://schemas.openxmlformats.org/spreadsheetml/2006/main">
  <authors>
    <author>GB</author>
  </authors>
  <commentList>
    <comment ref="F4" authorId="0">
      <text>
        <r>
          <rPr>
            <sz val="9"/>
            <color indexed="81"/>
            <rFont val="Tahoma"/>
            <family val="2"/>
          </rPr>
          <t>Pour mettre à jour
clic droit sur tableau
choisir</t>
        </r>
        <r>
          <rPr>
            <b/>
            <sz val="9"/>
            <color indexed="81"/>
            <rFont val="Tahoma"/>
            <family val="2"/>
          </rPr>
          <t xml:space="preserve"> "Actualiser"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<sst xmlns="http://schemas.openxmlformats.org/spreadsheetml/2006/main" count="171" uniqueCount="106">
  <si>
    <t>Référence</t>
  </si>
  <si>
    <t>Famille</t>
  </si>
  <si>
    <t>Désignation</t>
  </si>
  <si>
    <t>Taille</t>
  </si>
  <si>
    <t>Fournisseur</t>
  </si>
  <si>
    <t>Prix Vente</t>
  </si>
  <si>
    <t>Etat</t>
  </si>
  <si>
    <t xml:space="preserve">Commandé </t>
  </si>
  <si>
    <t>Sortie du stock</t>
  </si>
  <si>
    <t>N°</t>
  </si>
  <si>
    <t>Remise</t>
  </si>
  <si>
    <t>Quantité</t>
  </si>
  <si>
    <t>Prix Total</t>
  </si>
  <si>
    <t>Paiement</t>
  </si>
  <si>
    <t>Entrée de stock</t>
  </si>
  <si>
    <t>Achat HT</t>
  </si>
  <si>
    <t>Achat
HT</t>
  </si>
  <si>
    <t>Prix
Vente</t>
  </si>
  <si>
    <t>Stock
Actuel</t>
  </si>
  <si>
    <t>Stock
Limite</t>
  </si>
  <si>
    <t>Total</t>
  </si>
  <si>
    <t>Total entrées</t>
  </si>
  <si>
    <t>nombres</t>
  </si>
  <si>
    <t>quantités</t>
  </si>
  <si>
    <t>Modification
inventaire</t>
  </si>
  <si>
    <t>Date</t>
  </si>
  <si>
    <t>Fournisseurs</t>
  </si>
  <si>
    <t>Etat du stock</t>
  </si>
  <si>
    <t>Désignations</t>
  </si>
  <si>
    <t>Vêtements</t>
  </si>
  <si>
    <t>Nouveau-nés 1er age</t>
  </si>
  <si>
    <t>Ballade bébé</t>
  </si>
  <si>
    <t>Soin du bébé</t>
  </si>
  <si>
    <t>Bavoir</t>
  </si>
  <si>
    <t xml:space="preserve">biberons </t>
  </si>
  <si>
    <t>Poussettes Cannes</t>
  </si>
  <si>
    <t>Baignoire</t>
  </si>
  <si>
    <t>Grenouillère</t>
  </si>
  <si>
    <t>têtines</t>
  </si>
  <si>
    <t>Poussettes X2</t>
  </si>
  <si>
    <t xml:space="preserve">Pot </t>
  </si>
  <si>
    <t xml:space="preserve">Body </t>
  </si>
  <si>
    <t xml:space="preserve">Porte bb bébé confort </t>
  </si>
  <si>
    <t>001</t>
  </si>
  <si>
    <t>1-3mois</t>
  </si>
  <si>
    <t>002</t>
  </si>
  <si>
    <t>6mois</t>
  </si>
  <si>
    <t>003</t>
  </si>
  <si>
    <t>1mois</t>
  </si>
  <si>
    <t>004</t>
  </si>
  <si>
    <t>3mois</t>
  </si>
  <si>
    <t>005</t>
  </si>
  <si>
    <t>0-6mois</t>
  </si>
  <si>
    <t>006</t>
  </si>
  <si>
    <t>dû</t>
  </si>
  <si>
    <t>Nom Client</t>
  </si>
  <si>
    <t xml:space="preserve">recette théorique </t>
  </si>
  <si>
    <t xml:space="preserve">recette réelle </t>
  </si>
  <si>
    <t>Total général</t>
  </si>
  <si>
    <t>Somme dûe</t>
  </si>
  <si>
    <t>Clients</t>
  </si>
  <si>
    <t>Remboursement</t>
  </si>
  <si>
    <t>Date_R</t>
  </si>
  <si>
    <t>Valeurs</t>
  </si>
  <si>
    <t xml:space="preserve">Reste </t>
  </si>
  <si>
    <t>Date remb.</t>
  </si>
  <si>
    <t>Remboursé</t>
  </si>
  <si>
    <t>Ardoises</t>
  </si>
  <si>
    <t>État des dettes</t>
  </si>
  <si>
    <t>Dates</t>
  </si>
  <si>
    <t>Ventes par journée</t>
  </si>
  <si>
    <t>chine</t>
  </si>
  <si>
    <t>turquie</t>
  </si>
  <si>
    <t>thailande</t>
  </si>
  <si>
    <t>honk kong</t>
  </si>
  <si>
    <t>Rama</t>
  </si>
  <si>
    <t>oumou</t>
  </si>
  <si>
    <t>papus</t>
  </si>
  <si>
    <t>eladje</t>
  </si>
  <si>
    <t>babacar</t>
  </si>
  <si>
    <t>007</t>
  </si>
  <si>
    <t>Chambre du bébé</t>
  </si>
  <si>
    <t>Berceaux</t>
  </si>
  <si>
    <t>Location</t>
  </si>
  <si>
    <t>Facture d'électricité</t>
  </si>
  <si>
    <t>Facture d'eau</t>
  </si>
  <si>
    <t>Facture téléphone</t>
  </si>
  <si>
    <t>Autres dépenses</t>
  </si>
  <si>
    <t xml:space="preserve">Coûts d'exploitations fixes </t>
  </si>
  <si>
    <t>Maroc</t>
  </si>
  <si>
    <t>Russie</t>
  </si>
  <si>
    <t>2014</t>
  </si>
  <si>
    <t>déc</t>
  </si>
  <si>
    <t>2015</t>
  </si>
  <si>
    <t>janv</t>
  </si>
  <si>
    <t>Total
dépenses</t>
  </si>
  <si>
    <t>Résultat</t>
  </si>
  <si>
    <t>008</t>
  </si>
  <si>
    <t>Benefice sur la vente</t>
  </si>
  <si>
    <t>Prix d'achat</t>
  </si>
  <si>
    <t>Salaires</t>
  </si>
  <si>
    <t>Benefice</t>
  </si>
  <si>
    <t xml:space="preserve">Articles vendus </t>
  </si>
  <si>
    <t>Chiffre d'affaire</t>
  </si>
  <si>
    <t>févr</t>
  </si>
  <si>
    <t>armoire</t>
  </si>
</sst>
</file>

<file path=xl/styles.xml><?xml version="1.0" encoding="utf-8"?>
<styleSheet xmlns="http://schemas.openxmlformats.org/spreadsheetml/2006/main">
  <numFmts count="5">
    <numFmt numFmtId="41" formatCode="_-* #,##0\ _€_-;\-* #,##0\ _€_-;_-* &quot;-&quot;\ _€_-;_-@_-"/>
    <numFmt numFmtId="164" formatCode="dd/mm/yy;@"/>
    <numFmt numFmtId="165" formatCode="#,##0\ _€"/>
    <numFmt numFmtId="166" formatCode="General;;\-"/>
    <numFmt numFmtId="167" formatCode="0;[Red]\-0"/>
  </numFmts>
  <fonts count="10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2"/>
      <color theme="1"/>
      <name val="MV Boli"/>
    </font>
    <font>
      <sz val="11"/>
      <name val="MV Boli"/>
    </font>
    <font>
      <sz val="24"/>
      <color theme="1" tint="0.14999847407452621"/>
      <name val="MV Boli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MV Boli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DC4070"/>
        <bgColor indexed="64"/>
      </patternFill>
    </fill>
    <fill>
      <patternFill patternType="solid">
        <fgColor rgb="FFECBEC2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2">
      <alignment horizontal="center" vertical="center"/>
    </xf>
    <xf numFmtId="0" fontId="3" fillId="4" borderId="1"/>
  </cellStyleXfs>
  <cellXfs count="75">
    <xf numFmtId="0" fontId="0" fillId="0" borderId="0" xfId="0"/>
    <xf numFmtId="0" fontId="3" fillId="4" borderId="1" xfId="3"/>
    <xf numFmtId="164" fontId="3" fillId="4" borderId="1" xfId="3" applyNumberFormat="1"/>
    <xf numFmtId="49" fontId="3" fillId="4" borderId="1" xfId="3" applyNumberFormat="1"/>
    <xf numFmtId="0" fontId="3" fillId="4" borderId="1" xfId="3" applyNumberFormat="1"/>
    <xf numFmtId="0" fontId="2" fillId="3" borderId="3" xfId="2" applyBorder="1">
      <alignment horizontal="center" vertical="center"/>
    </xf>
    <xf numFmtId="0" fontId="3" fillId="4" borderId="4" xfId="3" applyBorder="1"/>
    <xf numFmtId="0" fontId="3" fillId="4" borderId="1" xfId="0" applyNumberFormat="1" applyFont="1" applyFill="1" applyBorder="1" applyAlignment="1" applyProtection="1"/>
    <xf numFmtId="0" fontId="3" fillId="4" borderId="1" xfId="0" applyNumberFormat="1" applyFont="1" applyFill="1" applyBorder="1" applyAlignment="1" applyProtection="1">
      <alignment horizontal="right"/>
    </xf>
    <xf numFmtId="0" fontId="3" fillId="4" borderId="4" xfId="0" applyNumberFormat="1" applyFont="1" applyFill="1" applyBorder="1" applyAlignment="1" applyProtection="1"/>
    <xf numFmtId="0" fontId="3" fillId="4" borderId="4" xfId="0" applyNumberFormat="1" applyFont="1" applyFill="1" applyBorder="1" applyAlignment="1" applyProtection="1">
      <alignment horizontal="right"/>
    </xf>
    <xf numFmtId="0" fontId="2" fillId="3" borderId="3" xfId="2" applyBorder="1" applyAlignment="1">
      <alignment horizontal="center" vertical="center" wrapText="1"/>
    </xf>
    <xf numFmtId="0" fontId="3" fillId="4" borderId="4" xfId="3" applyNumberFormat="1" applyBorder="1"/>
    <xf numFmtId="164" fontId="3" fillId="4" borderId="4" xfId="3" applyNumberFormat="1" applyBorder="1"/>
    <xf numFmtId="49" fontId="3" fillId="4" borderId="4" xfId="3" applyNumberFormat="1" applyBorder="1"/>
    <xf numFmtId="49" fontId="3" fillId="4" borderId="1" xfId="3" quotePrefix="1" applyNumberFormat="1"/>
    <xf numFmtId="0" fontId="3" fillId="4" borderId="1" xfId="0" applyFont="1" applyFill="1" applyBorder="1" applyAlignment="1" applyProtection="1"/>
    <xf numFmtId="0" fontId="3" fillId="4" borderId="1" xfId="3" applyAlignment="1">
      <alignment readingOrder="2"/>
    </xf>
    <xf numFmtId="14" fontId="3" fillId="4" borderId="1" xfId="3" applyNumberFormat="1"/>
    <xf numFmtId="14" fontId="3" fillId="4" borderId="4" xfId="3" applyNumberFormat="1" applyBorder="1"/>
    <xf numFmtId="0" fontId="3" fillId="4" borderId="4" xfId="3" applyBorder="1" applyAlignment="1">
      <alignment readingOrder="2"/>
    </xf>
    <xf numFmtId="49" fontId="2" fillId="3" borderId="3" xfId="2" applyNumberFormat="1" applyBorder="1">
      <alignment horizontal="center" vertical="center"/>
    </xf>
    <xf numFmtId="49" fontId="3" fillId="4" borderId="1" xfId="0" applyNumberFormat="1" applyFont="1" applyFill="1" applyBorder="1" applyAlignment="1" applyProtection="1"/>
    <xf numFmtId="49" fontId="0" fillId="0" borderId="0" xfId="0" applyNumberFormat="1"/>
    <xf numFmtId="41" fontId="2" fillId="3" borderId="3" xfId="2" applyNumberFormat="1" applyBorder="1" applyAlignment="1">
      <alignment horizontal="center" vertical="center" wrapText="1"/>
    </xf>
    <xf numFmtId="41" fontId="3" fillId="4" borderId="1" xfId="3" applyNumberFormat="1"/>
    <xf numFmtId="41" fontId="3" fillId="4" borderId="4" xfId="3" applyNumberFormat="1" applyBorder="1"/>
    <xf numFmtId="41" fontId="3" fillId="4" borderId="1" xfId="0" applyNumberFormat="1" applyFont="1" applyFill="1" applyBorder="1" applyAlignment="1" applyProtection="1"/>
    <xf numFmtId="41" fontId="0" fillId="0" borderId="0" xfId="0" applyNumberFormat="1"/>
    <xf numFmtId="165" fontId="2" fillId="3" borderId="3" xfId="2" applyNumberFormat="1" applyBorder="1">
      <alignment horizontal="center" vertical="center"/>
    </xf>
    <xf numFmtId="165" fontId="3" fillId="4" borderId="4" xfId="3" applyNumberFormat="1" applyBorder="1"/>
    <xf numFmtId="165" fontId="3" fillId="4" borderId="4" xfId="0" applyNumberFormat="1" applyFont="1" applyFill="1" applyBorder="1" applyAlignment="1" applyProtection="1">
      <alignment horizontal="right"/>
    </xf>
    <xf numFmtId="165" fontId="0" fillId="0" borderId="0" xfId="0" applyNumberFormat="1"/>
    <xf numFmtId="41" fontId="2" fillId="3" borderId="3" xfId="2" applyNumberFormat="1" applyBorder="1">
      <alignment horizontal="center" vertical="center"/>
    </xf>
    <xf numFmtId="41" fontId="3" fillId="4" borderId="1" xfId="0" applyNumberFormat="1" applyFont="1" applyFill="1" applyBorder="1" applyAlignment="1" applyProtection="1">
      <alignment horizontal="right"/>
    </xf>
    <xf numFmtId="165" fontId="3" fillId="4" borderId="4" xfId="0" applyNumberFormat="1" applyFont="1" applyFill="1" applyBorder="1" applyAlignment="1" applyProtection="1"/>
    <xf numFmtId="0" fontId="3" fillId="4" borderId="4" xfId="0" applyFont="1" applyFill="1" applyBorder="1" applyAlignment="1" applyProtection="1"/>
    <xf numFmtId="0" fontId="3" fillId="4" borderId="5" xfId="3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6" fontId="0" fillId="0" borderId="0" xfId="0" applyNumberFormat="1"/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3" fillId="4" borderId="6" xfId="0" applyNumberFormat="1" applyFont="1" applyFill="1" applyBorder="1" applyAlignment="1" applyProtection="1"/>
    <xf numFmtId="0" fontId="3" fillId="0" borderId="0" xfId="3" applyNumberFormat="1" applyFill="1" applyBorder="1"/>
    <xf numFmtId="0" fontId="7" fillId="3" borderId="2" xfId="2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7" fillId="3" borderId="2" xfId="2" applyFont="1" applyFill="1" applyBorder="1" applyAlignment="1" applyProtection="1">
      <alignment horizontal="center" vertical="center"/>
    </xf>
    <xf numFmtId="0" fontId="0" fillId="0" borderId="0" xfId="0" applyProtection="1"/>
    <xf numFmtId="0" fontId="0" fillId="0" borderId="7" xfId="0" applyBorder="1" applyAlignment="1">
      <alignment horizontal="center" vertical="center" wrapText="1"/>
    </xf>
    <xf numFmtId="167" fontId="0" fillId="0" borderId="0" xfId="0" applyNumberFormat="1"/>
    <xf numFmtId="0" fontId="0" fillId="0" borderId="8" xfId="0" applyBorder="1" applyAlignment="1">
      <alignment horizontal="centerContinuous" vertical="center"/>
    </xf>
    <xf numFmtId="0" fontId="3" fillId="4" borderId="1" xfId="0" applyNumberFormat="1" applyFont="1" applyFill="1" applyBorder="1" applyAlignment="1" applyProtection="1">
      <alignment horizontal="left" readingOrder="2"/>
    </xf>
    <xf numFmtId="0" fontId="3" fillId="4" borderId="1" xfId="3" applyBorder="1"/>
    <xf numFmtId="0" fontId="8" fillId="0" borderId="0" xfId="0" applyFont="1" applyBorder="1" applyAlignment="1">
      <alignment horizontal="centerContinuous" vertical="center"/>
    </xf>
    <xf numFmtId="0" fontId="4" fillId="2" borderId="0" xfId="1" applyFont="1" applyAlignment="1">
      <alignment horizontal="center"/>
    </xf>
    <xf numFmtId="0" fontId="8" fillId="0" borderId="9" xfId="0" applyFont="1" applyBorder="1" applyAlignment="1">
      <alignment horizontal="centerContinuous" vertical="center"/>
    </xf>
    <xf numFmtId="0" fontId="8" fillId="0" borderId="10" xfId="0" applyFont="1" applyBorder="1" applyAlignment="1">
      <alignment horizontal="centerContinuous" vertical="center"/>
    </xf>
    <xf numFmtId="0" fontId="0" fillId="0" borderId="0" xfId="0" applyBorder="1" applyAlignment="1">
      <alignment vertical="center"/>
    </xf>
    <xf numFmtId="167" fontId="0" fillId="0" borderId="0" xfId="0" applyNumberFormat="1" applyBorder="1"/>
    <xf numFmtId="166" fontId="0" fillId="0" borderId="0" xfId="0" applyNumberFormat="1" applyBorder="1"/>
    <xf numFmtId="0" fontId="0" fillId="0" borderId="0" xfId="0" applyBorder="1"/>
    <xf numFmtId="0" fontId="3" fillId="0" borderId="1" xfId="3" applyNumberFormat="1" applyFill="1" applyProtection="1"/>
    <xf numFmtId="0" fontId="3" fillId="0" borderId="1" xfId="3" applyFill="1" applyAlignment="1" applyProtection="1">
      <alignment readingOrder="2"/>
      <protection locked="0"/>
    </xf>
    <xf numFmtId="0" fontId="3" fillId="0" borderId="6" xfId="3" applyFill="1" applyBorder="1" applyAlignment="1" applyProtection="1">
      <alignment readingOrder="2"/>
      <protection locked="0"/>
    </xf>
    <xf numFmtId="0" fontId="0" fillId="0" borderId="0" xfId="0" applyFill="1" applyProtection="1">
      <protection locked="0"/>
    </xf>
    <xf numFmtId="0" fontId="0" fillId="0" borderId="0" xfId="0" quotePrefix="1" applyFill="1" applyProtection="1">
      <protection locked="0"/>
    </xf>
    <xf numFmtId="0" fontId="0" fillId="0" borderId="0" xfId="0" applyFill="1" applyProtection="1"/>
  </cellXfs>
  <cellStyles count="4">
    <cellStyle name="Neutre" xfId="1" builtinId="28"/>
    <cellStyle name="Normal" xfId="0" builtinId="0"/>
    <cellStyle name="Style 1" xfId="2"/>
    <cellStyle name="Style 2" xfId="3"/>
  </cellStyles>
  <dxfs count="89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33" formatCode="_-* #,##0\ _€_-;\-* #,##0\ _€_-;_-* &quot;-&quot;\ _€_-;_-@_-"/>
      <fill>
        <patternFill patternType="solid">
          <fgColor indexed="64"/>
          <bgColor rgb="FFECBEC2"/>
        </patternFill>
      </fill>
      <alignment horizontal="right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33" formatCode="_-* #,##0\ _€_-;\-* #,##0\ _€_-;_-* &quot;-&quot;\ _€_-;_-@_-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right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166" formatCode="General;;\-"/>
    </dxf>
    <dxf>
      <numFmt numFmtId="167" formatCode="0;[Red]\-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165" formatCode="#,##0\ _€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165" formatCode="#,##0\ _€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165" formatCode="#,##0\ _€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165" formatCode="#,##0\ _€"/>
      <fill>
        <patternFill patternType="solid">
          <fgColor indexed="64"/>
          <bgColor rgb="FFECBEC2"/>
        </patternFill>
      </fill>
      <alignment horizontal="right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right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  <protection locked="1" hidden="0"/>
    </dxf>
    <dxf>
      <numFmt numFmtId="167" formatCode="0;[Red]\-0"/>
    </dxf>
    <dxf>
      <font>
        <color auto="1"/>
      </font>
      <numFmt numFmtId="33" formatCode="_-* #,##0\ _€_-;\-* #,##0\ _€_-;_-* &quot;-&quot;\ _€_-;_-@_-"/>
      <fill>
        <patternFill>
          <bgColor rgb="FFFF0000"/>
        </patternFill>
      </fill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166" formatCode="General;;\-"/>
    </dxf>
    <dxf>
      <border outline="0">
        <bottom style="thin">
          <color theme="4" tint="0.39997558519241921"/>
        </bottom>
      </border>
    </dxf>
    <dxf>
      <alignment horizontal="center" vertical="center" textRotation="0" wrapText="1" indent="0" relativeIndent="0" justifyLastLine="0" shrinkToFit="0" mergeCell="0" readingOrder="0"/>
    </dxf>
    <dxf>
      <alignment horizontal="center" readingOrder="0"/>
    </dxf>
    <dxf>
      <alignment vertical="center" readingOrder="0"/>
    </dxf>
    <dxf>
      <alignment wrapText="1" readingOrder="0"/>
    </dxf>
    <dxf>
      <font>
        <b/>
        <i val="0"/>
      </font>
      <fill>
        <patternFill>
          <bgColor rgb="FFFF0000"/>
        </patternFill>
      </fill>
    </dxf>
    <dxf>
      <numFmt numFmtId="0" formatCode="General"/>
      <border diagonalUp="0" diagonalDown="0">
        <left style="thin">
          <color rgb="FF7F7F7F"/>
        </left>
        <right style="thin">
          <color rgb="FF7F7F7F"/>
        </right>
        <top/>
        <bottom style="thin">
          <color rgb="FF7F7F7F"/>
        </bottom>
      </border>
    </dxf>
    <dxf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  <vertical/>
        <horizontal/>
      </border>
    </dxf>
    <dxf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  <vertical/>
        <horizontal/>
      </border>
    </dxf>
    <dxf>
      <numFmt numFmtId="165" formatCode="#,##0\ _€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19" formatCode="dd/mm/yyyy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165" formatCode="#,##0\ _€"/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numFmt numFmtId="0" formatCode="General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/>
      </border>
    </dxf>
    <dxf>
      <border outline="0">
        <top style="thin">
          <color rgb="FF7F7F7F"/>
        </top>
      </border>
    </dxf>
    <dxf>
      <border outline="0">
        <top style="thin">
          <color auto="1"/>
        </top>
        <bottom style="thin">
          <color rgb="FF7F7F7F"/>
        </bottom>
      </border>
    </dxf>
    <dxf>
      <border outline="0">
        <bottom style="thin">
          <color auto="1"/>
        </bottom>
      </border>
    </dxf>
    <dxf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19" formatCode="dd/mm/yyyy"/>
    </dxf>
    <dxf>
      <border outline="0">
        <right style="thin">
          <color rgb="FF7F7F7F"/>
        </right>
      </border>
    </dxf>
    <dxf>
      <numFmt numFmtId="33" formatCode="_-* #,##0\ _€_-;\-* #,##0\ _€_-;_-* &quot;-&quot;\ _€_-;_-@_-"/>
    </dxf>
    <dxf>
      <numFmt numFmtId="33" formatCode="_-* #,##0\ _€_-;\-* #,##0\ _€_-;_-* &quot;-&quot;\ _€_-;_-@_-"/>
    </dxf>
    <dxf>
      <numFmt numFmtId="30" formatCode="@"/>
    </dxf>
    <dxf>
      <border outline="0">
        <top style="thin">
          <color rgb="FF7F7F7F"/>
        </top>
      </border>
    </dxf>
    <dxf>
      <border outline="0">
        <top style="thin">
          <color auto="1"/>
        </top>
        <bottom style="thin">
          <color rgb="FF7F7F7F"/>
        </bottom>
      </border>
    </dxf>
    <dxf>
      <border outline="0">
        <bottom style="thin">
          <color auto="1"/>
        </bottom>
      </border>
    </dxf>
    <dxf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164" formatCode="dd/mm/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33" formatCode="_-* #,##0\ _€_-;\-* #,##0\ _€_-;_-* &quot;-&quot;\ _€_-;_-@_-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33" formatCode="_-* #,##0\ _€_-;\-* #,##0\ _€_-;_-* &quot;-&quot;\ _€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33" formatCode="_-* #,##0\ _€_-;\-* #,##0\ _€_-;_-* &quot;-&quot;\ _€_-;_-@_-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33" formatCode="_-* #,##0\ _€_-;\-* #,##0\ _€_-;_-* &quot;-&quot;\ _€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left" vertical="bottom" textRotation="0" wrapText="0" indent="0" relativeIndent="0" justifyLastLine="0" shrinkToFit="0" mergeCell="0" readingOrder="2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alignment horizontal="general" vertical="bottom" textRotation="0" wrapText="0" indent="0" relative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0" formatCode="General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0" formatCode="General"/>
      <border outline="0">
        <left style="thin">
          <color rgb="FF7F7F7F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V Boli"/>
        <scheme val="none"/>
      </font>
      <numFmt numFmtId="30" formatCode="@"/>
      <fill>
        <patternFill patternType="solid">
          <fgColor indexed="64"/>
          <bgColor rgb="FFECBEC2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  <protection locked="1" hidden="0"/>
    </dxf>
    <dxf>
      <numFmt numFmtId="30" formatCode="@"/>
    </dxf>
    <dxf>
      <border outline="0">
        <top style="thin">
          <color rgb="FF7F7F7F"/>
        </top>
      </border>
    </dxf>
    <dxf>
      <border outline="0">
        <top style="thin">
          <color auto="1"/>
        </top>
        <bottom style="thin">
          <color rgb="FF7F7F7F"/>
        </bottom>
      </border>
    </dxf>
    <dxf>
      <border outline="0">
        <bottom style="thin">
          <color auto="1"/>
        </bottom>
      </border>
    </dxf>
    <dxf>
      <alignment horizontal="center" vertical="center" textRotation="0" wrapText="1" inden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E7AFB4"/>
      <color rgb="FFECBEC2"/>
      <color rgb="FFEE9CB9"/>
      <color rgb="FFDC4070"/>
      <color rgb="FFFF0066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1</xdr:row>
      <xdr:rowOff>123824</xdr:rowOff>
    </xdr:from>
    <xdr:to>
      <xdr:col>11</xdr:col>
      <xdr:colOff>190500</xdr:colOff>
      <xdr:row>30</xdr:row>
      <xdr:rowOff>76199</xdr:rowOff>
    </xdr:to>
    <xdr:sp macro="" textlink="">
      <xdr:nvSpPr>
        <xdr:cNvPr id="2" name="ZoneTexte 1"/>
        <xdr:cNvSpPr txBox="1"/>
      </xdr:nvSpPr>
      <xdr:spPr>
        <a:xfrm>
          <a:off x="476250" y="314324"/>
          <a:ext cx="8096250" cy="54768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fr-FR" sz="1100"/>
            <a:t>Les tableaux excel reconduisent automatiquement les formules lors de l'insertion de lignes qui peuvent se faire </a:t>
          </a:r>
          <a:r>
            <a:rPr lang="fr-FR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:</a:t>
          </a:r>
        </a:p>
        <a:p>
          <a:r>
            <a:rPr lang="fr-FR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-</a:t>
          </a:r>
          <a:r>
            <a:rPr lang="fr-FR" sz="11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/>
            <a:t>en utilisant la touche TAB (au-dessus</a:t>
          </a:r>
          <a:r>
            <a:rPr lang="fr-FR" sz="1100" baseline="0"/>
            <a:t> du verrouillage clavier) sur la dernière cellule en bas à droite avant ligne total</a:t>
          </a:r>
        </a:p>
        <a:p>
          <a:r>
            <a:rPr lang="fr-FR" sz="1100" baseline="0"/>
            <a:t>- en faisant clic droit sur la ligne total et "insérer ligne au dessus" . Si plusieurs lignes sélectionnées autant sont insérées.</a:t>
          </a:r>
        </a:p>
        <a:p>
          <a:r>
            <a:rPr lang="fr-FR" sz="1100" baseline="0"/>
            <a:t>Ils peuvent être triés en fonction des rubriques.</a:t>
          </a:r>
          <a:r>
            <a:rPr lang="fr-FR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r>
            <a:rPr lang="fr-FR"/>
            <a:t> </a:t>
          </a:r>
        </a:p>
        <a:p>
          <a:r>
            <a:rPr lang="fr-FR" sz="1100" baseline="0"/>
            <a:t>Si le tableau "Stock" est trié sur référence cela permet d'avoir  la saisie de la référence plus facile dans "Entrée" et "Sortie".</a:t>
          </a:r>
        </a:p>
        <a:p>
          <a:endParaRPr lang="fr-FR" sz="1100" baseline="0"/>
        </a:p>
        <a:p>
          <a:r>
            <a:rPr lang="fr-FR" sz="1100" baseline="0"/>
            <a:t>Les références et leur caractéristiques sont insérées dans la feuille "Stock" en une seule ligne. Des listes utilisées en validation permettent une saisie plus rapide en évitant les erreurs.</a:t>
          </a:r>
        </a:p>
        <a:p>
          <a:endParaRPr lang="fr-FR" sz="1100" baseline="0"/>
        </a:p>
        <a:p>
          <a:r>
            <a:rPr lang="fr-FR" sz="1100"/>
            <a:t>Dans les feuilles "Sortie" et "Entrée" l'on </a:t>
          </a:r>
          <a:r>
            <a:rPr lang="fr-FR" sz="1100" baseline="0"/>
            <a:t> choisi la référence dans la liste.</a:t>
          </a:r>
        </a:p>
        <a:p>
          <a:r>
            <a:rPr lang="fr-FR" sz="1100" baseline="0"/>
            <a:t>Si l'on saisi le début de la référence la liste est raccoucie.</a:t>
          </a:r>
        </a:p>
        <a:p>
          <a:r>
            <a:rPr lang="fr-FR" sz="1100" baseline="0"/>
            <a:t>Ensuite l'on obtient ses caractéristiques et il suffit de saisir la quantité, la date et éventuellement le prix s'il est modifié,</a:t>
          </a:r>
        </a:p>
        <a:p>
          <a:r>
            <a:rPr lang="fr-FR" sz="1100" baseline="0"/>
            <a:t>Le fournisseur n'est présent que dans "Entrée" car une même référence peut avoir plusieurs fournisseurs.</a:t>
          </a:r>
        </a:p>
        <a:p>
          <a:endParaRPr lang="fr-FR" sz="1100" baseline="0"/>
        </a:p>
        <a:p>
          <a:r>
            <a:rPr lang="fr-FR" sz="1100"/>
            <a:t>La feuille "listes" permet de regrouper les différentes rubriques pour éviter les erreurs de saisie. Il suffit d'nsérer un nouvel élément pour que la fiste se mette à jour.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B" refreshedDate="42006.945545138886" createdVersion="3" refreshedVersion="3" minRefreshableVersion="3" recordCount="8">
  <cacheSource type="worksheet">
    <worksheetSource name="T_sortie"/>
  </cacheSource>
  <cacheFields count="18">
    <cacheField name="N°" numFmtId="0">
      <sharedItems containsSemiMixedTypes="0" containsString="0" containsNumber="1" containsInteger="1" minValue="1" maxValue="8"/>
    </cacheField>
    <cacheField name="Référence" numFmtId="0">
      <sharedItems/>
    </cacheField>
    <cacheField name="Famille" numFmtId="0">
      <sharedItems/>
    </cacheField>
    <cacheField name="Désignation" numFmtId="0">
      <sharedItems/>
    </cacheField>
    <cacheField name="Taille" numFmtId="0">
      <sharedItems containsMixedTypes="1" containsNumber="1" containsInteger="1" minValue="0" maxValue="0"/>
    </cacheField>
    <cacheField name="Prix Vente" numFmtId="165">
      <sharedItems containsSemiMixedTypes="0" containsString="0" containsNumber="1" containsInteger="1" minValue="2000" maxValue="50000"/>
    </cacheField>
    <cacheField name="Quantité" numFmtId="0">
      <sharedItems containsSemiMixedTypes="0" containsString="0" containsNumber="1" containsInteger="1" minValue="1" maxValue="10"/>
    </cacheField>
    <cacheField name="Date" numFmtId="14">
      <sharedItems containsSemiMixedTypes="0" containsNonDate="0" containsDate="1" containsString="0" minDate="2014-12-29T00:00:00" maxDate="2016-01-01T00:00:00" count="5">
        <d v="2014-12-29T00:00:00"/>
        <d v="2014-12-30T00:00:00"/>
        <d v="2015-02-03T00:00:00"/>
        <d v="2015-12-31T00:00:00"/>
        <d v="2015-01-01T00:00:00"/>
      </sharedItems>
    </cacheField>
    <cacheField name="Prix Total" numFmtId="165">
      <sharedItems containsSemiMixedTypes="0" containsString="0" containsNumber="1" containsInteger="1" minValue="10000" maxValue="100000"/>
    </cacheField>
    <cacheField name="Benefice sur la vente" numFmtId="0">
      <sharedItems containsSemiMixedTypes="0" containsString="0" containsNumber="1" containsInteger="1" minValue="-1000" maxValue="40000"/>
    </cacheField>
    <cacheField name="Prix d'achat" numFmtId="0">
      <sharedItems containsSemiMixedTypes="0" containsString="0" containsNumber="1" containsInteger="1" minValue="1000" maxValue="35000"/>
    </cacheField>
    <cacheField name="Paiement" numFmtId="0">
      <sharedItems containsSemiMixedTypes="0" containsString="0" containsNumber="1" containsInteger="1" minValue="7000" maxValue="100000"/>
    </cacheField>
    <cacheField name="Remise" numFmtId="0">
      <sharedItems containsString="0" containsBlank="1" containsNumber="1" containsInteger="1" minValue="2000" maxValue="2000"/>
    </cacheField>
    <cacheField name="dû" numFmtId="0">
      <sharedItems containsSemiMixedTypes="0" containsString="0" containsNumber="1" containsInteger="1" minValue="0" maxValue="3000"/>
    </cacheField>
    <cacheField name="Nom Client" numFmtId="0">
      <sharedItems containsBlank="1" count="8">
        <s v="eladje"/>
        <m/>
        <s v="babacar"/>
        <s v="Rama"/>
        <s v="oumou"/>
        <s v="papus"/>
        <s v="pauline" u="1"/>
        <s v="alain" u="1"/>
      </sharedItems>
    </cacheField>
    <cacheField name="Remboursement" numFmtId="0">
      <sharedItems containsString="0" containsBlank="1" containsNumber="1" containsInteger="1" minValue="1000" maxValue="3000"/>
    </cacheField>
    <cacheField name="Date_R" numFmtId="0">
      <sharedItems containsNonDate="0" containsDate="1" containsString="0" containsBlank="1" minDate="2015-02-01T00:00:00" maxDate="2015-02-06T00:00:00"/>
    </cacheField>
    <cacheField name="reste" numFmtId="0" formula="dû-Remboursement" databaseFiel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GB" refreshedDate="42006.945750578707" createdVersion="3" refreshedVersion="3" minRefreshableVersion="3" recordCount="8">
  <cacheSource type="worksheet">
    <worksheetSource name="T_sortie[[#En-têtes];[#Données];[Date]:[Benefice sur la vente]]"/>
  </cacheSource>
  <cacheFields count="5">
    <cacheField name="Date" numFmtId="14">
      <sharedItems containsSemiMixedTypes="0" containsNonDate="0" containsDate="1" containsString="0" minDate="2014-12-29T00:00:00" maxDate="2016-01-01T00:00:00" count="5">
        <d v="2014-12-29T00:00:00"/>
        <d v="2014-12-30T00:00:00"/>
        <d v="2015-02-03T00:00:00"/>
        <d v="2015-12-31T00:00:00"/>
        <d v="2015-01-01T00:00:00"/>
      </sharedItems>
      <fieldGroup par="4" base="0">
        <rangePr groupBy="months" startDate="2014-12-29T00:00:00" endDate="2016-01-01T00:00:00"/>
        <groupItems count="14">
          <s v="&lt;29/12/2014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01/01/2016"/>
        </groupItems>
      </fieldGroup>
    </cacheField>
    <cacheField name="Prix Total" numFmtId="165">
      <sharedItems containsSemiMixedTypes="0" containsString="0" containsNumber="1" containsInteger="1" minValue="10000" maxValue="100000"/>
    </cacheField>
    <cacheField name="Benefice sur la vente" numFmtId="0">
      <sharedItems containsSemiMixedTypes="0" containsString="0" containsNumber="1" containsInteger="1" minValue="-1000" maxValue="40000"/>
    </cacheField>
    <cacheField name="reste" numFmtId="0" formula="#NAME?-#NAME?" databaseField="0"/>
    <cacheField name="Années" numFmtId="0" databaseField="0">
      <fieldGroup base="0">
        <rangePr groupBy="years" startDate="2014-12-29T00:00:00" endDate="2016-01-01T00:00:00"/>
        <groupItems count="4">
          <s v="&lt;29/12/2014"/>
          <s v="2014"/>
          <s v="2015"/>
          <s v="&gt;01/01/2016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n v="1"/>
    <s v="001"/>
    <s v="Vêtements"/>
    <s v="Grenouillère"/>
    <s v="1-3mois"/>
    <n v="6000"/>
    <n v="2"/>
    <x v="0"/>
    <n v="12000"/>
    <n v="0"/>
    <n v="5000"/>
    <n v="10000"/>
    <m/>
    <n v="2000"/>
    <x v="0"/>
    <m/>
    <m/>
  </r>
  <r>
    <n v="2"/>
    <s v="005"/>
    <s v="Nouveau-nés 1er age"/>
    <s v="biberons "/>
    <s v="0-6mois"/>
    <n v="2000"/>
    <n v="10"/>
    <x v="0"/>
    <n v="20000"/>
    <n v="8000"/>
    <n v="1000"/>
    <n v="18000"/>
    <n v="2000"/>
    <n v="0"/>
    <x v="1"/>
    <m/>
    <m/>
  </r>
  <r>
    <n v="3"/>
    <s v="006"/>
    <s v="Ballade bébé"/>
    <s v="Poussettes Cannes"/>
    <n v="0"/>
    <n v="45000"/>
    <n v="1"/>
    <x v="0"/>
    <n v="45000"/>
    <n v="10000"/>
    <n v="35000"/>
    <n v="45000"/>
    <m/>
    <n v="0"/>
    <x v="1"/>
    <m/>
    <m/>
  </r>
  <r>
    <n v="4"/>
    <s v="002"/>
    <s v="Vêtements"/>
    <s v="Grenouillère"/>
    <s v="6mois"/>
    <n v="9000"/>
    <n v="2"/>
    <x v="0"/>
    <n v="18000"/>
    <n v="0"/>
    <n v="7500"/>
    <n v="15000"/>
    <m/>
    <n v="3000"/>
    <x v="2"/>
    <n v="1000"/>
    <d v="2015-02-01T00:00:00"/>
  </r>
  <r>
    <n v="5"/>
    <s v="003"/>
    <s v="Vêtements"/>
    <s v="Body "/>
    <s v="1mois"/>
    <n v="2500"/>
    <n v="4"/>
    <x v="1"/>
    <n v="10000"/>
    <n v="-1000"/>
    <n v="2000"/>
    <n v="7000"/>
    <m/>
    <n v="3000"/>
    <x v="3"/>
    <n v="3000"/>
    <d v="2015-02-05T00:00:00"/>
  </r>
  <r>
    <n v="6"/>
    <s v="005"/>
    <s v="Nouveau-nés 1er age"/>
    <s v="biberons "/>
    <s v="0-6mois"/>
    <n v="2000"/>
    <n v="5"/>
    <x v="2"/>
    <n v="10000"/>
    <n v="4000"/>
    <n v="1000"/>
    <n v="9000"/>
    <m/>
    <n v="1000"/>
    <x v="4"/>
    <m/>
    <m/>
  </r>
  <r>
    <n v="7"/>
    <s v="002"/>
    <s v="Vêtements"/>
    <s v="Grenouillère"/>
    <s v="6mois"/>
    <n v="9000"/>
    <n v="2"/>
    <x v="3"/>
    <n v="18000"/>
    <n v="1000"/>
    <n v="7500"/>
    <n v="16000"/>
    <m/>
    <n v="2000"/>
    <x v="5"/>
    <m/>
    <m/>
  </r>
  <r>
    <n v="8"/>
    <s v="007"/>
    <s v="Chambre du bébé"/>
    <s v="Berceaux"/>
    <n v="0"/>
    <n v="50000"/>
    <n v="2"/>
    <x v="4"/>
    <n v="100000"/>
    <n v="40000"/>
    <n v="30000"/>
    <n v="100000"/>
    <m/>
    <n v="0"/>
    <x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">
  <r>
    <x v="0"/>
    <n v="12000"/>
    <n v="0"/>
  </r>
  <r>
    <x v="0"/>
    <n v="20000"/>
    <n v="8000"/>
  </r>
  <r>
    <x v="0"/>
    <n v="45000"/>
    <n v="10000"/>
  </r>
  <r>
    <x v="0"/>
    <n v="18000"/>
    <n v="0"/>
  </r>
  <r>
    <x v="1"/>
    <n v="10000"/>
    <n v="-1000"/>
  </r>
  <r>
    <x v="2"/>
    <n v="10000"/>
    <n v="4000"/>
  </r>
  <r>
    <x v="3"/>
    <n v="18000"/>
    <n v="1000"/>
  </r>
  <r>
    <x v="4"/>
    <n v="100000"/>
    <n v="4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26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rowHeaderCaption="Dates">
  <location ref="A4:E11" firstHeaderRow="1" firstDataRow="2" firstDataCol="1"/>
  <pivotFields count="18">
    <pivotField showAll="0"/>
    <pivotField showAll="0"/>
    <pivotField showAll="0"/>
    <pivotField showAll="0"/>
    <pivotField showAll="0"/>
    <pivotField numFmtId="165" showAll="0"/>
    <pivotField dataField="1" showAll="0"/>
    <pivotField axis="axisRow" showAll="0" defaultSubtotal="0">
      <items count="5">
        <item x="0"/>
        <item x="1"/>
        <item x="4"/>
        <item x="3"/>
        <item x="2"/>
      </items>
    </pivotField>
    <pivotField dataField="1" numFmtId="165" showAll="0"/>
    <pivotField dataField="1" showAll="0" defaultSubtotal="0"/>
    <pivotField showAll="0" defaultSubtotal="0"/>
    <pivotField dataField="1" showAll="0"/>
    <pivotField showAll="0"/>
    <pivotField showAll="0"/>
    <pivotField showAll="0"/>
    <pivotField showAll="0"/>
    <pivotField showAll="0"/>
    <pivotField dragToRow="0" dragToCol="0" dragToPage="0" showAll="0" defaultSubtota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rticles vendus " fld="6" baseField="0" baseItem="0"/>
    <dataField name="recette théorique " fld="8" baseField="0" baseItem="0"/>
    <dataField name="recette réelle " fld="11" baseField="0" baseItem="0"/>
    <dataField name="Benefice" fld="9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eau croisé dynamique1" cacheId="29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rowHeaderCaption="Dates">
  <location ref="A2:C10" firstHeaderRow="1" firstDataRow="2" firstDataCol="1"/>
  <pivotFields count="5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numFmtId="165" showAll="0"/>
    <pivotField dataField="1" showAll="0" defaultSubtotal="0"/>
    <pivotField dragToRow="0" dragToCol="0" dragToPage="0" showAll="0" defaultSubtotal="0"/>
    <pivotField axis="axisRow" showAll="0" defaultSubtotal="0">
      <items count="4">
        <item x="0"/>
        <item x="1"/>
        <item x="2"/>
        <item x="3"/>
      </items>
    </pivotField>
  </pivotFields>
  <rowFields count="2">
    <field x="4"/>
    <field x="0"/>
  </rowFields>
  <rowItems count="7">
    <i>
      <x v="1"/>
    </i>
    <i r="1">
      <x v="12"/>
    </i>
    <i>
      <x v="2"/>
    </i>
    <i r="1">
      <x v="1"/>
    </i>
    <i r="1">
      <x v="2"/>
    </i>
    <i r="1"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Chiffre d'affaire" fld="1" baseField="0" baseItem="0"/>
    <dataField name="Benefice" fld="2" baseField="0" baseItem="0"/>
  </dataFields>
  <formats count="3">
    <format dxfId="38">
      <pivotArea dataOnly="0" labelOnly="1" outline="0" axis="axisValues" fieldPosition="0"/>
    </format>
    <format dxfId="37">
      <pivotArea dataOnly="0" labelOnly="1" outline="0" axis="axisValues" fieldPosition="0"/>
    </format>
    <format dxfId="36">
      <pivotArea dataOnly="0" labelOnly="1" outline="0" axis="axisValues" fieldPosition="0"/>
    </format>
  </formats>
  <pivotTableStyleInfo name="PivotStyleLight13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eau croisé dynamique1" cacheId="26" applyNumberFormats="0" applyBorderFormats="0" applyFontFormats="0" applyPatternFormats="0" applyAlignmentFormats="0" applyWidthHeightFormats="1" dataCaption="Ardoises" updatedVersion="3" minRefreshableVersion="3" showCalcMbrs="0" useAutoFormatting="1" itemPrintTitles="1" createdVersion="3" indent="0" outline="1" outlineData="1" multipleFieldFilters="0" rowHeaderCaption="Clients">
  <location ref="A4:E11" firstHeaderRow="1" firstDataRow="2" firstDataCol="1"/>
  <pivotFields count="18">
    <pivotField showAll="0"/>
    <pivotField showAll="0"/>
    <pivotField showAll="0"/>
    <pivotField showAll="0"/>
    <pivotField showAll="0"/>
    <pivotField numFmtId="165" showAll="0"/>
    <pivotField showAll="0"/>
    <pivotField showAll="0"/>
    <pivotField numFmtId="165" showAll="0"/>
    <pivotField showAll="0" defaultSubtotal="0"/>
    <pivotField showAll="0" defaultSubtotal="0"/>
    <pivotField showAll="0"/>
    <pivotField showAll="0"/>
    <pivotField dataField="1" showAll="0"/>
    <pivotField axis="axisRow" showAll="0">
      <items count="9">
        <item h="1" x="1"/>
        <item m="1" x="7"/>
        <item m="1" x="6"/>
        <item x="3"/>
        <item x="4"/>
        <item x="5"/>
        <item x="0"/>
        <item x="2"/>
        <item t="default"/>
      </items>
    </pivotField>
    <pivotField dataField="1" showAll="0" defaultSubtotal="0"/>
    <pivotField dataField="1" showAll="0" defaultSubtotal="0"/>
    <pivotField dataField="1" dragToRow="0" dragToCol="0" dragToPage="0" showAll="0" defaultSubtotal="0"/>
  </pivotFields>
  <rowFields count="1">
    <field x="14"/>
  </rowFields>
  <rowItems count="6"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me dûe" fld="13" baseField="0" baseItem="0"/>
    <dataField name="Remboursé" fld="15" baseField="0" baseItem="0"/>
    <dataField name="Date remb." fld="16" subtotal="min" baseField="0" baseItem="0" numFmtId="14"/>
    <dataField name="Reste " fld="17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4" name="T_stock" displayName="T_stock" ref="A4:K13" totalsRowCount="1" headerRowDxfId="88" headerRowBorderDxfId="87" tableBorderDxfId="86" totalsRowBorderDxfId="85" headerRowCellStyle="Style 1" dataCellStyle="Style 2">
  <autoFilter ref="A4:K12"/>
  <sortState ref="A5:K93">
    <sortCondition ref="A5:A93"/>
  </sortState>
  <tableColumns count="11">
    <tableColumn id="12" name="Référence" dataDxfId="84" totalsRowDxfId="83" dataCellStyle="Style 2"/>
    <tableColumn id="1" name="Famille" totalsRowLabel="Total" dataDxfId="82" totalsRowDxfId="81" dataCellStyle="Style 2"/>
    <tableColumn id="2" name="Désignation" totalsRowFunction="count" dataDxfId="80" totalsRowDxfId="79" dataCellStyle="Style 2"/>
    <tableColumn id="3" name="Taille" totalsRowDxfId="78" dataCellStyle="Style 2"/>
    <tableColumn id="5" name="Achat_x000a_HT" dataDxfId="77" totalsRowDxfId="76" dataCellStyle="Style 2"/>
    <tableColumn id="6" name="Prix_x000a_Vente" dataDxfId="75" totalsRowDxfId="74" dataCellStyle="Style 2"/>
    <tableColumn id="7" name="Modification_x000a_inventaire" dataDxfId="73" totalsRowDxfId="72" dataCellStyle="Style 2"/>
    <tableColumn id="8" name="Stock_x000a_Actuel" totalsRowFunction="sum" dataDxfId="71" totalsRowDxfId="70" dataCellStyle="Style 2">
      <calculatedColumnFormula>IF($A5&lt;&gt;0,G5+SUMPRODUCT((T_entrée[Référence]=$A5)*T_entrée[Quantité])-SUMPRODUCT((T_sortie[Référence]=$A5)*T_sortie[Quantité]),0)</calculatedColumnFormula>
    </tableColumn>
    <tableColumn id="9" name="Stock_x000a_Limite" totalsRowDxfId="69" dataCellStyle="Style 2"/>
    <tableColumn id="10" name="Etat" dataDxfId="68" totalsRowDxfId="67" dataCellStyle="Style 2">
      <calculatedColumnFormula>IF(H5&lt;I5,"à Cder "&amp;T_stock[[#This Row],[Stock
Limite]]-T_stock[[#This Row],[Stock
Actuel]],"")</calculatedColumnFormula>
    </tableColumn>
    <tableColumn id="11" name="Commandé " dataDxfId="66" totalsRowDxfId="65" dataCellStyle="Style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_entrée" displayName="T_entrée" ref="A4:I16" totalsRowCount="1" headerRowDxfId="64" headerRowBorderDxfId="63" tableBorderDxfId="62" totalsRowBorderDxfId="61" headerRowCellStyle="Style 1" dataCellStyle="Style 2">
  <autoFilter ref="A4:I15"/>
  <tableColumns count="9">
    <tableColumn id="1" name="Référence" totalsRowLabel="Total entrées" dataDxfId="60" totalsRowDxfId="9" dataCellStyle="Style 2"/>
    <tableColumn id="2" name="Fournisseur" totalsRowLabel="nombres" totalsRowDxfId="8" dataCellStyle="Style 2"/>
    <tableColumn id="3" name="Famille" totalsRowFunction="count" totalsRowDxfId="7" dataCellStyle="Style 2">
      <calculatedColumnFormula>IF($A5&lt;&gt;"",VLOOKUP($A5,T_stock[],COLUMN()-1,FALSE),"")</calculatedColumnFormula>
    </tableColumn>
    <tableColumn id="4" name="Désignation" totalsRowDxfId="6" dataCellStyle="Style 2">
      <calculatedColumnFormula>IF($A5&lt;&gt;"",VLOOKUP($A5,T_stock[],COLUMN()-1,FALSE),"")</calculatedColumnFormula>
    </tableColumn>
    <tableColumn id="5" name="Taille" totalsRowDxfId="5" dataCellStyle="Style 2">
      <calculatedColumnFormula>IF($A5&lt;&gt;"",VLOOKUP($A5,T_stock[],COLUMN()-1,FALSE),"")</calculatedColumnFormula>
    </tableColumn>
    <tableColumn id="6" name="Achat HT" dataDxfId="59" totalsRowDxfId="4" dataCellStyle="Style 2">
      <calculatedColumnFormula>IF($A5&lt;&gt;"",VLOOKUP($A5,T_stock[],COLUMN()-1,FALSE),"")</calculatedColumnFormula>
    </tableColumn>
    <tableColumn id="7" name="Prix Vente" totalsRowLabel="quantités" dataDxfId="58" totalsRowDxfId="3" dataCellStyle="Style 2">
      <calculatedColumnFormula>IF($A5&lt;&gt;"",VLOOKUP($A5,T_stock[],COLUMN()-1,FALSE),"")</calculatedColumnFormula>
    </tableColumn>
    <tableColumn id="8" name="Quantité" totalsRowFunction="sum" dataDxfId="57" totalsRowDxfId="2" dataCellStyle="Style 2"/>
    <tableColumn id="9" name="Date" dataDxfId="56" totalsRowDxfId="1" dataCellStyle="Style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_sortie" displayName="T_sortie" ref="A4:Q13" totalsRowCount="1" headerRowDxfId="55" headerRowBorderDxfId="54" tableBorderDxfId="53" totalsRowBorderDxfId="52" headerRowCellStyle="Style 1" dataCellStyle="Style 2">
  <autoFilter ref="A4:Q12">
    <filterColumn colId="2"/>
    <filterColumn colId="9"/>
    <filterColumn colId="10"/>
    <filterColumn colId="13"/>
    <filterColumn colId="14"/>
    <filterColumn colId="15"/>
    <filterColumn colId="16"/>
  </autoFilter>
  <tableColumns count="17">
    <tableColumn id="1" name="N°" totalsRowLabel="Total" dataDxfId="51" totalsRowDxfId="28" dataCellStyle="Style 2"/>
    <tableColumn id="2" name="Référence" dataDxfId="50" totalsRowDxfId="27" dataCellStyle="Style 2"/>
    <tableColumn id="11" name="Famille" dataDxfId="49" totalsRowDxfId="26" dataCellStyle="Style 2">
      <calculatedColumnFormula>VLOOKUP(B5,T_stock[],2,0)</calculatedColumnFormula>
    </tableColumn>
    <tableColumn id="3" name="Désignation" totalsRowLabel="nombres" dataDxfId="48" totalsRowDxfId="25" dataCellStyle="Style 2">
      <calculatedColumnFormula>IF(B5&lt;&gt;"",VLOOKUP(B5,T_entrée[],4,FALSE),"")</calculatedColumnFormula>
    </tableColumn>
    <tableColumn id="4" name="Taille" totalsRowFunction="count" dataDxfId="47" totalsRowDxfId="24" dataCellStyle="Style 2">
      <calculatedColumnFormula>IF(B5&lt;&gt;"",VLOOKUP(B5,T_entrée[],5,FALSE),"")</calculatedColumnFormula>
    </tableColumn>
    <tableColumn id="5" name="Prix Vente" totalsRowLabel="quantités" dataDxfId="46" totalsRowDxfId="23" dataCellStyle="Style 2">
      <calculatedColumnFormula>IF(B5&lt;&gt;"",VLOOKUP(B5,T_entrée[],7,FALSE),"")</calculatedColumnFormula>
    </tableColumn>
    <tableColumn id="6" name="Quantité" totalsRowFunction="sum" dataDxfId="45" totalsRowDxfId="22" dataCellStyle="Style 2"/>
    <tableColumn id="10" name="Date" dataDxfId="44" totalsRowDxfId="21" dataCellStyle="Style 2"/>
    <tableColumn id="7" name="Prix Total" dataDxfId="43" totalsRowDxfId="20" dataCellStyle="Style 2">
      <calculatedColumnFormula>IF(COUNT(F5:G5)=2,F5*G5,0)</calculatedColumnFormula>
    </tableColumn>
    <tableColumn id="18" name="Benefice sur la vente" dataDxfId="31" totalsRowDxfId="19" dataCellStyle="Style 2">
      <calculatedColumnFormula>T_sortie[[#This Row],[Paiement]]-(T_sortie[[#This Row],[Quantité]]*T_sortie[[#This Row],[Prix d''achat]])</calculatedColumnFormula>
    </tableColumn>
    <tableColumn id="19" name="Prix d'achat" dataDxfId="32" totalsRowDxfId="18" dataCellStyle="Style 2">
      <calculatedColumnFormula>IF(B5&lt;&gt;"",VLOOKUP(B5,T_entrée[],6,FALSE),"")</calculatedColumnFormula>
    </tableColumn>
    <tableColumn id="8" name="Paiement" dataDxfId="42" totalsRowDxfId="17" dataCellStyle="Style 2"/>
    <tableColumn id="9" name="Remise" dataDxfId="41" totalsRowDxfId="16" dataCellStyle="Style 2"/>
    <tableColumn id="12" name="dû" dataDxfId="40" totalsRowDxfId="15" dataCellStyle="Style 2">
      <calculatedColumnFormula>T_sortie[[#This Row],[Prix Total]]-T_sortie[[#This Row],[Paiement]]-T_sortie[[#This Row],[Remise]]</calculatedColumnFormula>
    </tableColumn>
    <tableColumn id="13" name="Nom Client" totalsRowDxfId="14" dataCellStyle="Style 2"/>
    <tableColumn id="14" name="Remboursement" totalsRowDxfId="13" dataCellStyle="Style 2"/>
    <tableColumn id="15" name="Date_R" totalsRowDxfId="12" dataCellStyle="Style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au3" displayName="Tableau3" ref="D3:K10" totalsRowCount="1" headerRowDxfId="35" headerRowBorderDxfId="34">
  <tableColumns count="8">
    <tableColumn id="7" name="Résultat" totalsRowFunction="sum" dataDxfId="29" totalsRowDxfId="11">
      <calculatedColumnFormula>IF(B4="","",B4-E4)</calculatedColumnFormula>
    </tableColumn>
    <tableColumn id="1" name="Total_x000a_dépenses" totalsRowFunction="sum" dataDxfId="33" totalsRowDxfId="10">
      <calculatedColumnFormula>SUM(F4:K4)</calculatedColumnFormula>
    </tableColumn>
    <tableColumn id="2" name="Location" totalsRowFunction="sum"/>
    <tableColumn id="3" name="Facture d'électricité" totalsRowFunction="sum"/>
    <tableColumn id="4" name="Facture d'eau" totalsRowFunction="sum"/>
    <tableColumn id="5" name="Facture téléphone" totalsRowFunction="sum"/>
    <tableColumn id="8" name="Salaires"/>
    <tableColumn id="6" name="Autres dépenses" totalsRowFunction="sum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Relationship Id="rId5" Type="http://schemas.openxmlformats.org/officeDocument/2006/relationships/comments" Target="../comments4.xml"/><Relationship Id="rId4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1:G31"/>
  <sheetViews>
    <sheetView workbookViewId="0">
      <pane ySplit="1" topLeftCell="A2" activePane="bottomLeft" state="frozen"/>
      <selection pane="bottomLeft" activeCell="D5" sqref="D5"/>
    </sheetView>
  </sheetViews>
  <sheetFormatPr baseColWidth="10" defaultRowHeight="15"/>
  <cols>
    <col min="1" max="1" width="22.7109375" style="55" customWidth="1"/>
    <col min="2" max="2" width="27.7109375" style="55" customWidth="1"/>
    <col min="3" max="3" width="24.85546875" style="53" bestFit="1" customWidth="1"/>
    <col min="4" max="4" width="22.7109375" style="53" bestFit="1" customWidth="1"/>
    <col min="5" max="5" width="26.42578125" style="53" bestFit="1" customWidth="1"/>
    <col min="6" max="6" width="17.28515625" style="53" bestFit="1" customWidth="1"/>
    <col min="7" max="7" width="14" style="53" bestFit="1" customWidth="1"/>
    <col min="8" max="16384" width="11.42578125" style="53"/>
  </cols>
  <sheetData>
    <row r="1" spans="1:7" ht="17.25">
      <c r="A1" s="54" t="s">
        <v>26</v>
      </c>
      <c r="B1" s="52" t="s">
        <v>28</v>
      </c>
      <c r="C1" s="52" t="s">
        <v>31</v>
      </c>
      <c r="D1" s="52" t="s">
        <v>81</v>
      </c>
      <c r="E1" s="52" t="s">
        <v>30</v>
      </c>
      <c r="F1" s="52" t="s">
        <v>32</v>
      </c>
      <c r="G1" s="52" t="s">
        <v>29</v>
      </c>
    </row>
    <row r="2" spans="1:7" ht="16.5">
      <c r="A2" s="69" t="str">
        <f t="array" ref="A2">INDEX(Entrée!B:B,MIN(IF(COUNTIF(A$1:A1,fliste)=0,IF(fliste&lt;&gt;"",ROW(fliste)))))&amp;""</f>
        <v>chine</v>
      </c>
      <c r="B2" s="69" t="str">
        <f t="shared" ref="B2:B14" ca="1" si="0">IF(OFFSET($A$1,,ROW())=0,"",OFFSET($A$1,,ROW()))</f>
        <v>Ballade bébé</v>
      </c>
      <c r="C2" s="70" t="s">
        <v>35</v>
      </c>
      <c r="D2" s="71" t="s">
        <v>82</v>
      </c>
      <c r="E2" s="70" t="s">
        <v>34</v>
      </c>
      <c r="F2" s="70" t="s">
        <v>36</v>
      </c>
      <c r="G2" s="70" t="s">
        <v>33</v>
      </c>
    </row>
    <row r="3" spans="1:7" ht="16.5">
      <c r="A3" s="69" t="str">
        <f t="array" ref="A3">INDEX(Entrée!B:B,MIN(IF(COUNTIF(A$1:A2,fliste)=0,IF(fliste&lt;&gt;"",ROW(fliste)))))&amp;""</f>
        <v>turquie</v>
      </c>
      <c r="B3" s="69" t="str">
        <f t="shared" ca="1" si="0"/>
        <v>Chambre du bébé</v>
      </c>
      <c r="C3" s="70" t="s">
        <v>39</v>
      </c>
      <c r="D3" s="70" t="s">
        <v>105</v>
      </c>
      <c r="E3" s="70" t="s">
        <v>38</v>
      </c>
      <c r="F3" s="70" t="s">
        <v>40</v>
      </c>
      <c r="G3" s="70" t="s">
        <v>41</v>
      </c>
    </row>
    <row r="4" spans="1:7" ht="16.5">
      <c r="A4" s="69" t="str">
        <f t="array" ref="A4">INDEX(Entrée!B:B,MIN(IF(COUNTIF(A$1:A3,fliste)=0,IF(fliste&lt;&gt;"",ROW(fliste)))))&amp;""</f>
        <v>thailande</v>
      </c>
      <c r="B4" s="69" t="str">
        <f t="shared" ca="1" si="0"/>
        <v>Nouveau-nés 1er age</v>
      </c>
      <c r="C4" s="70" t="s">
        <v>42</v>
      </c>
      <c r="D4" s="72"/>
      <c r="E4" s="74"/>
      <c r="F4" s="74"/>
      <c r="G4" s="70" t="s">
        <v>37</v>
      </c>
    </row>
    <row r="5" spans="1:7" ht="16.5">
      <c r="A5" s="69" t="str">
        <f t="array" ref="A5">INDEX(Entrée!B:B,MIN(IF(COUNTIF(A$1:A4,fliste)=0,IF(fliste&lt;&gt;"",ROW(fliste)))))&amp;""</f>
        <v>honk kong</v>
      </c>
      <c r="B5" s="69" t="str">
        <f t="shared" ca="1" si="0"/>
        <v>Soin du bébé</v>
      </c>
      <c r="C5" s="74"/>
      <c r="D5" s="72"/>
      <c r="E5" s="74"/>
      <c r="F5" s="74"/>
      <c r="G5" s="72"/>
    </row>
    <row r="6" spans="1:7" ht="16.5">
      <c r="A6" s="69" t="str">
        <f t="array" ref="A6">INDEX(Entrée!B:B,MIN(IF(COUNTIF(A$1:A5,fliste)=0,IF(fliste&lt;&gt;"",ROW(fliste)))))&amp;""</f>
        <v>Maroc</v>
      </c>
      <c r="B6" s="69" t="str">
        <f t="shared" ca="1" si="0"/>
        <v>Vêtements</v>
      </c>
      <c r="C6" s="74"/>
      <c r="D6" s="72"/>
      <c r="E6" s="72"/>
      <c r="F6" s="72"/>
      <c r="G6" s="72"/>
    </row>
    <row r="7" spans="1:7" ht="16.5">
      <c r="A7" s="69" t="str">
        <f t="array" ref="A7">INDEX(Entrée!B:B,MIN(IF(COUNTIF(A$1:A6,fliste)=0,IF(fliste&lt;&gt;"",ROW(fliste)))))&amp;""</f>
        <v>Russie</v>
      </c>
      <c r="B7" s="74" t="str">
        <f t="shared" ca="1" si="0"/>
        <v/>
      </c>
      <c r="C7" s="74"/>
      <c r="D7" s="72"/>
      <c r="E7" s="72"/>
      <c r="F7" s="72"/>
      <c r="G7" s="72"/>
    </row>
    <row r="8" spans="1:7">
      <c r="A8" s="74" t="str">
        <f t="array" ref="A8">INDEX(Entrée!B:B,MIN(IF(COUNTIF(A$1:A7,fliste)=0,IF(fliste&lt;&gt;"",ROW(fliste)))))&amp;""</f>
        <v/>
      </c>
      <c r="B8" s="74" t="str">
        <f t="shared" ca="1" si="0"/>
        <v/>
      </c>
      <c r="C8" s="74"/>
      <c r="D8" s="72"/>
      <c r="E8" s="72"/>
      <c r="F8" s="72"/>
      <c r="G8" s="72"/>
    </row>
    <row r="9" spans="1:7">
      <c r="A9" s="74" t="str">
        <f t="array" ref="A9">INDEX(Entrée!B:B,MIN(IF(COUNTIF(A$1:A8,fliste)=0,IF(fliste&lt;&gt;"",ROW(fliste)))))&amp;""</f>
        <v/>
      </c>
      <c r="B9" s="74" t="str">
        <f t="shared" ca="1" si="0"/>
        <v/>
      </c>
      <c r="C9" s="74"/>
      <c r="D9" s="72"/>
      <c r="E9" s="72"/>
      <c r="F9" s="72"/>
      <c r="G9" s="72"/>
    </row>
    <row r="10" spans="1:7">
      <c r="A10" s="74" t="str">
        <f t="array" ref="A10">INDEX(Entrée!B:B,MIN(IF(COUNTIF(A$1:A9,fliste)=0,IF(fliste&lt;&gt;"",ROW(fliste)))))&amp;""</f>
        <v/>
      </c>
      <c r="B10" s="74" t="str">
        <f t="shared" ca="1" si="0"/>
        <v/>
      </c>
      <c r="C10" s="74"/>
      <c r="D10" s="72"/>
      <c r="E10" s="72"/>
      <c r="F10" s="72"/>
      <c r="G10" s="72"/>
    </row>
    <row r="11" spans="1:7">
      <c r="A11" s="74" t="str">
        <f t="array" ref="A11">INDEX(Entrée!B:B,MIN(IF(COUNTIF(A$1:A10,fliste)=0,IF(fliste&lt;&gt;"",ROW(fliste)))))&amp;""</f>
        <v/>
      </c>
      <c r="B11" s="74" t="str">
        <f t="shared" ca="1" si="0"/>
        <v/>
      </c>
      <c r="C11" s="74"/>
      <c r="D11" s="72"/>
      <c r="E11" s="72"/>
      <c r="F11" s="72"/>
      <c r="G11" s="72"/>
    </row>
    <row r="12" spans="1:7">
      <c r="A12" s="74" t="str">
        <f t="array" ref="A12">INDEX(Entrée!B:B,MIN(IF(COUNTIF(A$1:A11,fliste)=0,IF(fliste&lt;&gt;"",ROW(fliste)))))&amp;""</f>
        <v/>
      </c>
      <c r="B12" s="74" t="str">
        <f t="shared" ca="1" si="0"/>
        <v/>
      </c>
      <c r="C12" s="74"/>
      <c r="D12" s="72"/>
      <c r="E12" s="72"/>
      <c r="F12" s="73"/>
      <c r="G12" s="72"/>
    </row>
    <row r="13" spans="1:7">
      <c r="A13" s="74" t="str">
        <f t="array" ref="A13">INDEX(Entrée!B:B,MIN(IF(COUNTIF(A$1:A12,fliste)=0,IF(fliste&lt;&gt;"",ROW(fliste)))))&amp;""</f>
        <v/>
      </c>
      <c r="B13" s="74" t="str">
        <f t="shared" ca="1" si="0"/>
        <v/>
      </c>
      <c r="C13" s="74"/>
      <c r="D13" s="72"/>
      <c r="E13" s="72"/>
      <c r="F13" s="72"/>
      <c r="G13" s="72"/>
    </row>
    <row r="14" spans="1:7">
      <c r="A14" s="74" t="str">
        <f t="array" ref="A14">INDEX(Entrée!B:B,MIN(IF(COUNTIF(A$1:A13,fliste)=0,IF(fliste&lt;&gt;"",ROW(fliste)))))&amp;""</f>
        <v/>
      </c>
      <c r="B14" s="74" t="str">
        <f t="shared" ca="1" si="0"/>
        <v/>
      </c>
      <c r="C14" s="74"/>
      <c r="D14" s="72"/>
      <c r="E14" s="72"/>
      <c r="F14" s="72"/>
      <c r="G14" s="72"/>
    </row>
    <row r="15" spans="1:7">
      <c r="A15" s="74" t="str">
        <f t="array" ref="A15">INDEX(Entrée!B:B,MIN(IF(COUNTIF(A$1:A14,fliste)=0,IF(fliste&lt;&gt;"",ROW(fliste)))))&amp;""</f>
        <v/>
      </c>
      <c r="B15" s="74"/>
      <c r="C15" s="74"/>
      <c r="D15" s="72"/>
      <c r="E15" s="72"/>
      <c r="F15" s="72"/>
      <c r="G15" s="72"/>
    </row>
    <row r="16" spans="1:7">
      <c r="A16" s="74" t="str">
        <f t="array" ref="A16">INDEX(Entrée!B:B,MIN(IF(COUNTIF(A$1:A15,fliste)=0,IF(fliste&lt;&gt;"",ROW(fliste)))))&amp;""</f>
        <v/>
      </c>
      <c r="B16" s="74"/>
      <c r="C16" s="74"/>
      <c r="D16" s="72"/>
      <c r="E16" s="72"/>
      <c r="F16" s="72"/>
      <c r="G16" s="72"/>
    </row>
    <row r="17" spans="1:7">
      <c r="A17" s="74" t="str">
        <f t="array" ref="A17">INDEX(Entrée!B:B,MIN(IF(COUNTIF(A$1:A16,fliste)=0,IF(fliste&lt;&gt;"",ROW(fliste)))))&amp;""</f>
        <v/>
      </c>
      <c r="B17" s="74"/>
      <c r="C17" s="74"/>
      <c r="D17" s="72"/>
      <c r="E17" s="72"/>
      <c r="F17" s="72"/>
      <c r="G17" s="72"/>
    </row>
    <row r="18" spans="1:7">
      <c r="A18" s="74" t="str">
        <f t="array" ref="A18">INDEX(Entrée!B:B,MIN(IF(COUNTIF(A$1:A17,fliste)=0,IF(fliste&lt;&gt;"",ROW(fliste)))))&amp;""</f>
        <v/>
      </c>
      <c r="B18" s="74"/>
      <c r="C18" s="74"/>
      <c r="D18" s="72"/>
      <c r="E18" s="72"/>
      <c r="F18" s="72"/>
      <c r="G18" s="72"/>
    </row>
    <row r="19" spans="1:7">
      <c r="A19" s="74" t="str">
        <f t="array" ref="A19">INDEX(Entrée!B:B,MIN(IF(COUNTIF(A$1:A18,fliste)=0,IF(fliste&lt;&gt;"",ROW(fliste)))))&amp;""</f>
        <v/>
      </c>
      <c r="B19" s="74"/>
      <c r="C19" s="74"/>
      <c r="D19" s="72"/>
      <c r="E19" s="72"/>
      <c r="F19" s="72"/>
      <c r="G19" s="72"/>
    </row>
    <row r="20" spans="1:7">
      <c r="A20" s="74" t="str">
        <f t="array" ref="A20">INDEX(Entrée!B:B,MIN(IF(COUNTIF(A$1:A19,fliste)=0,IF(fliste&lt;&gt;"",ROW(fliste)))))&amp;""</f>
        <v/>
      </c>
      <c r="B20" s="74"/>
      <c r="C20" s="74"/>
      <c r="D20" s="72"/>
      <c r="E20" s="72"/>
      <c r="F20" s="72"/>
      <c r="G20" s="72"/>
    </row>
    <row r="21" spans="1:7">
      <c r="A21" s="74" t="str">
        <f t="array" ref="A21">INDEX(Entrée!B:B,MIN(IF(COUNTIF(A$1:A20,fliste)=0,IF(fliste&lt;&gt;"",ROW(fliste)))))&amp;""</f>
        <v/>
      </c>
      <c r="B21" s="74"/>
      <c r="C21" s="74"/>
      <c r="D21" s="72"/>
      <c r="E21" s="72"/>
      <c r="F21" s="72"/>
      <c r="G21" s="72"/>
    </row>
    <row r="22" spans="1:7">
      <c r="A22" s="74" t="str">
        <f t="array" ref="A22">INDEX(Entrée!B:B,MIN(IF(COUNTIF(A$1:A21,fliste)=0,IF(fliste&lt;&gt;"",ROW(fliste)))))&amp;""</f>
        <v/>
      </c>
      <c r="B22" s="74"/>
      <c r="C22" s="74"/>
      <c r="D22" s="72"/>
      <c r="E22" s="72"/>
      <c r="F22" s="72"/>
      <c r="G22" s="72"/>
    </row>
    <row r="23" spans="1:7">
      <c r="A23" s="74" t="str">
        <f t="array" ref="A23">INDEX(Entrée!B:B,MIN(IF(COUNTIF(A$1:A22,fliste)=0,IF(fliste&lt;&gt;"",ROW(fliste)))))&amp;""</f>
        <v/>
      </c>
      <c r="B23" s="74"/>
      <c r="C23" s="74"/>
      <c r="D23" s="72"/>
      <c r="E23" s="72"/>
      <c r="F23" s="72"/>
      <c r="G23" s="72"/>
    </row>
    <row r="24" spans="1:7">
      <c r="A24" s="74" t="str">
        <f t="array" ref="A24">INDEX(Entrée!B:B,MIN(IF(COUNTIF(A$1:A23,fliste)=0,IF(fliste&lt;&gt;"",ROW(fliste)))))&amp;""</f>
        <v/>
      </c>
      <c r="B24" s="74"/>
      <c r="C24" s="74"/>
      <c r="D24" s="72"/>
      <c r="E24" s="72"/>
      <c r="F24" s="72"/>
      <c r="G24" s="72"/>
    </row>
    <row r="25" spans="1:7">
      <c r="A25" s="74" t="str">
        <f t="array" ref="A25">INDEX(Entrée!B:B,MIN(IF(COUNTIF(A$1:A24,fliste)=0,IF(fliste&lt;&gt;"",ROW(fliste)))))&amp;""</f>
        <v/>
      </c>
      <c r="B25" s="74"/>
      <c r="C25" s="74"/>
      <c r="D25" s="72"/>
      <c r="E25" s="72"/>
      <c r="F25" s="72"/>
      <c r="G25" s="72"/>
    </row>
    <row r="26" spans="1:7">
      <c r="A26" s="74" t="str">
        <f t="array" ref="A26">INDEX(Entrée!B:B,MIN(IF(COUNTIF(A$1:A25,fliste)=0,IF(fliste&lt;&gt;"",ROW(fliste)))))&amp;""</f>
        <v/>
      </c>
      <c r="B26" s="74"/>
      <c r="C26" s="74"/>
      <c r="D26" s="72"/>
      <c r="E26" s="72"/>
      <c r="F26" s="72"/>
      <c r="G26" s="72"/>
    </row>
    <row r="27" spans="1:7">
      <c r="A27" s="74" t="str">
        <f t="array" ref="A27">INDEX(Entrée!B:B,MIN(IF(COUNTIF(A$1:A26,fliste)=0,IF(fliste&lt;&gt;"",ROW(fliste)))))&amp;""</f>
        <v/>
      </c>
      <c r="B27" s="74"/>
      <c r="C27" s="74"/>
      <c r="D27" s="72"/>
      <c r="E27" s="72"/>
      <c r="F27" s="72"/>
      <c r="G27" s="72"/>
    </row>
    <row r="28" spans="1:7">
      <c r="A28" s="74" t="str">
        <f t="array" ref="A28">INDEX(Entrée!B:B,MIN(IF(COUNTIF(A$1:A27,fliste)=0,IF(fliste&lt;&gt;"",ROW(fliste)))))&amp;""</f>
        <v/>
      </c>
      <c r="B28" s="74"/>
      <c r="C28" s="74"/>
      <c r="D28" s="72"/>
      <c r="E28" s="72"/>
      <c r="F28" s="72"/>
      <c r="G28" s="72"/>
    </row>
    <row r="29" spans="1:7">
      <c r="A29" s="74" t="str">
        <f t="array" ref="A29">INDEX(Entrée!B:B,MIN(IF(COUNTIF(A$1:A28,fliste)=0,IF(fliste&lt;&gt;"",ROW(fliste)))))&amp;""</f>
        <v/>
      </c>
      <c r="B29" s="74"/>
      <c r="C29" s="72"/>
      <c r="D29" s="72"/>
      <c r="E29" s="72"/>
      <c r="F29" s="72"/>
      <c r="G29" s="72"/>
    </row>
    <row r="30" spans="1:7">
      <c r="A30" s="74" t="str">
        <f t="array" ref="A30">INDEX(Entrée!B:B,MIN(IF(COUNTIF(A$1:A29,fliste)=0,IF(fliste&lt;&gt;"",ROW(fliste)))))&amp;""</f>
        <v/>
      </c>
      <c r="B30" s="74"/>
      <c r="C30" s="72"/>
      <c r="D30" s="72"/>
      <c r="E30" s="72"/>
      <c r="F30" s="72"/>
      <c r="G30" s="72"/>
    </row>
    <row r="31" spans="1:7">
      <c r="A31" s="74"/>
    </row>
  </sheetData>
  <sheetProtection sheet="1" objects="1" scenarios="1" formatCells="0" formatColumns="0" formatRows="0" insertColumns="0" insertRows="0" selectLockedCells="1"/>
  <conditionalFormatting sqref="A1:G1048576">
    <cfRule type="expression" dxfId="0" priority="1">
      <formula>AND(ROW()&gt;1,A1&lt;&gt;"")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4"/>
  <dimension ref="A2:K13"/>
  <sheetViews>
    <sheetView tabSelected="1" workbookViewId="0">
      <pane ySplit="4" topLeftCell="A5" activePane="bottomLeft" state="frozen"/>
      <selection pane="bottomLeft" activeCell="I12" sqref="I12"/>
    </sheetView>
  </sheetViews>
  <sheetFormatPr baseColWidth="10" defaultRowHeight="15"/>
  <cols>
    <col min="1" max="1" width="17.28515625" style="23" bestFit="1" customWidth="1"/>
    <col min="2" max="2" width="25.28515625" customWidth="1"/>
    <col min="3" max="3" width="36.5703125" bestFit="1" customWidth="1"/>
    <col min="4" max="4" width="12.140625" bestFit="1" customWidth="1"/>
    <col min="5" max="6" width="14.7109375" style="28" bestFit="1" customWidth="1"/>
    <col min="7" max="7" width="15.7109375" customWidth="1"/>
    <col min="8" max="8" width="13.42578125" bestFit="1" customWidth="1"/>
    <col min="9" max="9" width="13.5703125" bestFit="1" customWidth="1"/>
    <col min="10" max="10" width="11.28515625" bestFit="1" customWidth="1"/>
    <col min="11" max="11" width="17.85546875" customWidth="1"/>
  </cols>
  <sheetData>
    <row r="2" spans="1:11" ht="32.25">
      <c r="A2" s="62" t="s">
        <v>27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4" spans="1:11" ht="51.75">
      <c r="A4" s="21" t="s">
        <v>0</v>
      </c>
      <c r="B4" s="5" t="s">
        <v>1</v>
      </c>
      <c r="C4" s="5" t="s">
        <v>2</v>
      </c>
      <c r="D4" s="5" t="s">
        <v>3</v>
      </c>
      <c r="E4" s="24" t="s">
        <v>16</v>
      </c>
      <c r="F4" s="24" t="s">
        <v>17</v>
      </c>
      <c r="G4" s="11" t="s">
        <v>24</v>
      </c>
      <c r="H4" s="11" t="s">
        <v>18</v>
      </c>
      <c r="I4" s="11" t="s">
        <v>19</v>
      </c>
      <c r="J4" s="5" t="s">
        <v>6</v>
      </c>
      <c r="K4" s="5" t="s">
        <v>7</v>
      </c>
    </row>
    <row r="5" spans="1:11" ht="16.5">
      <c r="A5" s="3" t="s">
        <v>43</v>
      </c>
      <c r="B5" s="4" t="s">
        <v>29</v>
      </c>
      <c r="C5" s="17" t="s">
        <v>37</v>
      </c>
      <c r="D5" s="1" t="s">
        <v>44</v>
      </c>
      <c r="E5" s="25">
        <v>5000</v>
      </c>
      <c r="F5" s="25">
        <v>6000</v>
      </c>
      <c r="G5" s="4"/>
      <c r="H5" s="4">
        <f>IF($A5&lt;&gt;0,G5+SUMPRODUCT((T_entrée[Référence]=$A5)*T_entrée[Quantité])-SUMPRODUCT((T_sortie[Référence]=$A5)*T_sortie[Quantité]),0)</f>
        <v>32</v>
      </c>
      <c r="I5" s="1"/>
      <c r="J5" s="4" t="str">
        <f>IF(H5&lt;I5,"à Cder "&amp;T_stock[[#This Row],[Stock
Limite]]-T_stock[[#This Row],[Stock
Actuel]],"")</f>
        <v/>
      </c>
      <c r="K5" s="2"/>
    </row>
    <row r="6" spans="1:11" ht="16.5">
      <c r="A6" s="14" t="s">
        <v>45</v>
      </c>
      <c r="B6" s="12" t="s">
        <v>29</v>
      </c>
      <c r="C6" s="20" t="s">
        <v>37</v>
      </c>
      <c r="D6" s="6" t="s">
        <v>46</v>
      </c>
      <c r="E6" s="26">
        <v>7500</v>
      </c>
      <c r="F6" s="26">
        <v>9000</v>
      </c>
      <c r="G6" s="12"/>
      <c r="H6" s="12">
        <f>IF($A6&lt;&gt;0,G6+SUMPRODUCT((T_entrée[Référence]=$A6)*T_entrée[Quantité])-SUMPRODUCT((T_sortie[Référence]=$A6)*T_sortie[Quantité]),0)</f>
        <v>16</v>
      </c>
      <c r="I6" s="6"/>
      <c r="J6" s="12" t="str">
        <f>IF(H6&lt;I6,"à Cder "&amp;T_stock[[#This Row],[Stock
Limite]]-T_stock[[#This Row],[Stock
Actuel]],"")</f>
        <v/>
      </c>
      <c r="K6" s="13"/>
    </row>
    <row r="7" spans="1:11" ht="16.5">
      <c r="A7" s="14" t="s">
        <v>47</v>
      </c>
      <c r="B7" s="12" t="s">
        <v>29</v>
      </c>
      <c r="C7" s="20" t="s">
        <v>41</v>
      </c>
      <c r="D7" s="6" t="s">
        <v>48</v>
      </c>
      <c r="E7" s="26">
        <v>2000</v>
      </c>
      <c r="F7" s="26">
        <v>2500</v>
      </c>
      <c r="G7" s="12"/>
      <c r="H7" s="12">
        <f>IF($A7&lt;&gt;0,G7+SUMPRODUCT((T_entrée[Référence]=$A7)*T_entrée[Quantité])-SUMPRODUCT((T_sortie[Référence]=$A7)*T_sortie[Quantité]),0)</f>
        <v>21</v>
      </c>
      <c r="I7" s="6"/>
      <c r="J7" s="12" t="str">
        <f>IF(H7&lt;I7,"à Cder "&amp;T_stock[[#This Row],[Stock
Limite]]-T_stock[[#This Row],[Stock
Actuel]],"")</f>
        <v/>
      </c>
      <c r="K7" s="13"/>
    </row>
    <row r="8" spans="1:11" ht="16.5">
      <c r="A8" s="14" t="s">
        <v>49</v>
      </c>
      <c r="B8" s="12" t="s">
        <v>29</v>
      </c>
      <c r="C8" s="20" t="s">
        <v>41</v>
      </c>
      <c r="D8" s="6" t="s">
        <v>50</v>
      </c>
      <c r="E8" s="26">
        <v>3000</v>
      </c>
      <c r="F8" s="26">
        <v>4000</v>
      </c>
      <c r="G8" s="12"/>
      <c r="H8" s="12">
        <f>IF($A8&lt;&gt;0,G8+SUMPRODUCT((T_entrée[Référence]=$A8)*T_entrée[Quantité])-SUMPRODUCT((T_sortie[Référence]=$A8)*T_sortie[Quantité]),0)</f>
        <v>25</v>
      </c>
      <c r="I8" s="6"/>
      <c r="J8" s="12" t="str">
        <f>IF(H8&lt;I8,"à Cder "&amp;T_stock[[#This Row],[Stock
Limite]]-T_stock[[#This Row],[Stock
Actuel]],"")</f>
        <v/>
      </c>
      <c r="K8" s="13"/>
    </row>
    <row r="9" spans="1:11" ht="16.5">
      <c r="A9" s="14" t="s">
        <v>51</v>
      </c>
      <c r="B9" s="12" t="s">
        <v>30</v>
      </c>
      <c r="C9" s="20" t="s">
        <v>34</v>
      </c>
      <c r="D9" s="6" t="s">
        <v>52</v>
      </c>
      <c r="E9" s="26">
        <v>1000</v>
      </c>
      <c r="F9" s="26">
        <v>2000</v>
      </c>
      <c r="G9" s="12"/>
      <c r="H9" s="12">
        <f>IF($A9&lt;&gt;0,G9+SUMPRODUCT((T_entrée[Référence]=$A9)*T_entrée[Quantité])-SUMPRODUCT((T_sortie[Référence]=$A9)*T_sortie[Quantité]),0)</f>
        <v>85</v>
      </c>
      <c r="I9" s="6">
        <v>10</v>
      </c>
      <c r="J9" s="12" t="str">
        <f>IF(H9&lt;I9,"à Cder "&amp;T_stock[[#This Row],[Stock
Limite]]-T_stock[[#This Row],[Stock
Actuel]],"")</f>
        <v/>
      </c>
      <c r="K9" s="13"/>
    </row>
    <row r="10" spans="1:11" ht="16.5">
      <c r="A10" s="14" t="s">
        <v>53</v>
      </c>
      <c r="B10" s="12" t="s">
        <v>31</v>
      </c>
      <c r="C10" s="20" t="s">
        <v>35</v>
      </c>
      <c r="D10" s="6"/>
      <c r="E10" s="26">
        <v>35000</v>
      </c>
      <c r="F10" s="26">
        <v>45000</v>
      </c>
      <c r="G10" s="12"/>
      <c r="H10" s="12">
        <f>IF($A10&lt;&gt;0,G10+SUMPRODUCT((T_entrée[Référence]=$A10)*T_entrée[Quantité])-SUMPRODUCT((T_sortie[Référence]=$A10)*T_sortie[Quantité]),0)</f>
        <v>4</v>
      </c>
      <c r="I10" s="6"/>
      <c r="J10" s="12" t="str">
        <f>IF(H10&lt;I10,"à Cder "&amp;T_stock[[#This Row],[Stock
Limite]]-T_stock[[#This Row],[Stock
Actuel]],"")</f>
        <v/>
      </c>
      <c r="K10" s="13"/>
    </row>
    <row r="11" spans="1:11" ht="16.5">
      <c r="A11" s="14" t="s">
        <v>80</v>
      </c>
      <c r="B11" s="12" t="s">
        <v>81</v>
      </c>
      <c r="C11" s="20" t="s">
        <v>82</v>
      </c>
      <c r="D11" s="6"/>
      <c r="E11" s="26">
        <v>30000</v>
      </c>
      <c r="F11" s="26">
        <v>50000</v>
      </c>
      <c r="G11" s="12"/>
      <c r="H11" s="12">
        <f>IF($A11&lt;&gt;0,G11+SUMPRODUCT((T_entrée[Référence]=$A11)*T_entrée[Quantité])-SUMPRODUCT((T_sortie[Référence]=$A11)*T_sortie[Quantité]),0)</f>
        <v>8</v>
      </c>
      <c r="I11" s="6"/>
      <c r="J11" s="12" t="str">
        <f>IF(H11&lt;I11,"à Cder "&amp;T_stock[[#This Row],[Stock
Limite]]-T_stock[[#This Row],[Stock
Actuel]],"")</f>
        <v/>
      </c>
      <c r="K11" s="13"/>
    </row>
    <row r="12" spans="1:11" ht="16.5">
      <c r="A12" s="14" t="s">
        <v>97</v>
      </c>
      <c r="B12" s="12" t="s">
        <v>29</v>
      </c>
      <c r="C12" s="20" t="s">
        <v>33</v>
      </c>
      <c r="D12" s="6"/>
      <c r="E12" s="26">
        <v>55000</v>
      </c>
      <c r="F12" s="26">
        <v>56000</v>
      </c>
      <c r="G12" s="12"/>
      <c r="H12" s="12">
        <f>IF($A12&lt;&gt;0,G12+SUMPRODUCT((T_entrée[Référence]=$A12)*T_entrée[Quantité])-SUMPRODUCT((T_sortie[Référence]=$A12)*T_sortie[Quantité]),0)</f>
        <v>0</v>
      </c>
      <c r="I12" s="6"/>
      <c r="J12" s="12" t="str">
        <f>IF(H12&lt;I12,"à Cder "&amp;T_stock[[#This Row],[Stock
Limite]]-T_stock[[#This Row],[Stock
Actuel]],"")</f>
        <v/>
      </c>
      <c r="K12" s="13"/>
    </row>
    <row r="13" spans="1:11" ht="16.5">
      <c r="A13" s="22"/>
      <c r="B13" s="7" t="s">
        <v>20</v>
      </c>
      <c r="C13" s="59">
        <f>SUBTOTAL(103,[Désignation])</f>
        <v>8</v>
      </c>
      <c r="D13" s="7"/>
      <c r="E13" s="27"/>
      <c r="F13" s="27"/>
      <c r="G13" s="7"/>
      <c r="H13" s="7">
        <f>SUBTOTAL(109,[Stock
Actuel])</f>
        <v>191</v>
      </c>
      <c r="I13" s="7"/>
      <c r="J13" s="7"/>
      <c r="K13" s="7"/>
    </row>
  </sheetData>
  <mergeCells count="1">
    <mergeCell ref="A2:K2"/>
  </mergeCells>
  <dataValidations count="2">
    <dataValidation type="list" allowBlank="1" showInputMessage="1" showErrorMessage="1" sqref="B5:B12">
      <formula1>Familles</formula1>
    </dataValidation>
    <dataValidation type="list" allowBlank="1" showInputMessage="1" showErrorMessage="1" sqref="C5:C12">
      <formula1>Désignations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2:I16"/>
  <sheetViews>
    <sheetView zoomScale="75" zoomScaleNormal="75" workbookViewId="0">
      <pane ySplit="4" topLeftCell="A5" activePane="bottomLeft" state="frozen"/>
      <selection pane="bottomLeft" activeCell="F31" sqref="F31"/>
    </sheetView>
  </sheetViews>
  <sheetFormatPr baseColWidth="10" defaultColWidth="11.5703125" defaultRowHeight="15"/>
  <cols>
    <col min="1" max="1" width="16.42578125" customWidth="1"/>
    <col min="2" max="2" width="16.7109375" customWidth="1"/>
    <col min="3" max="3" width="21.42578125" customWidth="1"/>
    <col min="4" max="4" width="30.5703125" bestFit="1" customWidth="1"/>
    <col min="6" max="6" width="14.7109375" style="28" customWidth="1"/>
    <col min="7" max="7" width="16.140625" style="28" customWidth="1"/>
    <col min="8" max="8" width="13.5703125" customWidth="1"/>
    <col min="9" max="9" width="14.85546875" bestFit="1" customWidth="1"/>
  </cols>
  <sheetData>
    <row r="2" spans="1:9" ht="32.25">
      <c r="A2" s="62" t="s">
        <v>14</v>
      </c>
      <c r="B2" s="62"/>
      <c r="C2" s="62"/>
      <c r="D2" s="62"/>
      <c r="E2" s="62"/>
      <c r="F2" s="62"/>
      <c r="G2" s="62"/>
      <c r="H2" s="62"/>
    </row>
    <row r="4" spans="1:9" ht="36" customHeight="1">
      <c r="A4" s="5" t="s">
        <v>0</v>
      </c>
      <c r="B4" s="5" t="s">
        <v>4</v>
      </c>
      <c r="C4" s="5" t="s">
        <v>1</v>
      </c>
      <c r="D4" s="5" t="s">
        <v>2</v>
      </c>
      <c r="E4" s="5" t="s">
        <v>3</v>
      </c>
      <c r="F4" s="33" t="s">
        <v>15</v>
      </c>
      <c r="G4" s="33" t="s">
        <v>5</v>
      </c>
      <c r="H4" s="5" t="s">
        <v>11</v>
      </c>
      <c r="I4" s="5" t="s">
        <v>25</v>
      </c>
    </row>
    <row r="5" spans="1:9" ht="16.5">
      <c r="A5" s="15" t="s">
        <v>43</v>
      </c>
      <c r="B5" s="1" t="s">
        <v>71</v>
      </c>
      <c r="C5" s="1" t="str">
        <f>IF($A5&lt;&gt;"",VLOOKUP($A5,T_stock[],COLUMN()-1,FALSE),"")</f>
        <v>Vêtements</v>
      </c>
      <c r="D5" s="1" t="str">
        <f>IF($A5&lt;&gt;"",VLOOKUP($A5,T_stock[],COLUMN()-1,FALSE),"")</f>
        <v>Grenouillère</v>
      </c>
      <c r="E5" s="1" t="str">
        <f>IF($A5&lt;&gt;"",VLOOKUP($A5,T_stock[],COLUMN()-1,FALSE),"")</f>
        <v>1-3mois</v>
      </c>
      <c r="F5" s="25">
        <f>IF($A5&lt;&gt;"",VLOOKUP($A5,T_stock[],COLUMN()-1,FALSE),"")</f>
        <v>5000</v>
      </c>
      <c r="G5" s="25">
        <f>IF($A5&lt;&gt;"",VLOOKUP($A5,T_stock[],COLUMN()-1,FALSE),"")</f>
        <v>6000</v>
      </c>
      <c r="H5" s="1">
        <v>30</v>
      </c>
      <c r="I5" s="18"/>
    </row>
    <row r="6" spans="1:9" ht="16.5">
      <c r="A6" s="14" t="s">
        <v>45</v>
      </c>
      <c r="B6" s="6" t="s">
        <v>72</v>
      </c>
      <c r="C6" s="6" t="str">
        <f>IF($A6&lt;&gt;"",VLOOKUP($A6,T_stock[],COLUMN()-1,FALSE),"")</f>
        <v>Vêtements</v>
      </c>
      <c r="D6" s="6" t="str">
        <f>IF($A6&lt;&gt;"",VLOOKUP($A6,T_stock[],COLUMN()-1,FALSE),"")</f>
        <v>Grenouillère</v>
      </c>
      <c r="E6" s="6" t="str">
        <f>IF($A6&lt;&gt;"",VLOOKUP($A6,T_stock[],COLUMN()-1,FALSE),"")</f>
        <v>6mois</v>
      </c>
      <c r="F6" s="26">
        <f>IF($A6&lt;&gt;"",VLOOKUP($A6,T_stock[],COLUMN()-1,FALSE),"")</f>
        <v>7500</v>
      </c>
      <c r="G6" s="26">
        <f>IF($A6&lt;&gt;"",VLOOKUP($A6,T_stock[],COLUMN()-1,FALSE),"")</f>
        <v>9000</v>
      </c>
      <c r="H6" s="6">
        <v>10</v>
      </c>
      <c r="I6" s="19"/>
    </row>
    <row r="7" spans="1:9" ht="16.5">
      <c r="A7" s="14" t="s">
        <v>47</v>
      </c>
      <c r="B7" s="6" t="s">
        <v>73</v>
      </c>
      <c r="C7" s="6" t="str">
        <f>IF($A7&lt;&gt;"",VLOOKUP($A7,T_stock[],COLUMN()-1,FALSE),"")</f>
        <v>Vêtements</v>
      </c>
      <c r="D7" s="6" t="str">
        <f>IF($A7&lt;&gt;"",VLOOKUP($A7,T_stock[],COLUMN()-1,FALSE),"")</f>
        <v xml:space="preserve">Body </v>
      </c>
      <c r="E7" s="6" t="str">
        <f>IF($A7&lt;&gt;"",VLOOKUP($A7,T_stock[],COLUMN()-1,FALSE),"")</f>
        <v>1mois</v>
      </c>
      <c r="F7" s="26">
        <f>IF($A7&lt;&gt;"",VLOOKUP($A7,T_stock[],COLUMN()-1,FALSE),"")</f>
        <v>2000</v>
      </c>
      <c r="G7" s="26">
        <f>IF($A7&lt;&gt;"",VLOOKUP($A7,T_stock[],COLUMN()-1,FALSE),"")</f>
        <v>2500</v>
      </c>
      <c r="H7" s="6">
        <v>25</v>
      </c>
      <c r="I7" s="19"/>
    </row>
    <row r="8" spans="1:9" ht="16.5">
      <c r="A8" s="14" t="s">
        <v>49</v>
      </c>
      <c r="B8" s="6" t="s">
        <v>73</v>
      </c>
      <c r="C8" s="6" t="str">
        <f>IF($A8&lt;&gt;"",VLOOKUP($A8,T_stock[],COLUMN()-1,FALSE),"")</f>
        <v>Vêtements</v>
      </c>
      <c r="D8" s="6" t="str">
        <f>IF($A8&lt;&gt;"",VLOOKUP($A8,T_stock[],COLUMN()-1,FALSE),"")</f>
        <v xml:space="preserve">Body </v>
      </c>
      <c r="E8" s="6" t="str">
        <f>IF($A8&lt;&gt;"",VLOOKUP($A8,T_stock[],COLUMN()-1,FALSE),"")</f>
        <v>3mois</v>
      </c>
      <c r="F8" s="26">
        <f>IF($A8&lt;&gt;"",VLOOKUP($A8,T_stock[],COLUMN()-1,FALSE),"")</f>
        <v>3000</v>
      </c>
      <c r="G8" s="26">
        <f>IF($A8&lt;&gt;"",VLOOKUP($A8,T_stock[],COLUMN()-1,FALSE),"")</f>
        <v>4000</v>
      </c>
      <c r="H8" s="6">
        <v>25</v>
      </c>
      <c r="I8" s="19"/>
    </row>
    <row r="9" spans="1:9" ht="16.5">
      <c r="A9" s="14" t="s">
        <v>51</v>
      </c>
      <c r="B9" s="6" t="s">
        <v>71</v>
      </c>
      <c r="C9" s="6" t="str">
        <f>IF($A9&lt;&gt;"",VLOOKUP($A9,T_stock[],COLUMN()-1,FALSE),"")</f>
        <v>Nouveau-nés 1er age</v>
      </c>
      <c r="D9" s="6" t="str">
        <f>IF($A9&lt;&gt;"",VLOOKUP($A9,T_stock[],COLUMN()-1,FALSE),"")</f>
        <v xml:space="preserve">biberons </v>
      </c>
      <c r="E9" s="6" t="str">
        <f>IF($A9&lt;&gt;"",VLOOKUP($A9,T_stock[],COLUMN()-1,FALSE),"")</f>
        <v>0-6mois</v>
      </c>
      <c r="F9" s="26">
        <f>IF($A9&lt;&gt;"",VLOOKUP($A9,T_stock[],COLUMN()-1,FALSE),"")</f>
        <v>1000</v>
      </c>
      <c r="G9" s="26">
        <f>IF($A9&lt;&gt;"",VLOOKUP($A9,T_stock[],COLUMN()-1,FALSE),"")</f>
        <v>2000</v>
      </c>
      <c r="H9" s="6">
        <v>100</v>
      </c>
      <c r="I9" s="19"/>
    </row>
    <row r="10" spans="1:9" ht="16.5">
      <c r="A10" s="14" t="s">
        <v>53</v>
      </c>
      <c r="B10" s="6" t="s">
        <v>72</v>
      </c>
      <c r="C10" s="6" t="str">
        <f>IF($A10&lt;&gt;"",VLOOKUP($A10,T_stock[],COLUMN()-1,FALSE),"")</f>
        <v>Ballade bébé</v>
      </c>
      <c r="D10" s="6" t="str">
        <f>IF($A10&lt;&gt;"",VLOOKUP($A10,T_stock[],COLUMN()-1,FALSE),"")</f>
        <v>Poussettes Cannes</v>
      </c>
      <c r="E10" s="6"/>
      <c r="F10" s="26">
        <f>IF($A10&lt;&gt;"",VLOOKUP($A10,T_stock[],COLUMN()-1,FALSE),"")</f>
        <v>35000</v>
      </c>
      <c r="G10" s="26">
        <f>IF($A10&lt;&gt;"",VLOOKUP($A10,T_stock[],COLUMN()-1,FALSE),"")</f>
        <v>45000</v>
      </c>
      <c r="H10" s="6">
        <v>5</v>
      </c>
      <c r="I10" s="19"/>
    </row>
    <row r="11" spans="1:9" ht="16.5">
      <c r="A11" s="14" t="s">
        <v>43</v>
      </c>
      <c r="B11" s="6" t="s">
        <v>74</v>
      </c>
      <c r="C11" s="6" t="str">
        <f>IF($A11&lt;&gt;"",VLOOKUP($A11,T_stock[],COLUMN()-1,FALSE),"")</f>
        <v>Vêtements</v>
      </c>
      <c r="D11" s="6" t="str">
        <f>IF($A11&lt;&gt;"",VLOOKUP($A11,T_stock[],COLUMN()-1,FALSE),"")</f>
        <v>Grenouillère</v>
      </c>
      <c r="E11" s="6" t="str">
        <f>IF($A11&lt;&gt;"",VLOOKUP($A11,T_stock[],COLUMN()-1,FALSE),"")</f>
        <v>1-3mois</v>
      </c>
      <c r="F11" s="26">
        <f>IF($A11&lt;&gt;"",VLOOKUP($A11,T_stock[],COLUMN()-1,FALSE),"")</f>
        <v>5000</v>
      </c>
      <c r="G11" s="26">
        <f>IF($A11&lt;&gt;"",VLOOKUP($A11,T_stock[],COLUMN()-1,FALSE),"")</f>
        <v>6000</v>
      </c>
      <c r="H11" s="6">
        <v>4</v>
      </c>
      <c r="I11" s="19"/>
    </row>
    <row r="12" spans="1:9" ht="16.5">
      <c r="A12" s="14" t="s">
        <v>45</v>
      </c>
      <c r="B12" s="6" t="s">
        <v>89</v>
      </c>
      <c r="C12" s="6" t="str">
        <f>IF($A12&lt;&gt;"",VLOOKUP($A12,T_stock[],COLUMN()-1,FALSE),"")</f>
        <v>Vêtements</v>
      </c>
      <c r="D12" s="6" t="str">
        <f>IF($A12&lt;&gt;"",VLOOKUP($A12,T_stock[],COLUMN()-1,FALSE),"")</f>
        <v>Grenouillère</v>
      </c>
      <c r="E12" s="6" t="str">
        <f>IF($A12&lt;&gt;"",VLOOKUP($A12,T_stock[],COLUMN()-1,FALSE),"")</f>
        <v>6mois</v>
      </c>
      <c r="F12" s="26">
        <f>IF($A12&lt;&gt;"",VLOOKUP($A12,T_stock[],COLUMN()-1,FALSE),"")</f>
        <v>7500</v>
      </c>
      <c r="G12" s="26">
        <f>IF($A12&lt;&gt;"",VLOOKUP($A12,T_stock[],COLUMN()-1,FALSE),"")</f>
        <v>9000</v>
      </c>
      <c r="H12" s="6">
        <v>10</v>
      </c>
      <c r="I12" s="19"/>
    </row>
    <row r="13" spans="1:9" ht="16.5">
      <c r="A13" s="14" t="s">
        <v>45</v>
      </c>
      <c r="B13" s="6" t="s">
        <v>90</v>
      </c>
      <c r="C13" s="6" t="str">
        <f>IF($A13&lt;&gt;"",VLOOKUP($A13,T_stock[],COLUMN()-1,FALSE),"")</f>
        <v>Vêtements</v>
      </c>
      <c r="D13" s="6" t="str">
        <f>IF($A13&lt;&gt;"",VLOOKUP($A13,T_stock[],COLUMN()-1,FALSE),"")</f>
        <v>Grenouillère</v>
      </c>
      <c r="E13" s="6" t="str">
        <f>IF($A13&lt;&gt;"",VLOOKUP($A13,T_stock[],COLUMN()-1,FALSE),"")</f>
        <v>6mois</v>
      </c>
      <c r="F13" s="26">
        <f>IF($A13&lt;&gt;"",VLOOKUP($A13,T_stock[],COLUMN()-1,FALSE),"")</f>
        <v>7500</v>
      </c>
      <c r="G13" s="26">
        <f>IF($A13&lt;&gt;"",VLOOKUP($A13,T_stock[],COLUMN()-1,FALSE),"")</f>
        <v>9000</v>
      </c>
      <c r="H13" s="6"/>
      <c r="I13" s="19"/>
    </row>
    <row r="14" spans="1:9" ht="16.5">
      <c r="A14" s="14" t="s">
        <v>80</v>
      </c>
      <c r="B14" s="6" t="s">
        <v>72</v>
      </c>
      <c r="C14" s="6" t="str">
        <f>IF($A14&lt;&gt;"",VLOOKUP($A14,T_stock[],COLUMN()-1,FALSE),"")</f>
        <v>Chambre du bébé</v>
      </c>
      <c r="D14" s="6" t="str">
        <f>IF($A14&lt;&gt;"",VLOOKUP($A14,T_stock[],COLUMN()-1,FALSE),"")</f>
        <v>Berceaux</v>
      </c>
      <c r="E14" s="6">
        <f>IF($A14&lt;&gt;"",VLOOKUP($A14,T_stock[],COLUMN()-1,FALSE),"")</f>
        <v>0</v>
      </c>
      <c r="F14" s="26">
        <f>IF($A14&lt;&gt;"",VLOOKUP($A14,T_stock[],COLUMN()-1,FALSE),"")</f>
        <v>30000</v>
      </c>
      <c r="G14" s="26">
        <f>IF($A14&lt;&gt;"",VLOOKUP($A14,T_stock[],COLUMN()-1,FALSE),"")</f>
        <v>50000</v>
      </c>
      <c r="H14" s="6">
        <v>10</v>
      </c>
      <c r="I14" s="19"/>
    </row>
    <row r="15" spans="1:9" ht="16.5">
      <c r="A15" s="3" t="s">
        <v>97</v>
      </c>
      <c r="B15" s="1" t="s">
        <v>74</v>
      </c>
      <c r="C15" s="1" t="str">
        <f>IF($A15&lt;&gt;"",VLOOKUP($A15,T_stock[],COLUMN()-1,FALSE),"")</f>
        <v>Vêtements</v>
      </c>
      <c r="D15" s="1" t="str">
        <f>IF($A15&lt;&gt;"",VLOOKUP($A15,T_stock[],COLUMN()-1,FALSE),"")</f>
        <v>Bavoir</v>
      </c>
      <c r="E15" s="1">
        <f>IF($A15&lt;&gt;"",VLOOKUP($A15,T_stock[],COLUMN()-1,FALSE),"")</f>
        <v>0</v>
      </c>
      <c r="F15" s="25">
        <f>IF($A15&lt;&gt;"",VLOOKUP($A15,T_stock[],COLUMN()-1,FALSE),"")</f>
        <v>55000</v>
      </c>
      <c r="G15" s="25">
        <f>IF($A15&lt;&gt;"",VLOOKUP($A15,T_stock[],COLUMN()-1,FALSE),"")</f>
        <v>56000</v>
      </c>
      <c r="H15" s="60"/>
      <c r="I15" s="18"/>
    </row>
    <row r="16" spans="1:9" ht="16.5">
      <c r="A16" s="7" t="s">
        <v>21</v>
      </c>
      <c r="B16" s="8" t="s">
        <v>22</v>
      </c>
      <c r="C16" s="7">
        <f>SUBTOTAL(103,[Famille])</f>
        <v>11</v>
      </c>
      <c r="D16" s="7"/>
      <c r="E16" s="7"/>
      <c r="F16" s="27"/>
      <c r="G16" s="34" t="s">
        <v>23</v>
      </c>
      <c r="H16" s="7">
        <f>SUBTOTAL(109,[Quantité])</f>
        <v>219</v>
      </c>
      <c r="I16" s="16"/>
    </row>
  </sheetData>
  <sortState ref="A6">
    <sortCondition ref="A6"/>
  </sortState>
  <mergeCells count="1">
    <mergeCell ref="A2:H2"/>
  </mergeCells>
  <dataValidations count="4">
    <dataValidation type="list" allowBlank="1" showInputMessage="1" showErrorMessage="1" sqref="B5:B15">
      <formula1>Fournisseurs</formula1>
    </dataValidation>
    <dataValidation type="list" allowBlank="1" showInputMessage="1" showErrorMessage="1" sqref="C5:C15">
      <formula1>Familles</formula1>
    </dataValidation>
    <dataValidation type="list" allowBlank="1" showInputMessage="1" showErrorMessage="1" sqref="A5:A15">
      <formula1>OFFSET(Références,MATCH(A5&amp;"*",Références,0)-1,,COUNTIF(Références,A5&amp;"*"))</formula1>
    </dataValidation>
    <dataValidation type="list" allowBlank="1" showInputMessage="1" showErrorMessage="1" sqref="D5:D15">
      <formula1>Désignations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2"/>
  <dimension ref="A1:Q13"/>
  <sheetViews>
    <sheetView topLeftCell="D1" zoomScale="75" zoomScaleNormal="75" workbookViewId="0">
      <pane ySplit="4" topLeftCell="A5" activePane="bottomLeft" state="frozen"/>
      <selection pane="bottomLeft" activeCell="I22" sqref="I22"/>
    </sheetView>
  </sheetViews>
  <sheetFormatPr baseColWidth="10" defaultColWidth="11.5703125" defaultRowHeight="16.5"/>
  <cols>
    <col min="1" max="1" width="6.28515625" customWidth="1"/>
    <col min="2" max="2" width="14.7109375" customWidth="1"/>
    <col min="3" max="3" width="14.140625" bestFit="1" customWidth="1"/>
    <col min="4" max="4" width="30.5703125" bestFit="1" customWidth="1"/>
    <col min="5" max="5" width="16.140625" customWidth="1"/>
    <col min="6" max="6" width="25.85546875" style="32" customWidth="1"/>
    <col min="7" max="7" width="16.7109375" customWidth="1"/>
    <col min="8" max="8" width="14.28515625" customWidth="1"/>
    <col min="9" max="9" width="18.42578125" style="32" customWidth="1"/>
    <col min="10" max="10" width="16.85546875" customWidth="1"/>
    <col min="11" max="11" width="17.28515625" customWidth="1"/>
    <col min="12" max="12" width="19.28515625" style="51" customWidth="1"/>
    <col min="13" max="15" width="17" customWidth="1"/>
    <col min="16" max="16" width="19.42578125" customWidth="1"/>
    <col min="17" max="17" width="15.140625" customWidth="1"/>
  </cols>
  <sheetData>
    <row r="1" spans="1:17" ht="15">
      <c r="L1"/>
    </row>
    <row r="2" spans="1:17" ht="32.25">
      <c r="A2" s="62" t="s">
        <v>8</v>
      </c>
      <c r="B2" s="62"/>
      <c r="C2" s="62"/>
      <c r="D2" s="62"/>
      <c r="E2" s="62"/>
      <c r="F2" s="62"/>
      <c r="G2" s="62"/>
      <c r="H2" s="62"/>
      <c r="I2" s="62"/>
      <c r="J2" s="62"/>
      <c r="L2"/>
    </row>
    <row r="3" spans="1:17" ht="15">
      <c r="L3"/>
    </row>
    <row r="4" spans="1:17" ht="39.75" customHeight="1">
      <c r="A4" s="5" t="s">
        <v>9</v>
      </c>
      <c r="B4" s="5" t="s">
        <v>0</v>
      </c>
      <c r="C4" s="5" t="s">
        <v>1</v>
      </c>
      <c r="D4" s="5" t="s">
        <v>2</v>
      </c>
      <c r="E4" s="5" t="s">
        <v>3</v>
      </c>
      <c r="F4" s="29" t="s">
        <v>5</v>
      </c>
      <c r="G4" s="5" t="s">
        <v>11</v>
      </c>
      <c r="H4" s="5" t="s">
        <v>25</v>
      </c>
      <c r="I4" s="29" t="s">
        <v>12</v>
      </c>
      <c r="J4" s="11" t="s">
        <v>98</v>
      </c>
      <c r="K4" s="5" t="s">
        <v>99</v>
      </c>
      <c r="L4" s="5" t="s">
        <v>13</v>
      </c>
      <c r="M4" s="5" t="s">
        <v>10</v>
      </c>
      <c r="N4" s="5" t="s">
        <v>54</v>
      </c>
      <c r="O4" s="5" t="s">
        <v>55</v>
      </c>
      <c r="P4" s="5" t="s">
        <v>61</v>
      </c>
      <c r="Q4" s="5" t="s">
        <v>62</v>
      </c>
    </row>
    <row r="5" spans="1:17">
      <c r="A5" s="12">
        <v>1</v>
      </c>
      <c r="B5" s="12" t="s">
        <v>43</v>
      </c>
      <c r="C5" s="12" t="str">
        <f>VLOOKUP(B5,T_stock[],2,0)</f>
        <v>Vêtements</v>
      </c>
      <c r="D5" s="12" t="str">
        <f>IF(B5&lt;&gt;"",VLOOKUP(B5,T_entrée[],4,FALSE),"")</f>
        <v>Grenouillère</v>
      </c>
      <c r="E5" s="12" t="str">
        <f>IF(B5&lt;&gt;"",VLOOKUP(B5,T_entrée[],5,FALSE),"")</f>
        <v>1-3mois</v>
      </c>
      <c r="F5" s="30">
        <f>IF(B5&lt;&gt;"",VLOOKUP(B5,T_entrée[],7,FALSE),"")</f>
        <v>6000</v>
      </c>
      <c r="G5" s="6">
        <v>2</v>
      </c>
      <c r="H5" s="19">
        <v>42002</v>
      </c>
      <c r="I5" s="30">
        <f t="shared" ref="I5:I10" si="0">IF(COUNT(F5:G5)=2,F5*G5,0)</f>
        <v>12000</v>
      </c>
      <c r="J5" s="4">
        <f>T_sortie[[#This Row],[Paiement]]-(T_sortie[[#This Row],[Quantité]]*T_sortie[[#This Row],[Prix d''achat]])</f>
        <v>0</v>
      </c>
      <c r="K5" s="4">
        <f>IF(B5&lt;&gt;"",VLOOKUP(B5,T_entrée[],6,FALSE),"")</f>
        <v>5000</v>
      </c>
      <c r="L5" s="6">
        <v>10000</v>
      </c>
      <c r="M5" s="6"/>
      <c r="N5" s="37">
        <f>T_sortie[[#This Row],[Prix Total]]-T_sortie[[#This Row],[Paiement]]-T_sortie[[#This Row],[Remise]]</f>
        <v>2000</v>
      </c>
      <c r="O5" s="1" t="s">
        <v>78</v>
      </c>
      <c r="P5" s="1"/>
      <c r="Q5" s="1"/>
    </row>
    <row r="6" spans="1:17">
      <c r="A6" s="12">
        <v>2</v>
      </c>
      <c r="B6" s="12" t="s">
        <v>51</v>
      </c>
      <c r="C6" s="12" t="str">
        <f>VLOOKUP(B6,T_stock[],2,0)</f>
        <v>Nouveau-nés 1er age</v>
      </c>
      <c r="D6" s="12" t="str">
        <f>IF(B6&lt;&gt;"",VLOOKUP(B6,T_entrée[],4,FALSE),"")</f>
        <v xml:space="preserve">biberons </v>
      </c>
      <c r="E6" s="12" t="str">
        <f>IF(B6&lt;&gt;"",VLOOKUP(B6,T_entrée[],5,FALSE),"")</f>
        <v>0-6mois</v>
      </c>
      <c r="F6" s="30">
        <f>IF(B6&lt;&gt;"",VLOOKUP(B6,T_entrée[],7,FALSE),"")</f>
        <v>2000</v>
      </c>
      <c r="G6" s="6">
        <v>10</v>
      </c>
      <c r="H6" s="19">
        <v>42002</v>
      </c>
      <c r="I6" s="30">
        <f t="shared" si="0"/>
        <v>20000</v>
      </c>
      <c r="J6" s="4">
        <f>T_sortie[[#This Row],[Paiement]]-(T_sortie[[#This Row],[Quantité]]*T_sortie[[#This Row],[Prix d''achat]])</f>
        <v>8000</v>
      </c>
      <c r="K6" s="4">
        <f>IF(B6&lt;&gt;"",VLOOKUP(B6,T_entrée[],6,FALSE),"")</f>
        <v>1000</v>
      </c>
      <c r="L6" s="6">
        <v>18000</v>
      </c>
      <c r="M6" s="6">
        <v>2000</v>
      </c>
      <c r="N6" s="37">
        <f>T_sortie[[#This Row],[Prix Total]]-T_sortie[[#This Row],[Paiement]]-T_sortie[[#This Row],[Remise]]</f>
        <v>0</v>
      </c>
      <c r="O6" s="1"/>
      <c r="P6" s="1"/>
      <c r="Q6" s="1"/>
    </row>
    <row r="7" spans="1:17">
      <c r="A7" s="12">
        <v>3</v>
      </c>
      <c r="B7" s="12" t="s">
        <v>53</v>
      </c>
      <c r="C7" s="12" t="str">
        <f>VLOOKUP(B7,T_stock[],2,0)</f>
        <v>Ballade bébé</v>
      </c>
      <c r="D7" s="12" t="str">
        <f>IF(B7&lt;&gt;"",VLOOKUP(B7,T_entrée[],4,FALSE),"")</f>
        <v>Poussettes Cannes</v>
      </c>
      <c r="E7" s="12">
        <f>IF(B7&lt;&gt;"",VLOOKUP(B7,T_entrée[],5,FALSE),"")</f>
        <v>0</v>
      </c>
      <c r="F7" s="30">
        <f>IF(B7&lt;&gt;"",VLOOKUP(B7,T_entrée[],7,FALSE),"")</f>
        <v>45000</v>
      </c>
      <c r="G7" s="6">
        <v>1</v>
      </c>
      <c r="H7" s="19">
        <v>42002</v>
      </c>
      <c r="I7" s="30">
        <f t="shared" si="0"/>
        <v>45000</v>
      </c>
      <c r="J7" s="4">
        <f>T_sortie[[#This Row],[Paiement]]-(T_sortie[[#This Row],[Quantité]]*T_sortie[[#This Row],[Prix d''achat]])</f>
        <v>10000</v>
      </c>
      <c r="K7" s="4">
        <f>IF(B7&lt;&gt;"",VLOOKUP(B7,T_entrée[],6,FALSE),"")</f>
        <v>35000</v>
      </c>
      <c r="L7" s="6">
        <v>45000</v>
      </c>
      <c r="M7" s="6"/>
      <c r="N7" s="37">
        <f>T_sortie[[#This Row],[Prix Total]]-T_sortie[[#This Row],[Paiement]]-T_sortie[[#This Row],[Remise]]</f>
        <v>0</v>
      </c>
      <c r="O7" s="1"/>
      <c r="P7" s="1"/>
      <c r="Q7" s="1"/>
    </row>
    <row r="8" spans="1:17">
      <c r="A8" s="12">
        <v>4</v>
      </c>
      <c r="B8" s="12" t="s">
        <v>45</v>
      </c>
      <c r="C8" s="12" t="str">
        <f>VLOOKUP(B8,T_stock[],2,0)</f>
        <v>Vêtements</v>
      </c>
      <c r="D8" s="12" t="str">
        <f>IF(B8&lt;&gt;"",VLOOKUP(B8,T_entrée[],4,FALSE),"")</f>
        <v>Grenouillère</v>
      </c>
      <c r="E8" s="12" t="str">
        <f>IF(B8&lt;&gt;"",VLOOKUP(B8,T_entrée[],5,FALSE),"")</f>
        <v>6mois</v>
      </c>
      <c r="F8" s="30">
        <f>IF(B8&lt;&gt;"",VLOOKUP(B8,T_entrée[],7,FALSE),"")</f>
        <v>9000</v>
      </c>
      <c r="G8" s="6">
        <v>2</v>
      </c>
      <c r="H8" s="19">
        <v>42002</v>
      </c>
      <c r="I8" s="30">
        <f t="shared" si="0"/>
        <v>18000</v>
      </c>
      <c r="J8" s="4">
        <f>T_sortie[[#This Row],[Paiement]]-(T_sortie[[#This Row],[Quantité]]*T_sortie[[#This Row],[Prix d''achat]])</f>
        <v>0</v>
      </c>
      <c r="K8" s="4">
        <f>IF(B8&lt;&gt;"",VLOOKUP(B8,T_entrée[],6,FALSE),"")</f>
        <v>7500</v>
      </c>
      <c r="L8" s="6">
        <v>15000</v>
      </c>
      <c r="M8" s="6"/>
      <c r="N8" s="37">
        <f>T_sortie[[#This Row],[Prix Total]]-T_sortie[[#This Row],[Paiement]]-T_sortie[[#This Row],[Remise]]</f>
        <v>3000</v>
      </c>
      <c r="O8" s="1" t="s">
        <v>79</v>
      </c>
      <c r="P8" s="1">
        <v>1000</v>
      </c>
      <c r="Q8" s="18">
        <v>42036</v>
      </c>
    </row>
    <row r="9" spans="1:17">
      <c r="A9" s="12">
        <v>5</v>
      </c>
      <c r="B9" s="12" t="s">
        <v>47</v>
      </c>
      <c r="C9" s="12" t="str">
        <f>VLOOKUP(B9,T_stock[],2,0)</f>
        <v>Vêtements</v>
      </c>
      <c r="D9" s="12" t="str">
        <f>IF(B9&lt;&gt;"",VLOOKUP(B9,T_entrée[],4,FALSE),"")</f>
        <v xml:space="preserve">Body </v>
      </c>
      <c r="E9" s="12" t="str">
        <f>IF(B9&lt;&gt;"",VLOOKUP(B9,T_entrée[],5,FALSE),"")</f>
        <v>1mois</v>
      </c>
      <c r="F9" s="30">
        <f>IF(B9&lt;&gt;"",VLOOKUP(B9,T_entrée[],7,FALSE),"")</f>
        <v>2500</v>
      </c>
      <c r="G9" s="6">
        <v>4</v>
      </c>
      <c r="H9" s="19">
        <v>42003</v>
      </c>
      <c r="I9" s="30">
        <f t="shared" si="0"/>
        <v>10000</v>
      </c>
      <c r="J9" s="4">
        <f>T_sortie[[#This Row],[Paiement]]-(T_sortie[[#This Row],[Quantité]]*T_sortie[[#This Row],[Prix d''achat]])</f>
        <v>-1000</v>
      </c>
      <c r="K9" s="4">
        <f>IF(B9&lt;&gt;"",VLOOKUP(B9,T_entrée[],6,FALSE),"")</f>
        <v>2000</v>
      </c>
      <c r="L9" s="6">
        <v>7000</v>
      </c>
      <c r="M9" s="6"/>
      <c r="N9" s="37">
        <f>T_sortie[[#This Row],[Prix Total]]-T_sortie[[#This Row],[Paiement]]-T_sortie[[#This Row],[Remise]]</f>
        <v>3000</v>
      </c>
      <c r="O9" s="1" t="s">
        <v>75</v>
      </c>
      <c r="P9" s="1">
        <v>3000</v>
      </c>
      <c r="Q9" s="18">
        <v>42040</v>
      </c>
    </row>
    <row r="10" spans="1:17">
      <c r="A10" s="12">
        <v>6</v>
      </c>
      <c r="B10" s="12" t="s">
        <v>51</v>
      </c>
      <c r="C10" s="12" t="str">
        <f>VLOOKUP(B10,T_stock[],2,0)</f>
        <v>Nouveau-nés 1er age</v>
      </c>
      <c r="D10" s="12" t="str">
        <f>IF(B10&lt;&gt;"",VLOOKUP(B10,T_entrée[],4,FALSE),"")</f>
        <v xml:space="preserve">biberons </v>
      </c>
      <c r="E10" s="12" t="str">
        <f>IF(B10&lt;&gt;"",VLOOKUP(B10,T_entrée[],5,FALSE),"")</f>
        <v>0-6mois</v>
      </c>
      <c r="F10" s="30">
        <f>IF(B10&lt;&gt;"",VLOOKUP(B10,T_entrée[],7,FALSE),"")</f>
        <v>2000</v>
      </c>
      <c r="G10" s="6">
        <v>5</v>
      </c>
      <c r="H10" s="19">
        <v>42038</v>
      </c>
      <c r="I10" s="30">
        <f t="shared" si="0"/>
        <v>10000</v>
      </c>
      <c r="J10" s="4">
        <f>T_sortie[[#This Row],[Paiement]]-(T_sortie[[#This Row],[Quantité]]*T_sortie[[#This Row],[Prix d''achat]])</f>
        <v>4000</v>
      </c>
      <c r="K10" s="4">
        <f>IF(B10&lt;&gt;"",VLOOKUP(B10,T_entrée[],6,FALSE),"")</f>
        <v>1000</v>
      </c>
      <c r="L10" s="6">
        <v>9000</v>
      </c>
      <c r="M10" s="6"/>
      <c r="N10" s="37">
        <f>T_sortie[[#This Row],[Prix Total]]-T_sortie[[#This Row],[Paiement]]-T_sortie[[#This Row],[Remise]]</f>
        <v>1000</v>
      </c>
      <c r="O10" s="1" t="s">
        <v>76</v>
      </c>
      <c r="P10" s="1"/>
      <c r="Q10" s="1"/>
    </row>
    <row r="11" spans="1:17">
      <c r="A11" s="12">
        <v>7</v>
      </c>
      <c r="B11" s="12" t="s">
        <v>45</v>
      </c>
      <c r="C11" s="12" t="str">
        <f>VLOOKUP(B11,T_stock[],2,0)</f>
        <v>Vêtements</v>
      </c>
      <c r="D11" s="12" t="str">
        <f>IF(B11&lt;&gt;"",VLOOKUP(B11,T_entrée[],4,FALSE),"")</f>
        <v>Grenouillère</v>
      </c>
      <c r="E11" s="12" t="str">
        <f>IF(B11&lt;&gt;"",VLOOKUP(B11,T_entrée[],5,FALSE),"")</f>
        <v>6mois</v>
      </c>
      <c r="F11" s="30">
        <f>IF(B11&lt;&gt;"",VLOOKUP(B11,T_entrée[],7,FALSE),"")</f>
        <v>9000</v>
      </c>
      <c r="G11" s="6">
        <v>2</v>
      </c>
      <c r="H11" s="19">
        <v>42369</v>
      </c>
      <c r="I11" s="30">
        <f>IF(COUNT(F11:G11)=2,F11*G11,0)</f>
        <v>18000</v>
      </c>
      <c r="J11" s="4">
        <f>T_sortie[[#This Row],[Paiement]]-(T_sortie[[#This Row],[Quantité]]*T_sortie[[#This Row],[Prix d''achat]])</f>
        <v>1000</v>
      </c>
      <c r="K11" s="4">
        <f>IF(B11&lt;&gt;"",VLOOKUP(B11,T_entrée[],6,FALSE),"")</f>
        <v>7500</v>
      </c>
      <c r="L11" s="6">
        <v>16000</v>
      </c>
      <c r="M11" s="6"/>
      <c r="N11" s="37">
        <f>T_sortie[[#This Row],[Prix Total]]-T_sortie[[#This Row],[Paiement]]-T_sortie[[#This Row],[Remise]]</f>
        <v>2000</v>
      </c>
      <c r="O11" s="1" t="s">
        <v>77</v>
      </c>
      <c r="P11" s="1"/>
      <c r="Q11" s="1"/>
    </row>
    <row r="12" spans="1:17">
      <c r="A12" s="12">
        <v>8</v>
      </c>
      <c r="B12" s="12" t="s">
        <v>80</v>
      </c>
      <c r="C12" s="12" t="str">
        <f>VLOOKUP(B12,T_stock[],2,0)</f>
        <v>Chambre du bébé</v>
      </c>
      <c r="D12" s="12" t="str">
        <f>IF(B12&lt;&gt;"",VLOOKUP(B12,T_entrée[],4,FALSE),"")</f>
        <v>Berceaux</v>
      </c>
      <c r="E12" s="12">
        <f>IF(B12&lt;&gt;"",VLOOKUP(B12,T_entrée[],5,FALSE),"")</f>
        <v>0</v>
      </c>
      <c r="F12" s="30">
        <f>IF(B12&lt;&gt;"",VLOOKUP(B12,T_entrée[],7,FALSE),"")</f>
        <v>50000</v>
      </c>
      <c r="G12" s="6">
        <v>2</v>
      </c>
      <c r="H12" s="19">
        <v>42005</v>
      </c>
      <c r="I12" s="30">
        <f>IF(COUNT(F12:G12)=2,F12*G12,0)</f>
        <v>100000</v>
      </c>
      <c r="J12" s="4">
        <f>T_sortie[[#This Row],[Paiement]]-(T_sortie[[#This Row],[Quantité]]*T_sortie[[#This Row],[Prix d''achat]])</f>
        <v>40000</v>
      </c>
      <c r="K12" s="4">
        <f>IF(B12&lt;&gt;"",VLOOKUP(B12,T_entrée[],6,FALSE),"")</f>
        <v>30000</v>
      </c>
      <c r="L12" s="6">
        <v>100000</v>
      </c>
      <c r="M12" s="6"/>
      <c r="N12" s="37">
        <f>T_sortie[[#This Row],[Prix Total]]-T_sortie[[#This Row],[Paiement]]-T_sortie[[#This Row],[Remise]]</f>
        <v>0</v>
      </c>
      <c r="O12" s="1"/>
      <c r="P12" s="1"/>
      <c r="Q12" s="1"/>
    </row>
    <row r="13" spans="1:17">
      <c r="A13" s="9" t="s">
        <v>20</v>
      </c>
      <c r="B13" s="9"/>
      <c r="C13" s="9"/>
      <c r="D13" s="10" t="s">
        <v>22</v>
      </c>
      <c r="E13" s="9">
        <f>SUBTOTAL(103,[Taille])</f>
        <v>8</v>
      </c>
      <c r="F13" s="31" t="s">
        <v>23</v>
      </c>
      <c r="G13" s="9">
        <f>SUBTOTAL(109,[Quantité])</f>
        <v>28</v>
      </c>
      <c r="H13" s="9"/>
      <c r="I13" s="35"/>
      <c r="J13" s="35"/>
      <c r="K13" s="35"/>
      <c r="L13" s="9"/>
      <c r="M13" s="9"/>
      <c r="N13" s="50"/>
      <c r="O13" s="36"/>
      <c r="P13" s="36"/>
      <c r="Q13" s="36"/>
    </row>
  </sheetData>
  <sortState ref="A5:I39">
    <sortCondition ref="B5"/>
  </sortState>
  <mergeCells count="1">
    <mergeCell ref="A2:J2"/>
  </mergeCells>
  <conditionalFormatting sqref="N5:N11 N13">
    <cfRule type="cellIs" dxfId="30" priority="1" operator="greaterThan">
      <formula>0</formula>
    </cfRule>
  </conditionalFormatting>
  <dataValidations disablePrompts="1" count="3">
    <dataValidation type="list" allowBlank="1" showInputMessage="1" showErrorMessage="1" sqref="B5:B12">
      <formula1>OFFSET(Références,MATCH(B5&amp;"*",Références,0)-1,,COUNTIF(Références,B5&amp;"*"))</formula1>
    </dataValidation>
    <dataValidation type="list" allowBlank="1" showInputMessage="1" showErrorMessage="1" sqref="C5:C12">
      <formula1>Familles</formula1>
    </dataValidation>
    <dataValidation type="list" allowBlank="1" showInputMessage="1" showErrorMessage="1" sqref="D5:D7">
      <formula1>désignations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2:F11"/>
  <sheetViews>
    <sheetView workbookViewId="0">
      <selection activeCell="F4" sqref="F4"/>
    </sheetView>
  </sheetViews>
  <sheetFormatPr baseColWidth="10" defaultRowHeight="15"/>
  <cols>
    <col min="1" max="1" width="12.5703125" customWidth="1"/>
    <col min="2" max="2" width="15" customWidth="1"/>
    <col min="3" max="3" width="17.28515625" customWidth="1"/>
    <col min="4" max="4" width="13.5703125" customWidth="1"/>
    <col min="5" max="5" width="8.85546875" customWidth="1"/>
  </cols>
  <sheetData>
    <row r="2" spans="1:6" ht="32.25">
      <c r="A2" s="62" t="s">
        <v>70</v>
      </c>
      <c r="B2" s="62"/>
      <c r="C2" s="62"/>
      <c r="D2" s="62"/>
    </row>
    <row r="4" spans="1:6">
      <c r="B4" s="38" t="s">
        <v>63</v>
      </c>
    </row>
    <row r="5" spans="1:6">
      <c r="A5" s="38" t="s">
        <v>69</v>
      </c>
      <c r="B5" t="s">
        <v>102</v>
      </c>
      <c r="C5" t="s">
        <v>56</v>
      </c>
      <c r="D5" t="s">
        <v>57</v>
      </c>
      <c r="E5" t="s">
        <v>101</v>
      </c>
    </row>
    <row r="6" spans="1:6">
      <c r="A6" s="42">
        <v>42002</v>
      </c>
      <c r="B6" s="40">
        <v>15</v>
      </c>
      <c r="C6" s="40">
        <v>95000</v>
      </c>
      <c r="D6" s="40">
        <v>88000</v>
      </c>
      <c r="E6" s="40">
        <v>18000</v>
      </c>
    </row>
    <row r="7" spans="1:6">
      <c r="A7" s="42">
        <v>42003</v>
      </c>
      <c r="B7" s="40">
        <v>4</v>
      </c>
      <c r="C7" s="40">
        <v>10000</v>
      </c>
      <c r="D7" s="40">
        <v>7000</v>
      </c>
      <c r="E7" s="40">
        <v>-1000</v>
      </c>
    </row>
    <row r="8" spans="1:6">
      <c r="A8" s="42">
        <v>42005</v>
      </c>
      <c r="B8" s="40">
        <v>2</v>
      </c>
      <c r="C8" s="40">
        <v>100000</v>
      </c>
      <c r="D8" s="40">
        <v>100000</v>
      </c>
      <c r="E8" s="40">
        <v>40000</v>
      </c>
    </row>
    <row r="9" spans="1:6">
      <c r="A9" s="42">
        <v>42369</v>
      </c>
      <c r="B9" s="40">
        <v>2</v>
      </c>
      <c r="C9" s="40">
        <v>18000</v>
      </c>
      <c r="D9" s="40">
        <v>16000</v>
      </c>
      <c r="E9" s="40">
        <v>1000</v>
      </c>
    </row>
    <row r="10" spans="1:6">
      <c r="A10" s="42">
        <v>42038</v>
      </c>
      <c r="B10" s="40">
        <v>5</v>
      </c>
      <c r="C10" s="40">
        <v>10000</v>
      </c>
      <c r="D10" s="40">
        <v>9000</v>
      </c>
      <c r="E10" s="40">
        <v>4000</v>
      </c>
    </row>
    <row r="11" spans="1:6">
      <c r="A11" s="39" t="s">
        <v>58</v>
      </c>
      <c r="B11" s="40">
        <v>28</v>
      </c>
      <c r="C11" s="40">
        <v>233000</v>
      </c>
      <c r="D11" s="40">
        <v>220000</v>
      </c>
      <c r="E11" s="40">
        <v>62000</v>
      </c>
    </row>
  </sheetData>
  <mergeCells count="1">
    <mergeCell ref="A2:D2"/>
  </mergeCells>
  <pageMargins left="0.7" right="0.7" top="0.75" bottom="0.75" header="0.3" footer="0.3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0"/>
  <sheetViews>
    <sheetView workbookViewId="0">
      <selection activeCell="M9" sqref="M9"/>
    </sheetView>
  </sheetViews>
  <sheetFormatPr baseColWidth="10" defaultRowHeight="15"/>
  <cols>
    <col min="1" max="1" width="14.42578125" customWidth="1"/>
    <col min="2" max="2" width="15.140625" customWidth="1"/>
    <col min="3" max="3" width="8.85546875" customWidth="1"/>
    <col min="4" max="4" width="10.5703125" bestFit="1" customWidth="1"/>
    <col min="5" max="5" width="14.28515625" customWidth="1"/>
    <col min="6" max="6" width="20.85546875" customWidth="1"/>
    <col min="7" max="7" width="15.140625" customWidth="1"/>
    <col min="8" max="8" width="19.85546875" customWidth="1"/>
    <col min="9" max="10" width="18" customWidth="1"/>
    <col min="12" max="12" width="14.42578125" bestFit="1" customWidth="1"/>
    <col min="13" max="13" width="23.5703125" bestFit="1" customWidth="1"/>
    <col min="14" max="14" width="13.5703125" bestFit="1" customWidth="1"/>
  </cols>
  <sheetData>
    <row r="1" spans="1:12" s="44" customFormat="1" ht="30" customHeight="1">
      <c r="A1" s="48"/>
      <c r="B1" s="49" t="s">
        <v>88</v>
      </c>
      <c r="C1" s="49"/>
      <c r="D1" s="48"/>
      <c r="E1" s="63"/>
      <c r="F1" s="64"/>
      <c r="G1" s="64"/>
      <c r="H1" s="64"/>
      <c r="I1" s="64"/>
      <c r="J1" s="61"/>
      <c r="K1" s="58"/>
    </row>
    <row r="2" spans="1:12" s="46" customFormat="1" hidden="1">
      <c r="A2"/>
      <c r="B2" s="38" t="s">
        <v>63</v>
      </c>
      <c r="C2"/>
      <c r="D2" s="65"/>
      <c r="E2" s="65"/>
      <c r="F2" s="65"/>
      <c r="G2" s="65"/>
      <c r="H2" s="65"/>
      <c r="I2" s="65"/>
      <c r="J2" s="65"/>
      <c r="K2" s="65"/>
    </row>
    <row r="3" spans="1:12" ht="30">
      <c r="A3" s="38" t="s">
        <v>69</v>
      </c>
      <c r="B3" t="s">
        <v>103</v>
      </c>
      <c r="C3" t="s">
        <v>101</v>
      </c>
      <c r="D3" s="56" t="s">
        <v>96</v>
      </c>
      <c r="E3" s="45" t="s">
        <v>95</v>
      </c>
      <c r="F3" s="45" t="s">
        <v>83</v>
      </c>
      <c r="G3" s="45" t="s">
        <v>84</v>
      </c>
      <c r="H3" s="45" t="s">
        <v>85</v>
      </c>
      <c r="I3" s="45" t="s">
        <v>86</v>
      </c>
      <c r="J3" s="45" t="s">
        <v>100</v>
      </c>
      <c r="K3" s="45" t="s">
        <v>87</v>
      </c>
    </row>
    <row r="4" spans="1:12">
      <c r="A4" s="39" t="s">
        <v>91</v>
      </c>
      <c r="B4" s="40"/>
      <c r="C4" s="40"/>
      <c r="D4" s="57" t="str">
        <f t="shared" ref="D4:D8" si="0">IF(B4="","",B4-E4)</f>
        <v/>
      </c>
      <c r="E4" s="47">
        <f>SUM(F4:K4)</f>
        <v>0</v>
      </c>
    </row>
    <row r="5" spans="1:12">
      <c r="A5" s="43" t="s">
        <v>92</v>
      </c>
      <c r="B5" s="40">
        <v>105000</v>
      </c>
      <c r="C5" s="40">
        <v>17000</v>
      </c>
      <c r="D5" s="57">
        <f t="shared" si="0"/>
        <v>103498</v>
      </c>
      <c r="E5" s="47">
        <f t="shared" ref="E5:E8" si="1">SUM(F5:K5)</f>
        <v>1502</v>
      </c>
      <c r="F5">
        <v>1000</v>
      </c>
      <c r="G5">
        <v>160</v>
      </c>
      <c r="H5">
        <v>20</v>
      </c>
      <c r="I5">
        <v>100</v>
      </c>
      <c r="K5">
        <v>222</v>
      </c>
    </row>
    <row r="6" spans="1:12">
      <c r="A6" s="39" t="s">
        <v>93</v>
      </c>
      <c r="B6" s="40"/>
      <c r="C6" s="40"/>
      <c r="D6" s="57" t="str">
        <f t="shared" si="0"/>
        <v/>
      </c>
      <c r="E6" s="47">
        <f t="shared" si="1"/>
        <v>0</v>
      </c>
    </row>
    <row r="7" spans="1:12">
      <c r="A7" s="43" t="s">
        <v>94</v>
      </c>
      <c r="B7" s="40">
        <v>100000</v>
      </c>
      <c r="C7" s="40">
        <v>40000</v>
      </c>
      <c r="D7" s="57">
        <f t="shared" si="0"/>
        <v>100000</v>
      </c>
      <c r="E7" s="47">
        <f t="shared" si="1"/>
        <v>0</v>
      </c>
    </row>
    <row r="8" spans="1:12">
      <c r="A8" s="43" t="s">
        <v>104</v>
      </c>
      <c r="B8" s="40">
        <v>10000</v>
      </c>
      <c r="C8" s="40">
        <v>4000</v>
      </c>
      <c r="D8" s="57">
        <f t="shared" si="0"/>
        <v>-8022</v>
      </c>
      <c r="E8" s="47">
        <f t="shared" si="1"/>
        <v>18022</v>
      </c>
      <c r="F8">
        <v>10000</v>
      </c>
      <c r="G8">
        <v>5000</v>
      </c>
      <c r="I8">
        <v>22</v>
      </c>
      <c r="K8">
        <v>3000</v>
      </c>
    </row>
    <row r="9" spans="1:12">
      <c r="A9" s="43" t="s">
        <v>92</v>
      </c>
      <c r="B9" s="40">
        <v>18000</v>
      </c>
      <c r="C9" s="40">
        <v>1000</v>
      </c>
      <c r="D9" s="66">
        <f>IF(B9="","",B9-E9)</f>
        <v>18000</v>
      </c>
      <c r="E9" s="67">
        <f>SUM(F9:K9)</f>
        <v>0</v>
      </c>
      <c r="F9" s="68"/>
      <c r="G9" s="68"/>
      <c r="H9" s="68"/>
      <c r="I9" s="68"/>
      <c r="J9" s="68"/>
      <c r="K9" s="68"/>
    </row>
    <row r="10" spans="1:12">
      <c r="A10" s="39" t="s">
        <v>58</v>
      </c>
      <c r="B10" s="40">
        <v>233000</v>
      </c>
      <c r="C10" s="40">
        <v>62000</v>
      </c>
      <c r="D10" s="57">
        <f>SUBTOTAL(109,[Résultat])</f>
        <v>213476</v>
      </c>
      <c r="E10" s="47">
        <f>SUBTOTAL(109,[Total
dépenses])</f>
        <v>19524</v>
      </c>
      <c r="F10">
        <f>SUBTOTAL(109,[Location])</f>
        <v>11000</v>
      </c>
      <c r="G10">
        <f>SUBTOTAL(109,[Facture d''électricité])</f>
        <v>5160</v>
      </c>
      <c r="H10">
        <f>SUBTOTAL(109,[Facture d''eau])</f>
        <v>20</v>
      </c>
      <c r="I10">
        <f>SUBTOTAL(109,[Facture téléphone])</f>
        <v>122</v>
      </c>
      <c r="K10">
        <f>SUBTOTAL(109,[Autres dépenses])</f>
        <v>3222</v>
      </c>
    </row>
  </sheetData>
  <pageMargins left="0.7" right="0.7" top="0.75" bottom="0.75" header="0.3" footer="0.3"/>
  <pageSetup paperSize="9" orientation="portrait" r:id="rId2"/>
  <legacy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2:F11"/>
  <sheetViews>
    <sheetView workbookViewId="0">
      <selection activeCell="E9" sqref="E9"/>
    </sheetView>
  </sheetViews>
  <sheetFormatPr baseColWidth="10" defaultRowHeight="15"/>
  <cols>
    <col min="1" max="1" width="12.5703125" customWidth="1"/>
    <col min="2" max="2" width="11.5703125" customWidth="1"/>
    <col min="3" max="3" width="11.140625" customWidth="1"/>
    <col min="4" max="4" width="10.85546875" customWidth="1"/>
    <col min="5" max="5" width="6.42578125" customWidth="1"/>
    <col min="6" max="6" width="5.5703125" customWidth="1"/>
  </cols>
  <sheetData>
    <row r="2" spans="1:6" ht="32.25">
      <c r="A2" s="62" t="s">
        <v>68</v>
      </c>
      <c r="B2" s="62"/>
      <c r="C2" s="62"/>
      <c r="D2" s="62"/>
      <c r="E2" s="62"/>
    </row>
    <row r="4" spans="1:6">
      <c r="B4" s="38" t="s">
        <v>67</v>
      </c>
    </row>
    <row r="5" spans="1:6">
      <c r="A5" s="38" t="s">
        <v>60</v>
      </c>
      <c r="B5" t="s">
        <v>59</v>
      </c>
      <c r="C5" t="s">
        <v>66</v>
      </c>
      <c r="D5" t="s">
        <v>65</v>
      </c>
      <c r="E5" t="s">
        <v>64</v>
      </c>
    </row>
    <row r="6" spans="1:6">
      <c r="A6" s="39" t="s">
        <v>75</v>
      </c>
      <c r="B6" s="40">
        <v>3000</v>
      </c>
      <c r="C6" s="40">
        <v>3000</v>
      </c>
      <c r="D6" s="41">
        <v>42040</v>
      </c>
      <c r="E6" s="40">
        <v>0</v>
      </c>
    </row>
    <row r="7" spans="1:6">
      <c r="A7" s="39" t="s">
        <v>76</v>
      </c>
      <c r="B7" s="40">
        <v>1000</v>
      </c>
      <c r="C7" s="40"/>
      <c r="D7" s="41"/>
      <c r="E7" s="40">
        <v>1000</v>
      </c>
    </row>
    <row r="8" spans="1:6">
      <c r="A8" s="39" t="s">
        <v>77</v>
      </c>
      <c r="B8" s="40">
        <v>2000</v>
      </c>
      <c r="C8" s="40"/>
      <c r="D8" s="41"/>
      <c r="E8" s="40">
        <v>2000</v>
      </c>
    </row>
    <row r="9" spans="1:6">
      <c r="A9" s="39" t="s">
        <v>78</v>
      </c>
      <c r="B9" s="40">
        <v>2000</v>
      </c>
      <c r="C9" s="40"/>
      <c r="D9" s="41"/>
      <c r="E9" s="40">
        <v>2000</v>
      </c>
    </row>
    <row r="10" spans="1:6">
      <c r="A10" s="39" t="s">
        <v>79</v>
      </c>
      <c r="B10" s="40">
        <v>3000</v>
      </c>
      <c r="C10" s="40">
        <v>1000</v>
      </c>
      <c r="D10" s="41">
        <v>42036</v>
      </c>
      <c r="E10" s="40">
        <v>2000</v>
      </c>
    </row>
    <row r="11" spans="1:6">
      <c r="A11" s="39" t="s">
        <v>58</v>
      </c>
      <c r="B11" s="40">
        <v>11000</v>
      </c>
      <c r="C11" s="40">
        <v>4000</v>
      </c>
      <c r="D11" s="41">
        <v>42036</v>
      </c>
      <c r="E11" s="40">
        <v>7000</v>
      </c>
    </row>
  </sheetData>
  <mergeCells count="1">
    <mergeCell ref="A2:E2"/>
  </mergeCells>
  <conditionalFormatting sqref="E1:E5 E13:E1048576">
    <cfRule type="cellIs" dxfId="39" priority="1" operator="greaterThan">
      <formula>0</formula>
    </cfRule>
  </conditionalFormatting>
  <pageMargins left="0.7" right="0.7" top="0.75" bottom="0.75" header="0.3" footer="0.3"/>
  <pageSetup paperSize="9" orientation="portrait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5"/>
  <dimension ref="A1"/>
  <sheetViews>
    <sheetView workbookViewId="0">
      <selection activeCell="B1" sqref="B1"/>
    </sheetView>
  </sheetViews>
  <sheetFormatPr baseColWidth="10"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listes</vt:lpstr>
      <vt:lpstr>Stock</vt:lpstr>
      <vt:lpstr>Entrée</vt:lpstr>
      <vt:lpstr>Sortie</vt:lpstr>
      <vt:lpstr>Récapitulatif journée</vt:lpstr>
      <vt:lpstr>Récapitulatif Mensuel </vt:lpstr>
      <vt:lpstr>Récapitulatif dettes clients</vt:lpstr>
      <vt:lpstr>Mode d'emploi</vt:lpstr>
      <vt:lpstr>base</vt:lpstr>
      <vt:lpstr>fliste</vt:lpstr>
      <vt:lpstr>Références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</dc:creator>
  <cp:lastModifiedBy>GB</cp:lastModifiedBy>
  <dcterms:created xsi:type="dcterms:W3CDTF">2013-03-21T16:38:46Z</dcterms:created>
  <dcterms:modified xsi:type="dcterms:W3CDTF">2015-01-02T22:04:17Z</dcterms:modified>
</cp:coreProperties>
</file>