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aëtan\Desktop\"/>
    </mc:Choice>
  </mc:AlternateContent>
  <bookViews>
    <workbookView xWindow="0" yWindow="0" windowWidth="14730" windowHeight="7230" firstSheet="1" activeTab="1"/>
  </bookViews>
  <sheets>
    <sheet name="Etude préfaisabilité technique" sheetId="1" r:id="rId1"/>
    <sheet name="Dimensionnement et coût" sheetId="2" r:id="rId2"/>
    <sheet name="Compatibilité parc 2" sheetId="5" r:id="rId3"/>
    <sheet name="Compatibilité parc 1" sheetId="4" r:id="rId4"/>
    <sheet name="DIM DC parc 1" sheetId="6" r:id="rId5"/>
    <sheet name="DIM DC parc 2" sheetId="7" r:id="rId6"/>
    <sheet name="DIM AC parc 1" sheetId="8" r:id="rId7"/>
  </sheets>
  <calcPr calcId="152511"/>
</workbook>
</file>

<file path=xl/calcChain.xml><?xml version="1.0" encoding="utf-8"?>
<calcChain xmlns="http://schemas.openxmlformats.org/spreadsheetml/2006/main">
  <c r="M27" i="1" l="1"/>
  <c r="M28" i="1" s="1"/>
  <c r="M29" i="1" s="1"/>
  <c r="E13" i="1"/>
  <c r="J31" i="1"/>
  <c r="F29" i="1"/>
  <c r="J54" i="2"/>
  <c r="C18" i="2"/>
  <c r="E17" i="2"/>
  <c r="E65" i="6" l="1"/>
  <c r="H55" i="6"/>
  <c r="C51" i="6"/>
  <c r="D64" i="6"/>
  <c r="E52" i="6"/>
  <c r="E56" i="6"/>
  <c r="D56" i="6"/>
  <c r="C56" i="6"/>
  <c r="H53" i="6"/>
  <c r="H54" i="6"/>
  <c r="C52" i="6"/>
  <c r="C41" i="6"/>
  <c r="H43" i="6"/>
  <c r="H42" i="6"/>
  <c r="F20" i="7" l="1"/>
  <c r="C25" i="7" s="1"/>
  <c r="F13" i="6"/>
  <c r="F13" i="7"/>
  <c r="C20" i="7"/>
  <c r="C30" i="7"/>
  <c r="C19" i="7"/>
  <c r="F18" i="7" s="1"/>
  <c r="C30" i="6"/>
  <c r="F16" i="6"/>
  <c r="F28" i="6" s="1"/>
  <c r="C19" i="6"/>
  <c r="F17" i="6" s="1"/>
  <c r="C20" i="6"/>
  <c r="F18" i="6"/>
  <c r="B31" i="5"/>
  <c r="B35" i="5" s="1"/>
  <c r="F35" i="5" s="1"/>
  <c r="F24" i="5"/>
  <c r="F30" i="5" s="1"/>
  <c r="D14" i="5"/>
  <c r="B18" i="5" s="1"/>
  <c r="F19" i="5" s="1"/>
  <c r="B31" i="4"/>
  <c r="B35" i="4" s="1"/>
  <c r="F35" i="4" s="1"/>
  <c r="F24" i="4"/>
  <c r="F30" i="4" s="1"/>
  <c r="B24" i="4"/>
  <c r="F25" i="4" s="1"/>
  <c r="D14" i="4"/>
  <c r="B18" i="4" s="1"/>
  <c r="F19" i="4" s="1"/>
  <c r="J78" i="2"/>
  <c r="J79" i="2" s="1"/>
  <c r="E77" i="2"/>
  <c r="J74" i="2"/>
  <c r="H56" i="2"/>
  <c r="L42" i="2"/>
  <c r="G41" i="2"/>
  <c r="G42" i="2" s="1"/>
  <c r="C41" i="2"/>
  <c r="C42" i="2" s="1"/>
  <c r="G39" i="2"/>
  <c r="G40" i="2" s="1"/>
  <c r="L77" i="2" s="1"/>
  <c r="L78" i="2" s="1"/>
  <c r="C39" i="2"/>
  <c r="C40" i="2" s="1"/>
  <c r="L34" i="2"/>
  <c r="H23" i="2"/>
  <c r="H22" i="2"/>
  <c r="H21" i="2"/>
  <c r="E18" i="2"/>
  <c r="C17" i="2"/>
  <c r="I14" i="2"/>
  <c r="G73" i="2" s="1"/>
  <c r="K12" i="2"/>
  <c r="H72" i="1"/>
  <c r="C30" i="1"/>
  <c r="L24" i="1"/>
  <c r="F26" i="1"/>
  <c r="C26" i="1"/>
  <c r="C25" i="1"/>
  <c r="F13" i="1"/>
  <c r="I28" i="1"/>
  <c r="C22" i="1" l="1"/>
  <c r="G12" i="2"/>
  <c r="L33" i="2" s="1"/>
  <c r="F20" i="6"/>
  <c r="C25" i="6" s="1"/>
  <c r="F29" i="6" s="1"/>
  <c r="H33" i="6" s="1"/>
  <c r="C42" i="6"/>
  <c r="E41" i="6" s="1"/>
  <c r="L35" i="2"/>
  <c r="H62" i="2"/>
  <c r="B24" i="5"/>
  <c r="F25" i="5" s="1"/>
  <c r="F39" i="5" s="1"/>
  <c r="C26" i="6"/>
  <c r="F16" i="7"/>
  <c r="F17" i="7"/>
  <c r="H59" i="2"/>
  <c r="H20" i="2"/>
  <c r="L40" i="2" s="1"/>
  <c r="F39" i="4"/>
  <c r="C29" i="1"/>
  <c r="C28" i="1"/>
  <c r="L25" i="1" s="1"/>
  <c r="L27" i="1" l="1"/>
  <c r="L37" i="2"/>
  <c r="L36" i="2"/>
  <c r="L38" i="2"/>
  <c r="L39" i="2" s="1"/>
  <c r="C26" i="7"/>
  <c r="F28" i="7"/>
  <c r="F29" i="7" s="1"/>
  <c r="H33" i="7" s="1"/>
  <c r="L28" i="1" l="1"/>
  <c r="L29" i="1" s="1"/>
  <c r="L45" i="2"/>
  <c r="L41" i="2" s="1"/>
  <c r="L46" i="2" s="1"/>
  <c r="G75" i="2" s="1"/>
  <c r="D45" i="2" l="1"/>
  <c r="L48" i="2"/>
  <c r="D48" i="2" s="1"/>
  <c r="H46" i="2"/>
  <c r="L73" i="2"/>
  <c r="L74" i="2" s="1"/>
  <c r="D46" i="2"/>
  <c r="H45" i="2"/>
  <c r="H48" i="2" l="1"/>
  <c r="L79" i="2"/>
</calcChain>
</file>

<file path=xl/comments1.xml><?xml version="1.0" encoding="utf-8"?>
<comments xmlns="http://schemas.openxmlformats.org/spreadsheetml/2006/main">
  <authors>
    <author>gf</author>
  </authors>
  <commentList>
    <comment ref="B25" authorId="0" shapeId="0">
      <text>
        <r>
          <rPr>
            <b/>
            <sz val="9"/>
            <color rgb="FF000000"/>
            <rFont val="Arial"/>
            <family val="2"/>
          </rPr>
          <t xml:space="preserve">Hauteur solaire minimum (généralement prise le 21 décembre)
</t>
        </r>
      </text>
    </comment>
    <comment ref="B26" authorId="0" shapeId="0">
      <text>
        <r>
          <rPr>
            <b/>
            <sz val="9"/>
            <color rgb="FF000000"/>
            <rFont val="Arial"/>
            <family val="2"/>
          </rPr>
          <t>Excel raisonne en radian</t>
        </r>
      </text>
    </comment>
  </commentList>
</comments>
</file>

<file path=xl/comments2.xml><?xml version="1.0" encoding="utf-8"?>
<comments xmlns="http://schemas.openxmlformats.org/spreadsheetml/2006/main">
  <authors>
    <author>gaetan arnal</author>
    <author>gf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Transformateur non déterminé</t>
        </r>
      </text>
    </comment>
    <comment ref="G11" authorId="1" shapeId="0">
      <text>
        <r>
          <rPr>
            <b/>
            <sz val="9"/>
            <color rgb="FF000000"/>
            <rFont val="Arial"/>
            <family val="2"/>
          </rPr>
          <t>Prix introuvable</t>
        </r>
      </text>
    </comment>
    <comment ref="I11" authorId="1" shapeId="0">
      <text>
        <r>
          <rPr>
            <sz val="9"/>
            <color rgb="FF000000"/>
            <rFont val="Arial"/>
            <family val="2"/>
          </rPr>
          <t>Hypothèse
A titre indicatif</t>
        </r>
      </text>
    </comment>
    <comment ref="K15" authorId="1" shapeId="0">
      <text>
        <r>
          <rPr>
            <sz val="9"/>
            <color rgb="FF000000"/>
            <rFont val="Arial"/>
            <family val="2"/>
          </rPr>
          <t xml:space="preserve">Hypotèse :
GuidENR PHOTOVOLTAÏQUE
</t>
        </r>
      </text>
    </comment>
    <comment ref="G16" authorId="1" shapeId="0">
      <text>
        <r>
          <rPr>
            <b/>
            <sz val="9"/>
            <color rgb="FF000000"/>
            <rFont val="Arial"/>
            <family val="2"/>
          </rPr>
          <t>Hypothèse</t>
        </r>
      </text>
    </comment>
    <comment ref="K17" authorId="1" shapeId="0">
      <text>
        <r>
          <rPr>
            <sz val="9"/>
            <color rgb="FF000000"/>
            <rFont val="Arial"/>
            <family val="2"/>
          </rPr>
          <t xml:space="preserve">Hypotèse :
Calcol
</t>
        </r>
      </text>
    </comment>
    <comment ref="J19" authorId="1" shapeId="0">
      <text>
        <r>
          <rPr>
            <b/>
            <sz val="9"/>
            <color rgb="FF000000"/>
            <rFont val="Arial"/>
            <family val="2"/>
          </rPr>
          <t>Financement de la capacité d'acceuil prévue dans le cadre du S3REnR : Proportionnelle à la puissance installée</t>
        </r>
      </text>
    </comment>
    <comment ref="K20" authorId="1" shapeId="0">
      <text>
        <r>
          <rPr>
            <b/>
            <sz val="9"/>
            <color rgb="FF000000"/>
            <rFont val="Arial"/>
            <family val="2"/>
          </rPr>
          <t>Hypothèse :
&lt;36 kVA 1000€ à 2500€
Au dessus : Compliqué à déterminer</t>
        </r>
      </text>
    </comment>
    <comment ref="K22" authorId="1" shapeId="0">
      <text>
        <r>
          <rPr>
            <sz val="9"/>
            <color rgb="FF000000"/>
            <rFont val="Arial"/>
            <family val="2"/>
          </rPr>
          <t xml:space="preserve">Hypotèse
</t>
        </r>
      </text>
    </comment>
    <comment ref="L39" authorId="1" shapeId="0">
      <text>
        <r>
          <rPr>
            <b/>
            <sz val="9"/>
            <color rgb="FF000000"/>
            <rFont val="Arial"/>
            <family val="2"/>
          </rPr>
          <t>Hypothèse</t>
        </r>
      </text>
    </comment>
    <comment ref="L40" authorId="1" shapeId="0">
      <text>
        <r>
          <rPr>
            <b/>
            <sz val="9"/>
            <color rgb="FF000000"/>
            <rFont val="Arial"/>
            <family val="2"/>
          </rPr>
          <t xml:space="preserve">Hypothèse
</t>
        </r>
      </text>
    </comment>
  </commentList>
</comments>
</file>

<file path=xl/comments3.xml><?xml version="1.0" encoding="utf-8"?>
<comments xmlns="http://schemas.openxmlformats.org/spreadsheetml/2006/main">
  <authors>
    <author>gaetan arnal</author>
  </authors>
  <commentList>
    <comment ref="C29" authorId="0" shapeId="0">
      <text>
        <r>
          <rPr>
            <b/>
            <sz val="9"/>
            <color indexed="81"/>
            <rFont val="Tahoma"/>
            <family val="2"/>
          </rPr>
          <t>On limite les pertes</t>
        </r>
      </text>
    </comment>
  </commentList>
</comments>
</file>

<file path=xl/sharedStrings.xml><?xml version="1.0" encoding="utf-8"?>
<sst xmlns="http://schemas.openxmlformats.org/spreadsheetml/2006/main" count="359" uniqueCount="233">
  <si>
    <t>Adresse :</t>
  </si>
  <si>
    <t>Coordonnées GPS (WGS84)</t>
  </si>
  <si>
    <t>Valeurs à renseigner</t>
  </si>
  <si>
    <t>Entraxe :</t>
  </si>
  <si>
    <t>Dimensions panneaux :</t>
  </si>
  <si>
    <t>Dimensions de l'installation :</t>
  </si>
  <si>
    <t>Angles :</t>
  </si>
  <si>
    <t>/</t>
  </si>
  <si>
    <t>Longueur :</t>
  </si>
  <si>
    <t>Latitude du site :</t>
  </si>
  <si>
    <t>Surface des panneaux/Châssis :</t>
  </si>
  <si>
    <t>a :</t>
  </si>
  <si>
    <t>Largeur :</t>
  </si>
  <si>
    <t>Mode de pose :</t>
  </si>
  <si>
    <t>Paysage</t>
  </si>
  <si>
    <t>Surface des panneaux avec entraxe/ Châssis :</t>
  </si>
  <si>
    <r>
      <t>Inclinaison PV en radian</t>
    </r>
    <r>
      <rPr>
        <b/>
        <sz val="11"/>
        <color rgb="FF000000"/>
        <rFont val="Symbol"/>
        <family val="1"/>
        <charset val="2"/>
      </rPr>
      <t xml:space="preserve"> :</t>
    </r>
  </si>
  <si>
    <t>Épaisseur :</t>
  </si>
  <si>
    <t>Inclinaison PV</t>
  </si>
  <si>
    <t>Nb de panneaux en hauteur</t>
  </si>
  <si>
    <t>Puissance d'un panneau [Wc]</t>
  </si>
  <si>
    <t>Nombre de banc :</t>
  </si>
  <si>
    <t>Portrait</t>
  </si>
  <si>
    <t>d</t>
  </si>
  <si>
    <t>Nb de panneaux en largeur</t>
  </si>
  <si>
    <t>Surface du site [m²] :</t>
  </si>
  <si>
    <t>Nombre de panneaux :</t>
  </si>
  <si>
    <t>nb de panneaux/ châssis</t>
  </si>
  <si>
    <r>
      <t>Puissance</t>
    </r>
    <r>
      <rPr>
        <b/>
        <vertAlign val="subscript"/>
        <sz val="11"/>
        <color rgb="FF000000"/>
        <rFont val="Calibri"/>
        <family val="2"/>
      </rPr>
      <t>max</t>
    </r>
    <r>
      <rPr>
        <b/>
        <sz val="11"/>
        <color rgb="FF000000"/>
        <rFont val="Calibri"/>
        <family val="2"/>
      </rPr>
      <t xml:space="preserve"> pouvant être installée:</t>
    </r>
  </si>
  <si>
    <t>H</t>
  </si>
  <si>
    <t>Parc 1</t>
  </si>
  <si>
    <t>Parc 2</t>
  </si>
  <si>
    <t>Parc 1 + 2</t>
  </si>
  <si>
    <t>Caractéristique onduleur 1</t>
  </si>
  <si>
    <t>Caractéristique onduleur 2</t>
  </si>
  <si>
    <t>Capacité réseau [V]</t>
  </si>
  <si>
    <t>Caractéristique panneaux photovoltaïques</t>
  </si>
  <si>
    <t>Structure Krinner</t>
  </si>
  <si>
    <t>Type onduleur</t>
  </si>
  <si>
    <t>Siemens - SINVERT PVM20</t>
  </si>
  <si>
    <t>Type transformateur</t>
  </si>
  <si>
    <t>Type panneaux</t>
  </si>
  <si>
    <t>Gamme Bisool premium polycristallin           BMU 250 Wc</t>
  </si>
  <si>
    <t>Type structure</t>
  </si>
  <si>
    <t>PV Krinner Flex III</t>
  </si>
  <si>
    <t>Durée de vie</t>
  </si>
  <si>
    <t>10 ans</t>
  </si>
  <si>
    <t>? ans</t>
  </si>
  <si>
    <t>Garantie produit</t>
  </si>
  <si>
    <t>?</t>
  </si>
  <si>
    <t>Prix unitaire</t>
  </si>
  <si>
    <t>Nombre</t>
  </si>
  <si>
    <t>Total</t>
  </si>
  <si>
    <t>Nombre panneaux parc 1</t>
  </si>
  <si>
    <t>Tension d'entrée max [V]</t>
  </si>
  <si>
    <t>Puissance apparente [VA]</t>
  </si>
  <si>
    <t>Nombre panneaux parc 2</t>
  </si>
  <si>
    <t>Référence</t>
  </si>
  <si>
    <t>KKSF PV 60 S x 2350/3450</t>
  </si>
  <si>
    <t>Tension d'entrée nominale [V]</t>
  </si>
  <si>
    <t>Tension de raccordement  [V]</t>
  </si>
  <si>
    <t>Câbles, boîtiers et protections électriques</t>
  </si>
  <si>
    <t>Courant d'entrée maximal [A]</t>
  </si>
  <si>
    <t>Rendement [%]</t>
  </si>
  <si>
    <t>Puissance unitaire nominale [Wc]</t>
  </si>
  <si>
    <t>€/Wc</t>
  </si>
  <si>
    <t>Rendement [%}</t>
  </si>
  <si>
    <t>Voc [V]</t>
  </si>
  <si>
    <t>Maintenance</t>
  </si>
  <si>
    <t>Puissance apparente max</t>
  </si>
  <si>
    <t>Icc [A]</t>
  </si>
  <si>
    <t>%</t>
  </si>
  <si>
    <t>Puissance apparente nominale</t>
  </si>
  <si>
    <t>Raccordement</t>
  </si>
  <si>
    <t>Quote-part (€/ kW de puissance installée)</t>
  </si>
  <si>
    <t>Puissance panneaux [kWc]</t>
  </si>
  <si>
    <t>Travaux éventuels</t>
  </si>
  <si>
    <t>Environnement</t>
  </si>
  <si>
    <t>Branches en parallèle</t>
  </si>
  <si>
    <t>Parc 2 / Puissance apparente onduleur [VA]:</t>
  </si>
  <si>
    <t>Modules en série</t>
  </si>
  <si>
    <t>Étude des milieux humides</t>
  </si>
  <si>
    <t>Modules par banc</t>
  </si>
  <si>
    <t>Pvgis</t>
  </si>
  <si>
    <t>Archelios</t>
  </si>
  <si>
    <t>Coût</t>
  </si>
  <si>
    <t>Transformateurs</t>
  </si>
  <si>
    <t>Potentiel année kWh/an</t>
  </si>
  <si>
    <t>Onduleurs</t>
  </si>
  <si>
    <t>Panneaux photovoltaïques</t>
  </si>
  <si>
    <t>Tarif de rachat</t>
  </si>
  <si>
    <t>Structures</t>
  </si>
  <si>
    <t>Tarif de rachat (Appel d'offre)</t>
  </si>
  <si>
    <t>Câbles</t>
  </si>
  <si>
    <t>Boîtiers électriques</t>
  </si>
  <si>
    <t>Revenu c€/an :</t>
  </si>
  <si>
    <t>Protections électriques</t>
  </si>
  <si>
    <t>Revenu €/an :</t>
  </si>
  <si>
    <t>Raccordement au réseau</t>
  </si>
  <si>
    <t>Maintenances</t>
  </si>
  <si>
    <t>Études complémentaires</t>
  </si>
  <si>
    <t>Hypothèse réduction</t>
  </si>
  <si>
    <t>Temps de retour sur investissement</t>
  </si>
  <si>
    <t>Total + maintenance</t>
  </si>
  <si>
    <t>Total avec réduction</t>
  </si>
  <si>
    <t>Gain environnemental</t>
  </si>
  <si>
    <t>Production [kWh]</t>
  </si>
  <si>
    <t>Équivalent foyer moyen sans chauffage ni eau chaude) kWh/an</t>
  </si>
  <si>
    <t>Émission de CO2 évitée (Moyenne en France de 0,089 kg/kWh)</t>
  </si>
  <si>
    <t>Matières hautement radioactives à longue vie évités (moyenne de 0,0034 g/kWh)</t>
  </si>
  <si>
    <t>Comparaison à titre indicatif</t>
  </si>
  <si>
    <t>Florine MESMIN</t>
  </si>
  <si>
    <t>Gaëtan FOUGERAY</t>
  </si>
  <si>
    <t>Si Florine avait 17064 PV</t>
  </si>
  <si>
    <t>Si Gaëtan avait 11720 PV</t>
  </si>
  <si>
    <t>Nb de panneaux</t>
  </si>
  <si>
    <t>Puissance</t>
  </si>
  <si>
    <t>2,93 MWc</t>
  </si>
  <si>
    <t>4,266 MWc</t>
  </si>
  <si>
    <t>Prix</t>
  </si>
  <si>
    <t>Prix de vente</t>
  </si>
  <si>
    <t>7,17 c€</t>
  </si>
  <si>
    <t>6,62 c€</t>
  </si>
  <si>
    <t>Si Florine avait 6,62 de tarif de rachat</t>
  </si>
  <si>
    <t>Si Gaëtan avait 7,17 de tarif de rachat</t>
  </si>
  <si>
    <t>Potentiel kWh/an</t>
  </si>
  <si>
    <t>Temps de retour si chaucun possédait le tarif de rachat de l'autre</t>
  </si>
  <si>
    <t>TR :</t>
  </si>
  <si>
    <t xml:space="preserve">Florine prenait-elle en compte le coût des cables, onduleurs, raccordements au réseau, maintenances, études d'impact, boitiers et protections électriques ?                                                                                                                                                                                        Ces éléments ne sont pas mentionnés dans son rapport de stage        </t>
  </si>
  <si>
    <t>Compatibilité onduleur / String "PARC 1"</t>
  </si>
  <si>
    <t>Valeurs calculés théoriquement</t>
  </si>
  <si>
    <t>Informatif</t>
  </si>
  <si>
    <t>Caractéristique du module Bisool BMU 250 Wc</t>
  </si>
  <si>
    <r>
      <t>V</t>
    </r>
    <r>
      <rPr>
        <vertAlign val="subscript"/>
        <sz val="11"/>
        <color rgb="FF000000"/>
        <rFont val="Calibri"/>
        <family val="2"/>
      </rPr>
      <t xml:space="preserve">OC </t>
    </r>
    <r>
      <rPr>
        <sz val="11"/>
        <color rgb="FF000000"/>
        <rFont val="Calibri"/>
        <family val="2"/>
      </rPr>
      <t>[V]</t>
    </r>
  </si>
  <si>
    <r>
      <t>V</t>
    </r>
    <r>
      <rPr>
        <vertAlign val="subscript"/>
        <sz val="11"/>
        <color rgb="FF000000"/>
        <rFont val="Calibri"/>
        <family val="2"/>
      </rPr>
      <t xml:space="preserve">MPP </t>
    </r>
    <r>
      <rPr>
        <sz val="11"/>
        <color rgb="FF000000"/>
        <rFont val="Calibri"/>
        <family val="2"/>
      </rPr>
      <t>[V]</t>
    </r>
  </si>
  <si>
    <r>
      <t>I</t>
    </r>
    <r>
      <rPr>
        <vertAlign val="subscript"/>
        <sz val="11"/>
        <color rgb="FF000000"/>
        <rFont val="Calibri"/>
        <family val="2"/>
      </rPr>
      <t xml:space="preserve">MPP </t>
    </r>
    <r>
      <rPr>
        <sz val="11"/>
        <color rgb="FF000000"/>
        <rFont val="Calibri"/>
        <family val="2"/>
      </rPr>
      <t>[A]</t>
    </r>
  </si>
  <si>
    <r>
      <rPr>
        <sz val="11"/>
        <color rgb="FF000000"/>
        <rFont val="Symbol"/>
        <family val="1"/>
        <charset val="2"/>
      </rPr>
      <t>m</t>
    </r>
    <r>
      <rPr>
        <sz val="11"/>
        <color rgb="FF000000"/>
        <rFont val="Calibri"/>
        <family val="2"/>
      </rPr>
      <t>V</t>
    </r>
    <r>
      <rPr>
        <vertAlign val="subscript"/>
        <sz val="11"/>
        <color rgb="FF000000"/>
        <rFont val="Calibri"/>
        <family val="2"/>
      </rPr>
      <t xml:space="preserve">OC </t>
    </r>
    <r>
      <rPr>
        <sz val="11"/>
        <color rgb="FF000000"/>
        <rFont val="Calibri"/>
        <family val="2"/>
      </rPr>
      <t>[V/°C]</t>
    </r>
  </si>
  <si>
    <t>Vérification de la tension maximale admise par l'onduleur</t>
  </si>
  <si>
    <r>
      <t>V</t>
    </r>
    <r>
      <rPr>
        <vertAlign val="subscript"/>
        <sz val="11"/>
        <color rgb="FF000000"/>
        <rFont val="Calibri"/>
        <family val="2"/>
      </rPr>
      <t>MAX</t>
    </r>
  </si>
  <si>
    <t>Nombre de modules en série :</t>
  </si>
  <si>
    <t>Compatibilité  :</t>
  </si>
  <si>
    <t>Tension DC max de l'onduleur</t>
  </si>
  <si>
    <r>
      <t>V</t>
    </r>
    <r>
      <rPr>
        <vertAlign val="subscript"/>
        <sz val="11"/>
        <color rgb="FF000000"/>
        <rFont val="Calibri"/>
        <family val="2"/>
      </rPr>
      <t>MPP</t>
    </r>
  </si>
  <si>
    <r>
      <t>V</t>
    </r>
    <r>
      <rPr>
        <vertAlign val="subscript"/>
        <sz val="11"/>
        <color rgb="FF000000"/>
        <rFont val="Calibri"/>
        <family val="2"/>
      </rPr>
      <t xml:space="preserve">MPP min </t>
    </r>
    <r>
      <rPr>
        <sz val="11"/>
        <color rgb="FF000000"/>
        <rFont val="Calibri"/>
        <family val="2"/>
      </rPr>
      <t>onduleur</t>
    </r>
  </si>
  <si>
    <t>Vérification du courant maximal admis par l'onduleur</t>
  </si>
  <si>
    <r>
      <t xml:space="preserve">I </t>
    </r>
    <r>
      <rPr>
        <vertAlign val="subscript"/>
        <sz val="11"/>
        <color rgb="FF000000"/>
        <rFont val="Calibri"/>
        <family val="2"/>
      </rPr>
      <t>MPP PV</t>
    </r>
  </si>
  <si>
    <t>Nombre de branche :</t>
  </si>
  <si>
    <r>
      <t>I</t>
    </r>
    <r>
      <rPr>
        <vertAlign val="subscript"/>
        <sz val="11"/>
        <color rgb="FF000000"/>
        <rFont val="Calibri"/>
        <family val="2"/>
      </rPr>
      <t xml:space="preserve"> DC MAX</t>
    </r>
  </si>
  <si>
    <t>Nombre d'onduleur :</t>
  </si>
  <si>
    <r>
      <t>I</t>
    </r>
    <r>
      <rPr>
        <vertAlign val="subscript"/>
        <sz val="11"/>
        <color rgb="FF000000"/>
        <rFont val="Calibri"/>
        <family val="2"/>
      </rPr>
      <t xml:space="preserve"> MPP</t>
    </r>
  </si>
  <si>
    <t>Archelios onduleur</t>
  </si>
  <si>
    <t>Pvsyst onduleur</t>
  </si>
  <si>
    <t>Compatibilité onduleur / String "PARC 2"</t>
  </si>
  <si>
    <t>A / Securité contre les surintensités en cas d'incident ou de court-circuit</t>
  </si>
  <si>
    <t xml:space="preserve">Rôle du fusible </t>
  </si>
  <si>
    <t>n : nombre de string</t>
  </si>
  <si>
    <t>Isc, stc : courant de court circuit a travers le string aux conditions STC</t>
  </si>
  <si>
    <t>B / Section des câbles et pertes ohmiques sur la partie DC</t>
  </si>
  <si>
    <t>Chûte de tension          &lt; 2%</t>
  </si>
  <si>
    <t>Module</t>
  </si>
  <si>
    <t>Puissance [Wc]</t>
  </si>
  <si>
    <r>
      <t>I</t>
    </r>
    <r>
      <rPr>
        <vertAlign val="subscript"/>
        <sz val="11"/>
        <color theme="1"/>
        <rFont val="Arial"/>
        <family val="2"/>
      </rPr>
      <t>MPP</t>
    </r>
    <r>
      <rPr>
        <sz val="11"/>
        <color theme="1"/>
        <rFont val="Arial"/>
        <family val="2"/>
      </rPr>
      <t xml:space="preserve"> [A]</t>
    </r>
  </si>
  <si>
    <r>
      <t>U</t>
    </r>
    <r>
      <rPr>
        <vertAlign val="subscript"/>
        <sz val="11"/>
        <color theme="1"/>
        <rFont val="Arial"/>
        <family val="2"/>
      </rPr>
      <t>MPP</t>
    </r>
    <r>
      <rPr>
        <sz val="11"/>
        <color theme="1"/>
        <rFont val="Arial"/>
        <family val="2"/>
      </rPr>
      <t xml:space="preserve"> [V]</t>
    </r>
  </si>
  <si>
    <r>
      <t>V</t>
    </r>
    <r>
      <rPr>
        <vertAlign val="subscript"/>
        <sz val="11"/>
        <color theme="1"/>
        <rFont val="Arial"/>
        <family val="2"/>
      </rPr>
      <t>CO</t>
    </r>
    <r>
      <rPr>
        <sz val="11"/>
        <color theme="1"/>
        <rFont val="Arial"/>
        <family val="2"/>
      </rPr>
      <t xml:space="preserve"> [V]</t>
    </r>
  </si>
  <si>
    <r>
      <t>I</t>
    </r>
    <r>
      <rPr>
        <vertAlign val="subscript"/>
        <sz val="11"/>
        <color theme="1"/>
        <rFont val="Arial"/>
        <family val="2"/>
      </rPr>
      <t>CC</t>
    </r>
    <r>
      <rPr>
        <sz val="11"/>
        <color theme="1"/>
        <rFont val="Arial"/>
        <family val="2"/>
      </rPr>
      <t xml:space="preserve"> [A]</t>
    </r>
  </si>
  <si>
    <t>Nb de modules en série</t>
  </si>
  <si>
    <r>
      <t>V</t>
    </r>
    <r>
      <rPr>
        <b/>
        <vertAlign val="subscript"/>
        <sz val="11"/>
        <color theme="1"/>
        <rFont val="Arial"/>
        <family val="2"/>
      </rPr>
      <t xml:space="preserve"> NOMI TOTALE</t>
    </r>
  </si>
  <si>
    <r>
      <t xml:space="preserve">Isolation </t>
    </r>
    <r>
      <rPr>
        <b/>
        <vertAlign val="subscript"/>
        <sz val="11"/>
        <color theme="1"/>
        <rFont val="Arial"/>
        <family val="2"/>
      </rPr>
      <t>CC</t>
    </r>
  </si>
  <si>
    <r>
      <t>V</t>
    </r>
    <r>
      <rPr>
        <b/>
        <vertAlign val="subscript"/>
        <sz val="11"/>
        <color theme="1"/>
        <rFont val="Arial"/>
        <family val="2"/>
      </rPr>
      <t xml:space="preserve"> NOMI TOTALE OC</t>
    </r>
  </si>
  <si>
    <r>
      <t>I</t>
    </r>
    <r>
      <rPr>
        <vertAlign val="subscript"/>
        <sz val="11"/>
        <color theme="1"/>
        <rFont val="Arial"/>
        <family val="2"/>
      </rPr>
      <t xml:space="preserve">MAX, ARRAY </t>
    </r>
  </si>
  <si>
    <t>Nb de branches</t>
  </si>
  <si>
    <r>
      <t>Ptot</t>
    </r>
    <r>
      <rPr>
        <vertAlign val="subscript"/>
        <sz val="11"/>
        <color theme="1"/>
        <rFont val="Arial"/>
        <family val="2"/>
      </rPr>
      <t>CÂBLES</t>
    </r>
  </si>
  <si>
    <t>Distance de câbles jusqu'à l'onduleur [m]</t>
  </si>
  <si>
    <t>Limite de pertes</t>
  </si>
  <si>
    <t xml:space="preserve"> Chute de tension dans le câble [V]</t>
  </si>
  <si>
    <t xml:space="preserve">Section du câble : </t>
  </si>
  <si>
    <r>
      <t>Resistivité du câble [</t>
    </r>
    <r>
      <rPr>
        <sz val="11"/>
        <color theme="1"/>
        <rFont val="Calibri"/>
        <family val="2"/>
      </rPr>
      <t>Ω</t>
    </r>
    <r>
      <rPr>
        <sz val="11"/>
        <color theme="1"/>
        <rFont val="Arial"/>
        <family val="2"/>
      </rPr>
      <t>.m]</t>
    </r>
  </si>
  <si>
    <t>NB onduleurs</t>
  </si>
  <si>
    <r>
      <rPr>
        <b/>
        <u/>
        <sz val="11"/>
        <color theme="1"/>
        <rFont val="Arial"/>
        <family val="2"/>
      </rPr>
      <t>Quelques valeurs standarts des sections sont</t>
    </r>
    <r>
      <rPr>
        <b/>
        <sz val="11"/>
        <color theme="1"/>
        <rFont val="Arial"/>
        <family val="2"/>
      </rPr>
      <t xml:space="preserve"> : 1,5 mm², 2,5 mm², 4 mm², 6 mm², 10 mm², 16 mm², 25 mm², 35 mm², 50 mm², 70 mm², 95 mm², 120 mm² …</t>
    </r>
  </si>
  <si>
    <t>S [mm²]</t>
  </si>
  <si>
    <t>Limite de pertes [%]</t>
  </si>
  <si>
    <t>Section du câble [mm²]</t>
  </si>
  <si>
    <r>
      <t>Ptot</t>
    </r>
    <r>
      <rPr>
        <vertAlign val="subscript"/>
        <sz val="11"/>
        <color theme="1"/>
        <rFont val="Arial"/>
        <family val="2"/>
      </rPr>
      <t xml:space="preserve">CÂBLE </t>
    </r>
    <r>
      <rPr>
        <sz val="11"/>
        <color theme="1"/>
        <rFont val="Arial"/>
        <family val="2"/>
      </rPr>
      <t>[W]</t>
    </r>
  </si>
  <si>
    <r>
      <t>I</t>
    </r>
    <r>
      <rPr>
        <vertAlign val="subscript"/>
        <sz val="11"/>
        <color theme="1"/>
        <rFont val="Arial"/>
        <family val="2"/>
      </rPr>
      <t xml:space="preserve">MAX, ARRAY </t>
    </r>
    <r>
      <rPr>
        <sz val="11"/>
        <color theme="1"/>
        <rFont val="Arial"/>
        <family val="2"/>
      </rPr>
      <t>[A]</t>
    </r>
  </si>
  <si>
    <t>Norme IEC 60364-7-712</t>
  </si>
  <si>
    <t>Nb branche / onduleur</t>
  </si>
  <si>
    <t>DIMENSIONNEMENT DES CABLES AC / PARC 1</t>
  </si>
  <si>
    <r>
      <t>A / Calcul du courant d'emploi I</t>
    </r>
    <r>
      <rPr>
        <b/>
        <vertAlign val="subscript"/>
        <sz val="13"/>
        <color theme="1"/>
        <rFont val="Arial"/>
        <family val="2"/>
      </rPr>
      <t>B</t>
    </r>
  </si>
  <si>
    <t>DIMENSIONNEMENT partie DC / PARC 1</t>
  </si>
  <si>
    <t>DIMENSIONNEMENT partie DC / PARC 2</t>
  </si>
  <si>
    <t>C / Fusible CC</t>
  </si>
  <si>
    <r>
      <t>I</t>
    </r>
    <r>
      <rPr>
        <vertAlign val="subscript"/>
        <sz val="11"/>
        <color theme="1"/>
        <rFont val="Arial"/>
        <family val="2"/>
      </rPr>
      <t>RM</t>
    </r>
    <r>
      <rPr>
        <sz val="11"/>
        <color theme="1"/>
        <rFont val="Arial"/>
        <family val="2"/>
      </rPr>
      <t xml:space="preserve"> [A]</t>
    </r>
  </si>
  <si>
    <t>Afin de protéger les modules contre les courants retours, il existe plusieurs solutions :</t>
  </si>
  <si>
    <t xml:space="preserve"> - Installer des diodes au niveau de chaque chaînes afin d’empêcher le courant de circuler en sens inverse : Ces diodes sont appelées des diodes de découplage. Ce procédé coûte cher et induit des chutes de tension singulières au niveau des diodes.</t>
  </si>
  <si>
    <t>http://photovoltaique.guidenr.fr/cours-photovoltaique-2011/V_presence-fusible.php</t>
  </si>
  <si>
    <t xml:space="preserve">Présence fusible </t>
  </si>
  <si>
    <r>
      <t>Courant d'emploi I</t>
    </r>
    <r>
      <rPr>
        <vertAlign val="subscript"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 xml:space="preserve"> [A]</t>
    </r>
  </si>
  <si>
    <r>
      <t>N</t>
    </r>
    <r>
      <rPr>
        <vertAlign val="subscript"/>
        <sz val="11"/>
        <color theme="1"/>
        <rFont val="Arial"/>
        <family val="2"/>
      </rPr>
      <t>K</t>
    </r>
  </si>
  <si>
    <r>
      <t>Densité de foudroiement [N</t>
    </r>
    <r>
      <rPr>
        <vertAlign val="subscript"/>
        <sz val="11"/>
        <color theme="1"/>
        <rFont val="Arial"/>
        <family val="2"/>
      </rPr>
      <t>G</t>
    </r>
    <r>
      <rPr>
        <sz val="11"/>
        <color theme="1"/>
        <rFont val="Arial"/>
        <family val="2"/>
      </rPr>
      <t>]</t>
    </r>
  </si>
  <si>
    <t>Côté CC, la présence de parafoudre se justifie grâce à trois paramètres :</t>
  </si>
  <si>
    <t xml:space="preserve"> - La densité de foudroiement Ng</t>
  </si>
  <si>
    <t xml:space="preserve">Locaux d'habitation individuelle </t>
  </si>
  <si>
    <t xml:space="preserve">Centrale de production au sol </t>
  </si>
  <si>
    <t>Bâtiment tertiaires, industriels ou agricoles</t>
  </si>
  <si>
    <t>Parafoudre(s) obligatoire côté CC</t>
  </si>
  <si>
    <t>Parafoudre(s) non obligatoire côté CC</t>
  </si>
  <si>
    <r>
      <t>L</t>
    </r>
    <r>
      <rPr>
        <vertAlign val="subscript"/>
        <sz val="11"/>
        <color theme="1"/>
        <rFont val="Arial"/>
        <family val="2"/>
      </rPr>
      <t>CRITIQUE</t>
    </r>
    <r>
      <rPr>
        <sz val="11"/>
        <color theme="1"/>
        <rFont val="Arial"/>
        <family val="2"/>
      </rPr>
      <t xml:space="preserve"> (m)</t>
    </r>
  </si>
  <si>
    <r>
      <t xml:space="preserve">L </t>
    </r>
    <r>
      <rPr>
        <sz val="11"/>
        <color theme="1"/>
        <rFont val="Calibri"/>
        <family val="2"/>
      </rPr>
      <t>≥</t>
    </r>
    <r>
      <rPr>
        <sz val="11"/>
        <color theme="1"/>
        <rFont val="Arial"/>
        <family val="2"/>
      </rPr>
      <t xml:space="preserve"> L</t>
    </r>
    <r>
      <rPr>
        <vertAlign val="subscript"/>
        <sz val="11"/>
        <color theme="1"/>
        <rFont val="Arial"/>
        <family val="2"/>
      </rPr>
      <t>CRITIQUE</t>
    </r>
    <r>
      <rPr>
        <sz val="11"/>
        <color theme="1"/>
        <rFont val="Arial"/>
        <family val="2"/>
      </rPr>
      <t xml:space="preserve"> (m)</t>
    </r>
  </si>
  <si>
    <r>
      <t xml:space="preserve">L </t>
    </r>
    <r>
      <rPr>
        <sz val="11"/>
        <color theme="1"/>
        <rFont val="Calibri"/>
        <family val="2"/>
      </rPr>
      <t>≤</t>
    </r>
    <r>
      <rPr>
        <sz val="11"/>
        <color theme="1"/>
        <rFont val="Arial"/>
        <family val="2"/>
      </rPr>
      <t xml:space="preserve"> L</t>
    </r>
    <r>
      <rPr>
        <vertAlign val="subscript"/>
        <sz val="11"/>
        <color theme="1"/>
        <rFont val="Arial"/>
        <family val="2"/>
      </rPr>
      <t>CRITIQUE</t>
    </r>
    <r>
      <rPr>
        <sz val="11"/>
        <color theme="1"/>
        <rFont val="Arial"/>
        <family val="2"/>
      </rPr>
      <t xml:space="preserve"> (m)</t>
    </r>
  </si>
  <si>
    <r>
      <rPr>
        <b/>
        <u/>
        <sz val="11"/>
        <color rgb="FF000000"/>
        <rFont val="Calibri"/>
        <family val="2"/>
      </rPr>
      <t>Besoin de parafoudre</t>
    </r>
    <r>
      <rPr>
        <b/>
        <sz val="11"/>
        <color rgb="FF000000"/>
        <rFont val="Calibri"/>
        <family val="2"/>
      </rPr>
      <t xml:space="preserve"> : </t>
    </r>
  </si>
  <si>
    <r>
      <t>Longueur de câbles L</t>
    </r>
    <r>
      <rPr>
        <vertAlign val="subscript"/>
        <sz val="11"/>
        <color theme="1"/>
        <rFont val="Arial"/>
        <family val="2"/>
      </rPr>
      <t>tot</t>
    </r>
  </si>
  <si>
    <r>
      <t>Le courant assigné d’emploi des dispositifs de coupure et de sectionnement doit être au moins égale à 1.25×I</t>
    </r>
    <r>
      <rPr>
        <b/>
        <vertAlign val="subscript"/>
        <sz val="11"/>
        <rFont val="Arial"/>
        <family val="2"/>
      </rPr>
      <t>CC</t>
    </r>
    <r>
      <rPr>
        <b/>
        <sz val="9"/>
        <rFont val="Arial"/>
        <family val="2"/>
      </rPr>
      <t>. </t>
    </r>
  </si>
  <si>
    <t xml:space="preserve">Calibrage en courant : </t>
  </si>
  <si>
    <t>D / Parafoudre CC</t>
  </si>
  <si>
    <t>E / Coupure et sectionnement CC</t>
  </si>
  <si>
    <t>Tension assignée d'emploi Ue</t>
  </si>
  <si>
    <r>
      <t>I</t>
    </r>
    <r>
      <rPr>
        <vertAlign val="subscript"/>
        <sz val="9"/>
        <rFont val="Arial"/>
        <family val="2"/>
      </rPr>
      <t>B</t>
    </r>
    <r>
      <rPr>
        <sz val="9"/>
        <rFont val="Arial"/>
        <family val="2"/>
      </rPr>
      <t> : Le courant maximal d’emploi dans les conducteurs</t>
    </r>
  </si>
  <si>
    <r>
      <t>I</t>
    </r>
    <r>
      <rPr>
        <vertAlign val="subscript"/>
        <sz val="9"/>
        <rFont val="Arial"/>
        <family val="2"/>
      </rPr>
      <t>N</t>
    </r>
    <r>
      <rPr>
        <sz val="9"/>
        <rFont val="Arial"/>
        <family val="2"/>
      </rPr>
      <t xml:space="preserve"> : Le courant assigné du disjoncteur ou courant nominal du disjoncteur</t>
    </r>
  </si>
  <si>
    <r>
      <t>I</t>
    </r>
    <r>
      <rPr>
        <vertAlign val="subscript"/>
        <sz val="9"/>
        <rFont val="Arial"/>
        <family val="2"/>
      </rPr>
      <t>Z</t>
    </r>
    <r>
      <rPr>
        <sz val="9"/>
        <rFont val="Arial"/>
        <family val="2"/>
      </rPr>
      <t xml:space="preserve"> : Le courant maximal admissible dans les conducteurs</t>
    </r>
  </si>
  <si>
    <t xml:space="preserve">La tension assignée d’emploi Ue des dispositifs de coupure et de sectionnement doit être supérieure ou égale à la tension à vide UCO du circuit majorée par un coefficient multiplicateur k prenant en compte l’effet de la température  </t>
  </si>
  <si>
    <t>Coefficient multiplicateur k (-7°C)</t>
  </si>
  <si>
    <t>Lignes électriques à proximités [V]</t>
  </si>
  <si>
    <t xml:space="preserve">Déterminé à l'aide du logiciel Pvsyst / Archelios </t>
  </si>
  <si>
    <t xml:space="preserve">Valeur puremment théorique, ne tient pas en compte les contraintes environnementales, à titre indicatif </t>
  </si>
  <si>
    <t xml:space="preserve">Temps de retour sur investissement avec réduction </t>
  </si>
  <si>
    <t>Parc 1 / Puissance apparente onduleur [VA] :</t>
  </si>
  <si>
    <t xml:space="preserve">Transformateur élévateur </t>
  </si>
  <si>
    <r>
      <t xml:space="preserve">Etude photovoltaïque / Installation au sol </t>
    </r>
    <r>
      <rPr>
        <b/>
        <i/>
        <u/>
        <sz val="30"/>
        <color rgb="FFFF0000"/>
        <rFont val="Calibri"/>
        <family val="2"/>
      </rPr>
      <t>Calculs théoriques</t>
    </r>
  </si>
  <si>
    <t>/!!!!\</t>
  </si>
  <si>
    <t xml:space="preserve">Prise en compte des conditions environnementales / Faisabilité technique et économique </t>
  </si>
  <si>
    <t>INCONNUE</t>
  </si>
  <si>
    <t>Étude d'impacts</t>
  </si>
  <si>
    <t>b (Distance entre chaque panneau) 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</si>
</sst>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40C]General"/>
    <numFmt numFmtId="165" formatCode="#,##0&quot; €&quot;"/>
    <numFmt numFmtId="166" formatCode="[$-40C]#,##0"/>
    <numFmt numFmtId="167" formatCode="0.000"/>
    <numFmt numFmtId="168" formatCode="0.0"/>
    <numFmt numFmtId="169" formatCode="#,##0.00&quot; €&quot;"/>
    <numFmt numFmtId="170" formatCode="[$-40C]0.00"/>
    <numFmt numFmtId="171" formatCode="#,##0.00&quot; &quot;[$€-40C];[Red]&quot;-&quot;#,##0.00&quot; &quot;[$€-40C]"/>
    <numFmt numFmtId="172" formatCode="_-* #,##0\ _€_-;\-* #,##0\ _€_-;_-* &quot;-&quot;??\ _€_-;_-@_-"/>
    <numFmt numFmtId="173" formatCode="#,##0\ &quot;€&quot;"/>
    <numFmt numFmtId="174" formatCode="#,##0.00\ &quot;€&quot;"/>
    <numFmt numFmtId="175" formatCode="_-* #,##0.00\ [$€-40C]_-;\-* #,##0.00\ [$€-40C]_-;_-* &quot;-&quot;??\ [$€-40C]_-;_-@_-"/>
  </numFmts>
  <fonts count="6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30"/>
      <color rgb="FFFF0000"/>
      <name val="Calibri"/>
      <family val="2"/>
    </font>
    <font>
      <b/>
      <i/>
      <u/>
      <sz val="30"/>
      <color rgb="FFFF0000"/>
      <name val="Calibri"/>
      <family val="2"/>
    </font>
    <font>
      <b/>
      <sz val="9"/>
      <color rgb="FF000000"/>
      <name val="Arial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</font>
    <font>
      <b/>
      <sz val="15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Symbol"/>
      <family val="1"/>
      <charset val="2"/>
    </font>
    <font>
      <sz val="30"/>
      <color rgb="FF000000"/>
      <name val="Calibri"/>
      <family val="2"/>
    </font>
    <font>
      <b/>
      <sz val="20"/>
      <color rgb="FFFF0000"/>
      <name val="Calibri"/>
      <family val="2"/>
    </font>
    <font>
      <b/>
      <vertAlign val="subscript"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70C0"/>
      <name val="Calibri"/>
      <family val="2"/>
    </font>
    <font>
      <sz val="9"/>
      <color rgb="FF000000"/>
      <name val="Arial"/>
      <family val="2"/>
    </font>
    <font>
      <b/>
      <sz val="11"/>
      <color rgb="FF7030A0"/>
      <name val="Calibri"/>
      <family val="2"/>
    </font>
    <font>
      <b/>
      <sz val="11"/>
      <color rgb="FFFFC000"/>
      <name val="Calibri"/>
      <family val="2"/>
    </font>
    <font>
      <b/>
      <sz val="11"/>
      <color rgb="FFCD3303"/>
      <name val="Calibri"/>
      <family val="2"/>
    </font>
    <font>
      <b/>
      <i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2060"/>
      <name val="Calibri"/>
      <family val="2"/>
    </font>
    <font>
      <b/>
      <sz val="11"/>
      <color rgb="FF002060"/>
      <name val="Calibri"/>
      <family val="2"/>
    </font>
    <font>
      <sz val="11"/>
      <color rgb="FF00B0F0"/>
      <name val="Calibri"/>
      <family val="2"/>
    </font>
    <font>
      <b/>
      <sz val="11"/>
      <color rgb="FF00B0F0"/>
      <name val="Calibri"/>
      <family val="2"/>
    </font>
    <font>
      <b/>
      <sz val="13"/>
      <color rgb="FFFF0000"/>
      <name val="Calibri"/>
      <family val="2"/>
    </font>
    <font>
      <b/>
      <sz val="13"/>
      <color rgb="FF000000"/>
      <name val="Calibri"/>
      <family val="2"/>
    </font>
    <font>
      <b/>
      <sz val="12"/>
      <color rgb="FFFF0000"/>
      <name val="Calibri"/>
      <family val="2"/>
    </font>
    <font>
      <b/>
      <sz val="13"/>
      <color rgb="FF002060"/>
      <name val="Calibri"/>
      <family val="2"/>
    </font>
    <font>
      <b/>
      <sz val="20"/>
      <color rgb="FF000000"/>
      <name val="Calibri"/>
      <family val="2"/>
    </font>
    <font>
      <sz val="11"/>
      <color rgb="FF0070C0"/>
      <name val="Calibri"/>
      <family val="2"/>
    </font>
    <font>
      <i/>
      <sz val="11"/>
      <color rgb="FF000000"/>
      <name val="Calibri"/>
      <family val="2"/>
    </font>
    <font>
      <vertAlign val="subscript"/>
      <sz val="11"/>
      <color rgb="FF000000"/>
      <name val="Calibri"/>
      <family val="2"/>
    </font>
    <font>
      <sz val="11"/>
      <color rgb="FF000000"/>
      <name val="Symbol"/>
      <family val="1"/>
      <charset val="2"/>
    </font>
    <font>
      <b/>
      <sz val="15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Arial"/>
      <family val="2"/>
    </font>
    <font>
      <b/>
      <sz val="15"/>
      <color rgb="FFFF0000"/>
      <name val="Arial"/>
      <family val="2"/>
    </font>
    <font>
      <b/>
      <vertAlign val="subscript"/>
      <sz val="13"/>
      <color theme="1"/>
      <name val="Arial"/>
      <family val="2"/>
    </font>
    <font>
      <sz val="9"/>
      <color rgb="FF405E6D"/>
      <name val="Arial"/>
      <family val="2"/>
    </font>
    <font>
      <u/>
      <sz val="11"/>
      <color theme="10"/>
      <name val="Arial"/>
      <family val="2"/>
    </font>
    <font>
      <sz val="11"/>
      <color theme="1"/>
      <name val="Cambria Math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vertAlign val="subscript"/>
      <sz val="11"/>
      <name val="Arial"/>
      <family val="2"/>
    </font>
    <font>
      <vertAlign val="subscript"/>
      <sz val="9"/>
      <name val="Arial"/>
      <family val="2"/>
    </font>
    <font>
      <b/>
      <sz val="15"/>
      <color rgb="FF000000"/>
      <name val="Calibri"/>
      <family val="2"/>
    </font>
    <font>
      <b/>
      <sz val="11"/>
      <name val="Calibri"/>
      <family val="2"/>
    </font>
    <font>
      <sz val="15"/>
      <color rgb="FF000000"/>
      <name val="Calibri"/>
      <family val="2"/>
    </font>
    <font>
      <sz val="15"/>
      <color theme="1"/>
      <name val="Arial"/>
      <family val="2"/>
    </font>
    <font>
      <b/>
      <sz val="12"/>
      <color rgb="FF0070C0"/>
      <name val="Calibri"/>
      <family val="2"/>
    </font>
    <font>
      <b/>
      <sz val="12"/>
      <color rgb="FF806000"/>
      <name val="Calibri"/>
      <family val="2"/>
    </font>
    <font>
      <b/>
      <sz val="12"/>
      <color rgb="FF00B050"/>
      <name val="Calibri"/>
      <family val="2"/>
    </font>
    <font>
      <sz val="12"/>
      <color rgb="FF000000"/>
      <name val="Calibri"/>
      <family val="2"/>
    </font>
    <font>
      <sz val="12"/>
      <color theme="1"/>
      <name val="Arial"/>
      <family val="2"/>
    </font>
    <font>
      <sz val="13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FE699"/>
        <bgColor rgb="FFFFE699"/>
      </patternFill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  <fill>
      <patternFill patternType="solid">
        <fgColor rgb="FFF8CBAD"/>
        <bgColor rgb="FFF8CBAD"/>
      </patternFill>
    </fill>
    <fill>
      <patternFill patternType="solid">
        <fgColor rgb="FFBDD7EE"/>
        <bgColor rgb="FFBDD7EE"/>
      </patternFill>
    </fill>
    <fill>
      <patternFill patternType="solid">
        <fgColor rgb="FF00FF66"/>
        <bgColor rgb="FF00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rgb="FFF8CBAD"/>
      </patternFill>
    </fill>
  </fills>
  <borders count="7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0">
    <xf numFmtId="0" fontId="0" fillId="0" borderId="0"/>
    <xf numFmtId="0" fontId="1" fillId="2" borderId="0"/>
    <xf numFmtId="164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71" fontId="5" fillId="0" borderId="0"/>
    <xf numFmtId="43" fontId="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40">
    <xf numFmtId="0" fontId="0" fillId="0" borderId="0" xfId="0"/>
    <xf numFmtId="164" fontId="3" fillId="0" borderId="0" xfId="2" applyAlignment="1">
      <alignment horizontal="center" vertical="center"/>
    </xf>
    <xf numFmtId="164" fontId="3" fillId="0" borderId="1" xfId="2" applyBorder="1" applyAlignment="1">
      <alignment horizontal="center" vertical="center"/>
    </xf>
    <xf numFmtId="164" fontId="3" fillId="0" borderId="0" xfId="2" applyBorder="1" applyAlignment="1">
      <alignment horizontal="center" vertical="center"/>
    </xf>
    <xf numFmtId="164" fontId="3" fillId="5" borderId="0" xfId="2" applyFill="1" applyAlignment="1">
      <alignment horizontal="center" vertical="center"/>
    </xf>
    <xf numFmtId="164" fontId="3" fillId="0" borderId="0" xfId="2" applyFont="1" applyFill="1" applyBorder="1" applyAlignment="1">
      <alignment horizontal="center" vertical="center"/>
    </xf>
    <xf numFmtId="164" fontId="3" fillId="0" borderId="0" xfId="2" applyFill="1" applyBorder="1" applyAlignment="1">
      <alignment horizontal="center" vertical="center"/>
    </xf>
    <xf numFmtId="164" fontId="3" fillId="0" borderId="0" xfId="2" applyFill="1" applyBorder="1" applyAlignment="1">
      <alignment horizontal="center"/>
    </xf>
    <xf numFmtId="164" fontId="3" fillId="0" borderId="0" xfId="2" applyBorder="1"/>
    <xf numFmtId="164" fontId="3" fillId="6" borderId="1" xfId="2" applyFont="1" applyFill="1" applyBorder="1" applyAlignment="1">
      <alignment horizontal="center" vertical="center"/>
    </xf>
    <xf numFmtId="164" fontId="14" fillId="0" borderId="0" xfId="2" applyFont="1" applyAlignment="1">
      <alignment horizontal="center" vertical="center"/>
    </xf>
    <xf numFmtId="164" fontId="3" fillId="0" borderId="1" xfId="2" applyBorder="1" applyAlignment="1">
      <alignment horizontal="center" vertical="center" wrapText="1"/>
    </xf>
    <xf numFmtId="164" fontId="17" fillId="0" borderId="0" xfId="2" applyFont="1" applyAlignment="1">
      <alignment horizontal="center" vertical="center" wrapText="1"/>
    </xf>
    <xf numFmtId="164" fontId="17" fillId="0" borderId="0" xfId="2" applyFont="1" applyAlignment="1">
      <alignment horizontal="center" vertical="center"/>
    </xf>
    <xf numFmtId="164" fontId="3" fillId="0" borderId="0" xfId="2" applyBorder="1" applyAlignment="1">
      <alignment horizontal="center" vertical="center" wrapText="1"/>
    </xf>
    <xf numFmtId="164" fontId="3" fillId="0" borderId="0" xfId="2" applyFill="1" applyBorder="1" applyAlignment="1">
      <alignment horizontal="center" vertical="center" wrapText="1"/>
    </xf>
    <xf numFmtId="168" fontId="3" fillId="0" borderId="0" xfId="2" applyNumberFormat="1" applyAlignment="1">
      <alignment horizontal="center" vertical="center"/>
    </xf>
    <xf numFmtId="164" fontId="12" fillId="0" borderId="0" xfId="2" applyFont="1" applyBorder="1" applyAlignment="1">
      <alignment horizontal="center" vertical="center"/>
    </xf>
    <xf numFmtId="164" fontId="24" fillId="0" borderId="1" xfId="2" applyFont="1" applyBorder="1" applyAlignment="1">
      <alignment horizontal="center" vertical="center"/>
    </xf>
    <xf numFmtId="164" fontId="27" fillId="0" borderId="0" xfId="2" applyFont="1" applyBorder="1" applyAlignment="1">
      <alignment horizontal="center" vertical="center"/>
    </xf>
    <xf numFmtId="164" fontId="28" fillId="0" borderId="0" xfId="2" applyFont="1" applyFill="1" applyBorder="1" applyAlignment="1">
      <alignment horizontal="center" vertical="center"/>
    </xf>
    <xf numFmtId="164" fontId="3" fillId="0" borderId="0" xfId="2" applyFill="1" applyAlignment="1">
      <alignment horizontal="center" vertical="center"/>
    </xf>
    <xf numFmtId="165" fontId="31" fillId="0" borderId="0" xfId="2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horizontal="center" vertical="center"/>
    </xf>
    <xf numFmtId="164" fontId="23" fillId="0" borderId="0" xfId="2" applyFont="1" applyBorder="1" applyAlignment="1">
      <alignment horizontal="center" vertical="center"/>
    </xf>
    <xf numFmtId="164" fontId="3" fillId="5" borderId="6" xfId="2" applyFill="1" applyBorder="1" applyAlignment="1">
      <alignment horizontal="center" vertical="center"/>
    </xf>
    <xf numFmtId="164" fontId="3" fillId="5" borderId="4" xfId="2" applyFill="1" applyBorder="1" applyAlignment="1">
      <alignment horizontal="center" vertical="center"/>
    </xf>
    <xf numFmtId="165" fontId="24" fillId="0" borderId="1" xfId="2" applyNumberFormat="1" applyFont="1" applyBorder="1" applyAlignment="1">
      <alignment horizontal="center" vertical="center"/>
    </xf>
    <xf numFmtId="164" fontId="34" fillId="0" borderId="1" xfId="2" applyFont="1" applyBorder="1" applyAlignment="1">
      <alignment horizontal="center" vertical="center"/>
    </xf>
    <xf numFmtId="165" fontId="34" fillId="0" borderId="1" xfId="2" applyNumberFormat="1" applyFont="1" applyBorder="1" applyAlignment="1">
      <alignment horizontal="center" vertical="center"/>
    </xf>
    <xf numFmtId="165" fontId="3" fillId="0" borderId="1" xfId="2" applyNumberFormat="1" applyBorder="1" applyAlignment="1">
      <alignment horizontal="center" vertical="center"/>
    </xf>
    <xf numFmtId="169" fontId="3" fillId="0" borderId="0" xfId="2" applyNumberFormat="1" applyAlignment="1">
      <alignment horizontal="center" vertical="center"/>
    </xf>
    <xf numFmtId="166" fontId="3" fillId="0" borderId="1" xfId="2" applyNumberFormat="1" applyBorder="1" applyAlignment="1">
      <alignment horizontal="center" vertical="center"/>
    </xf>
    <xf numFmtId="165" fontId="3" fillId="0" borderId="0" xfId="2" applyNumberFormat="1" applyBorder="1" applyAlignment="1">
      <alignment horizontal="center" vertical="center"/>
    </xf>
    <xf numFmtId="164" fontId="27" fillId="0" borderId="3" xfId="2" applyFont="1" applyBorder="1" applyAlignment="1">
      <alignment horizontal="center" vertical="center"/>
    </xf>
    <xf numFmtId="165" fontId="27" fillId="0" borderId="3" xfId="2" applyNumberFormat="1" applyFont="1" applyBorder="1" applyAlignment="1">
      <alignment horizontal="center" vertical="center"/>
    </xf>
    <xf numFmtId="164" fontId="27" fillId="0" borderId="1" xfId="2" applyFont="1" applyBorder="1" applyAlignment="1">
      <alignment horizontal="center" vertical="center"/>
    </xf>
    <xf numFmtId="0" fontId="0" fillId="0" borderId="0" xfId="0" applyFill="1"/>
    <xf numFmtId="164" fontId="23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14" borderId="17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 wrapText="1"/>
    </xf>
    <xf numFmtId="164" fontId="12" fillId="9" borderId="16" xfId="2" applyFont="1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 wrapText="1"/>
    </xf>
    <xf numFmtId="164" fontId="12" fillId="9" borderId="18" xfId="2" applyFont="1" applyFill="1" applyBorder="1" applyAlignment="1">
      <alignment horizontal="center" vertical="center"/>
    </xf>
    <xf numFmtId="164" fontId="12" fillId="9" borderId="20" xfId="2" applyFont="1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 wrapText="1"/>
    </xf>
    <xf numFmtId="164" fontId="12" fillId="9" borderId="22" xfId="2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12" fillId="10" borderId="18" xfId="2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4" fontId="12" fillId="10" borderId="20" xfId="2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4" fontId="12" fillId="10" borderId="22" xfId="2" applyFont="1" applyFill="1" applyBorder="1" applyAlignment="1">
      <alignment horizontal="center" vertical="center"/>
    </xf>
    <xf numFmtId="164" fontId="12" fillId="10" borderId="24" xfId="2" applyFont="1" applyFill="1" applyBorder="1" applyAlignment="1">
      <alignment horizontal="center" vertical="center"/>
    </xf>
    <xf numFmtId="164" fontId="12" fillId="9" borderId="24" xfId="2" applyFont="1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 wrapText="1"/>
    </xf>
    <xf numFmtId="10" fontId="12" fillId="9" borderId="16" xfId="2" applyNumberFormat="1" applyFont="1" applyFill="1" applyBorder="1" applyAlignment="1">
      <alignment horizontal="center" vertical="center"/>
    </xf>
    <xf numFmtId="11" fontId="12" fillId="9" borderId="16" xfId="2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14" borderId="23" xfId="0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164" fontId="12" fillId="10" borderId="29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14" borderId="16" xfId="0" applyFill="1" applyBorder="1" applyAlignment="1">
      <alignment horizontal="center" vertical="center"/>
    </xf>
    <xf numFmtId="164" fontId="12" fillId="10" borderId="16" xfId="2" applyFont="1" applyFill="1" applyBorder="1" applyAlignment="1">
      <alignment horizontal="center" vertical="center"/>
    </xf>
    <xf numFmtId="164" fontId="12" fillId="6" borderId="30" xfId="2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2" fontId="0" fillId="0" borderId="33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2" fontId="0" fillId="0" borderId="36" xfId="0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" fillId="15" borderId="38" xfId="0" applyFont="1" applyFill="1" applyBorder="1" applyAlignment="1">
      <alignment horizontal="center" vertical="center" wrapText="1"/>
    </xf>
    <xf numFmtId="2" fontId="2" fillId="15" borderId="39" xfId="0" applyNumberFormat="1" applyFont="1" applyFill="1" applyBorder="1" applyAlignment="1">
      <alignment horizontal="center" vertical="center" wrapText="1"/>
    </xf>
    <xf numFmtId="0" fontId="2" fillId="15" borderId="39" xfId="0" applyFont="1" applyFill="1" applyBorder="1" applyAlignment="1">
      <alignment horizontal="center" vertical="center" wrapText="1"/>
    </xf>
    <xf numFmtId="0" fontId="2" fillId="15" borderId="40" xfId="0" applyFont="1" applyFill="1" applyBorder="1" applyAlignment="1">
      <alignment horizontal="center" vertical="center" wrapText="1"/>
    </xf>
    <xf numFmtId="164" fontId="31" fillId="6" borderId="31" xfId="2" applyFont="1" applyFill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2" fontId="12" fillId="10" borderId="18" xfId="2" applyNumberFormat="1" applyFont="1" applyFill="1" applyBorder="1" applyAlignment="1">
      <alignment horizontal="center" vertical="center"/>
    </xf>
    <xf numFmtId="2" fontId="12" fillId="10" borderId="7" xfId="2" applyNumberFormat="1" applyFont="1" applyFill="1" applyBorder="1" applyAlignment="1">
      <alignment horizontal="center" vertical="center"/>
    </xf>
    <xf numFmtId="164" fontId="12" fillId="10" borderId="48" xfId="2" applyFont="1" applyFill="1" applyBorder="1" applyAlignment="1">
      <alignment horizontal="center" vertical="center"/>
    </xf>
    <xf numFmtId="43" fontId="3" fillId="0" borderId="0" xfId="7" applyFont="1" applyAlignment="1">
      <alignment horizontal="center" vertical="center"/>
    </xf>
    <xf numFmtId="0" fontId="3" fillId="0" borderId="0" xfId="2" applyNumberFormat="1" applyAlignment="1">
      <alignment horizontal="center" vertical="center"/>
    </xf>
    <xf numFmtId="43" fontId="56" fillId="0" borderId="0" xfId="7" applyFont="1" applyAlignment="1">
      <alignment horizontal="center" vertical="center"/>
    </xf>
    <xf numFmtId="174" fontId="11" fillId="0" borderId="0" xfId="2" applyNumberFormat="1" applyFont="1" applyFill="1" applyBorder="1" applyAlignment="1">
      <alignment horizontal="center" vertical="center"/>
    </xf>
    <xf numFmtId="164" fontId="58" fillId="0" borderId="0" xfId="2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164" fontId="63" fillId="0" borderId="0" xfId="2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164" fontId="65" fillId="0" borderId="0" xfId="2" applyFont="1" applyAlignment="1">
      <alignment horizontal="center" vertical="center"/>
    </xf>
    <xf numFmtId="0" fontId="12" fillId="10" borderId="1" xfId="2" applyNumberFormat="1" applyFont="1" applyFill="1" applyBorder="1" applyAlignment="1">
      <alignment horizontal="center" vertical="center"/>
    </xf>
    <xf numFmtId="0" fontId="12" fillId="9" borderId="1" xfId="2" applyNumberFormat="1" applyFont="1" applyFill="1" applyBorder="1" applyAlignment="1">
      <alignment horizontal="center" vertical="center"/>
    </xf>
    <xf numFmtId="0" fontId="12" fillId="6" borderId="1" xfId="2" applyNumberFormat="1" applyFont="1" applyFill="1" applyBorder="1" applyAlignment="1">
      <alignment horizontal="center" vertical="center"/>
    </xf>
    <xf numFmtId="164" fontId="3" fillId="0" borderId="0" xfId="2" applyFont="1" applyBorder="1" applyAlignment="1">
      <alignment vertical="center"/>
    </xf>
    <xf numFmtId="164" fontId="57" fillId="16" borderId="20" xfId="2" applyFont="1" applyFill="1" applyBorder="1" applyAlignment="1">
      <alignment horizontal="center" vertical="center"/>
    </xf>
    <xf numFmtId="164" fontId="3" fillId="0" borderId="0" xfId="2" applyFont="1" applyBorder="1" applyAlignment="1">
      <alignment horizontal="center" vertical="center"/>
    </xf>
    <xf numFmtId="164" fontId="12" fillId="0" borderId="59" xfId="2" applyFont="1" applyBorder="1" applyAlignment="1">
      <alignment horizontal="center" vertical="center"/>
    </xf>
    <xf numFmtId="167" fontId="12" fillId="10" borderId="60" xfId="2" applyNumberFormat="1" applyFont="1" applyFill="1" applyBorder="1" applyAlignment="1">
      <alignment horizontal="center" vertical="center"/>
    </xf>
    <xf numFmtId="164" fontId="12" fillId="7" borderId="54" xfId="2" applyFont="1" applyFill="1" applyBorder="1" applyAlignment="1">
      <alignment horizontal="center" vertical="center" wrapText="1"/>
    </xf>
    <xf numFmtId="0" fontId="12" fillId="9" borderId="61" xfId="2" applyNumberFormat="1" applyFont="1" applyFill="1" applyBorder="1" applyAlignment="1">
      <alignment horizontal="center" vertical="center"/>
    </xf>
    <xf numFmtId="164" fontId="12" fillId="7" borderId="56" xfId="2" applyFont="1" applyFill="1" applyBorder="1" applyAlignment="1">
      <alignment horizontal="center" vertical="center" wrapText="1"/>
    </xf>
    <xf numFmtId="0" fontId="12" fillId="9" borderId="48" xfId="2" applyNumberFormat="1" applyFont="1" applyFill="1" applyBorder="1" applyAlignment="1">
      <alignment horizontal="center" vertical="center"/>
    </xf>
    <xf numFmtId="164" fontId="12" fillId="7" borderId="57" xfId="2" applyFont="1" applyFill="1" applyBorder="1" applyAlignment="1">
      <alignment horizontal="center" vertical="center" wrapText="1"/>
    </xf>
    <xf numFmtId="164" fontId="12" fillId="7" borderId="54" xfId="2" applyFont="1" applyFill="1" applyBorder="1" applyAlignment="1">
      <alignment horizontal="center" vertical="center"/>
    </xf>
    <xf numFmtId="164" fontId="12" fillId="10" borderId="61" xfId="2" applyFont="1" applyFill="1" applyBorder="1" applyAlignment="1">
      <alignment horizontal="center" vertical="center"/>
    </xf>
    <xf numFmtId="164" fontId="13" fillId="7" borderId="56" xfId="2" applyFont="1" applyFill="1" applyBorder="1" applyAlignment="1">
      <alignment horizontal="center" vertical="center"/>
    </xf>
    <xf numFmtId="167" fontId="12" fillId="10" borderId="48" xfId="2" applyNumberFormat="1" applyFont="1" applyFill="1" applyBorder="1" applyAlignment="1">
      <alignment horizontal="center" vertical="center"/>
    </xf>
    <xf numFmtId="164" fontId="12" fillId="7" borderId="57" xfId="2" applyFont="1" applyFill="1" applyBorder="1" applyAlignment="1">
      <alignment horizontal="center" vertical="center"/>
    </xf>
    <xf numFmtId="167" fontId="12" fillId="10" borderId="29" xfId="2" applyNumberFormat="1" applyFont="1" applyFill="1" applyBorder="1" applyAlignment="1">
      <alignment horizontal="center" vertical="center"/>
    </xf>
    <xf numFmtId="167" fontId="12" fillId="10" borderId="61" xfId="2" applyNumberFormat="1" applyFont="1" applyFill="1" applyBorder="1" applyAlignment="1">
      <alignment horizontal="center" vertical="center"/>
    </xf>
    <xf numFmtId="164" fontId="12" fillId="7" borderId="56" xfId="2" applyFont="1" applyFill="1" applyBorder="1" applyAlignment="1">
      <alignment horizontal="center" vertical="center"/>
    </xf>
    <xf numFmtId="167" fontId="11" fillId="10" borderId="48" xfId="2" applyNumberFormat="1" applyFont="1" applyFill="1" applyBorder="1" applyAlignment="1">
      <alignment horizontal="center" vertical="center"/>
    </xf>
    <xf numFmtId="0" fontId="12" fillId="9" borderId="29" xfId="2" applyNumberFormat="1" applyFont="1" applyFill="1" applyBorder="1" applyAlignment="1">
      <alignment horizontal="center" vertical="center"/>
    </xf>
    <xf numFmtId="2" fontId="12" fillId="10" borderId="61" xfId="2" applyNumberFormat="1" applyFont="1" applyFill="1" applyBorder="1" applyAlignment="1">
      <alignment horizontal="center" vertical="center"/>
    </xf>
    <xf numFmtId="2" fontId="12" fillId="10" borderId="29" xfId="2" applyNumberFormat="1" applyFont="1" applyFill="1" applyBorder="1" applyAlignment="1">
      <alignment horizontal="center" vertical="center"/>
    </xf>
    <xf numFmtId="2" fontId="12" fillId="10" borderId="48" xfId="2" applyNumberFormat="1" applyFont="1" applyFill="1" applyBorder="1" applyAlignment="1">
      <alignment horizontal="center" vertical="center"/>
    </xf>
    <xf numFmtId="2" fontId="11" fillId="10" borderId="29" xfId="2" applyNumberFormat="1" applyFont="1" applyFill="1" applyBorder="1" applyAlignment="1">
      <alignment horizontal="center" vertical="center"/>
    </xf>
    <xf numFmtId="164" fontId="12" fillId="9" borderId="54" xfId="2" applyFont="1" applyFill="1" applyBorder="1" applyAlignment="1">
      <alignment horizontal="center" vertical="center"/>
    </xf>
    <xf numFmtId="164" fontId="12" fillId="10" borderId="56" xfId="2" applyFont="1" applyFill="1" applyBorder="1" applyAlignment="1">
      <alignment horizontal="center" vertical="center"/>
    </xf>
    <xf numFmtId="164" fontId="12" fillId="6" borderId="57" xfId="2" applyFont="1" applyFill="1" applyBorder="1" applyAlignment="1">
      <alignment horizontal="center" vertical="center"/>
    </xf>
    <xf numFmtId="164" fontId="12" fillId="0" borderId="56" xfId="2" applyFont="1" applyBorder="1" applyAlignment="1">
      <alignment horizontal="center" vertical="center"/>
    </xf>
    <xf numFmtId="164" fontId="12" fillId="0" borderId="64" xfId="2" applyFont="1" applyBorder="1" applyAlignment="1">
      <alignment horizontal="center" vertical="center"/>
    </xf>
    <xf numFmtId="164" fontId="3" fillId="9" borderId="48" xfId="2" applyFont="1" applyFill="1" applyBorder="1" applyAlignment="1">
      <alignment horizontal="center" vertical="center"/>
    </xf>
    <xf numFmtId="44" fontId="3" fillId="9" borderId="48" xfId="2" applyNumberFormat="1" applyFont="1" applyFill="1" applyBorder="1" applyAlignment="1">
      <alignment horizontal="center" vertical="center"/>
    </xf>
    <xf numFmtId="164" fontId="12" fillId="0" borderId="56" xfId="2" applyFont="1" applyBorder="1" applyAlignment="1">
      <alignment horizontal="center" vertical="center" wrapText="1"/>
    </xf>
    <xf numFmtId="164" fontId="12" fillId="0" borderId="65" xfId="2" applyFont="1" applyBorder="1" applyAlignment="1">
      <alignment horizontal="center" vertical="center" wrapText="1"/>
    </xf>
    <xf numFmtId="10" fontId="3" fillId="9" borderId="48" xfId="2" applyNumberFormat="1" applyFont="1" applyFill="1" applyBorder="1" applyAlignment="1">
      <alignment horizontal="center" vertical="center"/>
    </xf>
    <xf numFmtId="164" fontId="12" fillId="0" borderId="56" xfId="2" applyFont="1" applyFill="1" applyBorder="1" applyAlignment="1">
      <alignment horizontal="center" vertical="center" wrapText="1"/>
    </xf>
    <xf numFmtId="43" fontId="3" fillId="10" borderId="48" xfId="7" applyFont="1" applyFill="1" applyBorder="1" applyAlignment="1">
      <alignment horizontal="center" vertical="center"/>
    </xf>
    <xf numFmtId="164" fontId="12" fillId="0" borderId="57" xfId="2" applyFont="1" applyFill="1" applyBorder="1" applyAlignment="1">
      <alignment horizontal="center" vertical="center" wrapText="1"/>
    </xf>
    <xf numFmtId="43" fontId="3" fillId="10" borderId="29" xfId="7" applyFont="1" applyFill="1" applyBorder="1" applyAlignment="1">
      <alignment horizontal="center" vertical="center"/>
    </xf>
    <xf numFmtId="164" fontId="3" fillId="9" borderId="66" xfId="2" applyFont="1" applyFill="1" applyBorder="1" applyAlignment="1">
      <alignment horizontal="center" vertical="center" wrapText="1"/>
    </xf>
    <xf numFmtId="164" fontId="12" fillId="0" borderId="54" xfId="2" applyFont="1" applyBorder="1" applyAlignment="1">
      <alignment horizontal="center" vertical="center"/>
    </xf>
    <xf numFmtId="164" fontId="3" fillId="9" borderId="61" xfId="2" applyFont="1" applyFill="1" applyBorder="1" applyAlignment="1">
      <alignment horizontal="center" vertical="center" wrapText="1"/>
    </xf>
    <xf numFmtId="164" fontId="12" fillId="0" borderId="54" xfId="2" applyFont="1" applyBorder="1" applyAlignment="1">
      <alignment horizontal="center" vertical="center" wrapText="1"/>
    </xf>
    <xf numFmtId="164" fontId="12" fillId="0" borderId="70" xfId="2" applyFont="1" applyBorder="1" applyAlignment="1">
      <alignment horizontal="center" vertical="center" wrapText="1"/>
    </xf>
    <xf numFmtId="164" fontId="12" fillId="0" borderId="57" xfId="2" applyFont="1" applyBorder="1" applyAlignment="1">
      <alignment horizontal="center" vertical="center" wrapText="1"/>
    </xf>
    <xf numFmtId="164" fontId="3" fillId="9" borderId="71" xfId="2" applyFont="1" applyFill="1" applyBorder="1" applyAlignment="1">
      <alignment horizontal="center" vertical="center" wrapText="1"/>
    </xf>
    <xf numFmtId="164" fontId="3" fillId="9" borderId="4" xfId="2" applyFont="1" applyFill="1" applyBorder="1" applyAlignment="1">
      <alignment horizontal="center" vertical="center"/>
    </xf>
    <xf numFmtId="44" fontId="3" fillId="9" borderId="4" xfId="2" applyNumberFormat="1" applyFont="1" applyFill="1" applyBorder="1" applyAlignment="1">
      <alignment horizontal="center" vertical="center"/>
    </xf>
    <xf numFmtId="172" fontId="3" fillId="9" borderId="4" xfId="7" applyNumberFormat="1" applyFont="1" applyFill="1" applyBorder="1" applyAlignment="1">
      <alignment horizontal="center" vertical="center"/>
    </xf>
    <xf numFmtId="10" fontId="3" fillId="9" borderId="4" xfId="2" applyNumberFormat="1" applyFont="1" applyFill="1" applyBorder="1" applyAlignment="1">
      <alignment horizontal="center" vertical="center"/>
    </xf>
    <xf numFmtId="164" fontId="3" fillId="9" borderId="72" xfId="2" applyFont="1" applyFill="1" applyBorder="1" applyAlignment="1">
      <alignment horizontal="center" vertical="center"/>
    </xf>
    <xf numFmtId="164" fontId="3" fillId="10" borderId="48" xfId="2" applyFont="1" applyFill="1" applyBorder="1" applyAlignment="1">
      <alignment horizontal="center" vertical="center"/>
    </xf>
    <xf numFmtId="10" fontId="3" fillId="9" borderId="29" xfId="2" applyNumberFormat="1" applyFont="1" applyFill="1" applyBorder="1" applyAlignment="1">
      <alignment horizontal="center" vertical="center"/>
    </xf>
    <xf numFmtId="164" fontId="3" fillId="9" borderId="29" xfId="2" applyFont="1" applyFill="1" applyBorder="1" applyAlignment="1">
      <alignment horizontal="center" vertical="center" wrapText="1"/>
    </xf>
    <xf numFmtId="164" fontId="12" fillId="0" borderId="59" xfId="2" applyFont="1" applyBorder="1" applyAlignment="1">
      <alignment horizontal="center" vertical="center" wrapText="1"/>
    </xf>
    <xf numFmtId="44" fontId="3" fillId="9" borderId="60" xfId="9" applyFont="1" applyFill="1" applyBorder="1" applyAlignment="1">
      <alignment horizontal="center" vertical="center"/>
    </xf>
    <xf numFmtId="10" fontId="3" fillId="9" borderId="60" xfId="2" applyNumberFormat="1" applyFont="1" applyFill="1" applyBorder="1" applyAlignment="1">
      <alignment horizontal="center" vertical="center"/>
    </xf>
    <xf numFmtId="44" fontId="3" fillId="9" borderId="61" xfId="9" applyFont="1" applyFill="1" applyBorder="1" applyAlignment="1">
      <alignment horizontal="center" vertical="center"/>
    </xf>
    <xf numFmtId="44" fontId="3" fillId="9" borderId="29" xfId="9" applyFont="1" applyFill="1" applyBorder="1" applyAlignment="1">
      <alignment horizontal="center" vertical="center"/>
    </xf>
    <xf numFmtId="173" fontId="12" fillId="10" borderId="61" xfId="2" applyNumberFormat="1" applyFont="1" applyFill="1" applyBorder="1" applyAlignment="1">
      <alignment horizontal="center" vertical="center"/>
    </xf>
    <xf numFmtId="173" fontId="12" fillId="10" borderId="48" xfId="2" applyNumberFormat="1" applyFont="1" applyFill="1" applyBorder="1" applyAlignment="1">
      <alignment horizontal="center" vertical="center"/>
    </xf>
    <xf numFmtId="173" fontId="12" fillId="10" borderId="29" xfId="2" applyNumberFormat="1" applyFont="1" applyFill="1" applyBorder="1" applyAlignment="1">
      <alignment horizontal="center" vertical="center"/>
    </xf>
    <xf numFmtId="164" fontId="12" fillId="9" borderId="60" xfId="2" applyFont="1" applyFill="1" applyBorder="1" applyAlignment="1">
      <alignment horizontal="center" vertical="center"/>
    </xf>
    <xf numFmtId="164" fontId="12" fillId="9" borderId="61" xfId="2" applyFont="1" applyFill="1" applyBorder="1" applyAlignment="1">
      <alignment horizontal="center" vertical="center"/>
    </xf>
    <xf numFmtId="164" fontId="12" fillId="9" borderId="29" xfId="2" applyFont="1" applyFill="1" applyBorder="1" applyAlignment="1">
      <alignment horizontal="center" vertical="center"/>
    </xf>
    <xf numFmtId="164" fontId="24" fillId="0" borderId="54" xfId="2" applyFont="1" applyBorder="1" applyAlignment="1">
      <alignment horizontal="center" vertical="center"/>
    </xf>
    <xf numFmtId="172" fontId="10" fillId="10" borderId="61" xfId="7" applyNumberFormat="1" applyFont="1" applyFill="1" applyBorder="1" applyAlignment="1">
      <alignment horizontal="center" vertical="center"/>
    </xf>
    <xf numFmtId="164" fontId="24" fillId="0" borderId="56" xfId="2" applyFont="1" applyBorder="1" applyAlignment="1">
      <alignment horizontal="center" vertical="center"/>
    </xf>
    <xf numFmtId="172" fontId="10" fillId="10" borderId="48" xfId="7" applyNumberFormat="1" applyFont="1" applyFill="1" applyBorder="1" applyAlignment="1">
      <alignment horizontal="center" vertical="center"/>
    </xf>
    <xf numFmtId="164" fontId="25" fillId="0" borderId="56" xfId="2" applyFont="1" applyBorder="1" applyAlignment="1">
      <alignment horizontal="center" vertical="center"/>
    </xf>
    <xf numFmtId="172" fontId="26" fillId="10" borderId="48" xfId="7" applyNumberFormat="1" applyFont="1" applyFill="1" applyBorder="1" applyAlignment="1">
      <alignment horizontal="center" vertical="center"/>
    </xf>
    <xf numFmtId="164" fontId="25" fillId="0" borderId="57" xfId="2" applyFont="1" applyBorder="1" applyAlignment="1">
      <alignment horizontal="center" vertical="center"/>
    </xf>
    <xf numFmtId="172" fontId="26" fillId="10" borderId="29" xfId="7" applyNumberFormat="1" applyFont="1" applyFill="1" applyBorder="1" applyAlignment="1">
      <alignment horizontal="center" vertical="center"/>
    </xf>
    <xf numFmtId="164" fontId="11" fillId="10" borderId="60" xfId="2" applyFont="1" applyFill="1" applyBorder="1" applyAlignment="1">
      <alignment horizontal="center" vertical="center"/>
    </xf>
    <xf numFmtId="174" fontId="11" fillId="10" borderId="60" xfId="2" applyNumberFormat="1" applyFont="1" applyFill="1" applyBorder="1" applyAlignment="1">
      <alignment horizontal="center" vertical="center"/>
    </xf>
    <xf numFmtId="10" fontId="12" fillId="6" borderId="61" xfId="2" applyNumberFormat="1" applyFont="1" applyFill="1" applyBorder="1" applyAlignment="1">
      <alignment horizontal="center" vertical="center"/>
    </xf>
    <xf numFmtId="174" fontId="12" fillId="10" borderId="48" xfId="2" applyNumberFormat="1" applyFont="1" applyFill="1" applyBorder="1" applyAlignment="1">
      <alignment horizontal="center" vertical="center"/>
    </xf>
    <xf numFmtId="174" fontId="12" fillId="10" borderId="29" xfId="2" applyNumberFormat="1" applyFont="1" applyFill="1" applyBorder="1" applyAlignment="1">
      <alignment horizontal="center" vertical="center"/>
    </xf>
    <xf numFmtId="164" fontId="3" fillId="0" borderId="76" xfId="2" applyBorder="1" applyAlignment="1">
      <alignment horizontal="center" vertical="center"/>
    </xf>
    <xf numFmtId="170" fontId="12" fillId="9" borderId="61" xfId="2" applyNumberFormat="1" applyFont="1" applyFill="1" applyBorder="1" applyAlignment="1">
      <alignment horizontal="center" vertical="center"/>
    </xf>
    <xf numFmtId="164" fontId="3" fillId="0" borderId="77" xfId="2" applyBorder="1" applyAlignment="1">
      <alignment horizontal="center" vertical="center"/>
    </xf>
    <xf numFmtId="170" fontId="12" fillId="9" borderId="48" xfId="2" applyNumberFormat="1" applyFont="1" applyFill="1" applyBorder="1" applyAlignment="1">
      <alignment horizontal="center" vertical="center"/>
    </xf>
    <xf numFmtId="164" fontId="12" fillId="9" borderId="48" xfId="2" applyFont="1" applyFill="1" applyBorder="1" applyAlignment="1">
      <alignment horizontal="center" vertical="center"/>
    </xf>
    <xf numFmtId="164" fontId="3" fillId="0" borderId="78" xfId="2" applyBorder="1" applyAlignment="1">
      <alignment horizontal="center" vertical="center"/>
    </xf>
    <xf numFmtId="164" fontId="3" fillId="11" borderId="29" xfId="2" applyFill="1" applyBorder="1" applyAlignment="1">
      <alignment horizontal="center" vertical="center"/>
    </xf>
    <xf numFmtId="164" fontId="3" fillId="0" borderId="14" xfId="2" applyBorder="1" applyAlignment="1">
      <alignment horizontal="center" vertical="center"/>
    </xf>
    <xf numFmtId="170" fontId="12" fillId="10" borderId="60" xfId="2" applyNumberFormat="1" applyFont="1" applyFill="1" applyBorder="1" applyAlignment="1">
      <alignment horizontal="center" vertical="center"/>
    </xf>
    <xf numFmtId="164" fontId="3" fillId="0" borderId="14" xfId="2" applyBorder="1" applyAlignment="1">
      <alignment horizontal="center" vertical="center" wrapText="1"/>
    </xf>
    <xf numFmtId="164" fontId="3" fillId="0" borderId="29" xfId="2" applyBorder="1" applyAlignment="1">
      <alignment horizontal="center" vertical="center"/>
    </xf>
    <xf numFmtId="164" fontId="3" fillId="0" borderId="78" xfId="2" applyFont="1" applyBorder="1" applyAlignment="1">
      <alignment horizontal="center" vertical="center"/>
    </xf>
    <xf numFmtId="164" fontId="3" fillId="0" borderId="14" xfId="2" applyFont="1" applyBorder="1" applyAlignment="1">
      <alignment horizontal="center" vertical="center"/>
    </xf>
    <xf numFmtId="164" fontId="3" fillId="0" borderId="60" xfId="2" applyBorder="1" applyAlignment="1">
      <alignment horizontal="center" vertical="center"/>
    </xf>
    <xf numFmtId="164" fontId="3" fillId="0" borderId="7" xfId="2" applyBorder="1" applyAlignment="1">
      <alignment horizontal="center" vertical="center"/>
    </xf>
    <xf numFmtId="164" fontId="12" fillId="6" borderId="54" xfId="2" applyFont="1" applyFill="1" applyBorder="1" applyAlignment="1">
      <alignment horizontal="center" vertical="center"/>
    </xf>
    <xf numFmtId="164" fontId="12" fillId="6" borderId="61" xfId="2" applyFont="1" applyFill="1" applyBorder="1" applyAlignment="1">
      <alignment horizontal="center" vertical="center"/>
    </xf>
    <xf numFmtId="164" fontId="12" fillId="6" borderId="29" xfId="2" applyFont="1" applyFill="1" applyBorder="1" applyAlignment="1">
      <alignment horizontal="center" vertical="center"/>
    </xf>
    <xf numFmtId="10" fontId="12" fillId="9" borderId="20" xfId="2" applyNumberFormat="1" applyFont="1" applyFill="1" applyBorder="1" applyAlignment="1">
      <alignment horizontal="center" vertical="center"/>
    </xf>
    <xf numFmtId="11" fontId="12" fillId="9" borderId="22" xfId="2" applyNumberFormat="1" applyFont="1" applyFill="1" applyBorder="1" applyAlignment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164" fontId="11" fillId="0" borderId="0" xfId="2" applyFont="1" applyFill="1" applyBorder="1" applyAlignment="1">
      <alignment horizontal="center" vertical="center"/>
    </xf>
    <xf numFmtId="164" fontId="10" fillId="0" borderId="0" xfId="2" applyFont="1" applyFill="1" applyBorder="1" applyAlignment="1">
      <alignment vertical="center"/>
    </xf>
    <xf numFmtId="0" fontId="12" fillId="9" borderId="23" xfId="2" applyNumberFormat="1" applyFont="1" applyFill="1" applyBorder="1" applyAlignment="1">
      <alignment horizontal="center" vertical="center"/>
    </xf>
    <xf numFmtId="164" fontId="57" fillId="0" borderId="24" xfId="2" applyFont="1" applyFill="1" applyBorder="1" applyAlignment="1">
      <alignment horizontal="center" vertical="center"/>
    </xf>
    <xf numFmtId="164" fontId="15" fillId="10" borderId="61" xfId="2" applyFont="1" applyFill="1" applyBorder="1" applyAlignment="1">
      <alignment horizontal="center" vertical="center"/>
    </xf>
    <xf numFmtId="43" fontId="3" fillId="0" borderId="48" xfId="7" applyFont="1" applyBorder="1" applyAlignment="1">
      <alignment horizontal="center" vertical="center" wrapText="1"/>
    </xf>
    <xf numFmtId="164" fontId="3" fillId="0" borderId="29" xfId="2" applyBorder="1" applyAlignment="1">
      <alignment horizontal="center" vertical="center" wrapText="1"/>
    </xf>
    <xf numFmtId="164" fontId="3" fillId="6" borderId="48" xfId="2" applyFont="1" applyFill="1" applyBorder="1" applyAlignment="1">
      <alignment horizontal="center" vertical="center"/>
    </xf>
    <xf numFmtId="164" fontId="3" fillId="6" borderId="63" xfId="2" applyFont="1" applyFill="1" applyBorder="1" applyAlignment="1">
      <alignment horizontal="center" vertical="center"/>
    </xf>
    <xf numFmtId="164" fontId="3" fillId="6" borderId="29" xfId="2" applyFont="1" applyFill="1" applyBorder="1" applyAlignment="1">
      <alignment horizontal="center" vertical="center"/>
    </xf>
    <xf numFmtId="164" fontId="6" fillId="3" borderId="1" xfId="2" applyFont="1" applyFill="1" applyBorder="1" applyAlignment="1">
      <alignment horizontal="center" vertical="center" wrapText="1"/>
    </xf>
    <xf numFmtId="164" fontId="12" fillId="4" borderId="54" xfId="2" applyFont="1" applyFill="1" applyBorder="1" applyAlignment="1">
      <alignment horizontal="center" vertical="center" wrapText="1"/>
    </xf>
    <xf numFmtId="164" fontId="12" fillId="4" borderId="56" xfId="2" applyFont="1" applyFill="1" applyBorder="1" applyAlignment="1">
      <alignment horizontal="center" vertical="center" wrapText="1"/>
    </xf>
    <xf numFmtId="164" fontId="3" fillId="0" borderId="55" xfId="2" applyFont="1" applyFill="1" applyBorder="1" applyAlignment="1">
      <alignment horizontal="center" vertical="center" wrapText="1"/>
    </xf>
    <xf numFmtId="164" fontId="3" fillId="0" borderId="50" xfId="2" applyFont="1" applyFill="1" applyBorder="1" applyAlignment="1">
      <alignment horizontal="center" vertical="center" wrapText="1"/>
    </xf>
    <xf numFmtId="164" fontId="3" fillId="0" borderId="2" xfId="2" applyFont="1" applyFill="1" applyBorder="1" applyAlignment="1">
      <alignment horizontal="center" vertical="center" wrapText="1"/>
    </xf>
    <xf numFmtId="164" fontId="3" fillId="0" borderId="51" xfId="2" applyFont="1" applyFill="1" applyBorder="1" applyAlignment="1">
      <alignment horizontal="center" vertical="center" wrapText="1"/>
    </xf>
    <xf numFmtId="164" fontId="12" fillId="4" borderId="57" xfId="2" applyFont="1" applyFill="1" applyBorder="1" applyAlignment="1">
      <alignment horizontal="center" vertical="center" wrapText="1"/>
    </xf>
    <xf numFmtId="164" fontId="3" fillId="0" borderId="2" xfId="2" applyFont="1" applyFill="1" applyBorder="1" applyAlignment="1">
      <alignment horizontal="center" vertical="center"/>
    </xf>
    <xf numFmtId="164" fontId="3" fillId="0" borderId="51" xfId="2" applyFont="1" applyFill="1" applyBorder="1" applyAlignment="1">
      <alignment horizontal="center" vertical="center"/>
    </xf>
    <xf numFmtId="164" fontId="3" fillId="0" borderId="58" xfId="2" applyFont="1" applyFill="1" applyBorder="1" applyAlignment="1">
      <alignment horizontal="center" vertical="center"/>
    </xf>
    <xf numFmtId="164" fontId="3" fillId="0" borderId="52" xfId="2" applyFont="1" applyFill="1" applyBorder="1" applyAlignment="1">
      <alignment horizontal="center" vertical="center"/>
    </xf>
    <xf numFmtId="164" fontId="56" fillId="0" borderId="1" xfId="2" applyFont="1" applyFill="1" applyBorder="1" applyAlignment="1">
      <alignment horizontal="center" vertical="center"/>
    </xf>
    <xf numFmtId="164" fontId="3" fillId="0" borderId="30" xfId="2" applyBorder="1" applyAlignment="1">
      <alignment horizontal="center" vertical="center"/>
    </xf>
    <xf numFmtId="164" fontId="3" fillId="0" borderId="31" xfId="2" applyBorder="1" applyAlignment="1">
      <alignment horizontal="center" vertical="center"/>
    </xf>
    <xf numFmtId="0" fontId="12" fillId="6" borderId="76" xfId="2" applyNumberFormat="1" applyFont="1" applyFill="1" applyBorder="1" applyAlignment="1">
      <alignment horizontal="center" vertical="center"/>
    </xf>
    <xf numFmtId="0" fontId="12" fillId="6" borderId="50" xfId="2" applyNumberFormat="1" applyFont="1" applyFill="1" applyBorder="1" applyAlignment="1">
      <alignment horizontal="center" vertical="center"/>
    </xf>
    <xf numFmtId="164" fontId="57" fillId="6" borderId="77" xfId="2" applyNumberFormat="1" applyFont="1" applyFill="1" applyBorder="1" applyAlignment="1">
      <alignment horizontal="center" vertical="center"/>
    </xf>
    <xf numFmtId="0" fontId="57" fillId="6" borderId="51" xfId="2" applyNumberFormat="1" applyFont="1" applyFill="1" applyBorder="1" applyAlignment="1">
      <alignment horizontal="center" vertical="center"/>
    </xf>
    <xf numFmtId="0" fontId="12" fillId="6" borderId="78" xfId="2" applyNumberFormat="1" applyFont="1" applyFill="1" applyBorder="1" applyAlignment="1">
      <alignment horizontal="center" vertical="center"/>
    </xf>
    <xf numFmtId="0" fontId="12" fillId="6" borderId="52" xfId="2" applyNumberFormat="1" applyFont="1" applyFill="1" applyBorder="1" applyAlignment="1">
      <alignment horizontal="center" vertical="center"/>
    </xf>
    <xf numFmtId="164" fontId="10" fillId="0" borderId="8" xfId="2" applyFont="1" applyBorder="1" applyAlignment="1">
      <alignment horizontal="center" vertical="center" wrapText="1"/>
    </xf>
    <xf numFmtId="164" fontId="10" fillId="0" borderId="9" xfId="2" applyFont="1" applyBorder="1" applyAlignment="1">
      <alignment horizontal="center" vertical="center" wrapText="1"/>
    </xf>
    <xf numFmtId="164" fontId="10" fillId="0" borderId="10" xfId="2" applyFont="1" applyBorder="1" applyAlignment="1">
      <alignment horizontal="center" vertical="center" wrapText="1"/>
    </xf>
    <xf numFmtId="164" fontId="10" fillId="0" borderId="11" xfId="2" applyFont="1" applyBorder="1" applyAlignment="1">
      <alignment horizontal="center" vertical="center" wrapText="1"/>
    </xf>
    <xf numFmtId="164" fontId="10" fillId="0" borderId="12" xfId="2" applyFont="1" applyBorder="1" applyAlignment="1">
      <alignment horizontal="center" vertical="center" wrapText="1"/>
    </xf>
    <xf numFmtId="164" fontId="10" fillId="0" borderId="13" xfId="2" applyFont="1" applyBorder="1" applyAlignment="1">
      <alignment horizontal="center" vertical="center" wrapText="1"/>
    </xf>
    <xf numFmtId="164" fontId="12" fillId="0" borderId="59" xfId="2" applyFont="1" applyFill="1" applyBorder="1" applyAlignment="1">
      <alignment horizontal="center" vertical="center"/>
    </xf>
    <xf numFmtId="164" fontId="12" fillId="0" borderId="60" xfId="2" applyFont="1" applyFill="1" applyBorder="1" applyAlignment="1">
      <alignment horizontal="center" vertical="center"/>
    </xf>
    <xf numFmtId="164" fontId="56" fillId="8" borderId="59" xfId="2" applyFont="1" applyFill="1" applyBorder="1" applyAlignment="1">
      <alignment horizontal="center" vertical="center" wrapText="1"/>
    </xf>
    <xf numFmtId="164" fontId="56" fillId="8" borderId="60" xfId="2" applyFont="1" applyFill="1" applyBorder="1" applyAlignment="1">
      <alignment horizontal="center" vertical="center" wrapText="1"/>
    </xf>
    <xf numFmtId="164" fontId="31" fillId="8" borderId="59" xfId="2" applyFont="1" applyFill="1" applyBorder="1" applyAlignment="1">
      <alignment horizontal="center" vertical="center" wrapText="1"/>
    </xf>
    <xf numFmtId="164" fontId="31" fillId="8" borderId="60" xfId="2" applyFont="1" applyFill="1" applyBorder="1" applyAlignment="1">
      <alignment horizontal="center" vertical="center" wrapText="1"/>
    </xf>
    <xf numFmtId="164" fontId="31" fillId="8" borderId="67" xfId="2" applyFont="1" applyFill="1" applyBorder="1" applyAlignment="1">
      <alignment horizontal="center" vertical="center" wrapText="1"/>
    </xf>
    <xf numFmtId="164" fontId="31" fillId="8" borderId="69" xfId="2" applyFont="1" applyFill="1" applyBorder="1" applyAlignment="1">
      <alignment horizontal="center" vertical="center" wrapText="1"/>
    </xf>
    <xf numFmtId="164" fontId="60" fillId="8" borderId="59" xfId="2" applyFont="1" applyFill="1" applyBorder="1" applyAlignment="1">
      <alignment horizontal="center" vertical="center" wrapText="1"/>
    </xf>
    <xf numFmtId="164" fontId="60" fillId="8" borderId="60" xfId="2" applyFont="1" applyFill="1" applyBorder="1" applyAlignment="1">
      <alignment horizontal="center" vertical="center" wrapText="1"/>
    </xf>
    <xf numFmtId="164" fontId="61" fillId="8" borderId="14" xfId="2" applyFont="1" applyFill="1" applyBorder="1" applyAlignment="1">
      <alignment horizontal="center" vertical="center" wrapText="1"/>
    </xf>
    <xf numFmtId="164" fontId="61" fillId="8" borderId="60" xfId="2" applyFont="1" applyFill="1" applyBorder="1" applyAlignment="1">
      <alignment horizontal="center" vertical="center" wrapText="1"/>
    </xf>
    <xf numFmtId="164" fontId="62" fillId="8" borderId="67" xfId="2" applyFont="1" applyFill="1" applyBorder="1" applyAlignment="1">
      <alignment horizontal="center" vertical="center" wrapText="1"/>
    </xf>
    <xf numFmtId="164" fontId="62" fillId="8" borderId="60" xfId="2" applyFont="1" applyFill="1" applyBorder="1" applyAlignment="1">
      <alignment horizontal="center" vertical="center" wrapText="1"/>
    </xf>
    <xf numFmtId="175" fontId="3" fillId="9" borderId="73" xfId="2" applyNumberFormat="1" applyFont="1" applyFill="1" applyBorder="1" applyAlignment="1">
      <alignment horizontal="center" vertical="center"/>
    </xf>
    <xf numFmtId="175" fontId="3" fillId="9" borderId="74" xfId="2" applyNumberFormat="1" applyFont="1" applyFill="1" applyBorder="1" applyAlignment="1">
      <alignment horizontal="center" vertical="center"/>
    </xf>
    <xf numFmtId="164" fontId="12" fillId="8" borderId="57" xfId="2" applyFont="1" applyFill="1" applyBorder="1" applyAlignment="1">
      <alignment horizontal="center" vertical="center" wrapText="1"/>
    </xf>
    <xf numFmtId="164" fontId="12" fillId="8" borderId="63" xfId="2" applyFont="1" applyFill="1" applyBorder="1" applyAlignment="1">
      <alignment horizontal="center" vertical="center" wrapText="1"/>
    </xf>
    <xf numFmtId="164" fontId="56" fillId="8" borderId="59" xfId="2" applyFont="1" applyFill="1" applyBorder="1" applyAlignment="1">
      <alignment horizontal="center" vertical="center"/>
    </xf>
    <xf numFmtId="164" fontId="56" fillId="8" borderId="68" xfId="2" applyFont="1" applyFill="1" applyBorder="1" applyAlignment="1">
      <alignment horizontal="center" vertical="center"/>
    </xf>
    <xf numFmtId="164" fontId="56" fillId="8" borderId="60" xfId="2" applyFont="1" applyFill="1" applyBorder="1" applyAlignment="1">
      <alignment horizontal="center" vertical="center"/>
    </xf>
    <xf numFmtId="164" fontId="56" fillId="8" borderId="68" xfId="2" applyFont="1" applyFill="1" applyBorder="1" applyAlignment="1">
      <alignment horizontal="center" vertical="center" wrapText="1"/>
    </xf>
    <xf numFmtId="164" fontId="30" fillId="8" borderId="56" xfId="2" applyFont="1" applyFill="1" applyBorder="1" applyAlignment="1">
      <alignment horizontal="center" vertical="center"/>
    </xf>
    <xf numFmtId="164" fontId="30" fillId="8" borderId="1" xfId="2" applyFont="1" applyFill="1" applyBorder="1" applyAlignment="1">
      <alignment horizontal="center" vertical="center"/>
    </xf>
    <xf numFmtId="164" fontId="30" fillId="8" borderId="54" xfId="2" applyFont="1" applyFill="1" applyBorder="1" applyAlignment="1">
      <alignment horizontal="center" vertical="center"/>
    </xf>
    <xf numFmtId="164" fontId="30" fillId="8" borderId="62" xfId="2" applyFont="1" applyFill="1" applyBorder="1" applyAlignment="1">
      <alignment horizontal="center" vertical="center"/>
    </xf>
    <xf numFmtId="164" fontId="23" fillId="8" borderId="59" xfId="2" applyFont="1" applyFill="1" applyBorder="1" applyAlignment="1">
      <alignment horizontal="center" vertical="center" wrapText="1"/>
    </xf>
    <xf numFmtId="164" fontId="23" fillId="8" borderId="68" xfId="2" applyFont="1" applyFill="1" applyBorder="1" applyAlignment="1">
      <alignment horizontal="center" vertical="center" wrapText="1"/>
    </xf>
    <xf numFmtId="164" fontId="30" fillId="8" borderId="56" xfId="2" applyFont="1" applyFill="1" applyBorder="1" applyAlignment="1">
      <alignment horizontal="center" vertical="center" wrapText="1"/>
    </xf>
    <xf numFmtId="164" fontId="30" fillId="8" borderId="1" xfId="2" applyFont="1" applyFill="1" applyBorder="1" applyAlignment="1">
      <alignment horizontal="center" vertical="center" wrapText="1"/>
    </xf>
    <xf numFmtId="164" fontId="24" fillId="8" borderId="54" xfId="2" applyFont="1" applyFill="1" applyBorder="1" applyAlignment="1">
      <alignment horizontal="center" vertical="center"/>
    </xf>
    <xf numFmtId="164" fontId="24" fillId="8" borderId="62" xfId="2" applyFont="1" applyFill="1" applyBorder="1" applyAlignment="1">
      <alignment horizontal="center" vertical="center"/>
    </xf>
    <xf numFmtId="164" fontId="25" fillId="8" borderId="57" xfId="2" applyFont="1" applyFill="1" applyBorder="1" applyAlignment="1">
      <alignment horizontal="center" vertical="center"/>
    </xf>
    <xf numFmtId="164" fontId="25" fillId="8" borderId="63" xfId="2" applyFont="1" applyFill="1" applyBorder="1" applyAlignment="1">
      <alignment horizontal="center" vertical="center"/>
    </xf>
    <xf numFmtId="164" fontId="30" fillId="8" borderId="57" xfId="2" applyFont="1" applyFill="1" applyBorder="1" applyAlignment="1">
      <alignment horizontal="center" vertical="center"/>
    </xf>
    <xf numFmtId="164" fontId="30" fillId="8" borderId="63" xfId="2" applyFont="1" applyFill="1" applyBorder="1" applyAlignment="1">
      <alignment horizontal="center" vertical="center"/>
    </xf>
    <xf numFmtId="164" fontId="29" fillId="0" borderId="54" xfId="2" applyFont="1" applyFill="1" applyBorder="1" applyAlignment="1">
      <alignment horizontal="center" vertical="center" wrapText="1"/>
    </xf>
    <xf numFmtId="164" fontId="29" fillId="0" borderId="62" xfId="2" applyFont="1" applyFill="1" applyBorder="1" applyAlignment="1">
      <alignment horizontal="center" vertical="center" wrapText="1"/>
    </xf>
    <xf numFmtId="164" fontId="3" fillId="8" borderId="54" xfId="2" applyFill="1" applyBorder="1" applyAlignment="1">
      <alignment horizontal="center" vertical="center" wrapText="1"/>
    </xf>
    <xf numFmtId="164" fontId="3" fillId="8" borderId="62" xfId="2" applyFill="1" applyBorder="1" applyAlignment="1">
      <alignment horizontal="center" vertical="center" wrapText="1"/>
    </xf>
    <xf numFmtId="164" fontId="3" fillId="8" borderId="61" xfId="2" applyFill="1" applyBorder="1" applyAlignment="1">
      <alignment horizontal="center" vertical="center" wrapText="1"/>
    </xf>
    <xf numFmtId="164" fontId="3" fillId="8" borderId="57" xfId="2" applyFill="1" applyBorder="1" applyAlignment="1">
      <alignment horizontal="center" vertical="center" wrapText="1"/>
    </xf>
    <xf numFmtId="164" fontId="3" fillId="8" borderId="63" xfId="2" applyFill="1" applyBorder="1" applyAlignment="1">
      <alignment horizontal="center" vertical="center" wrapText="1"/>
    </xf>
    <xf numFmtId="164" fontId="3" fillId="8" borderId="29" xfId="2" applyFill="1" applyBorder="1" applyAlignment="1">
      <alignment horizontal="center" vertical="center" wrapText="1"/>
    </xf>
    <xf numFmtId="164" fontId="12" fillId="9" borderId="30" xfId="2" applyFont="1" applyFill="1" applyBorder="1" applyAlignment="1">
      <alignment horizontal="center" vertical="center"/>
    </xf>
    <xf numFmtId="164" fontId="12" fillId="9" borderId="31" xfId="2" applyFont="1" applyFill="1" applyBorder="1" applyAlignment="1">
      <alignment horizontal="center" vertical="center"/>
    </xf>
    <xf numFmtId="164" fontId="32" fillId="0" borderId="57" xfId="2" applyFont="1" applyFill="1" applyBorder="1" applyAlignment="1">
      <alignment horizontal="center" vertical="center" wrapText="1"/>
    </xf>
    <xf numFmtId="164" fontId="32" fillId="0" borderId="63" xfId="2" applyFont="1" applyFill="1" applyBorder="1" applyAlignment="1">
      <alignment horizontal="center" vertical="center" wrapText="1"/>
    </xf>
    <xf numFmtId="164" fontId="32" fillId="0" borderId="59" xfId="2" applyFont="1" applyFill="1" applyBorder="1" applyAlignment="1">
      <alignment horizontal="center" vertical="center" wrapText="1"/>
    </xf>
    <xf numFmtId="164" fontId="32" fillId="0" borderId="68" xfId="2" applyFont="1" applyFill="1" applyBorder="1" applyAlignment="1">
      <alignment horizontal="center" vertical="center" wrapText="1"/>
    </xf>
    <xf numFmtId="164" fontId="33" fillId="8" borderId="59" xfId="2" applyFont="1" applyFill="1" applyBorder="1" applyAlignment="1">
      <alignment horizontal="center" vertical="center"/>
    </xf>
    <xf numFmtId="164" fontId="33" fillId="8" borderId="68" xfId="2" applyFont="1" applyFill="1" applyBorder="1" applyAlignment="1">
      <alignment horizontal="center" vertical="center"/>
    </xf>
    <xf numFmtId="164" fontId="56" fillId="8" borderId="54" xfId="2" applyFont="1" applyFill="1" applyBorder="1" applyAlignment="1">
      <alignment horizontal="center" vertical="center" wrapText="1"/>
    </xf>
    <xf numFmtId="164" fontId="56" fillId="8" borderId="62" xfId="2" applyFont="1" applyFill="1" applyBorder="1" applyAlignment="1">
      <alignment horizontal="center" vertical="center" wrapText="1"/>
    </xf>
    <xf numFmtId="164" fontId="56" fillId="8" borderId="61" xfId="2" applyFont="1" applyFill="1" applyBorder="1" applyAlignment="1">
      <alignment horizontal="center" vertical="center" wrapText="1"/>
    </xf>
    <xf numFmtId="164" fontId="56" fillId="8" borderId="57" xfId="2" applyFont="1" applyFill="1" applyBorder="1" applyAlignment="1">
      <alignment horizontal="center" vertical="center" wrapText="1"/>
    </xf>
    <xf numFmtId="164" fontId="56" fillId="8" borderId="63" xfId="2" applyFont="1" applyFill="1" applyBorder="1" applyAlignment="1">
      <alignment horizontal="center" vertical="center" wrapText="1"/>
    </xf>
    <xf numFmtId="164" fontId="56" fillId="8" borderId="29" xfId="2" applyFont="1" applyFill="1" applyBorder="1" applyAlignment="1">
      <alignment horizontal="center" vertical="center" wrapText="1"/>
    </xf>
    <xf numFmtId="164" fontId="56" fillId="8" borderId="54" xfId="2" applyFont="1" applyFill="1" applyBorder="1" applyAlignment="1">
      <alignment horizontal="center" vertical="center"/>
    </xf>
    <xf numFmtId="164" fontId="56" fillId="8" borderId="61" xfId="2" applyFont="1" applyFill="1" applyBorder="1" applyAlignment="1">
      <alignment horizontal="center" vertical="center"/>
    </xf>
    <xf numFmtId="164" fontId="15" fillId="10" borderId="75" xfId="2" applyFont="1" applyFill="1" applyBorder="1" applyAlignment="1">
      <alignment horizontal="center" vertical="center"/>
    </xf>
    <xf numFmtId="164" fontId="15" fillId="10" borderId="53" xfId="2" applyFont="1" applyFill="1" applyBorder="1" applyAlignment="1">
      <alignment horizontal="center" vertical="center"/>
    </xf>
    <xf numFmtId="164" fontId="15" fillId="10" borderId="11" xfId="2" applyFont="1" applyFill="1" applyBorder="1" applyAlignment="1">
      <alignment horizontal="center" vertical="center"/>
    </xf>
    <xf numFmtId="164" fontId="15" fillId="10" borderId="13" xfId="2" applyFont="1" applyFill="1" applyBorder="1" applyAlignment="1">
      <alignment horizontal="center" vertical="center"/>
    </xf>
    <xf numFmtId="164" fontId="3" fillId="0" borderId="1" xfId="2" applyFill="1" applyBorder="1" applyAlignment="1">
      <alignment horizontal="center" vertical="center" wrapText="1"/>
    </xf>
    <xf numFmtId="164" fontId="35" fillId="0" borderId="1" xfId="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12" fillId="8" borderId="1" xfId="2" applyFont="1" applyFill="1" applyBorder="1" applyAlignment="1">
      <alignment horizontal="center" vertical="center" wrapText="1"/>
    </xf>
    <xf numFmtId="164" fontId="10" fillId="0" borderId="1" xfId="2" applyFont="1" applyFill="1" applyBorder="1" applyAlignment="1">
      <alignment horizontal="center" vertical="center"/>
    </xf>
    <xf numFmtId="164" fontId="18" fillId="0" borderId="1" xfId="2" applyFont="1" applyFill="1" applyBorder="1" applyAlignment="1">
      <alignment horizontal="center" vertical="center"/>
    </xf>
    <xf numFmtId="164" fontId="3" fillId="0" borderId="3" xfId="2" applyFill="1" applyBorder="1" applyAlignment="1">
      <alignment horizontal="center" vertical="center"/>
    </xf>
    <xf numFmtId="164" fontId="56" fillId="0" borderId="62" xfId="2" applyFont="1" applyFill="1" applyBorder="1" applyAlignment="1">
      <alignment horizontal="center" vertical="center"/>
    </xf>
    <xf numFmtId="164" fontId="56" fillId="0" borderId="61" xfId="2" applyFont="1" applyFill="1" applyBorder="1" applyAlignment="1">
      <alignment horizontal="center" vertical="center"/>
    </xf>
    <xf numFmtId="164" fontId="56" fillId="0" borderId="48" xfId="2" applyFont="1" applyFill="1" applyBorder="1" applyAlignment="1">
      <alignment horizontal="center" vertical="center"/>
    </xf>
    <xf numFmtId="164" fontId="56" fillId="0" borderId="63" xfId="2" applyFont="1" applyFill="1" applyBorder="1" applyAlignment="1">
      <alignment horizontal="center" vertical="center"/>
    </xf>
    <xf numFmtId="164" fontId="56" fillId="0" borderId="29" xfId="2" applyFont="1" applyFill="1" applyBorder="1" applyAlignment="1">
      <alignment horizontal="center" vertical="center"/>
    </xf>
    <xf numFmtId="164" fontId="12" fillId="0" borderId="8" xfId="2" applyFont="1" applyBorder="1" applyAlignment="1">
      <alignment horizontal="center" vertical="center" wrapText="1"/>
    </xf>
    <xf numFmtId="164" fontId="12" fillId="0" borderId="9" xfId="2" applyFont="1" applyBorder="1" applyAlignment="1">
      <alignment horizontal="center" vertical="center" wrapText="1"/>
    </xf>
    <xf numFmtId="164" fontId="12" fillId="0" borderId="10" xfId="2" applyFont="1" applyBorder="1" applyAlignment="1">
      <alignment horizontal="center" vertical="center" wrapText="1"/>
    </xf>
    <xf numFmtId="164" fontId="12" fillId="0" borderId="11" xfId="2" applyFont="1" applyBorder="1" applyAlignment="1">
      <alignment horizontal="center" vertical="center" wrapText="1"/>
    </xf>
    <xf numFmtId="164" fontId="12" fillId="0" borderId="12" xfId="2" applyFont="1" applyBorder="1" applyAlignment="1">
      <alignment horizontal="center" vertical="center" wrapText="1"/>
    </xf>
    <xf numFmtId="164" fontId="12" fillId="0" borderId="13" xfId="2" applyFont="1" applyBorder="1" applyAlignment="1">
      <alignment horizontal="center" vertical="center" wrapText="1"/>
    </xf>
    <xf numFmtId="164" fontId="33" fillId="6" borderId="8" xfId="2" applyFont="1" applyFill="1" applyBorder="1" applyAlignment="1">
      <alignment horizontal="center" vertical="center" wrapText="1"/>
    </xf>
    <xf numFmtId="164" fontId="33" fillId="6" borderId="9" xfId="2" applyFont="1" applyFill="1" applyBorder="1" applyAlignment="1">
      <alignment horizontal="center" vertical="center" wrapText="1"/>
    </xf>
    <xf numFmtId="164" fontId="33" fillId="6" borderId="10" xfId="2" applyFont="1" applyFill="1" applyBorder="1" applyAlignment="1">
      <alignment horizontal="center" vertical="center" wrapText="1"/>
    </xf>
    <xf numFmtId="164" fontId="33" fillId="6" borderId="46" xfId="2" applyFont="1" applyFill="1" applyBorder="1" applyAlignment="1">
      <alignment horizontal="center" vertical="center" wrapText="1"/>
    </xf>
    <xf numFmtId="164" fontId="33" fillId="6" borderId="0" xfId="2" applyFont="1" applyFill="1" applyBorder="1" applyAlignment="1">
      <alignment horizontal="center" vertical="center" wrapText="1"/>
    </xf>
    <xf numFmtId="164" fontId="33" fillId="6" borderId="47" xfId="2" applyFont="1" applyFill="1" applyBorder="1" applyAlignment="1">
      <alignment horizontal="center" vertical="center" wrapText="1"/>
    </xf>
    <xf numFmtId="164" fontId="33" fillId="6" borderId="11" xfId="2" applyFont="1" applyFill="1" applyBorder="1" applyAlignment="1">
      <alignment horizontal="center" vertical="center" wrapText="1"/>
    </xf>
    <xf numFmtId="164" fontId="33" fillId="6" borderId="12" xfId="2" applyFont="1" applyFill="1" applyBorder="1" applyAlignment="1">
      <alignment horizontal="center" vertical="center" wrapText="1"/>
    </xf>
    <xf numFmtId="164" fontId="33" fillId="6" borderId="13" xfId="2" applyFont="1" applyFill="1" applyBorder="1" applyAlignment="1">
      <alignment horizontal="center" vertical="center" wrapText="1"/>
    </xf>
    <xf numFmtId="164" fontId="12" fillId="8" borderId="56" xfId="2" applyFont="1" applyFill="1" applyBorder="1" applyAlignment="1">
      <alignment horizontal="center" vertical="center" wrapText="1"/>
    </xf>
    <xf numFmtId="164" fontId="20" fillId="8" borderId="49" xfId="2" applyFont="1" applyFill="1" applyBorder="1" applyAlignment="1">
      <alignment horizontal="center" vertical="center" wrapText="1"/>
    </xf>
    <xf numFmtId="164" fontId="20" fillId="8" borderId="5" xfId="2" applyFont="1" applyFill="1" applyBorder="1" applyAlignment="1">
      <alignment horizontal="center" vertical="center" wrapText="1"/>
    </xf>
    <xf numFmtId="164" fontId="21" fillId="8" borderId="59" xfId="2" applyFont="1" applyFill="1" applyBorder="1" applyAlignment="1">
      <alignment horizontal="center" vertical="center" wrapText="1"/>
    </xf>
    <xf numFmtId="164" fontId="21" fillId="8" borderId="60" xfId="2" applyFont="1" applyFill="1" applyBorder="1" applyAlignment="1">
      <alignment horizontal="center" vertical="center" wrapText="1"/>
    </xf>
    <xf numFmtId="164" fontId="22" fillId="8" borderId="59" xfId="2" applyFont="1" applyFill="1" applyBorder="1" applyAlignment="1">
      <alignment horizontal="center" vertical="center" wrapText="1"/>
    </xf>
    <xf numFmtId="164" fontId="22" fillId="8" borderId="60" xfId="2" applyFont="1" applyFill="1" applyBorder="1" applyAlignment="1">
      <alignment horizontal="center" vertical="center" wrapText="1"/>
    </xf>
    <xf numFmtId="164" fontId="12" fillId="0" borderId="54" xfId="2" applyFont="1" applyFill="1" applyBorder="1" applyAlignment="1">
      <alignment horizontal="center" vertical="center" wrapText="1"/>
    </xf>
    <xf numFmtId="164" fontId="12" fillId="0" borderId="56" xfId="2" applyFont="1" applyFill="1" applyBorder="1" applyAlignment="1">
      <alignment horizontal="center" vertical="center" wrapText="1"/>
    </xf>
    <xf numFmtId="164" fontId="12" fillId="8" borderId="62" xfId="2" applyFont="1" applyFill="1" applyBorder="1" applyAlignment="1">
      <alignment horizontal="center" vertical="center" wrapText="1"/>
    </xf>
    <xf numFmtId="164" fontId="12" fillId="8" borderId="61" xfId="2" applyFont="1" applyFill="1" applyBorder="1" applyAlignment="1">
      <alignment horizontal="center" vertical="center" wrapText="1"/>
    </xf>
    <xf numFmtId="164" fontId="12" fillId="8" borderId="48" xfId="2" applyFont="1" applyFill="1" applyBorder="1" applyAlignment="1">
      <alignment horizontal="center" vertical="center" wrapText="1"/>
    </xf>
    <xf numFmtId="164" fontId="12" fillId="8" borderId="54" xfId="2" applyFont="1" applyFill="1" applyBorder="1" applyAlignment="1">
      <alignment horizontal="center" vertical="center" wrapText="1"/>
    </xf>
    <xf numFmtId="164" fontId="10" fillId="8" borderId="59" xfId="2" applyFont="1" applyFill="1" applyBorder="1" applyAlignment="1">
      <alignment horizontal="center" vertical="center" wrapText="1"/>
    </xf>
    <xf numFmtId="164" fontId="10" fillId="8" borderId="60" xfId="2" applyFont="1" applyFill="1" applyBorder="1" applyAlignment="1">
      <alignment horizontal="center" vertical="center" wrapText="1"/>
    </xf>
    <xf numFmtId="164" fontId="56" fillId="8" borderId="69" xfId="2" applyFont="1" applyFill="1" applyBorder="1" applyAlignment="1">
      <alignment horizontal="center" vertical="center" wrapText="1"/>
    </xf>
    <xf numFmtId="164" fontId="12" fillId="3" borderId="59" xfId="2" applyFont="1" applyFill="1" applyBorder="1" applyAlignment="1">
      <alignment horizontal="center" vertical="center" wrapText="1"/>
    </xf>
    <xf numFmtId="164" fontId="12" fillId="3" borderId="68" xfId="2" applyFont="1" applyFill="1" applyBorder="1" applyAlignment="1">
      <alignment horizontal="center" vertical="center" wrapText="1"/>
    </xf>
    <xf numFmtId="164" fontId="12" fillId="3" borderId="60" xfId="2" applyFont="1" applyFill="1" applyBorder="1" applyAlignment="1">
      <alignment horizontal="center" vertical="center" wrapText="1"/>
    </xf>
    <xf numFmtId="164" fontId="23" fillId="3" borderId="54" xfId="2" applyFont="1" applyFill="1" applyBorder="1" applyAlignment="1">
      <alignment horizontal="center" vertical="center"/>
    </xf>
    <xf numFmtId="164" fontId="23" fillId="3" borderId="62" xfId="2" applyFont="1" applyFill="1" applyBorder="1" applyAlignment="1">
      <alignment horizontal="center" vertical="center"/>
    </xf>
    <xf numFmtId="164" fontId="23" fillId="3" borderId="61" xfId="2" applyFont="1" applyFill="1" applyBorder="1" applyAlignment="1">
      <alignment horizontal="center" vertical="center"/>
    </xf>
    <xf numFmtId="164" fontId="23" fillId="3" borderId="57" xfId="2" applyFont="1" applyFill="1" applyBorder="1" applyAlignment="1">
      <alignment horizontal="center" vertical="center"/>
    </xf>
    <xf numFmtId="164" fontId="23" fillId="3" borderId="63" xfId="2" applyFont="1" applyFill="1" applyBorder="1" applyAlignment="1">
      <alignment horizontal="center" vertical="center"/>
    </xf>
    <xf numFmtId="164" fontId="23" fillId="3" borderId="29" xfId="2" applyFont="1" applyFill="1" applyBorder="1" applyAlignment="1">
      <alignment horizontal="center" vertical="center"/>
    </xf>
    <xf numFmtId="164" fontId="12" fillId="0" borderId="62" xfId="2" applyFont="1" applyFill="1" applyBorder="1" applyAlignment="1">
      <alignment horizontal="center" vertical="center"/>
    </xf>
    <xf numFmtId="164" fontId="12" fillId="0" borderId="61" xfId="2" applyFont="1" applyFill="1" applyBorder="1" applyAlignment="1">
      <alignment horizontal="center" vertical="center"/>
    </xf>
    <xf numFmtId="164" fontId="12" fillId="0" borderId="1" xfId="2" applyFont="1" applyFill="1" applyBorder="1" applyAlignment="1">
      <alignment horizontal="center" vertical="center"/>
    </xf>
    <xf numFmtId="164" fontId="12" fillId="0" borderId="48" xfId="2" applyFont="1" applyFill="1" applyBorder="1" applyAlignment="1">
      <alignment horizontal="center" vertical="center"/>
    </xf>
    <xf numFmtId="164" fontId="12" fillId="0" borderId="63" xfId="2" applyFont="1" applyFill="1" applyBorder="1" applyAlignment="1">
      <alignment horizontal="center" vertical="center"/>
    </xf>
    <xf numFmtId="164" fontId="12" fillId="0" borderId="29" xfId="2" applyFont="1" applyFill="1" applyBorder="1" applyAlignment="1">
      <alignment horizontal="center" vertical="center"/>
    </xf>
    <xf numFmtId="164" fontId="3" fillId="0" borderId="76" xfId="2" applyFill="1" applyBorder="1" applyAlignment="1">
      <alignment horizontal="center" vertical="center"/>
    </xf>
    <xf numFmtId="164" fontId="3" fillId="0" borderId="71" xfId="2" applyFill="1" applyBorder="1" applyAlignment="1">
      <alignment horizontal="center" vertical="center"/>
    </xf>
    <xf numFmtId="164" fontId="3" fillId="0" borderId="78" xfId="2" applyFill="1" applyBorder="1" applyAlignment="1">
      <alignment horizontal="center" vertical="center"/>
    </xf>
    <xf numFmtId="164" fontId="3" fillId="0" borderId="72" xfId="2" applyFill="1" applyBorder="1" applyAlignment="1">
      <alignment horizontal="center" vertical="center"/>
    </xf>
    <xf numFmtId="164" fontId="3" fillId="0" borderId="77" xfId="2" applyFill="1" applyBorder="1" applyAlignment="1">
      <alignment horizontal="center" vertical="center"/>
    </xf>
    <xf numFmtId="164" fontId="3" fillId="0" borderId="4" xfId="2" applyFill="1" applyBorder="1" applyAlignment="1">
      <alignment horizontal="center" vertical="center"/>
    </xf>
    <xf numFmtId="164" fontId="3" fillId="0" borderId="14" xfId="2" applyFill="1" applyBorder="1" applyAlignment="1">
      <alignment horizontal="center" vertical="center"/>
    </xf>
    <xf numFmtId="164" fontId="3" fillId="0" borderId="69" xfId="2" applyFill="1" applyBorder="1" applyAlignment="1">
      <alignment horizontal="center" vertical="center"/>
    </xf>
    <xf numFmtId="0" fontId="0" fillId="5" borderId="59" xfId="0" applyFill="1" applyBorder="1"/>
    <xf numFmtId="0" fontId="0" fillId="5" borderId="68" xfId="0" applyFill="1" applyBorder="1"/>
    <xf numFmtId="0" fontId="0" fillId="5" borderId="60" xfId="0" applyFill="1" applyBorder="1"/>
    <xf numFmtId="164" fontId="53" fillId="6" borderId="14" xfId="2" applyFont="1" applyFill="1" applyBorder="1" applyAlignment="1">
      <alignment horizontal="center" vertical="center" wrapText="1"/>
    </xf>
    <xf numFmtId="164" fontId="53" fillId="6" borderId="25" xfId="2" applyFont="1" applyFill="1" applyBorder="1" applyAlignment="1">
      <alignment horizontal="center" vertical="center" wrapText="1"/>
    </xf>
    <xf numFmtId="164" fontId="53" fillId="6" borderId="15" xfId="2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64" fontId="53" fillId="6" borderId="19" xfId="2" applyFont="1" applyFill="1" applyBorder="1" applyAlignment="1">
      <alignment horizontal="center" vertical="center" wrapText="1"/>
    </xf>
    <xf numFmtId="164" fontId="53" fillId="6" borderId="16" xfId="2" applyFont="1" applyFill="1" applyBorder="1" applyAlignment="1">
      <alignment horizontal="center" vertical="center" wrapText="1"/>
    </xf>
    <xf numFmtId="164" fontId="53" fillId="6" borderId="20" xfId="2" applyFont="1" applyFill="1" applyBorder="1" applyAlignment="1">
      <alignment horizontal="center" vertical="center" wrapText="1"/>
    </xf>
    <xf numFmtId="164" fontId="53" fillId="6" borderId="28" xfId="2" applyFont="1" applyFill="1" applyBorder="1" applyAlignment="1">
      <alignment horizontal="center" vertical="center" wrapText="1"/>
    </xf>
    <xf numFmtId="164" fontId="53" fillId="6" borderId="42" xfId="2" applyFont="1" applyFill="1" applyBorder="1" applyAlignment="1">
      <alignment horizontal="center" vertical="center" wrapText="1"/>
    </xf>
    <xf numFmtId="164" fontId="53" fillId="6" borderId="43" xfId="2" applyFont="1" applyFill="1" applyBorder="1" applyAlignment="1">
      <alignment horizontal="center" vertical="center" wrapText="1"/>
    </xf>
    <xf numFmtId="0" fontId="39" fillId="12" borderId="8" xfId="0" applyFont="1" applyFill="1" applyBorder="1" applyAlignment="1">
      <alignment horizontal="center" vertical="center" wrapText="1"/>
    </xf>
    <xf numFmtId="0" fontId="39" fillId="12" borderId="9" xfId="0" applyFont="1" applyFill="1" applyBorder="1" applyAlignment="1">
      <alignment horizontal="center" vertical="center" wrapText="1"/>
    </xf>
    <xf numFmtId="0" fontId="39" fillId="12" borderId="10" xfId="0" applyFont="1" applyFill="1" applyBorder="1" applyAlignment="1">
      <alignment horizontal="center" vertical="center" wrapText="1"/>
    </xf>
    <xf numFmtId="0" fontId="39" fillId="12" borderId="11" xfId="0" applyFont="1" applyFill="1" applyBorder="1" applyAlignment="1">
      <alignment horizontal="center" vertical="center" wrapText="1"/>
    </xf>
    <xf numFmtId="0" fontId="39" fillId="12" borderId="12" xfId="0" applyFont="1" applyFill="1" applyBorder="1" applyAlignment="1">
      <alignment horizontal="center" vertical="center" wrapText="1"/>
    </xf>
    <xf numFmtId="0" fontId="39" fillId="12" borderId="13" xfId="0" applyFont="1" applyFill="1" applyBorder="1" applyAlignment="1">
      <alignment horizontal="center" vertical="center" wrapText="1"/>
    </xf>
    <xf numFmtId="164" fontId="53" fillId="6" borderId="23" xfId="2" applyFont="1" applyFill="1" applyBorder="1" applyAlignment="1">
      <alignment horizontal="center" vertical="center" wrapText="1"/>
    </xf>
    <xf numFmtId="164" fontId="53" fillId="6" borderId="41" xfId="2" applyFont="1" applyFill="1" applyBorder="1" applyAlignment="1">
      <alignment horizontal="center" vertical="center" wrapText="1"/>
    </xf>
    <xf numFmtId="164" fontId="53" fillId="6" borderId="24" xfId="2" applyFont="1" applyFill="1" applyBorder="1" applyAlignment="1">
      <alignment horizontal="center" vertical="center" wrapText="1"/>
    </xf>
    <xf numFmtId="0" fontId="48" fillId="0" borderId="0" xfId="8" applyAlignment="1">
      <alignment horizontal="center" vertical="center"/>
    </xf>
    <xf numFmtId="0" fontId="0" fillId="0" borderId="0" xfId="0" applyAlignment="1">
      <alignment horizontal="center" vertical="center"/>
    </xf>
    <xf numFmtId="164" fontId="12" fillId="6" borderId="14" xfId="2" applyFont="1" applyFill="1" applyBorder="1" applyAlignment="1">
      <alignment horizontal="center" vertical="center"/>
    </xf>
    <xf numFmtId="164" fontId="12" fillId="6" borderId="15" xfId="2" applyFont="1" applyFill="1" applyBorder="1" applyAlignment="1">
      <alignment horizontal="center" vertical="center"/>
    </xf>
    <xf numFmtId="164" fontId="12" fillId="6" borderId="14" xfId="2" applyFont="1" applyFill="1" applyBorder="1" applyAlignment="1">
      <alignment horizontal="center" vertical="center" wrapText="1"/>
    </xf>
    <xf numFmtId="164" fontId="12" fillId="6" borderId="25" xfId="2" applyFont="1" applyFill="1" applyBorder="1" applyAlignment="1">
      <alignment horizontal="center" vertical="center" wrapText="1"/>
    </xf>
    <xf numFmtId="164" fontId="12" fillId="6" borderId="15" xfId="2" applyFont="1" applyFill="1" applyBorder="1" applyAlignment="1">
      <alignment horizontal="center" vertical="center" wrapText="1"/>
    </xf>
    <xf numFmtId="164" fontId="53" fillId="6" borderId="17" xfId="2" applyFont="1" applyFill="1" applyBorder="1" applyAlignment="1">
      <alignment horizontal="center" vertical="center" wrapText="1"/>
    </xf>
    <xf numFmtId="164" fontId="53" fillId="6" borderId="26" xfId="2" applyFont="1" applyFill="1" applyBorder="1" applyAlignment="1">
      <alignment horizontal="center" vertical="center" wrapText="1"/>
    </xf>
    <xf numFmtId="164" fontId="53" fillId="6" borderId="18" xfId="2" applyFont="1" applyFill="1" applyBorder="1" applyAlignment="1">
      <alignment horizontal="center" vertical="center" wrapText="1"/>
    </xf>
    <xf numFmtId="164" fontId="12" fillId="6" borderId="23" xfId="2" applyFont="1" applyFill="1" applyBorder="1" applyAlignment="1">
      <alignment horizontal="center" vertical="center" wrapText="1"/>
    </xf>
    <xf numFmtId="164" fontId="12" fillId="6" borderId="41" xfId="2" applyFont="1" applyFill="1" applyBorder="1" applyAlignment="1">
      <alignment horizontal="center" vertical="center" wrapText="1"/>
    </xf>
    <xf numFmtId="164" fontId="12" fillId="6" borderId="24" xfId="2" applyFont="1" applyFill="1" applyBorder="1" applyAlignment="1">
      <alignment horizontal="center" vertical="center" wrapText="1"/>
    </xf>
    <xf numFmtId="164" fontId="29" fillId="6" borderId="21" xfId="2" applyFont="1" applyFill="1" applyBorder="1" applyAlignment="1">
      <alignment horizontal="center" vertical="center" wrapText="1"/>
    </xf>
    <xf numFmtId="164" fontId="29" fillId="6" borderId="27" xfId="2" applyFont="1" applyFill="1" applyBorder="1" applyAlignment="1">
      <alignment horizontal="center" vertical="center" wrapText="1"/>
    </xf>
    <xf numFmtId="164" fontId="29" fillId="6" borderId="22" xfId="2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8" fillId="12" borderId="8" xfId="0" applyFont="1" applyFill="1" applyBorder="1" applyAlignment="1">
      <alignment horizontal="center" vertical="center" wrapText="1"/>
    </xf>
    <xf numFmtId="0" fontId="38" fillId="12" borderId="9" xfId="0" applyFont="1" applyFill="1" applyBorder="1" applyAlignment="1">
      <alignment horizontal="center" vertical="center" wrapText="1"/>
    </xf>
    <xf numFmtId="0" fontId="38" fillId="12" borderId="10" xfId="0" applyFont="1" applyFill="1" applyBorder="1" applyAlignment="1">
      <alignment horizontal="center" vertical="center" wrapText="1"/>
    </xf>
    <xf numFmtId="0" fontId="38" fillId="12" borderId="11" xfId="0" applyFont="1" applyFill="1" applyBorder="1" applyAlignment="1">
      <alignment horizontal="center" vertical="center" wrapText="1"/>
    </xf>
    <xf numFmtId="0" fontId="38" fillId="12" borderId="12" xfId="0" applyFont="1" applyFill="1" applyBorder="1" applyAlignment="1">
      <alignment horizontal="center" vertical="center" wrapText="1"/>
    </xf>
    <xf numFmtId="0" fontId="38" fillId="12" borderId="13" xfId="0" applyFont="1" applyFill="1" applyBorder="1" applyAlignment="1">
      <alignment horizontal="center" vertical="center" wrapText="1"/>
    </xf>
    <xf numFmtId="0" fontId="40" fillId="13" borderId="8" xfId="0" applyFont="1" applyFill="1" applyBorder="1" applyAlignment="1">
      <alignment horizontal="center" vertical="center" wrapText="1"/>
    </xf>
    <xf numFmtId="0" fontId="40" fillId="13" borderId="10" xfId="0" applyFont="1" applyFill="1" applyBorder="1" applyAlignment="1">
      <alignment horizontal="center" vertical="center" wrapText="1"/>
    </xf>
    <xf numFmtId="0" fontId="40" fillId="13" borderId="11" xfId="0" applyFont="1" applyFill="1" applyBorder="1" applyAlignment="1">
      <alignment horizontal="center" vertical="center" wrapText="1"/>
    </xf>
    <xf numFmtId="0" fontId="40" fillId="13" borderId="13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51" fillId="0" borderId="8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1" fillId="0" borderId="46" xfId="0" applyFont="1" applyBorder="1" applyAlignment="1">
      <alignment horizontal="center" wrapText="1"/>
    </xf>
    <xf numFmtId="0" fontId="51" fillId="0" borderId="0" xfId="0" applyFont="1" applyBorder="1" applyAlignment="1">
      <alignment horizontal="center" wrapText="1"/>
    </xf>
    <xf numFmtId="0" fontId="51" fillId="0" borderId="47" xfId="0" applyFont="1" applyBorder="1" applyAlignment="1">
      <alignment horizontal="center" wrapText="1"/>
    </xf>
    <xf numFmtId="0" fontId="51" fillId="0" borderId="11" xfId="0" applyFont="1" applyBorder="1" applyAlignment="1">
      <alignment horizontal="center"/>
    </xf>
    <xf numFmtId="0" fontId="51" fillId="0" borderId="12" xfId="0" applyFont="1" applyBorder="1" applyAlignment="1">
      <alignment horizontal="center"/>
    </xf>
    <xf numFmtId="0" fontId="51" fillId="0" borderId="13" xfId="0" applyFont="1" applyBorder="1" applyAlignment="1">
      <alignment horizontal="center"/>
    </xf>
  </cellXfs>
  <cellStyles count="10">
    <cellStyle name="ConditionalStyle_1" xfId="1"/>
    <cellStyle name="Excel Built-in Normal" xfId="2"/>
    <cellStyle name="Heading" xfId="3"/>
    <cellStyle name="Heading1" xfId="4"/>
    <cellStyle name="Lien hypertexte" xfId="8" builtinId="8"/>
    <cellStyle name="Milliers" xfId="7" builtinId="3"/>
    <cellStyle name="Monétaire" xfId="9" builtinId="4"/>
    <cellStyle name="Normal" xfId="0" builtinId="0" customBuiltin="1"/>
    <cellStyle name="Result" xfId="5"/>
    <cellStyle name="Result2" xfId="6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50"/>
          <bgColor rgb="FF00B050"/>
        </patternFill>
      </fill>
    </dxf>
    <dxf>
      <font>
        <b/>
        <i val="0"/>
      </font>
      <numFmt numFmtId="176" formatCode="#,##0.0"/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9360</xdr:colOff>
      <xdr:row>32</xdr:row>
      <xdr:rowOff>223200</xdr:rowOff>
    </xdr:from>
    <xdr:ext cx="8587080" cy="3129839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lum bright="-50000"/>
          <a:alphaModFix/>
        </a:blip>
        <a:srcRect/>
        <a:stretch>
          <a:fillRect/>
        </a:stretch>
      </xdr:blipFill>
      <xdr:spPr>
        <a:xfrm>
          <a:off x="818985" y="8043225"/>
          <a:ext cx="8587080" cy="3129839"/>
        </a:xfrm>
        <a:prstGeom prst="rect">
          <a:avLst/>
        </a:prstGeom>
        <a:noFill/>
        <a:ln w="0">
          <a:solidFill>
            <a:srgbClr val="0D0D0D"/>
          </a:solidFill>
          <a:prstDash val="solid"/>
        </a:ln>
      </xdr:spPr>
    </xdr:pic>
    <xdr:clientData/>
  </xdr:oneCellAnchor>
  <xdr:oneCellAnchor>
    <xdr:from>
      <xdr:col>7</xdr:col>
      <xdr:colOff>82440</xdr:colOff>
      <xdr:row>32</xdr:row>
      <xdr:rowOff>209880</xdr:rowOff>
    </xdr:from>
    <xdr:ext cx="4940280" cy="3595320"/>
    <xdr:pic>
      <xdr:nvPicPr>
        <xdr:cNvPr id="3" name="Image 3"/>
        <xdr:cNvPicPr>
          <a:picLocks noChangeAspect="1"/>
        </xdr:cNvPicPr>
      </xdr:nvPicPr>
      <xdr:blipFill>
        <a:blip xmlns:r="http://schemas.openxmlformats.org/officeDocument/2006/relationships" r:embed="rId2">
          <a:lum bright="-50000"/>
          <a:alphaModFix/>
        </a:blip>
        <a:srcRect r="39299" b="13350"/>
        <a:stretch>
          <a:fillRect/>
        </a:stretch>
      </xdr:blipFill>
      <xdr:spPr>
        <a:xfrm>
          <a:off x="10026540" y="8029905"/>
          <a:ext cx="4940280" cy="3595320"/>
        </a:xfrm>
        <a:prstGeom prst="rect">
          <a:avLst/>
        </a:prstGeom>
        <a:noFill/>
        <a:ln w="0">
          <a:solidFill>
            <a:srgbClr val="000000"/>
          </a:solidFill>
          <a:prstDash val="solid"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831818</xdr:colOff>
      <xdr:row>12</xdr:row>
      <xdr:rowOff>3651</xdr:rowOff>
    </xdr:from>
    <xdr:ext cx="2048446" cy="176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/>
            <xdr:cNvSpPr txBox="1"/>
          </xdr:nvSpPr>
          <xdr:spPr>
            <a:xfrm>
              <a:off x="7537418" y="2546826"/>
              <a:ext cx="2048446" cy="176972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𝑀𝐴𝑋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, 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𝑆𝑇𝑅𝐼𝑁𝐺</m:t>
                        </m:r>
                      </m:sub>
                    </m:sSub>
                    <m:r>
                      <a:rPr lang="fr-FR" sz="1100" b="0" i="1">
                        <a:latin typeface="Cambria Math" panose="02040503050406030204" pitchFamily="18" charset="0"/>
                      </a:rPr>
                      <m:t>=1,25 </m:t>
                    </m:r>
                    <m:d>
                      <m:d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  <m:r>
                      <a:rPr lang="fr-FR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𝑆𝐶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𝑆𝑇𝐶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" name="ZoneTexte 1"/>
            <xdr:cNvSpPr txBox="1"/>
          </xdr:nvSpPr>
          <xdr:spPr>
            <a:xfrm>
              <a:off x="7537418" y="2546826"/>
              <a:ext cx="2048446" cy="176972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𝐼_(𝑀𝐴𝑋, 𝑆𝑇𝑅𝐼𝑁𝐺)=1,25 (𝑛−1)  𝐼_(𝑆𝐶,𝑆𝑇𝐶)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9525</xdr:colOff>
      <xdr:row>24</xdr:row>
      <xdr:rowOff>3651</xdr:rowOff>
    </xdr:from>
    <xdr:ext cx="1314449" cy="4725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/>
            <xdr:cNvSpPr txBox="1"/>
          </xdr:nvSpPr>
          <xdr:spPr>
            <a:xfrm>
              <a:off x="7553325" y="4737576"/>
              <a:ext cx="1314449" cy="472599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fr-FR" sz="1800" b="0"/>
                <a:t>  S</a:t>
              </a:r>
              <a:r>
                <a:rPr lang="fr-FR" sz="1800" b="0" baseline="0"/>
                <a:t> </a:t>
              </a:r>
              <a14:m>
                <m:oMath xmlns:m="http://schemas.openxmlformats.org/officeDocument/2006/math">
                  <m:r>
                    <a:rPr lang="fr-FR" sz="1800" b="0" i="1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fr-FR" sz="18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𝜌</m:t>
                      </m:r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∗</m:t>
                      </m:r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𝐿</m:t>
                      </m:r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∗</m:t>
                      </m:r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𝐼</m:t>
                      </m:r>
                    </m:num>
                    <m:den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𝜀</m:t>
                      </m:r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∗ </m:t>
                      </m:r>
                      <m:sSub>
                        <m:sSubPr>
                          <m:ctrlPr>
                            <a:rPr lang="fr-FR" sz="1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fr-FR" sz="1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r>
                            <a:rPr lang="fr-FR" sz="1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𝐴</m:t>
                          </m:r>
                        </m:sub>
                      </m:sSub>
                    </m:den>
                  </m:f>
                </m:oMath>
              </a14:m>
              <a:endParaRPr lang="fr-FR" sz="1800"/>
            </a:p>
          </xdr:txBody>
        </xdr:sp>
      </mc:Choice>
      <mc:Fallback xmlns="">
        <xdr:sp macro="" textlink="">
          <xdr:nvSpPr>
            <xdr:cNvPr id="4" name="ZoneTexte 3"/>
            <xdr:cNvSpPr txBox="1"/>
          </xdr:nvSpPr>
          <xdr:spPr>
            <a:xfrm>
              <a:off x="7553325" y="4737576"/>
              <a:ext cx="1314449" cy="472599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fr-FR" sz="1800" b="0"/>
                <a:t>  S</a:t>
              </a:r>
              <a:r>
                <a:rPr lang="fr-FR" sz="1800" b="0" baseline="0"/>
                <a:t> </a:t>
              </a:r>
              <a:r>
                <a:rPr lang="fr-FR" sz="1800" b="0" i="0">
                  <a:latin typeface="Cambria Math" panose="02040503050406030204" pitchFamily="18" charset="0"/>
                </a:rPr>
                <a:t>= </a:t>
              </a:r>
              <a:r>
                <a:rPr lang="fr-FR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(𝜌 ∗𝐿 ∗𝐼)/(𝜀 ∗ 𝑉_𝐴 )</a:t>
              </a:r>
              <a:endParaRPr lang="fr-FR" sz="1800"/>
            </a:p>
          </xdr:txBody>
        </xdr:sp>
      </mc:Fallback>
    </mc:AlternateContent>
    <xdr:clientData/>
  </xdr:oneCellAnchor>
  <xdr:oneCellAnchor>
    <xdr:from>
      <xdr:col>4</xdr:col>
      <xdr:colOff>28575</xdr:colOff>
      <xdr:row>24</xdr:row>
      <xdr:rowOff>38100</xdr:rowOff>
    </xdr:from>
    <xdr:ext cx="1676741" cy="176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ZoneTexte 4"/>
            <xdr:cNvSpPr txBox="1"/>
          </xdr:nvSpPr>
          <xdr:spPr>
            <a:xfrm>
              <a:off x="3724275" y="5267325"/>
              <a:ext cx="1676741" cy="176972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𝑀𝐴𝑋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, 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𝐴𝑅𝑅𝐴𝑌</m:t>
                        </m:r>
                      </m:sub>
                    </m:sSub>
                    <m:r>
                      <a:rPr lang="fr-FR" sz="1100" b="0" i="1">
                        <a:latin typeface="Cambria Math" panose="02040503050406030204" pitchFamily="18" charset="0"/>
                      </a:rPr>
                      <m:t>=1,25 </m:t>
                    </m:r>
                    <m:r>
                      <a:rPr lang="fr-FR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fr-FR" sz="1100" b="0" i="1">
                        <a:latin typeface="Cambria Math" panose="02040503050406030204" pitchFamily="18" charset="0"/>
                      </a:rPr>
                      <m:t>  </m:t>
                    </m:r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𝑆𝐶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𝑆𝑇𝐶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" name="ZoneTexte 4"/>
            <xdr:cNvSpPr txBox="1"/>
          </xdr:nvSpPr>
          <xdr:spPr>
            <a:xfrm>
              <a:off x="3724275" y="5267325"/>
              <a:ext cx="1676741" cy="176972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𝐼_(𝑀𝐴𝑋, 𝐴𝑅𝑅𝐴𝑌)=1,25 𝑛  𝐼_(𝑆𝐶,𝑆𝑇𝐶)</a:t>
              </a:r>
              <a:endParaRPr lang="fr-FR" sz="1100"/>
            </a:p>
          </xdr:txBody>
        </xdr:sp>
      </mc:Fallback>
    </mc:AlternateContent>
    <xdr:clientData/>
  </xdr:oneCellAnchor>
  <xdr:twoCellAnchor>
    <xdr:from>
      <xdr:col>5</xdr:col>
      <xdr:colOff>828675</xdr:colOff>
      <xdr:row>32</xdr:row>
      <xdr:rowOff>257175</xdr:rowOff>
    </xdr:from>
    <xdr:to>
      <xdr:col>6</xdr:col>
      <xdr:colOff>704850</xdr:colOff>
      <xdr:row>32</xdr:row>
      <xdr:rowOff>257175</xdr:rowOff>
    </xdr:to>
    <xdr:cxnSp macro="">
      <xdr:nvCxnSpPr>
        <xdr:cNvPr id="7" name="Connecteur droit avec flèche 6"/>
        <xdr:cNvCxnSpPr/>
      </xdr:nvCxnSpPr>
      <xdr:spPr>
        <a:xfrm>
          <a:off x="6162675" y="7296150"/>
          <a:ext cx="714375" cy="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85725</xdr:colOff>
      <xdr:row>39</xdr:row>
      <xdr:rowOff>42862</xdr:rowOff>
    </xdr:from>
    <xdr:ext cx="315310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/>
            <xdr:cNvSpPr txBox="1"/>
          </xdr:nvSpPr>
          <xdr:spPr>
            <a:xfrm>
              <a:off x="4162425" y="8682037"/>
              <a:ext cx="3153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fr-FR" sz="1100" b="0" i="1">
                      <a:latin typeface="Cambria Math" panose="02040503050406030204" pitchFamily="18" charset="0"/>
                    </a:rPr>
                    <m:t>𝑃𝑟</m:t>
                  </m:r>
                  <m:r>
                    <a:rPr lang="fr-FR" sz="1100" b="0" i="1">
                      <a:latin typeface="Cambria Math" panose="02040503050406030204" pitchFamily="18" charset="0"/>
                    </a:rPr>
                    <m:t>é</m:t>
                  </m:r>
                  <m:r>
                    <a:rPr lang="fr-FR" sz="1100" b="0" i="1">
                      <a:latin typeface="Cambria Math" panose="02040503050406030204" pitchFamily="18" charset="0"/>
                    </a:rPr>
                    <m:t>𝑠𝑒𝑛𝑐𝑒</m:t>
                  </m:r>
                  <m:r>
                    <a:rPr lang="fr-FR" sz="1100" b="0" i="1">
                      <a:latin typeface="Cambria Math" panose="02040503050406030204" pitchFamily="18" charset="0"/>
                    </a:rPr>
                    <m:t> </m:t>
                  </m:r>
                  <m:r>
                    <a:rPr lang="fr-FR" sz="1100" b="0" i="1">
                      <a:latin typeface="Cambria Math" panose="02040503050406030204" pitchFamily="18" charset="0"/>
                    </a:rPr>
                    <m:t>𝑓𝑢𝑠𝑖𝑏𝑙𝑒</m:t>
                  </m:r>
                  <m:r>
                    <a:rPr lang="fr-FR" sz="1100" b="0" i="1">
                      <a:latin typeface="Cambria Math" panose="02040503050406030204" pitchFamily="18" charset="0"/>
                    </a:rPr>
                    <m:t> :</m:t>
                  </m:r>
                  <m:d>
                    <m:dPr>
                      <m:ctrlPr>
                        <a:rPr lang="fr-FR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sSub>
                        <m:sSubPr>
                          <m:ctrlPr>
                            <a:rPr lang="fr-FR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fr-FR" sz="11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e>
                        <m:sub>
                          <m:r>
                            <a:rPr lang="fr-FR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sub>
                      </m:sSub>
                      <m:r>
                        <a:rPr lang="fr-FR" sz="1100" b="0" i="1">
                          <a:latin typeface="Cambria Math" panose="02040503050406030204" pitchFamily="18" charset="0"/>
                        </a:rPr>
                        <m:t>−1</m:t>
                      </m:r>
                    </m:e>
                  </m:d>
                  <m:r>
                    <a:rPr lang="fr-FR" sz="1100" b="0" i="1">
                      <a:latin typeface="Cambria Math" panose="02040503050406030204" pitchFamily="18" charset="0"/>
                    </a:rPr>
                    <m:t> </m:t>
                  </m:r>
                  <m:r>
                    <a:rPr lang="fr-FR" sz="1100" b="0" i="1">
                      <a:latin typeface="Cambria Math" panose="02040503050406030204" pitchFamily="18" charset="0"/>
                    </a:rPr>
                    <m:t>𝑥</m:t>
                  </m:r>
                  <m:r>
                    <a:rPr lang="fr-FR" sz="1100" b="0" i="1">
                      <a:latin typeface="Cambria Math" panose="02040503050406030204" pitchFamily="18" charset="0"/>
                    </a:rPr>
                    <m:t> 1.25 </m:t>
                  </m:r>
                  <m:r>
                    <a:rPr lang="fr-FR" sz="1100" b="0" i="1">
                      <a:latin typeface="Cambria Math" panose="02040503050406030204" pitchFamily="18" charset="0"/>
                    </a:rPr>
                    <m:t>𝑥</m:t>
                  </m:r>
                  <m:r>
                    <a:rPr lang="fr-FR" sz="1100" b="0" i="1">
                      <a:latin typeface="Cambria Math" panose="02040503050406030204" pitchFamily="18" charset="0"/>
                    </a:rPr>
                    <m:t> </m:t>
                  </m:r>
                  <m:sSub>
                    <m:sSubPr>
                      <m:ctrlPr>
                        <a:rPr lang="fr-FR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fr-FR" sz="1100" b="0" i="1"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fr-FR" sz="1100" b="0" i="1">
                          <a:latin typeface="Cambria Math" panose="02040503050406030204" pitchFamily="18" charset="0"/>
                        </a:rPr>
                        <m:t>𝐶𝐶</m:t>
                      </m:r>
                    </m:sub>
                  </m:sSub>
                </m:oMath>
              </a14:m>
              <a:r>
                <a:rPr lang="fr-FR" sz="1100"/>
                <a:t> pour NC ≥ 4</a:t>
              </a:r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>
              <a:off x="4162425" y="8682037"/>
              <a:ext cx="3153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𝑃𝑟é𝑠𝑒𝑛𝑐𝑒 𝑓𝑢𝑠𝑖𝑏𝑙𝑒 :(𝑁_𝐶−1)  𝑥 1.25 𝑥 𝐼_𝐶𝐶</a:t>
              </a:r>
              <a:r>
                <a:rPr lang="fr-FR" sz="1100"/>
                <a:t> pour NC ≥ 4</a:t>
              </a:r>
            </a:p>
          </xdr:txBody>
        </xdr:sp>
      </mc:Fallback>
    </mc:AlternateContent>
    <xdr:clientData/>
  </xdr:oneCellAnchor>
  <xdr:oneCellAnchor>
    <xdr:from>
      <xdr:col>4</xdr:col>
      <xdr:colOff>28575</xdr:colOff>
      <xdr:row>41</xdr:row>
      <xdr:rowOff>138112</xdr:rowOff>
    </xdr:from>
    <xdr:ext cx="4935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ZoneTexte 7"/>
            <xdr:cNvSpPr txBox="1"/>
          </xdr:nvSpPr>
          <xdr:spPr>
            <a:xfrm>
              <a:off x="4105275" y="9548812"/>
              <a:ext cx="493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fr-FR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fr-FR" sz="1100" b="0" i="1"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fr-FR" sz="1100" b="0" i="1">
                          <a:latin typeface="Cambria Math" panose="02040503050406030204" pitchFamily="18" charset="0"/>
                        </a:rPr>
                        <m:t>𝐵</m:t>
                      </m:r>
                      <m:r>
                        <a:rPr lang="fr-FR" sz="1100" b="0" i="1">
                          <a:latin typeface="Cambria Math" panose="02040503050406030204" pitchFamily="18" charset="0"/>
                        </a:rPr>
                        <m:t> </m:t>
                      </m:r>
                    </m:sub>
                  </m:sSub>
                  <m:r>
                    <a:rPr lang="fr-FR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≤</m:t>
                  </m:r>
                  <m:sSub>
                    <m:sSubPr>
                      <m:ctrlPr>
                        <a:rPr lang="fr-FR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fr-FR" sz="1100" b="0" i="1"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fr-FR" sz="1100" b="0" i="1">
                          <a:latin typeface="Cambria Math" panose="02040503050406030204" pitchFamily="18" charset="0"/>
                        </a:rPr>
                        <m:t>𝑁</m:t>
                      </m:r>
                    </m:sub>
                  </m:sSub>
                </m:oMath>
              </a14:m>
              <a:r>
                <a:rPr lang="fr-FR" sz="1100"/>
                <a:t> </a:t>
              </a:r>
            </a:p>
          </xdr:txBody>
        </xdr:sp>
      </mc:Choice>
      <mc:Fallback xmlns="">
        <xdr:sp macro="" textlink="">
          <xdr:nvSpPr>
            <xdr:cNvPr id="8" name="ZoneTexte 7"/>
            <xdr:cNvSpPr txBox="1"/>
          </xdr:nvSpPr>
          <xdr:spPr>
            <a:xfrm>
              <a:off x="4105275" y="9548812"/>
              <a:ext cx="493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𝐼_(𝐵 )</a:t>
              </a:r>
              <a:r>
                <a:rPr lang="fr-F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</a:t>
              </a:r>
              <a:r>
                <a:rPr lang="fr-FR" sz="1100" b="0" i="0">
                  <a:latin typeface="Cambria Math" panose="02040503050406030204" pitchFamily="18" charset="0"/>
                </a:rPr>
                <a:t>𝐼_𝑁</a:t>
              </a:r>
              <a:r>
                <a:rPr lang="fr-FR" sz="1100"/>
                <a:t> </a:t>
              </a:r>
            </a:p>
          </xdr:txBody>
        </xdr:sp>
      </mc:Fallback>
    </mc:AlternateContent>
    <xdr:clientData/>
  </xdr:oneCellAnchor>
  <xdr:oneCellAnchor>
    <xdr:from>
      <xdr:col>4</xdr:col>
      <xdr:colOff>0</xdr:colOff>
      <xdr:row>42</xdr:row>
      <xdr:rowOff>23812</xdr:rowOff>
    </xdr:from>
    <xdr:ext cx="59009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ZoneTexte 5"/>
            <xdr:cNvSpPr txBox="1"/>
          </xdr:nvSpPr>
          <xdr:spPr>
            <a:xfrm>
              <a:off x="4076700" y="9739312"/>
              <a:ext cx="59009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sub>
                    </m:sSub>
                    <m:r>
                      <a:rPr lang="fr-FR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fr-F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≤</m:t>
                    </m:r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𝑅𝑀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6" name="ZoneTexte 5"/>
            <xdr:cNvSpPr txBox="1"/>
          </xdr:nvSpPr>
          <xdr:spPr>
            <a:xfrm>
              <a:off x="4076700" y="9739312"/>
              <a:ext cx="59009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𝐼_𝑁  </a:t>
              </a:r>
              <a:r>
                <a:rPr lang="fr-F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≤𝐼_𝑅𝑀</a:t>
              </a:r>
              <a:endParaRPr lang="fr-FR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831818</xdr:colOff>
      <xdr:row>12</xdr:row>
      <xdr:rowOff>3651</xdr:rowOff>
    </xdr:from>
    <xdr:ext cx="2048446" cy="176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/>
            <xdr:cNvSpPr txBox="1"/>
          </xdr:nvSpPr>
          <xdr:spPr>
            <a:xfrm>
              <a:off x="8680418" y="2556351"/>
              <a:ext cx="2048446" cy="176972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𝑀𝐴𝑋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, 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𝑆𝑇𝑅𝐼𝑁𝐺</m:t>
                        </m:r>
                      </m:sub>
                    </m:sSub>
                    <m:r>
                      <a:rPr lang="fr-FR" sz="1100" b="0" i="1">
                        <a:latin typeface="Cambria Math" panose="02040503050406030204" pitchFamily="18" charset="0"/>
                      </a:rPr>
                      <m:t>=1,25 </m:t>
                    </m:r>
                    <m:d>
                      <m:d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  <m:r>
                      <a:rPr lang="fr-FR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𝑆𝐶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𝑆𝑇𝐶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" name="ZoneTexte 1"/>
            <xdr:cNvSpPr txBox="1"/>
          </xdr:nvSpPr>
          <xdr:spPr>
            <a:xfrm>
              <a:off x="8680418" y="2556351"/>
              <a:ext cx="2048446" cy="176972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𝐼_(𝑀𝐴𝑋, 𝑆𝑇𝑅𝐼𝑁𝐺)=1,25 (𝑛−1)  𝐼_(𝑆𝐶,𝑆𝑇𝐶)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9525</xdr:colOff>
      <xdr:row>24</xdr:row>
      <xdr:rowOff>3651</xdr:rowOff>
    </xdr:from>
    <xdr:ext cx="1314449" cy="4725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/>
            <xdr:cNvSpPr txBox="1"/>
          </xdr:nvSpPr>
          <xdr:spPr>
            <a:xfrm>
              <a:off x="8696325" y="5061426"/>
              <a:ext cx="1314449" cy="472599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fr-FR" sz="1800" b="0"/>
                <a:t>  S</a:t>
              </a:r>
              <a:r>
                <a:rPr lang="fr-FR" sz="1800" b="0" baseline="0"/>
                <a:t> </a:t>
              </a:r>
              <a14:m>
                <m:oMath xmlns:m="http://schemas.openxmlformats.org/officeDocument/2006/math">
                  <m:r>
                    <a:rPr lang="fr-FR" sz="1800" b="0" i="1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fr-FR" sz="18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𝜌</m:t>
                      </m:r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∗</m:t>
                      </m:r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𝐿</m:t>
                      </m:r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∗</m:t>
                      </m:r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𝐼</m:t>
                      </m:r>
                    </m:num>
                    <m:den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𝜀</m:t>
                      </m:r>
                      <m:r>
                        <a:rPr lang="fr-F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∗ </m:t>
                      </m:r>
                      <m:sSub>
                        <m:sSubPr>
                          <m:ctrlPr>
                            <a:rPr lang="fr-FR" sz="1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fr-FR" sz="1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r>
                            <a:rPr lang="fr-FR" sz="18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𝐴</m:t>
                          </m:r>
                        </m:sub>
                      </m:sSub>
                    </m:den>
                  </m:f>
                </m:oMath>
              </a14:m>
              <a:endParaRPr lang="fr-FR" sz="1800"/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>
              <a:off x="8696325" y="5061426"/>
              <a:ext cx="1314449" cy="472599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fr-FR" sz="1800" b="0"/>
                <a:t>  S</a:t>
              </a:r>
              <a:r>
                <a:rPr lang="fr-FR" sz="1800" b="0" baseline="0"/>
                <a:t> </a:t>
              </a:r>
              <a:r>
                <a:rPr lang="fr-FR" sz="1800" b="0" i="0">
                  <a:latin typeface="Cambria Math" panose="02040503050406030204" pitchFamily="18" charset="0"/>
                </a:rPr>
                <a:t>= </a:t>
              </a:r>
              <a:r>
                <a:rPr lang="fr-FR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(𝜌 ∗𝐿 ∗𝐼)/(𝜀 ∗ 𝑉_𝐴 )</a:t>
              </a:r>
              <a:endParaRPr lang="fr-FR" sz="1800"/>
            </a:p>
          </xdr:txBody>
        </xdr:sp>
      </mc:Fallback>
    </mc:AlternateContent>
    <xdr:clientData/>
  </xdr:oneCellAnchor>
  <xdr:oneCellAnchor>
    <xdr:from>
      <xdr:col>4</xdr:col>
      <xdr:colOff>28575</xdr:colOff>
      <xdr:row>24</xdr:row>
      <xdr:rowOff>38100</xdr:rowOff>
    </xdr:from>
    <xdr:ext cx="1676741" cy="176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/>
            <xdr:cNvSpPr txBox="1"/>
          </xdr:nvSpPr>
          <xdr:spPr>
            <a:xfrm>
              <a:off x="4105275" y="5095875"/>
              <a:ext cx="1676741" cy="176972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𝑀𝐴𝑋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, 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𝐴𝑅𝑅𝐴𝑌</m:t>
                        </m:r>
                      </m:sub>
                    </m:sSub>
                    <m:r>
                      <a:rPr lang="fr-FR" sz="1100" b="0" i="1">
                        <a:latin typeface="Cambria Math" panose="02040503050406030204" pitchFamily="18" charset="0"/>
                      </a:rPr>
                      <m:t>=1,25 </m:t>
                    </m:r>
                    <m:r>
                      <a:rPr lang="fr-FR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fr-FR" sz="1100" b="0" i="1">
                        <a:latin typeface="Cambria Math" panose="02040503050406030204" pitchFamily="18" charset="0"/>
                      </a:rPr>
                      <m:t>  </m:t>
                    </m:r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𝑆𝐶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𝑆𝑇𝐶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" name="ZoneTexte 3"/>
            <xdr:cNvSpPr txBox="1"/>
          </xdr:nvSpPr>
          <xdr:spPr>
            <a:xfrm>
              <a:off x="4105275" y="5095875"/>
              <a:ext cx="1676741" cy="176972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𝐼_(𝑀𝐴𝑋, 𝐴𝑅𝑅𝐴𝑌)=1,25 𝑛  𝐼_(𝑆𝐶,𝑆𝑇𝐶)</a:t>
              </a:r>
              <a:endParaRPr lang="fr-FR" sz="1100"/>
            </a:p>
          </xdr:txBody>
        </xdr:sp>
      </mc:Fallback>
    </mc:AlternateContent>
    <xdr:clientData/>
  </xdr:oneCellAnchor>
  <xdr:twoCellAnchor>
    <xdr:from>
      <xdr:col>5</xdr:col>
      <xdr:colOff>828675</xdr:colOff>
      <xdr:row>32</xdr:row>
      <xdr:rowOff>257175</xdr:rowOff>
    </xdr:from>
    <xdr:to>
      <xdr:col>6</xdr:col>
      <xdr:colOff>704850</xdr:colOff>
      <xdr:row>32</xdr:row>
      <xdr:rowOff>257175</xdr:rowOff>
    </xdr:to>
    <xdr:cxnSp macro="">
      <xdr:nvCxnSpPr>
        <xdr:cNvPr id="5" name="Connecteur droit avec flèche 4"/>
        <xdr:cNvCxnSpPr/>
      </xdr:nvCxnSpPr>
      <xdr:spPr>
        <a:xfrm>
          <a:off x="6162675" y="7296150"/>
          <a:ext cx="714375" cy="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</xdr:colOff>
      <xdr:row>15</xdr:row>
      <xdr:rowOff>9525</xdr:rowOff>
    </xdr:from>
    <xdr:ext cx="59009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/>
            <xdr:cNvSpPr txBox="1"/>
          </xdr:nvSpPr>
          <xdr:spPr>
            <a:xfrm>
              <a:off x="7581900" y="2981325"/>
              <a:ext cx="59009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sub>
                    </m:sSub>
                    <m:r>
                      <a:rPr lang="fr-FR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fr-F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≤</m:t>
                    </m:r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𝑅𝑀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" name="ZoneTexte 1"/>
            <xdr:cNvSpPr txBox="1"/>
          </xdr:nvSpPr>
          <xdr:spPr>
            <a:xfrm>
              <a:off x="7581900" y="2981325"/>
              <a:ext cx="59009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𝐼_𝑁  </a:t>
              </a:r>
              <a:r>
                <a:rPr lang="fr-F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≤𝐼_𝑅𝑀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9</xdr:col>
      <xdr:colOff>66675</xdr:colOff>
      <xdr:row>16</xdr:row>
      <xdr:rowOff>0</xdr:rowOff>
    </xdr:from>
    <xdr:ext cx="4935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/>
            <xdr:cNvSpPr txBox="1"/>
          </xdr:nvSpPr>
          <xdr:spPr>
            <a:xfrm>
              <a:off x="7610475" y="3152775"/>
              <a:ext cx="493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fr-FR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fr-FR" sz="1100" b="0" i="1"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fr-FR" sz="1100" b="0" i="1">
                          <a:latin typeface="Cambria Math" panose="02040503050406030204" pitchFamily="18" charset="0"/>
                        </a:rPr>
                        <m:t>𝐵</m:t>
                      </m:r>
                      <m:r>
                        <a:rPr lang="fr-FR" sz="1100" b="0" i="1">
                          <a:latin typeface="Cambria Math" panose="02040503050406030204" pitchFamily="18" charset="0"/>
                        </a:rPr>
                        <m:t> </m:t>
                      </m:r>
                    </m:sub>
                  </m:sSub>
                  <m:r>
                    <a:rPr lang="fr-FR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≤</m:t>
                  </m:r>
                  <m:sSub>
                    <m:sSubPr>
                      <m:ctrlPr>
                        <a:rPr lang="fr-FR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fr-FR" sz="1100" b="0" i="1"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fr-FR" sz="1100" b="0" i="1">
                          <a:latin typeface="Cambria Math" panose="02040503050406030204" pitchFamily="18" charset="0"/>
                        </a:rPr>
                        <m:t>𝑁</m:t>
                      </m:r>
                    </m:sub>
                  </m:sSub>
                </m:oMath>
              </a14:m>
              <a:r>
                <a:rPr lang="fr-FR" sz="1100"/>
                <a:t> </a:t>
              </a:r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>
              <a:off x="7610475" y="3152775"/>
              <a:ext cx="493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𝐼_(𝐵 )</a:t>
              </a:r>
              <a:r>
                <a:rPr lang="fr-F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</a:t>
              </a:r>
              <a:r>
                <a:rPr lang="fr-FR" sz="1100" b="0" i="0">
                  <a:latin typeface="Cambria Math" panose="02040503050406030204" pitchFamily="18" charset="0"/>
                </a:rPr>
                <a:t>𝐼_𝑁</a:t>
              </a:r>
              <a:r>
                <a:rPr lang="fr-FR" sz="1100"/>
                <a:t> 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hotovoltaique.guidenr.fr/cours-photovoltaique-2011/V_presence-fusible.ph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2:AMJ72"/>
  <sheetViews>
    <sheetView topLeftCell="E31" zoomScale="85" zoomScaleNormal="85" workbookViewId="0">
      <selection activeCell="I25" sqref="I25"/>
    </sheetView>
  </sheetViews>
  <sheetFormatPr baseColWidth="10" defaultRowHeight="15" x14ac:dyDescent="0.2"/>
  <cols>
    <col min="1" max="1" width="10.625" style="1" customWidth="1"/>
    <col min="2" max="2" width="28.875" style="1" customWidth="1"/>
    <col min="3" max="3" width="10.625" style="1" customWidth="1"/>
    <col min="4" max="4" width="12" style="1" customWidth="1"/>
    <col min="5" max="5" width="26.25" style="1" customWidth="1"/>
    <col min="6" max="6" width="31.5" style="1" customWidth="1"/>
    <col min="7" max="7" width="10.625" style="1" customWidth="1"/>
    <col min="8" max="8" width="28" style="1" customWidth="1"/>
    <col min="9" max="10" width="10.625" style="1" customWidth="1"/>
    <col min="11" max="11" width="27.125" style="1" customWidth="1"/>
    <col min="12" max="12" width="20.375" style="1" customWidth="1"/>
    <col min="13" max="14" width="10.625" style="1" customWidth="1"/>
    <col min="15" max="15" width="10.75" style="1" hidden="1" customWidth="1"/>
    <col min="16" max="1024" width="10.625" style="1" customWidth="1"/>
  </cols>
  <sheetData>
    <row r="2" spans="2:11" ht="13.9" customHeight="1" x14ac:dyDescent="0.2">
      <c r="E2" s="216" t="s">
        <v>227</v>
      </c>
      <c r="F2" s="216"/>
      <c r="G2" s="216"/>
      <c r="H2" s="216"/>
    </row>
    <row r="3" spans="2:11" x14ac:dyDescent="0.2">
      <c r="E3" s="216"/>
      <c r="F3" s="216"/>
      <c r="G3" s="216"/>
      <c r="H3" s="216"/>
    </row>
    <row r="4" spans="2:11" ht="65.25" customHeight="1" x14ac:dyDescent="0.2">
      <c r="E4" s="216"/>
      <c r="F4" s="216"/>
      <c r="G4" s="216"/>
      <c r="H4" s="216"/>
    </row>
    <row r="6" spans="2:11" x14ac:dyDescent="0.2">
      <c r="B6" s="3"/>
    </row>
    <row r="7" spans="2:11" ht="15.75" thickBot="1" x14ac:dyDescent="0.25">
      <c r="B7" s="3"/>
      <c r="C7" s="6"/>
      <c r="D7" s="6"/>
      <c r="E7" s="21"/>
      <c r="F7" s="21"/>
    </row>
    <row r="8" spans="2:11" ht="13.9" customHeight="1" x14ac:dyDescent="0.2">
      <c r="B8" s="5"/>
      <c r="C8" s="5"/>
      <c r="D8" s="5"/>
      <c r="E8" s="5"/>
      <c r="F8" s="21"/>
      <c r="H8" s="217" t="s">
        <v>0</v>
      </c>
      <c r="I8" s="219"/>
      <c r="J8" s="219"/>
      <c r="K8" s="220"/>
    </row>
    <row r="9" spans="2:11" x14ac:dyDescent="0.2">
      <c r="B9" s="110"/>
      <c r="C9" s="5"/>
      <c r="D9" s="5"/>
      <c r="E9" s="6"/>
      <c r="F9" s="21"/>
      <c r="H9" s="218"/>
      <c r="I9" s="221"/>
      <c r="J9" s="221"/>
      <c r="K9" s="222"/>
    </row>
    <row r="10" spans="2:11" ht="13.9" customHeight="1" x14ac:dyDescent="0.2">
      <c r="B10" s="110"/>
      <c r="C10" s="5"/>
      <c r="D10" s="5"/>
      <c r="E10" s="6"/>
      <c r="F10" s="21"/>
      <c r="H10" s="218" t="s">
        <v>1</v>
      </c>
      <c r="I10" s="224"/>
      <c r="J10" s="224"/>
      <c r="K10" s="225"/>
    </row>
    <row r="11" spans="2:11" ht="15.75" thickBot="1" x14ac:dyDescent="0.25">
      <c r="B11" s="110"/>
      <c r="C11" s="5"/>
      <c r="D11" s="5"/>
      <c r="E11" s="3"/>
      <c r="H11" s="223"/>
      <c r="I11" s="226"/>
      <c r="J11" s="226"/>
      <c r="K11" s="227"/>
    </row>
    <row r="12" spans="2:11" ht="15.75" thickBot="1" x14ac:dyDescent="0.25">
      <c r="B12" s="110"/>
      <c r="C12" s="5"/>
      <c r="D12" s="5"/>
      <c r="E12" s="3"/>
    </row>
    <row r="13" spans="2:11" ht="15.75" thickBot="1" x14ac:dyDescent="0.25">
      <c r="B13" s="3"/>
      <c r="C13" s="205"/>
      <c r="D13" s="205"/>
      <c r="E13" s="208">
        <f>159947-6914.06-14350.9-412.49-42168.31-540.79</f>
        <v>95560.450000000026</v>
      </c>
      <c r="F13" s="209" t="str">
        <f>"Surface utile"</f>
        <v>Surface utile</v>
      </c>
    </row>
    <row r="14" spans="2:11" ht="19.5" x14ac:dyDescent="0.2">
      <c r="C14" s="6"/>
      <c r="D14" s="6"/>
      <c r="E14" s="206"/>
      <c r="F14" s="207"/>
    </row>
    <row r="15" spans="2:11" x14ac:dyDescent="0.2">
      <c r="E15" s="3"/>
    </row>
    <row r="16" spans="2:11" s="4" customFormat="1" ht="6" customHeight="1" x14ac:dyDescent="0.2"/>
    <row r="18" spans="2:17" ht="19.5" x14ac:dyDescent="0.2">
      <c r="E18" s="106"/>
      <c r="F18" s="228" t="s">
        <v>2</v>
      </c>
      <c r="G18" s="228"/>
      <c r="H18" s="228"/>
      <c r="I18" s="3"/>
    </row>
    <row r="19" spans="2:17" ht="19.5" x14ac:dyDescent="0.2">
      <c r="E19" s="105"/>
      <c r="F19" s="228" t="s">
        <v>130</v>
      </c>
      <c r="G19" s="228"/>
      <c r="H19" s="228"/>
      <c r="I19" s="3"/>
    </row>
    <row r="20" spans="2:17" ht="19.5" x14ac:dyDescent="0.2">
      <c r="E20" s="107"/>
      <c r="F20" s="228" t="s">
        <v>131</v>
      </c>
      <c r="G20" s="228"/>
      <c r="H20" s="228"/>
      <c r="I20" s="3"/>
    </row>
    <row r="21" spans="2:17" ht="15.75" thickBot="1" x14ac:dyDescent="0.3">
      <c r="H21" s="7"/>
      <c r="I21" s="8"/>
    </row>
    <row r="22" spans="2:17" ht="15.75" thickBot="1" x14ac:dyDescent="0.25">
      <c r="B22" s="111" t="s">
        <v>3</v>
      </c>
      <c r="C22" s="112">
        <f>$C$30*((COS(C26))+((SIN(C26))/(TAN(C25))))</f>
        <v>8.8636744122930153</v>
      </c>
      <c r="E22" s="243" t="s">
        <v>4</v>
      </c>
      <c r="F22" s="244"/>
      <c r="K22" s="243" t="s">
        <v>5</v>
      </c>
      <c r="L22" s="244"/>
    </row>
    <row r="23" spans="2:17" ht="15.75" thickBot="1" x14ac:dyDescent="0.25"/>
    <row r="24" spans="2:17" ht="38.25" customHeight="1" x14ac:dyDescent="0.2">
      <c r="B24" s="118" t="s">
        <v>6</v>
      </c>
      <c r="C24" s="119" t="s">
        <v>7</v>
      </c>
      <c r="E24" s="113" t="s">
        <v>8</v>
      </c>
      <c r="F24" s="114">
        <v>1.649</v>
      </c>
      <c r="H24" s="118" t="s">
        <v>9</v>
      </c>
      <c r="I24" s="114">
        <v>46.45</v>
      </c>
      <c r="K24" s="113" t="s">
        <v>10</v>
      </c>
      <c r="L24" s="128">
        <f>($F$29*$F$25*$F$24)</f>
        <v>32.68318</v>
      </c>
    </row>
    <row r="25" spans="2:17" ht="30.75" thickBot="1" x14ac:dyDescent="0.25">
      <c r="B25" s="120" t="s">
        <v>11</v>
      </c>
      <c r="C25" s="121">
        <f>RADIANS(90-23.5-$I$24)</f>
        <v>0.34993851502486301</v>
      </c>
      <c r="E25" s="115" t="s">
        <v>12</v>
      </c>
      <c r="F25" s="116">
        <v>0.99099999999999999</v>
      </c>
      <c r="H25" s="125" t="s">
        <v>13</v>
      </c>
      <c r="I25" s="116" t="s">
        <v>14</v>
      </c>
      <c r="K25" s="117" t="s">
        <v>15</v>
      </c>
      <c r="L25" s="129">
        <f>IF($I$25="Paysage",(C28+C29)*($F$24*$F$28),(C28+C29)*($F$25*$F$28))</f>
        <v>73.080995529355917</v>
      </c>
    </row>
    <row r="26" spans="2:17" ht="15.75" thickBot="1" x14ac:dyDescent="0.25">
      <c r="B26" s="122" t="s">
        <v>16</v>
      </c>
      <c r="C26" s="123">
        <f>RADIANS($I$26)</f>
        <v>0.52359877559829882</v>
      </c>
      <c r="E26" s="115" t="s">
        <v>17</v>
      </c>
      <c r="F26" s="116">
        <f>40*10^-3</f>
        <v>0.04</v>
      </c>
      <c r="H26" s="125" t="s">
        <v>18</v>
      </c>
      <c r="I26" s="116">
        <v>30</v>
      </c>
    </row>
    <row r="27" spans="2:17" ht="31.5" customHeight="1" thickBot="1" x14ac:dyDescent="0.25">
      <c r="E27" s="115" t="s">
        <v>19</v>
      </c>
      <c r="F27" s="116">
        <v>4</v>
      </c>
      <c r="H27" s="115" t="s">
        <v>20</v>
      </c>
      <c r="I27" s="116">
        <v>250</v>
      </c>
      <c r="K27" s="113" t="s">
        <v>21</v>
      </c>
      <c r="L27" s="128">
        <f>ROUNDDOWN((I28/L25),0)</f>
        <v>1307</v>
      </c>
      <c r="M27" s="231">
        <f>'Dimensionnement et coût'!K12</f>
        <v>868</v>
      </c>
      <c r="N27" s="232"/>
      <c r="O27" s="10" t="s">
        <v>22</v>
      </c>
    </row>
    <row r="28" spans="2:17" ht="33.75" customHeight="1" thickBot="1" x14ac:dyDescent="0.25">
      <c r="B28" s="118" t="s">
        <v>23</v>
      </c>
      <c r="C28" s="124">
        <f>($C$30*COS($C$26))</f>
        <v>3.4329247006015149</v>
      </c>
      <c r="E28" s="115" t="s">
        <v>24</v>
      </c>
      <c r="F28" s="116">
        <v>5</v>
      </c>
      <c r="H28" s="122" t="s">
        <v>25</v>
      </c>
      <c r="I28" s="127">
        <f>E13</f>
        <v>95560.450000000026</v>
      </c>
      <c r="K28" s="115" t="s">
        <v>26</v>
      </c>
      <c r="L28" s="130">
        <f>$L$27*$F$29</f>
        <v>26140</v>
      </c>
      <c r="M28" s="233">
        <f>$M$27*$F$29</f>
        <v>17360</v>
      </c>
      <c r="N28" s="234"/>
      <c r="O28" s="10" t="s">
        <v>14</v>
      </c>
    </row>
    <row r="29" spans="2:17" ht="36" customHeight="1" thickBot="1" x14ac:dyDescent="0.25">
      <c r="B29" s="115" t="s">
        <v>232</v>
      </c>
      <c r="C29" s="126">
        <f>$C$30*((SIN(C26))/(TAN(C25)))</f>
        <v>5.4307497116915</v>
      </c>
      <c r="E29" s="117" t="s">
        <v>27</v>
      </c>
      <c r="F29" s="71">
        <f>F27*F28</f>
        <v>20</v>
      </c>
      <c r="K29" s="117" t="s">
        <v>28</v>
      </c>
      <c r="L29" s="131" t="str">
        <f>(($L$28*$I$27)*10^-6)&amp;" "&amp;"MWc"</f>
        <v>6,535 MWc</v>
      </c>
      <c r="M29" s="235" t="str">
        <f>(($M$28*$I$27)*10^-6)&amp;" "&amp;"MWc"</f>
        <v>4,34 MWc</v>
      </c>
      <c r="N29" s="236"/>
      <c r="O29" s="108"/>
      <c r="P29" s="108"/>
      <c r="Q29" s="108"/>
    </row>
    <row r="30" spans="2:17" ht="15.75" thickBot="1" x14ac:dyDescent="0.25">
      <c r="B30" s="122" t="s">
        <v>29</v>
      </c>
      <c r="C30" s="123">
        <f>IF($I$25="Paysage",$F$27*F25,$F$27*F24)</f>
        <v>3.964</v>
      </c>
    </row>
    <row r="31" spans="2:17" ht="15" customHeight="1" x14ac:dyDescent="0.2">
      <c r="J31" s="229" t="str">
        <f>P31</f>
        <v>/!!!!\</v>
      </c>
      <c r="K31" s="237" t="s">
        <v>223</v>
      </c>
      <c r="L31" s="238"/>
      <c r="M31" s="238"/>
      <c r="N31" s="239"/>
      <c r="P31" s="229" t="s">
        <v>228</v>
      </c>
    </row>
    <row r="32" spans="2:17" ht="15.75" thickBot="1" x14ac:dyDescent="0.25">
      <c r="J32" s="230"/>
      <c r="K32" s="240"/>
      <c r="L32" s="241"/>
      <c r="M32" s="241"/>
      <c r="N32" s="242"/>
      <c r="P32" s="230"/>
    </row>
    <row r="33" spans="8:8" ht="45" customHeight="1" x14ac:dyDescent="0.2">
      <c r="H33" s="12"/>
    </row>
    <row r="35" spans="8:8" x14ac:dyDescent="0.2">
      <c r="H35" s="13"/>
    </row>
    <row r="36" spans="8:8" ht="30.75" customHeight="1" x14ac:dyDescent="0.2">
      <c r="H36" s="12"/>
    </row>
    <row r="37" spans="8:8" x14ac:dyDescent="0.2">
      <c r="H37" s="12"/>
    </row>
    <row r="38" spans="8:8" x14ac:dyDescent="0.2">
      <c r="H38" s="12"/>
    </row>
    <row r="39" spans="8:8" x14ac:dyDescent="0.2">
      <c r="H39" s="12"/>
    </row>
    <row r="41" spans="8:8" x14ac:dyDescent="0.2">
      <c r="H41" s="12"/>
    </row>
    <row r="43" spans="8:8" x14ac:dyDescent="0.2">
      <c r="H43" s="12"/>
    </row>
    <row r="45" spans="8:8" x14ac:dyDescent="0.2">
      <c r="H45" s="12"/>
    </row>
    <row r="46" spans="8:8" x14ac:dyDescent="0.2">
      <c r="H46" s="12"/>
    </row>
    <row r="47" spans="8:8" x14ac:dyDescent="0.2">
      <c r="H47" s="12"/>
    </row>
    <row r="48" spans="8:8" x14ac:dyDescent="0.2">
      <c r="H48" s="12"/>
    </row>
    <row r="49" spans="8:8" x14ac:dyDescent="0.2">
      <c r="H49" s="12"/>
    </row>
    <row r="50" spans="8:8" x14ac:dyDescent="0.2">
      <c r="H50" s="12"/>
    </row>
    <row r="51" spans="8:8" x14ac:dyDescent="0.2">
      <c r="H51" s="12"/>
    </row>
    <row r="52" spans="8:8" x14ac:dyDescent="0.2">
      <c r="H52" s="12"/>
    </row>
    <row r="54" spans="8:8" x14ac:dyDescent="0.2">
      <c r="H54" s="12"/>
    </row>
    <row r="56" spans="8:8" x14ac:dyDescent="0.2">
      <c r="H56" s="12"/>
    </row>
    <row r="57" spans="8:8" x14ac:dyDescent="0.2">
      <c r="H57" s="12"/>
    </row>
    <row r="58" spans="8:8" x14ac:dyDescent="0.2">
      <c r="H58" s="12"/>
    </row>
    <row r="59" spans="8:8" x14ac:dyDescent="0.2">
      <c r="H59" s="12"/>
    </row>
    <row r="72" spans="8:8" x14ac:dyDescent="0.2">
      <c r="H72" s="1">
        <f>0.0662+((10/100)*0.0662)</f>
        <v>7.2819999999999996E-2</v>
      </c>
    </row>
  </sheetData>
  <mergeCells count="16">
    <mergeCell ref="F18:H18"/>
    <mergeCell ref="F19:H19"/>
    <mergeCell ref="F20:H20"/>
    <mergeCell ref="P31:P32"/>
    <mergeCell ref="J31:J32"/>
    <mergeCell ref="M27:N27"/>
    <mergeCell ref="M28:N28"/>
    <mergeCell ref="M29:N29"/>
    <mergeCell ref="K31:N32"/>
    <mergeCell ref="E22:F22"/>
    <mergeCell ref="K22:L22"/>
    <mergeCell ref="E2:H4"/>
    <mergeCell ref="H8:H9"/>
    <mergeCell ref="I8:K9"/>
    <mergeCell ref="H10:H11"/>
    <mergeCell ref="I10:K11"/>
  </mergeCells>
  <dataValidations count="1">
    <dataValidation type="list" allowBlank="1" showInputMessage="1" showErrorMessage="1" sqref="I25">
      <formula1>$O$27:$O$29</formula1>
    </dataValidation>
  </dataValidation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B1:AMK84"/>
  <sheetViews>
    <sheetView tabSelected="1" topLeftCell="A15" zoomScale="85" zoomScaleNormal="85" workbookViewId="0">
      <selection activeCell="J21" sqref="J21:K21"/>
    </sheetView>
  </sheetViews>
  <sheetFormatPr baseColWidth="10" defaultRowHeight="15" x14ac:dyDescent="0.2"/>
  <cols>
    <col min="1" max="1" width="11" style="68"/>
    <col min="2" max="2" width="13.125" style="1" customWidth="1"/>
    <col min="3" max="3" width="11.875" style="1" customWidth="1"/>
    <col min="4" max="4" width="13.375" style="1" customWidth="1"/>
    <col min="5" max="5" width="15.375" style="1" customWidth="1"/>
    <col min="6" max="6" width="15.75" style="1" customWidth="1"/>
    <col min="7" max="7" width="14.125" style="1" customWidth="1"/>
    <col min="8" max="8" width="21" style="1" bestFit="1" customWidth="1"/>
    <col min="9" max="9" width="13.25" style="1" customWidth="1"/>
    <col min="10" max="10" width="31" style="1" customWidth="1"/>
    <col min="11" max="11" width="18.75" style="1" customWidth="1"/>
    <col min="12" max="12" width="21" style="1" customWidth="1"/>
    <col min="13" max="13" width="20.125" style="1" customWidth="1"/>
    <col min="14" max="14" width="20.875" style="1" customWidth="1"/>
    <col min="15" max="15" width="13.125" style="1" customWidth="1"/>
    <col min="16" max="16" width="10.625" style="1" customWidth="1"/>
    <col min="17" max="17" width="15.75" style="1" customWidth="1"/>
    <col min="18" max="18" width="13.875" style="1" customWidth="1"/>
    <col min="19" max="1025" width="10.625" style="1" customWidth="1"/>
    <col min="1026" max="16384" width="11" style="68"/>
  </cols>
  <sheetData>
    <row r="1" spans="2:1025" ht="15.75" thickBot="1" x14ac:dyDescent="0.25"/>
    <row r="2" spans="2:1025" ht="19.5" x14ac:dyDescent="0.2">
      <c r="B2" s="132"/>
      <c r="C2" s="314" t="s">
        <v>2</v>
      </c>
      <c r="D2" s="314"/>
      <c r="E2" s="315"/>
      <c r="G2" s="325" t="s">
        <v>229</v>
      </c>
      <c r="H2" s="326"/>
      <c r="I2" s="326"/>
      <c r="J2" s="327"/>
    </row>
    <row r="3" spans="2:1025" ht="19.5" x14ac:dyDescent="0.2">
      <c r="B3" s="133"/>
      <c r="C3" s="228" t="s">
        <v>130</v>
      </c>
      <c r="D3" s="228"/>
      <c r="E3" s="316"/>
      <c r="G3" s="328"/>
      <c r="H3" s="329"/>
      <c r="I3" s="329"/>
      <c r="J3" s="330"/>
    </row>
    <row r="4" spans="2:1025" ht="20.25" thickBot="1" x14ac:dyDescent="0.25">
      <c r="B4" s="134"/>
      <c r="C4" s="317" t="s">
        <v>131</v>
      </c>
      <c r="D4" s="317"/>
      <c r="E4" s="318"/>
      <c r="G4" s="331"/>
      <c r="H4" s="332"/>
      <c r="I4" s="332"/>
      <c r="J4" s="333"/>
    </row>
    <row r="6" spans="2:1025" ht="15.75" thickBot="1" x14ac:dyDescent="0.25"/>
    <row r="7" spans="2:1025" s="101" customFormat="1" ht="24.75" customHeight="1" thickBot="1" x14ac:dyDescent="0.25">
      <c r="B7" s="245" t="s">
        <v>30</v>
      </c>
      <c r="C7" s="349"/>
      <c r="D7" s="245" t="s">
        <v>31</v>
      </c>
      <c r="E7" s="246"/>
      <c r="F7" s="245" t="s">
        <v>32</v>
      </c>
      <c r="G7" s="246"/>
      <c r="H7" s="245" t="s">
        <v>32</v>
      </c>
      <c r="I7" s="246"/>
      <c r="J7" s="245" t="s">
        <v>32</v>
      </c>
      <c r="K7" s="246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  <c r="IW7" s="100"/>
      <c r="IX7" s="100"/>
      <c r="IY7" s="100"/>
      <c r="IZ7" s="100"/>
      <c r="JA7" s="100"/>
      <c r="JB7" s="100"/>
      <c r="JC7" s="100"/>
      <c r="JD7" s="100"/>
      <c r="JE7" s="100"/>
      <c r="JF7" s="100"/>
      <c r="JG7" s="100"/>
      <c r="JH7" s="100"/>
      <c r="JI7" s="100"/>
      <c r="JJ7" s="100"/>
      <c r="JK7" s="100"/>
      <c r="JL7" s="100"/>
      <c r="JM7" s="100"/>
      <c r="JN7" s="100"/>
      <c r="JO7" s="100"/>
      <c r="JP7" s="100"/>
      <c r="JQ7" s="100"/>
      <c r="JR7" s="100"/>
      <c r="JS7" s="100"/>
      <c r="JT7" s="100"/>
      <c r="JU7" s="100"/>
      <c r="JV7" s="100"/>
      <c r="JW7" s="100"/>
      <c r="JX7" s="100"/>
      <c r="JY7" s="100"/>
      <c r="JZ7" s="100"/>
      <c r="KA7" s="100"/>
      <c r="KB7" s="100"/>
      <c r="KC7" s="100"/>
      <c r="KD7" s="100"/>
      <c r="KE7" s="100"/>
      <c r="KF7" s="100"/>
      <c r="KG7" s="100"/>
      <c r="KH7" s="100"/>
      <c r="KI7" s="100"/>
      <c r="KJ7" s="100"/>
      <c r="KK7" s="100"/>
      <c r="KL7" s="100"/>
      <c r="KM7" s="100"/>
      <c r="KN7" s="100"/>
      <c r="KO7" s="100"/>
      <c r="KP7" s="100"/>
      <c r="KQ7" s="100"/>
      <c r="KR7" s="100"/>
      <c r="KS7" s="100"/>
      <c r="KT7" s="100"/>
      <c r="KU7" s="100"/>
      <c r="KV7" s="100"/>
      <c r="KW7" s="100"/>
      <c r="KX7" s="100"/>
      <c r="KY7" s="100"/>
      <c r="KZ7" s="100"/>
      <c r="LA7" s="100"/>
      <c r="LB7" s="100"/>
      <c r="LC7" s="100"/>
      <c r="LD7" s="100"/>
      <c r="LE7" s="100"/>
      <c r="LF7" s="100"/>
      <c r="LG7" s="100"/>
      <c r="LH7" s="100"/>
      <c r="LI7" s="100"/>
      <c r="LJ7" s="100"/>
      <c r="LK7" s="100"/>
      <c r="LL7" s="100"/>
      <c r="LM7" s="100"/>
      <c r="LN7" s="100"/>
      <c r="LO7" s="100"/>
      <c r="LP7" s="100"/>
      <c r="LQ7" s="100"/>
      <c r="LR7" s="100"/>
      <c r="LS7" s="100"/>
      <c r="LT7" s="100"/>
      <c r="LU7" s="100"/>
      <c r="LV7" s="100"/>
      <c r="LW7" s="100"/>
      <c r="LX7" s="100"/>
      <c r="LY7" s="100"/>
      <c r="LZ7" s="100"/>
      <c r="MA7" s="100"/>
      <c r="MB7" s="100"/>
      <c r="MC7" s="100"/>
      <c r="MD7" s="100"/>
      <c r="ME7" s="100"/>
      <c r="MF7" s="100"/>
      <c r="MG7" s="100"/>
      <c r="MH7" s="100"/>
      <c r="MI7" s="100"/>
      <c r="MJ7" s="100"/>
      <c r="MK7" s="100"/>
      <c r="ML7" s="100"/>
      <c r="MM7" s="100"/>
      <c r="MN7" s="100"/>
      <c r="MO7" s="100"/>
      <c r="MP7" s="100"/>
      <c r="MQ7" s="100"/>
      <c r="MR7" s="100"/>
      <c r="MS7" s="100"/>
      <c r="MT7" s="100"/>
      <c r="MU7" s="100"/>
      <c r="MV7" s="100"/>
      <c r="MW7" s="100"/>
      <c r="MX7" s="100"/>
      <c r="MY7" s="100"/>
      <c r="MZ7" s="100"/>
      <c r="NA7" s="100"/>
      <c r="NB7" s="100"/>
      <c r="NC7" s="100"/>
      <c r="ND7" s="100"/>
      <c r="NE7" s="100"/>
      <c r="NF7" s="100"/>
      <c r="NG7" s="100"/>
      <c r="NH7" s="100"/>
      <c r="NI7" s="100"/>
      <c r="NJ7" s="100"/>
      <c r="NK7" s="100"/>
      <c r="NL7" s="100"/>
      <c r="NM7" s="100"/>
      <c r="NN7" s="100"/>
      <c r="NO7" s="100"/>
      <c r="NP7" s="100"/>
      <c r="NQ7" s="100"/>
      <c r="NR7" s="100"/>
      <c r="NS7" s="100"/>
      <c r="NT7" s="100"/>
      <c r="NU7" s="100"/>
      <c r="NV7" s="100"/>
      <c r="NW7" s="100"/>
      <c r="NX7" s="100"/>
      <c r="NY7" s="100"/>
      <c r="NZ7" s="100"/>
      <c r="OA7" s="100"/>
      <c r="OB7" s="100"/>
      <c r="OC7" s="100"/>
      <c r="OD7" s="100"/>
      <c r="OE7" s="100"/>
      <c r="OF7" s="100"/>
      <c r="OG7" s="100"/>
      <c r="OH7" s="100"/>
      <c r="OI7" s="100"/>
      <c r="OJ7" s="100"/>
      <c r="OK7" s="100"/>
      <c r="OL7" s="100"/>
      <c r="OM7" s="100"/>
      <c r="ON7" s="100"/>
      <c r="OO7" s="100"/>
      <c r="OP7" s="100"/>
      <c r="OQ7" s="100"/>
      <c r="OR7" s="100"/>
      <c r="OS7" s="100"/>
      <c r="OT7" s="100"/>
      <c r="OU7" s="100"/>
      <c r="OV7" s="100"/>
      <c r="OW7" s="100"/>
      <c r="OX7" s="100"/>
      <c r="OY7" s="100"/>
      <c r="OZ7" s="100"/>
      <c r="PA7" s="100"/>
      <c r="PB7" s="100"/>
      <c r="PC7" s="100"/>
      <c r="PD7" s="100"/>
      <c r="PE7" s="100"/>
      <c r="PF7" s="100"/>
      <c r="PG7" s="100"/>
      <c r="PH7" s="100"/>
      <c r="PI7" s="100"/>
      <c r="PJ7" s="100"/>
      <c r="PK7" s="100"/>
      <c r="PL7" s="100"/>
      <c r="PM7" s="100"/>
      <c r="PN7" s="100"/>
      <c r="PO7" s="100"/>
      <c r="PP7" s="100"/>
      <c r="PQ7" s="100"/>
      <c r="PR7" s="100"/>
      <c r="PS7" s="100"/>
      <c r="PT7" s="100"/>
      <c r="PU7" s="100"/>
      <c r="PV7" s="100"/>
      <c r="PW7" s="100"/>
      <c r="PX7" s="100"/>
      <c r="PY7" s="100"/>
      <c r="PZ7" s="100"/>
      <c r="QA7" s="100"/>
      <c r="QB7" s="100"/>
      <c r="QC7" s="100"/>
      <c r="QD7" s="100"/>
      <c r="QE7" s="100"/>
      <c r="QF7" s="100"/>
      <c r="QG7" s="100"/>
      <c r="QH7" s="100"/>
      <c r="QI7" s="100"/>
      <c r="QJ7" s="100"/>
      <c r="QK7" s="100"/>
      <c r="QL7" s="100"/>
      <c r="QM7" s="100"/>
      <c r="QN7" s="100"/>
      <c r="QO7" s="100"/>
      <c r="QP7" s="100"/>
      <c r="QQ7" s="100"/>
      <c r="QR7" s="100"/>
      <c r="QS7" s="100"/>
      <c r="QT7" s="100"/>
      <c r="QU7" s="100"/>
      <c r="QV7" s="100"/>
      <c r="QW7" s="100"/>
      <c r="QX7" s="100"/>
      <c r="QY7" s="100"/>
      <c r="QZ7" s="100"/>
      <c r="RA7" s="100"/>
      <c r="RB7" s="100"/>
      <c r="RC7" s="100"/>
      <c r="RD7" s="100"/>
      <c r="RE7" s="100"/>
      <c r="RF7" s="100"/>
      <c r="RG7" s="100"/>
      <c r="RH7" s="100"/>
      <c r="RI7" s="100"/>
      <c r="RJ7" s="100"/>
      <c r="RK7" s="100"/>
      <c r="RL7" s="100"/>
      <c r="RM7" s="100"/>
      <c r="RN7" s="100"/>
      <c r="RO7" s="100"/>
      <c r="RP7" s="100"/>
      <c r="RQ7" s="100"/>
      <c r="RR7" s="100"/>
      <c r="RS7" s="100"/>
      <c r="RT7" s="100"/>
      <c r="RU7" s="100"/>
      <c r="RV7" s="100"/>
      <c r="RW7" s="100"/>
      <c r="RX7" s="100"/>
      <c r="RY7" s="100"/>
      <c r="RZ7" s="100"/>
      <c r="SA7" s="100"/>
      <c r="SB7" s="100"/>
      <c r="SC7" s="100"/>
      <c r="SD7" s="100"/>
      <c r="SE7" s="100"/>
      <c r="SF7" s="100"/>
      <c r="SG7" s="100"/>
      <c r="SH7" s="100"/>
      <c r="SI7" s="100"/>
      <c r="SJ7" s="100"/>
      <c r="SK7" s="100"/>
      <c r="SL7" s="100"/>
      <c r="SM7" s="100"/>
      <c r="SN7" s="100"/>
      <c r="SO7" s="100"/>
      <c r="SP7" s="100"/>
      <c r="SQ7" s="100"/>
      <c r="SR7" s="100"/>
      <c r="SS7" s="100"/>
      <c r="ST7" s="100"/>
      <c r="SU7" s="100"/>
      <c r="SV7" s="100"/>
      <c r="SW7" s="100"/>
      <c r="SX7" s="100"/>
      <c r="SY7" s="100"/>
      <c r="SZ7" s="100"/>
      <c r="TA7" s="100"/>
      <c r="TB7" s="100"/>
      <c r="TC7" s="100"/>
      <c r="TD7" s="100"/>
      <c r="TE7" s="100"/>
      <c r="TF7" s="100"/>
      <c r="TG7" s="100"/>
      <c r="TH7" s="100"/>
      <c r="TI7" s="100"/>
      <c r="TJ7" s="100"/>
      <c r="TK7" s="100"/>
      <c r="TL7" s="100"/>
      <c r="TM7" s="100"/>
      <c r="TN7" s="100"/>
      <c r="TO7" s="100"/>
      <c r="TP7" s="100"/>
      <c r="TQ7" s="100"/>
      <c r="TR7" s="100"/>
      <c r="TS7" s="100"/>
      <c r="TT7" s="100"/>
      <c r="TU7" s="100"/>
      <c r="TV7" s="100"/>
      <c r="TW7" s="100"/>
      <c r="TX7" s="100"/>
      <c r="TY7" s="100"/>
      <c r="TZ7" s="100"/>
      <c r="UA7" s="100"/>
      <c r="UB7" s="100"/>
      <c r="UC7" s="100"/>
      <c r="UD7" s="100"/>
      <c r="UE7" s="100"/>
      <c r="UF7" s="100"/>
      <c r="UG7" s="100"/>
      <c r="UH7" s="100"/>
      <c r="UI7" s="100"/>
      <c r="UJ7" s="100"/>
      <c r="UK7" s="100"/>
      <c r="UL7" s="100"/>
      <c r="UM7" s="100"/>
      <c r="UN7" s="100"/>
      <c r="UO7" s="100"/>
      <c r="UP7" s="100"/>
      <c r="UQ7" s="100"/>
      <c r="UR7" s="100"/>
      <c r="US7" s="100"/>
      <c r="UT7" s="100"/>
      <c r="UU7" s="100"/>
      <c r="UV7" s="100"/>
      <c r="UW7" s="100"/>
      <c r="UX7" s="100"/>
      <c r="UY7" s="100"/>
      <c r="UZ7" s="100"/>
      <c r="VA7" s="100"/>
      <c r="VB7" s="100"/>
      <c r="VC7" s="100"/>
      <c r="VD7" s="100"/>
      <c r="VE7" s="100"/>
      <c r="VF7" s="100"/>
      <c r="VG7" s="100"/>
      <c r="VH7" s="100"/>
      <c r="VI7" s="100"/>
      <c r="VJ7" s="100"/>
      <c r="VK7" s="100"/>
      <c r="VL7" s="100"/>
      <c r="VM7" s="100"/>
      <c r="VN7" s="100"/>
      <c r="VO7" s="100"/>
      <c r="VP7" s="100"/>
      <c r="VQ7" s="100"/>
      <c r="VR7" s="100"/>
      <c r="VS7" s="100"/>
      <c r="VT7" s="100"/>
      <c r="VU7" s="100"/>
      <c r="VV7" s="100"/>
      <c r="VW7" s="100"/>
      <c r="VX7" s="100"/>
      <c r="VY7" s="100"/>
      <c r="VZ7" s="100"/>
      <c r="WA7" s="100"/>
      <c r="WB7" s="100"/>
      <c r="WC7" s="100"/>
      <c r="WD7" s="100"/>
      <c r="WE7" s="100"/>
      <c r="WF7" s="100"/>
      <c r="WG7" s="100"/>
      <c r="WH7" s="100"/>
      <c r="WI7" s="100"/>
      <c r="WJ7" s="100"/>
      <c r="WK7" s="100"/>
      <c r="WL7" s="100"/>
      <c r="WM7" s="100"/>
      <c r="WN7" s="100"/>
      <c r="WO7" s="100"/>
      <c r="WP7" s="100"/>
      <c r="WQ7" s="100"/>
      <c r="WR7" s="100"/>
      <c r="WS7" s="100"/>
      <c r="WT7" s="100"/>
      <c r="WU7" s="100"/>
      <c r="WV7" s="100"/>
      <c r="WW7" s="100"/>
      <c r="WX7" s="100"/>
      <c r="WY7" s="100"/>
      <c r="WZ7" s="100"/>
      <c r="XA7" s="100"/>
      <c r="XB7" s="100"/>
      <c r="XC7" s="100"/>
      <c r="XD7" s="100"/>
      <c r="XE7" s="100"/>
      <c r="XF7" s="100"/>
      <c r="XG7" s="100"/>
      <c r="XH7" s="100"/>
      <c r="XI7" s="100"/>
      <c r="XJ7" s="100"/>
      <c r="XK7" s="100"/>
      <c r="XL7" s="100"/>
      <c r="XM7" s="100"/>
      <c r="XN7" s="100"/>
      <c r="XO7" s="100"/>
      <c r="XP7" s="100"/>
      <c r="XQ7" s="100"/>
      <c r="XR7" s="100"/>
      <c r="XS7" s="100"/>
      <c r="XT7" s="100"/>
      <c r="XU7" s="100"/>
      <c r="XV7" s="100"/>
      <c r="XW7" s="100"/>
      <c r="XX7" s="100"/>
      <c r="XY7" s="100"/>
      <c r="XZ7" s="100"/>
      <c r="YA7" s="100"/>
      <c r="YB7" s="100"/>
      <c r="YC7" s="100"/>
      <c r="YD7" s="100"/>
      <c r="YE7" s="100"/>
      <c r="YF7" s="100"/>
      <c r="YG7" s="100"/>
      <c r="YH7" s="100"/>
      <c r="YI7" s="100"/>
      <c r="YJ7" s="100"/>
      <c r="YK7" s="100"/>
      <c r="YL7" s="100"/>
      <c r="YM7" s="100"/>
      <c r="YN7" s="100"/>
      <c r="YO7" s="100"/>
      <c r="YP7" s="100"/>
      <c r="YQ7" s="100"/>
      <c r="YR7" s="100"/>
      <c r="YS7" s="100"/>
      <c r="YT7" s="100"/>
      <c r="YU7" s="100"/>
      <c r="YV7" s="100"/>
      <c r="YW7" s="100"/>
      <c r="YX7" s="100"/>
      <c r="YY7" s="100"/>
      <c r="YZ7" s="100"/>
      <c r="ZA7" s="100"/>
      <c r="ZB7" s="100"/>
      <c r="ZC7" s="100"/>
      <c r="ZD7" s="100"/>
      <c r="ZE7" s="100"/>
      <c r="ZF7" s="100"/>
      <c r="ZG7" s="100"/>
      <c r="ZH7" s="100"/>
      <c r="ZI7" s="100"/>
      <c r="ZJ7" s="100"/>
      <c r="ZK7" s="100"/>
      <c r="ZL7" s="100"/>
      <c r="ZM7" s="100"/>
      <c r="ZN7" s="100"/>
      <c r="ZO7" s="100"/>
      <c r="ZP7" s="100"/>
      <c r="ZQ7" s="100"/>
      <c r="ZR7" s="100"/>
      <c r="ZS7" s="100"/>
      <c r="ZT7" s="100"/>
      <c r="ZU7" s="100"/>
      <c r="ZV7" s="100"/>
      <c r="ZW7" s="100"/>
      <c r="ZX7" s="100"/>
      <c r="ZY7" s="100"/>
      <c r="ZZ7" s="100"/>
      <c r="AAA7" s="100"/>
      <c r="AAB7" s="100"/>
      <c r="AAC7" s="100"/>
      <c r="AAD7" s="100"/>
      <c r="AAE7" s="100"/>
      <c r="AAF7" s="100"/>
      <c r="AAG7" s="100"/>
      <c r="AAH7" s="100"/>
      <c r="AAI7" s="100"/>
      <c r="AAJ7" s="100"/>
      <c r="AAK7" s="100"/>
      <c r="AAL7" s="100"/>
      <c r="AAM7" s="100"/>
      <c r="AAN7" s="100"/>
      <c r="AAO7" s="100"/>
      <c r="AAP7" s="100"/>
      <c r="AAQ7" s="100"/>
      <c r="AAR7" s="100"/>
      <c r="AAS7" s="100"/>
      <c r="AAT7" s="100"/>
      <c r="AAU7" s="100"/>
      <c r="AAV7" s="100"/>
      <c r="AAW7" s="100"/>
      <c r="AAX7" s="100"/>
      <c r="AAY7" s="100"/>
      <c r="AAZ7" s="100"/>
      <c r="ABA7" s="100"/>
      <c r="ABB7" s="100"/>
      <c r="ABC7" s="100"/>
      <c r="ABD7" s="100"/>
      <c r="ABE7" s="100"/>
      <c r="ABF7" s="100"/>
      <c r="ABG7" s="100"/>
      <c r="ABH7" s="100"/>
      <c r="ABI7" s="100"/>
      <c r="ABJ7" s="100"/>
      <c r="ABK7" s="100"/>
      <c r="ABL7" s="100"/>
      <c r="ABM7" s="100"/>
      <c r="ABN7" s="100"/>
      <c r="ABO7" s="100"/>
      <c r="ABP7" s="100"/>
      <c r="ABQ7" s="100"/>
      <c r="ABR7" s="100"/>
      <c r="ABS7" s="100"/>
      <c r="ABT7" s="100"/>
      <c r="ABU7" s="100"/>
      <c r="ABV7" s="100"/>
      <c r="ABW7" s="100"/>
      <c r="ABX7" s="100"/>
      <c r="ABY7" s="100"/>
      <c r="ABZ7" s="100"/>
      <c r="ACA7" s="100"/>
      <c r="ACB7" s="100"/>
      <c r="ACC7" s="100"/>
      <c r="ACD7" s="100"/>
      <c r="ACE7" s="100"/>
      <c r="ACF7" s="100"/>
      <c r="ACG7" s="100"/>
      <c r="ACH7" s="100"/>
      <c r="ACI7" s="100"/>
      <c r="ACJ7" s="100"/>
      <c r="ACK7" s="100"/>
      <c r="ACL7" s="100"/>
      <c r="ACM7" s="100"/>
      <c r="ACN7" s="100"/>
      <c r="ACO7" s="100"/>
      <c r="ACP7" s="100"/>
      <c r="ACQ7" s="100"/>
      <c r="ACR7" s="100"/>
      <c r="ACS7" s="100"/>
      <c r="ACT7" s="100"/>
      <c r="ACU7" s="100"/>
      <c r="ACV7" s="100"/>
      <c r="ACW7" s="100"/>
      <c r="ACX7" s="100"/>
      <c r="ACY7" s="100"/>
      <c r="ACZ7" s="100"/>
      <c r="ADA7" s="100"/>
      <c r="ADB7" s="100"/>
      <c r="ADC7" s="100"/>
      <c r="ADD7" s="100"/>
      <c r="ADE7" s="100"/>
      <c r="ADF7" s="100"/>
      <c r="ADG7" s="100"/>
      <c r="ADH7" s="100"/>
      <c r="ADI7" s="100"/>
      <c r="ADJ7" s="100"/>
      <c r="ADK7" s="100"/>
      <c r="ADL7" s="100"/>
      <c r="ADM7" s="100"/>
      <c r="ADN7" s="100"/>
      <c r="ADO7" s="100"/>
      <c r="ADP7" s="100"/>
      <c r="ADQ7" s="100"/>
      <c r="ADR7" s="100"/>
      <c r="ADS7" s="100"/>
      <c r="ADT7" s="100"/>
      <c r="ADU7" s="100"/>
      <c r="ADV7" s="100"/>
      <c r="ADW7" s="100"/>
      <c r="ADX7" s="100"/>
      <c r="ADY7" s="100"/>
      <c r="ADZ7" s="100"/>
      <c r="AEA7" s="100"/>
      <c r="AEB7" s="100"/>
      <c r="AEC7" s="100"/>
      <c r="AED7" s="100"/>
      <c r="AEE7" s="100"/>
      <c r="AEF7" s="100"/>
      <c r="AEG7" s="100"/>
      <c r="AEH7" s="100"/>
      <c r="AEI7" s="100"/>
      <c r="AEJ7" s="100"/>
      <c r="AEK7" s="100"/>
      <c r="AEL7" s="100"/>
      <c r="AEM7" s="100"/>
      <c r="AEN7" s="100"/>
      <c r="AEO7" s="100"/>
      <c r="AEP7" s="100"/>
      <c r="AEQ7" s="100"/>
      <c r="AER7" s="100"/>
      <c r="AES7" s="100"/>
      <c r="AET7" s="100"/>
      <c r="AEU7" s="100"/>
      <c r="AEV7" s="100"/>
      <c r="AEW7" s="100"/>
      <c r="AEX7" s="100"/>
      <c r="AEY7" s="100"/>
      <c r="AEZ7" s="100"/>
      <c r="AFA7" s="100"/>
      <c r="AFB7" s="100"/>
      <c r="AFC7" s="100"/>
      <c r="AFD7" s="100"/>
      <c r="AFE7" s="100"/>
      <c r="AFF7" s="100"/>
      <c r="AFG7" s="100"/>
      <c r="AFH7" s="100"/>
      <c r="AFI7" s="100"/>
      <c r="AFJ7" s="100"/>
      <c r="AFK7" s="100"/>
      <c r="AFL7" s="100"/>
      <c r="AFM7" s="100"/>
      <c r="AFN7" s="100"/>
      <c r="AFO7" s="100"/>
      <c r="AFP7" s="100"/>
      <c r="AFQ7" s="100"/>
      <c r="AFR7" s="100"/>
      <c r="AFS7" s="100"/>
      <c r="AFT7" s="100"/>
      <c r="AFU7" s="100"/>
      <c r="AFV7" s="100"/>
      <c r="AFW7" s="100"/>
      <c r="AFX7" s="100"/>
      <c r="AFY7" s="100"/>
      <c r="AFZ7" s="100"/>
      <c r="AGA7" s="100"/>
      <c r="AGB7" s="100"/>
      <c r="AGC7" s="100"/>
      <c r="AGD7" s="100"/>
      <c r="AGE7" s="100"/>
      <c r="AGF7" s="100"/>
      <c r="AGG7" s="100"/>
      <c r="AGH7" s="100"/>
      <c r="AGI7" s="100"/>
      <c r="AGJ7" s="100"/>
      <c r="AGK7" s="100"/>
      <c r="AGL7" s="100"/>
      <c r="AGM7" s="100"/>
      <c r="AGN7" s="100"/>
      <c r="AGO7" s="100"/>
      <c r="AGP7" s="100"/>
      <c r="AGQ7" s="100"/>
      <c r="AGR7" s="100"/>
      <c r="AGS7" s="100"/>
      <c r="AGT7" s="100"/>
      <c r="AGU7" s="100"/>
      <c r="AGV7" s="100"/>
      <c r="AGW7" s="100"/>
      <c r="AGX7" s="100"/>
      <c r="AGY7" s="100"/>
      <c r="AGZ7" s="100"/>
      <c r="AHA7" s="100"/>
      <c r="AHB7" s="100"/>
      <c r="AHC7" s="100"/>
      <c r="AHD7" s="100"/>
      <c r="AHE7" s="100"/>
      <c r="AHF7" s="100"/>
      <c r="AHG7" s="100"/>
      <c r="AHH7" s="100"/>
      <c r="AHI7" s="100"/>
      <c r="AHJ7" s="100"/>
      <c r="AHK7" s="100"/>
      <c r="AHL7" s="100"/>
      <c r="AHM7" s="100"/>
      <c r="AHN7" s="100"/>
      <c r="AHO7" s="100"/>
      <c r="AHP7" s="100"/>
      <c r="AHQ7" s="100"/>
      <c r="AHR7" s="100"/>
      <c r="AHS7" s="100"/>
      <c r="AHT7" s="100"/>
      <c r="AHU7" s="100"/>
      <c r="AHV7" s="100"/>
      <c r="AHW7" s="100"/>
      <c r="AHX7" s="100"/>
      <c r="AHY7" s="100"/>
      <c r="AHZ7" s="100"/>
      <c r="AIA7" s="100"/>
      <c r="AIB7" s="100"/>
      <c r="AIC7" s="100"/>
      <c r="AID7" s="100"/>
      <c r="AIE7" s="100"/>
      <c r="AIF7" s="100"/>
      <c r="AIG7" s="100"/>
      <c r="AIH7" s="100"/>
      <c r="AII7" s="100"/>
      <c r="AIJ7" s="100"/>
      <c r="AIK7" s="100"/>
      <c r="AIL7" s="100"/>
      <c r="AIM7" s="100"/>
      <c r="AIN7" s="100"/>
      <c r="AIO7" s="100"/>
      <c r="AIP7" s="100"/>
      <c r="AIQ7" s="100"/>
      <c r="AIR7" s="100"/>
      <c r="AIS7" s="100"/>
      <c r="AIT7" s="100"/>
      <c r="AIU7" s="100"/>
      <c r="AIV7" s="100"/>
      <c r="AIW7" s="100"/>
      <c r="AIX7" s="100"/>
      <c r="AIY7" s="100"/>
      <c r="AIZ7" s="100"/>
      <c r="AJA7" s="100"/>
      <c r="AJB7" s="100"/>
      <c r="AJC7" s="100"/>
      <c r="AJD7" s="100"/>
      <c r="AJE7" s="100"/>
      <c r="AJF7" s="100"/>
      <c r="AJG7" s="100"/>
      <c r="AJH7" s="100"/>
      <c r="AJI7" s="100"/>
      <c r="AJJ7" s="100"/>
      <c r="AJK7" s="100"/>
      <c r="AJL7" s="100"/>
      <c r="AJM7" s="100"/>
      <c r="AJN7" s="100"/>
      <c r="AJO7" s="100"/>
      <c r="AJP7" s="100"/>
      <c r="AJQ7" s="100"/>
      <c r="AJR7" s="100"/>
      <c r="AJS7" s="100"/>
      <c r="AJT7" s="100"/>
      <c r="AJU7" s="100"/>
      <c r="AJV7" s="100"/>
      <c r="AJW7" s="100"/>
      <c r="AJX7" s="100"/>
      <c r="AJY7" s="100"/>
      <c r="AJZ7" s="100"/>
      <c r="AKA7" s="100"/>
      <c r="AKB7" s="100"/>
      <c r="AKC7" s="100"/>
      <c r="AKD7" s="100"/>
      <c r="AKE7" s="100"/>
      <c r="AKF7" s="100"/>
      <c r="AKG7" s="100"/>
      <c r="AKH7" s="100"/>
      <c r="AKI7" s="100"/>
      <c r="AKJ7" s="100"/>
      <c r="AKK7" s="100"/>
      <c r="AKL7" s="100"/>
      <c r="AKM7" s="100"/>
      <c r="AKN7" s="100"/>
      <c r="AKO7" s="100"/>
      <c r="AKP7" s="100"/>
      <c r="AKQ7" s="100"/>
      <c r="AKR7" s="100"/>
      <c r="AKS7" s="100"/>
      <c r="AKT7" s="100"/>
      <c r="AKU7" s="100"/>
      <c r="AKV7" s="100"/>
      <c r="AKW7" s="100"/>
      <c r="AKX7" s="100"/>
      <c r="AKY7" s="100"/>
      <c r="AKZ7" s="100"/>
      <c r="ALA7" s="100"/>
      <c r="ALB7" s="100"/>
      <c r="ALC7" s="100"/>
      <c r="ALD7" s="100"/>
      <c r="ALE7" s="100"/>
      <c r="ALF7" s="100"/>
      <c r="ALG7" s="100"/>
      <c r="ALH7" s="100"/>
      <c r="ALI7" s="100"/>
      <c r="ALJ7" s="100"/>
      <c r="ALK7" s="100"/>
      <c r="ALL7" s="100"/>
      <c r="ALM7" s="100"/>
      <c r="ALN7" s="100"/>
      <c r="ALO7" s="100"/>
      <c r="ALP7" s="100"/>
      <c r="ALQ7" s="100"/>
      <c r="ALR7" s="100"/>
      <c r="ALS7" s="100"/>
      <c r="ALT7" s="100"/>
      <c r="ALU7" s="100"/>
      <c r="ALV7" s="100"/>
      <c r="ALW7" s="100"/>
      <c r="ALX7" s="100"/>
      <c r="ALY7" s="100"/>
      <c r="ALZ7" s="100"/>
      <c r="AMA7" s="100"/>
      <c r="AMB7" s="100"/>
      <c r="AMC7" s="100"/>
      <c r="AMD7" s="100"/>
      <c r="AME7" s="100"/>
      <c r="AMF7" s="100"/>
      <c r="AMG7" s="100"/>
      <c r="AMH7" s="100"/>
      <c r="AMI7" s="100"/>
      <c r="AMJ7" s="100"/>
      <c r="AMK7" s="100"/>
    </row>
    <row r="8" spans="2:1025" s="103" customFormat="1" ht="41.25" customHeight="1" thickBot="1" x14ac:dyDescent="0.25">
      <c r="B8" s="247" t="s">
        <v>33</v>
      </c>
      <c r="C8" s="248"/>
      <c r="D8" s="249" t="s">
        <v>34</v>
      </c>
      <c r="E8" s="250"/>
      <c r="F8" s="251" t="s">
        <v>35</v>
      </c>
      <c r="G8" s="252"/>
      <c r="H8" s="253" t="s">
        <v>36</v>
      </c>
      <c r="I8" s="254"/>
      <c r="J8" s="255" t="s">
        <v>37</v>
      </c>
      <c r="K8" s="256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2"/>
      <c r="JT8" s="102"/>
      <c r="JU8" s="102"/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2"/>
      <c r="LC8" s="102"/>
      <c r="LD8" s="102"/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2"/>
      <c r="ML8" s="102"/>
      <c r="MM8" s="102"/>
      <c r="MN8" s="102"/>
      <c r="MO8" s="102"/>
      <c r="MP8" s="102"/>
      <c r="MQ8" s="102"/>
      <c r="MR8" s="102"/>
      <c r="MS8" s="102"/>
      <c r="MT8" s="102"/>
      <c r="MU8" s="102"/>
      <c r="MV8" s="102"/>
      <c r="MW8" s="102"/>
      <c r="MX8" s="102"/>
      <c r="MY8" s="102"/>
      <c r="MZ8" s="102"/>
      <c r="NA8" s="102"/>
      <c r="NB8" s="102"/>
      <c r="NC8" s="102"/>
      <c r="ND8" s="102"/>
      <c r="NE8" s="102"/>
      <c r="NF8" s="102"/>
      <c r="NG8" s="102"/>
      <c r="NH8" s="102"/>
      <c r="NI8" s="102"/>
      <c r="NJ8" s="102"/>
      <c r="NK8" s="102"/>
      <c r="NL8" s="102"/>
      <c r="NM8" s="102"/>
      <c r="NN8" s="102"/>
      <c r="NO8" s="102"/>
      <c r="NP8" s="102"/>
      <c r="NQ8" s="102"/>
      <c r="NR8" s="102"/>
      <c r="NS8" s="102"/>
      <c r="NT8" s="102"/>
      <c r="NU8" s="102"/>
      <c r="NV8" s="102"/>
      <c r="NW8" s="102"/>
      <c r="NX8" s="102"/>
      <c r="NY8" s="102"/>
      <c r="NZ8" s="102"/>
      <c r="OA8" s="102"/>
      <c r="OB8" s="102"/>
      <c r="OC8" s="102"/>
      <c r="OD8" s="102"/>
      <c r="OE8" s="102"/>
      <c r="OF8" s="102"/>
      <c r="OG8" s="102"/>
      <c r="OH8" s="102"/>
      <c r="OI8" s="102"/>
      <c r="OJ8" s="102"/>
      <c r="OK8" s="102"/>
      <c r="OL8" s="102"/>
      <c r="OM8" s="102"/>
      <c r="ON8" s="102"/>
      <c r="OO8" s="102"/>
      <c r="OP8" s="102"/>
      <c r="OQ8" s="102"/>
      <c r="OR8" s="102"/>
      <c r="OS8" s="102"/>
      <c r="OT8" s="102"/>
      <c r="OU8" s="102"/>
      <c r="OV8" s="102"/>
      <c r="OW8" s="102"/>
      <c r="OX8" s="102"/>
      <c r="OY8" s="102"/>
      <c r="OZ8" s="102"/>
      <c r="PA8" s="102"/>
      <c r="PB8" s="102"/>
      <c r="PC8" s="102"/>
      <c r="PD8" s="102"/>
      <c r="PE8" s="102"/>
      <c r="PF8" s="102"/>
      <c r="PG8" s="102"/>
      <c r="PH8" s="102"/>
      <c r="PI8" s="102"/>
      <c r="PJ8" s="102"/>
      <c r="PK8" s="102"/>
      <c r="PL8" s="102"/>
      <c r="PM8" s="102"/>
      <c r="PN8" s="102"/>
      <c r="PO8" s="102"/>
      <c r="PP8" s="102"/>
      <c r="PQ8" s="102"/>
      <c r="PR8" s="102"/>
      <c r="PS8" s="102"/>
      <c r="PT8" s="102"/>
      <c r="PU8" s="102"/>
      <c r="PV8" s="102"/>
      <c r="PW8" s="102"/>
      <c r="PX8" s="102"/>
      <c r="PY8" s="102"/>
      <c r="PZ8" s="102"/>
      <c r="QA8" s="102"/>
      <c r="QB8" s="102"/>
      <c r="QC8" s="102"/>
      <c r="QD8" s="102"/>
      <c r="QE8" s="102"/>
      <c r="QF8" s="102"/>
      <c r="QG8" s="102"/>
      <c r="QH8" s="102"/>
      <c r="QI8" s="102"/>
      <c r="QJ8" s="102"/>
      <c r="QK8" s="102"/>
      <c r="QL8" s="102"/>
      <c r="QM8" s="102"/>
      <c r="QN8" s="102"/>
      <c r="QO8" s="102"/>
      <c r="QP8" s="102"/>
      <c r="QQ8" s="102"/>
      <c r="QR8" s="102"/>
      <c r="QS8" s="102"/>
      <c r="QT8" s="102"/>
      <c r="QU8" s="102"/>
      <c r="QV8" s="102"/>
      <c r="QW8" s="102"/>
      <c r="QX8" s="102"/>
      <c r="QY8" s="102"/>
      <c r="QZ8" s="102"/>
      <c r="RA8" s="102"/>
      <c r="RB8" s="102"/>
      <c r="RC8" s="102"/>
      <c r="RD8" s="102"/>
      <c r="RE8" s="102"/>
      <c r="RF8" s="102"/>
      <c r="RG8" s="102"/>
      <c r="RH8" s="102"/>
      <c r="RI8" s="102"/>
      <c r="RJ8" s="102"/>
      <c r="RK8" s="102"/>
      <c r="RL8" s="102"/>
      <c r="RM8" s="102"/>
      <c r="RN8" s="102"/>
      <c r="RO8" s="102"/>
      <c r="RP8" s="102"/>
      <c r="RQ8" s="102"/>
      <c r="RR8" s="102"/>
      <c r="RS8" s="102"/>
      <c r="RT8" s="102"/>
      <c r="RU8" s="102"/>
      <c r="RV8" s="102"/>
      <c r="RW8" s="102"/>
      <c r="RX8" s="102"/>
      <c r="RY8" s="102"/>
      <c r="RZ8" s="102"/>
      <c r="SA8" s="102"/>
      <c r="SB8" s="102"/>
      <c r="SC8" s="102"/>
      <c r="SD8" s="102"/>
      <c r="SE8" s="102"/>
      <c r="SF8" s="102"/>
      <c r="SG8" s="102"/>
      <c r="SH8" s="102"/>
      <c r="SI8" s="102"/>
      <c r="SJ8" s="102"/>
      <c r="SK8" s="102"/>
      <c r="SL8" s="102"/>
      <c r="SM8" s="102"/>
      <c r="SN8" s="102"/>
      <c r="SO8" s="102"/>
      <c r="SP8" s="102"/>
      <c r="SQ8" s="102"/>
      <c r="SR8" s="102"/>
      <c r="SS8" s="102"/>
      <c r="ST8" s="102"/>
      <c r="SU8" s="102"/>
      <c r="SV8" s="102"/>
      <c r="SW8" s="102"/>
      <c r="SX8" s="102"/>
      <c r="SY8" s="102"/>
      <c r="SZ8" s="102"/>
      <c r="TA8" s="102"/>
      <c r="TB8" s="102"/>
      <c r="TC8" s="102"/>
      <c r="TD8" s="102"/>
      <c r="TE8" s="102"/>
      <c r="TF8" s="102"/>
      <c r="TG8" s="102"/>
      <c r="TH8" s="102"/>
      <c r="TI8" s="102"/>
      <c r="TJ8" s="102"/>
      <c r="TK8" s="102"/>
      <c r="TL8" s="102"/>
      <c r="TM8" s="102"/>
      <c r="TN8" s="102"/>
      <c r="TO8" s="102"/>
      <c r="TP8" s="102"/>
      <c r="TQ8" s="102"/>
      <c r="TR8" s="102"/>
      <c r="TS8" s="102"/>
      <c r="TT8" s="102"/>
      <c r="TU8" s="102"/>
      <c r="TV8" s="102"/>
      <c r="TW8" s="102"/>
      <c r="TX8" s="102"/>
      <c r="TY8" s="102"/>
      <c r="TZ8" s="102"/>
      <c r="UA8" s="102"/>
      <c r="UB8" s="102"/>
      <c r="UC8" s="102"/>
      <c r="UD8" s="102"/>
      <c r="UE8" s="102"/>
      <c r="UF8" s="102"/>
      <c r="UG8" s="102"/>
      <c r="UH8" s="102"/>
      <c r="UI8" s="102"/>
      <c r="UJ8" s="102"/>
      <c r="UK8" s="102"/>
      <c r="UL8" s="102"/>
      <c r="UM8" s="102"/>
      <c r="UN8" s="102"/>
      <c r="UO8" s="102"/>
      <c r="UP8" s="102"/>
      <c r="UQ8" s="102"/>
      <c r="UR8" s="102"/>
      <c r="US8" s="102"/>
      <c r="UT8" s="102"/>
      <c r="UU8" s="102"/>
      <c r="UV8" s="102"/>
      <c r="UW8" s="102"/>
      <c r="UX8" s="102"/>
      <c r="UY8" s="102"/>
      <c r="UZ8" s="102"/>
      <c r="VA8" s="102"/>
      <c r="VB8" s="102"/>
      <c r="VC8" s="102"/>
      <c r="VD8" s="102"/>
      <c r="VE8" s="102"/>
      <c r="VF8" s="102"/>
      <c r="VG8" s="102"/>
      <c r="VH8" s="102"/>
      <c r="VI8" s="102"/>
      <c r="VJ8" s="102"/>
      <c r="VK8" s="102"/>
      <c r="VL8" s="102"/>
      <c r="VM8" s="102"/>
      <c r="VN8" s="102"/>
      <c r="VO8" s="102"/>
      <c r="VP8" s="102"/>
      <c r="VQ8" s="102"/>
      <c r="VR8" s="102"/>
      <c r="VS8" s="102"/>
      <c r="VT8" s="102"/>
      <c r="VU8" s="102"/>
      <c r="VV8" s="102"/>
      <c r="VW8" s="102"/>
      <c r="VX8" s="102"/>
      <c r="VY8" s="102"/>
      <c r="VZ8" s="102"/>
      <c r="WA8" s="102"/>
      <c r="WB8" s="102"/>
      <c r="WC8" s="102"/>
      <c r="WD8" s="102"/>
      <c r="WE8" s="102"/>
      <c r="WF8" s="102"/>
      <c r="WG8" s="102"/>
      <c r="WH8" s="102"/>
      <c r="WI8" s="102"/>
      <c r="WJ8" s="102"/>
      <c r="WK8" s="102"/>
      <c r="WL8" s="102"/>
      <c r="WM8" s="102"/>
      <c r="WN8" s="102"/>
      <c r="WO8" s="102"/>
      <c r="WP8" s="102"/>
      <c r="WQ8" s="102"/>
      <c r="WR8" s="102"/>
      <c r="WS8" s="102"/>
      <c r="WT8" s="102"/>
      <c r="WU8" s="102"/>
      <c r="WV8" s="102"/>
      <c r="WW8" s="102"/>
      <c r="WX8" s="102"/>
      <c r="WY8" s="102"/>
      <c r="WZ8" s="102"/>
      <c r="XA8" s="102"/>
      <c r="XB8" s="102"/>
      <c r="XC8" s="102"/>
      <c r="XD8" s="102"/>
      <c r="XE8" s="102"/>
      <c r="XF8" s="102"/>
      <c r="XG8" s="102"/>
      <c r="XH8" s="102"/>
      <c r="XI8" s="102"/>
      <c r="XJ8" s="102"/>
      <c r="XK8" s="102"/>
      <c r="XL8" s="102"/>
      <c r="XM8" s="102"/>
      <c r="XN8" s="102"/>
      <c r="XO8" s="102"/>
      <c r="XP8" s="102"/>
      <c r="XQ8" s="102"/>
      <c r="XR8" s="102"/>
      <c r="XS8" s="102"/>
      <c r="XT8" s="102"/>
      <c r="XU8" s="102"/>
      <c r="XV8" s="102"/>
      <c r="XW8" s="102"/>
      <c r="XX8" s="102"/>
      <c r="XY8" s="102"/>
      <c r="XZ8" s="102"/>
      <c r="YA8" s="102"/>
      <c r="YB8" s="102"/>
      <c r="YC8" s="102"/>
      <c r="YD8" s="102"/>
      <c r="YE8" s="102"/>
      <c r="YF8" s="102"/>
      <c r="YG8" s="102"/>
      <c r="YH8" s="102"/>
      <c r="YI8" s="102"/>
      <c r="YJ8" s="102"/>
      <c r="YK8" s="102"/>
      <c r="YL8" s="102"/>
      <c r="YM8" s="102"/>
      <c r="YN8" s="102"/>
      <c r="YO8" s="102"/>
      <c r="YP8" s="102"/>
      <c r="YQ8" s="102"/>
      <c r="YR8" s="102"/>
      <c r="YS8" s="102"/>
      <c r="YT8" s="102"/>
      <c r="YU8" s="102"/>
      <c r="YV8" s="102"/>
      <c r="YW8" s="102"/>
      <c r="YX8" s="102"/>
      <c r="YY8" s="102"/>
      <c r="YZ8" s="102"/>
      <c r="ZA8" s="102"/>
      <c r="ZB8" s="102"/>
      <c r="ZC8" s="102"/>
      <c r="ZD8" s="102"/>
      <c r="ZE8" s="102"/>
      <c r="ZF8" s="102"/>
      <c r="ZG8" s="102"/>
      <c r="ZH8" s="102"/>
      <c r="ZI8" s="102"/>
      <c r="ZJ8" s="102"/>
      <c r="ZK8" s="102"/>
      <c r="ZL8" s="102"/>
      <c r="ZM8" s="102"/>
      <c r="ZN8" s="102"/>
      <c r="ZO8" s="102"/>
      <c r="ZP8" s="102"/>
      <c r="ZQ8" s="102"/>
      <c r="ZR8" s="102"/>
      <c r="ZS8" s="102"/>
      <c r="ZT8" s="102"/>
      <c r="ZU8" s="102"/>
      <c r="ZV8" s="102"/>
      <c r="ZW8" s="102"/>
      <c r="ZX8" s="102"/>
      <c r="ZY8" s="102"/>
      <c r="ZZ8" s="102"/>
      <c r="AAA8" s="102"/>
      <c r="AAB8" s="102"/>
      <c r="AAC8" s="102"/>
      <c r="AAD8" s="102"/>
      <c r="AAE8" s="102"/>
      <c r="AAF8" s="102"/>
      <c r="AAG8" s="102"/>
      <c r="AAH8" s="102"/>
      <c r="AAI8" s="102"/>
      <c r="AAJ8" s="102"/>
      <c r="AAK8" s="102"/>
      <c r="AAL8" s="102"/>
      <c r="AAM8" s="102"/>
      <c r="AAN8" s="102"/>
      <c r="AAO8" s="102"/>
      <c r="AAP8" s="102"/>
      <c r="AAQ8" s="102"/>
      <c r="AAR8" s="102"/>
      <c r="AAS8" s="102"/>
      <c r="AAT8" s="102"/>
      <c r="AAU8" s="102"/>
      <c r="AAV8" s="102"/>
      <c r="AAW8" s="102"/>
      <c r="AAX8" s="102"/>
      <c r="AAY8" s="102"/>
      <c r="AAZ8" s="102"/>
      <c r="ABA8" s="102"/>
      <c r="ABB8" s="102"/>
      <c r="ABC8" s="102"/>
      <c r="ABD8" s="102"/>
      <c r="ABE8" s="102"/>
      <c r="ABF8" s="102"/>
      <c r="ABG8" s="102"/>
      <c r="ABH8" s="102"/>
      <c r="ABI8" s="102"/>
      <c r="ABJ8" s="102"/>
      <c r="ABK8" s="102"/>
      <c r="ABL8" s="102"/>
      <c r="ABM8" s="102"/>
      <c r="ABN8" s="102"/>
      <c r="ABO8" s="102"/>
      <c r="ABP8" s="102"/>
      <c r="ABQ8" s="102"/>
      <c r="ABR8" s="102"/>
      <c r="ABS8" s="102"/>
      <c r="ABT8" s="102"/>
      <c r="ABU8" s="102"/>
      <c r="ABV8" s="102"/>
      <c r="ABW8" s="102"/>
      <c r="ABX8" s="102"/>
      <c r="ABY8" s="102"/>
      <c r="ABZ8" s="102"/>
      <c r="ACA8" s="102"/>
      <c r="ACB8" s="102"/>
      <c r="ACC8" s="102"/>
      <c r="ACD8" s="102"/>
      <c r="ACE8" s="102"/>
      <c r="ACF8" s="102"/>
      <c r="ACG8" s="102"/>
      <c r="ACH8" s="102"/>
      <c r="ACI8" s="102"/>
      <c r="ACJ8" s="102"/>
      <c r="ACK8" s="102"/>
      <c r="ACL8" s="102"/>
      <c r="ACM8" s="102"/>
      <c r="ACN8" s="102"/>
      <c r="ACO8" s="102"/>
      <c r="ACP8" s="102"/>
      <c r="ACQ8" s="102"/>
      <c r="ACR8" s="102"/>
      <c r="ACS8" s="102"/>
      <c r="ACT8" s="102"/>
      <c r="ACU8" s="102"/>
      <c r="ACV8" s="102"/>
      <c r="ACW8" s="102"/>
      <c r="ACX8" s="102"/>
      <c r="ACY8" s="102"/>
      <c r="ACZ8" s="102"/>
      <c r="ADA8" s="102"/>
      <c r="ADB8" s="102"/>
      <c r="ADC8" s="102"/>
      <c r="ADD8" s="102"/>
      <c r="ADE8" s="102"/>
      <c r="ADF8" s="102"/>
      <c r="ADG8" s="102"/>
      <c r="ADH8" s="102"/>
      <c r="ADI8" s="102"/>
      <c r="ADJ8" s="102"/>
      <c r="ADK8" s="102"/>
      <c r="ADL8" s="102"/>
      <c r="ADM8" s="102"/>
      <c r="ADN8" s="102"/>
      <c r="ADO8" s="102"/>
      <c r="ADP8" s="102"/>
      <c r="ADQ8" s="102"/>
      <c r="ADR8" s="102"/>
      <c r="ADS8" s="102"/>
      <c r="ADT8" s="102"/>
      <c r="ADU8" s="102"/>
      <c r="ADV8" s="102"/>
      <c r="ADW8" s="102"/>
      <c r="ADX8" s="102"/>
      <c r="ADY8" s="102"/>
      <c r="ADZ8" s="102"/>
      <c r="AEA8" s="102"/>
      <c r="AEB8" s="102"/>
      <c r="AEC8" s="102"/>
      <c r="AED8" s="102"/>
      <c r="AEE8" s="102"/>
      <c r="AEF8" s="102"/>
      <c r="AEG8" s="102"/>
      <c r="AEH8" s="102"/>
      <c r="AEI8" s="102"/>
      <c r="AEJ8" s="102"/>
      <c r="AEK8" s="102"/>
      <c r="AEL8" s="102"/>
      <c r="AEM8" s="102"/>
      <c r="AEN8" s="102"/>
      <c r="AEO8" s="102"/>
      <c r="AEP8" s="102"/>
      <c r="AEQ8" s="102"/>
      <c r="AER8" s="102"/>
      <c r="AES8" s="102"/>
      <c r="AET8" s="102"/>
      <c r="AEU8" s="102"/>
      <c r="AEV8" s="102"/>
      <c r="AEW8" s="102"/>
      <c r="AEX8" s="102"/>
      <c r="AEY8" s="102"/>
      <c r="AEZ8" s="102"/>
      <c r="AFA8" s="102"/>
      <c r="AFB8" s="102"/>
      <c r="AFC8" s="102"/>
      <c r="AFD8" s="102"/>
      <c r="AFE8" s="102"/>
      <c r="AFF8" s="102"/>
      <c r="AFG8" s="102"/>
      <c r="AFH8" s="102"/>
      <c r="AFI8" s="102"/>
      <c r="AFJ8" s="102"/>
      <c r="AFK8" s="102"/>
      <c r="AFL8" s="102"/>
      <c r="AFM8" s="102"/>
      <c r="AFN8" s="102"/>
      <c r="AFO8" s="102"/>
      <c r="AFP8" s="102"/>
      <c r="AFQ8" s="102"/>
      <c r="AFR8" s="102"/>
      <c r="AFS8" s="102"/>
      <c r="AFT8" s="102"/>
      <c r="AFU8" s="102"/>
      <c r="AFV8" s="102"/>
      <c r="AFW8" s="102"/>
      <c r="AFX8" s="102"/>
      <c r="AFY8" s="102"/>
      <c r="AFZ8" s="102"/>
      <c r="AGA8" s="102"/>
      <c r="AGB8" s="102"/>
      <c r="AGC8" s="102"/>
      <c r="AGD8" s="102"/>
      <c r="AGE8" s="102"/>
      <c r="AGF8" s="102"/>
      <c r="AGG8" s="102"/>
      <c r="AGH8" s="102"/>
      <c r="AGI8" s="102"/>
      <c r="AGJ8" s="102"/>
      <c r="AGK8" s="102"/>
      <c r="AGL8" s="102"/>
      <c r="AGM8" s="102"/>
      <c r="AGN8" s="102"/>
      <c r="AGO8" s="102"/>
      <c r="AGP8" s="102"/>
      <c r="AGQ8" s="102"/>
      <c r="AGR8" s="102"/>
      <c r="AGS8" s="102"/>
      <c r="AGT8" s="102"/>
      <c r="AGU8" s="102"/>
      <c r="AGV8" s="102"/>
      <c r="AGW8" s="102"/>
      <c r="AGX8" s="102"/>
      <c r="AGY8" s="102"/>
      <c r="AGZ8" s="102"/>
      <c r="AHA8" s="102"/>
      <c r="AHB8" s="102"/>
      <c r="AHC8" s="102"/>
      <c r="AHD8" s="102"/>
      <c r="AHE8" s="102"/>
      <c r="AHF8" s="102"/>
      <c r="AHG8" s="102"/>
      <c r="AHH8" s="102"/>
      <c r="AHI8" s="102"/>
      <c r="AHJ8" s="102"/>
      <c r="AHK8" s="102"/>
      <c r="AHL8" s="102"/>
      <c r="AHM8" s="102"/>
      <c r="AHN8" s="102"/>
      <c r="AHO8" s="102"/>
      <c r="AHP8" s="102"/>
      <c r="AHQ8" s="102"/>
      <c r="AHR8" s="102"/>
      <c r="AHS8" s="102"/>
      <c r="AHT8" s="102"/>
      <c r="AHU8" s="102"/>
      <c r="AHV8" s="102"/>
      <c r="AHW8" s="102"/>
      <c r="AHX8" s="102"/>
      <c r="AHY8" s="102"/>
      <c r="AHZ8" s="102"/>
      <c r="AIA8" s="102"/>
      <c r="AIB8" s="102"/>
      <c r="AIC8" s="102"/>
      <c r="AID8" s="102"/>
      <c r="AIE8" s="102"/>
      <c r="AIF8" s="102"/>
      <c r="AIG8" s="102"/>
      <c r="AIH8" s="102"/>
      <c r="AII8" s="102"/>
      <c r="AIJ8" s="102"/>
      <c r="AIK8" s="102"/>
      <c r="AIL8" s="102"/>
      <c r="AIM8" s="102"/>
      <c r="AIN8" s="102"/>
      <c r="AIO8" s="102"/>
      <c r="AIP8" s="102"/>
      <c r="AIQ8" s="102"/>
      <c r="AIR8" s="102"/>
      <c r="AIS8" s="102"/>
      <c r="AIT8" s="102"/>
      <c r="AIU8" s="102"/>
      <c r="AIV8" s="102"/>
      <c r="AIW8" s="102"/>
      <c r="AIX8" s="102"/>
      <c r="AIY8" s="102"/>
      <c r="AIZ8" s="102"/>
      <c r="AJA8" s="102"/>
      <c r="AJB8" s="102"/>
      <c r="AJC8" s="102"/>
      <c r="AJD8" s="102"/>
      <c r="AJE8" s="102"/>
      <c r="AJF8" s="102"/>
      <c r="AJG8" s="102"/>
      <c r="AJH8" s="102"/>
      <c r="AJI8" s="102"/>
      <c r="AJJ8" s="102"/>
      <c r="AJK8" s="102"/>
      <c r="AJL8" s="102"/>
      <c r="AJM8" s="102"/>
      <c r="AJN8" s="102"/>
      <c r="AJO8" s="102"/>
      <c r="AJP8" s="102"/>
      <c r="AJQ8" s="102"/>
      <c r="AJR8" s="102"/>
      <c r="AJS8" s="102"/>
      <c r="AJT8" s="102"/>
      <c r="AJU8" s="102"/>
      <c r="AJV8" s="102"/>
      <c r="AJW8" s="102"/>
      <c r="AJX8" s="102"/>
      <c r="AJY8" s="102"/>
      <c r="AJZ8" s="102"/>
      <c r="AKA8" s="102"/>
      <c r="AKB8" s="102"/>
      <c r="AKC8" s="102"/>
      <c r="AKD8" s="102"/>
      <c r="AKE8" s="102"/>
      <c r="AKF8" s="102"/>
      <c r="AKG8" s="102"/>
      <c r="AKH8" s="102"/>
      <c r="AKI8" s="102"/>
      <c r="AKJ8" s="102"/>
      <c r="AKK8" s="102"/>
      <c r="AKL8" s="102"/>
      <c r="AKM8" s="102"/>
      <c r="AKN8" s="102"/>
      <c r="AKO8" s="102"/>
      <c r="AKP8" s="102"/>
      <c r="AKQ8" s="102"/>
      <c r="AKR8" s="102"/>
      <c r="AKS8" s="102"/>
      <c r="AKT8" s="102"/>
      <c r="AKU8" s="102"/>
      <c r="AKV8" s="102"/>
      <c r="AKW8" s="102"/>
      <c r="AKX8" s="102"/>
      <c r="AKY8" s="102"/>
      <c r="AKZ8" s="102"/>
      <c r="ALA8" s="102"/>
      <c r="ALB8" s="102"/>
      <c r="ALC8" s="102"/>
      <c r="ALD8" s="102"/>
      <c r="ALE8" s="102"/>
      <c r="ALF8" s="102"/>
      <c r="ALG8" s="102"/>
      <c r="ALH8" s="102"/>
      <c r="ALI8" s="102"/>
      <c r="ALJ8" s="102"/>
      <c r="ALK8" s="102"/>
      <c r="ALL8" s="102"/>
      <c r="ALM8" s="102"/>
      <c r="ALN8" s="102"/>
      <c r="ALO8" s="102"/>
      <c r="ALP8" s="102"/>
      <c r="ALQ8" s="102"/>
      <c r="ALR8" s="102"/>
      <c r="ALS8" s="102"/>
      <c r="ALT8" s="102"/>
      <c r="ALU8" s="102"/>
      <c r="ALV8" s="102"/>
      <c r="ALW8" s="102"/>
      <c r="ALX8" s="102"/>
      <c r="ALY8" s="102"/>
      <c r="ALZ8" s="102"/>
      <c r="AMA8" s="102"/>
      <c r="AMB8" s="102"/>
      <c r="AMC8" s="102"/>
      <c r="AMD8" s="102"/>
      <c r="AME8" s="102"/>
      <c r="AMF8" s="102"/>
      <c r="AMG8" s="102"/>
      <c r="AMH8" s="102"/>
      <c r="AMI8" s="102"/>
      <c r="AMJ8" s="102"/>
      <c r="AMK8" s="102"/>
    </row>
    <row r="9" spans="2:1025" ht="60" x14ac:dyDescent="0.2">
      <c r="B9" s="136" t="s">
        <v>38</v>
      </c>
      <c r="C9" s="146" t="s">
        <v>39</v>
      </c>
      <c r="D9" s="147" t="s">
        <v>38</v>
      </c>
      <c r="E9" s="148" t="s">
        <v>39</v>
      </c>
      <c r="F9" s="149" t="s">
        <v>40</v>
      </c>
      <c r="G9" s="152" t="s">
        <v>226</v>
      </c>
      <c r="H9" s="149" t="s">
        <v>41</v>
      </c>
      <c r="I9" s="148" t="s">
        <v>42</v>
      </c>
      <c r="J9" s="149" t="s">
        <v>43</v>
      </c>
      <c r="K9" s="148" t="s">
        <v>44</v>
      </c>
    </row>
    <row r="10" spans="2:1025" x14ac:dyDescent="0.2">
      <c r="B10" s="136" t="s">
        <v>45</v>
      </c>
      <c r="C10" s="137" t="s">
        <v>46</v>
      </c>
      <c r="D10" s="136" t="s">
        <v>45</v>
      </c>
      <c r="E10" s="137" t="s">
        <v>46</v>
      </c>
      <c r="F10" s="136" t="s">
        <v>45</v>
      </c>
      <c r="G10" s="153" t="s">
        <v>47</v>
      </c>
      <c r="H10" s="139" t="s">
        <v>48</v>
      </c>
      <c r="I10" s="137" t="s">
        <v>46</v>
      </c>
      <c r="J10" s="135" t="s">
        <v>45</v>
      </c>
      <c r="K10" s="137" t="s">
        <v>49</v>
      </c>
      <c r="S10" s="14"/>
    </row>
    <row r="11" spans="2:1025" x14ac:dyDescent="0.2">
      <c r="B11" s="136" t="s">
        <v>50</v>
      </c>
      <c r="C11" s="138">
        <v>3847</v>
      </c>
      <c r="D11" s="136" t="s">
        <v>50</v>
      </c>
      <c r="E11" s="138">
        <v>3846.5</v>
      </c>
      <c r="F11" s="150" t="s">
        <v>50</v>
      </c>
      <c r="G11" s="154">
        <v>0</v>
      </c>
      <c r="H11" s="139" t="s">
        <v>50</v>
      </c>
      <c r="I11" s="138">
        <v>300</v>
      </c>
      <c r="J11" s="139" t="s">
        <v>50</v>
      </c>
      <c r="K11" s="138">
        <v>178.8</v>
      </c>
      <c r="S11" s="15"/>
    </row>
    <row r="12" spans="2:1025" x14ac:dyDescent="0.2">
      <c r="B12" s="135" t="s">
        <v>51</v>
      </c>
      <c r="C12" s="137">
        <v>27</v>
      </c>
      <c r="D12" s="135" t="s">
        <v>51</v>
      </c>
      <c r="E12" s="137">
        <v>198</v>
      </c>
      <c r="F12" s="139" t="s">
        <v>52</v>
      </c>
      <c r="G12" s="153">
        <f>ROUNDUP((($H$22+$H$21)/G13),0)</f>
        <v>1</v>
      </c>
      <c r="H12" s="139" t="s">
        <v>53</v>
      </c>
      <c r="I12" s="137">
        <v>2100</v>
      </c>
      <c r="J12" s="139" t="s">
        <v>51</v>
      </c>
      <c r="K12" s="137">
        <f>($I$12/$C$24)+($I$13/$D$24)</f>
        <v>868</v>
      </c>
    </row>
    <row r="13" spans="2:1025" ht="45.75" thickBot="1" x14ac:dyDescent="0.25">
      <c r="B13" s="139" t="s">
        <v>54</v>
      </c>
      <c r="C13" s="137">
        <v>850</v>
      </c>
      <c r="D13" s="139" t="s">
        <v>54</v>
      </c>
      <c r="E13" s="137">
        <v>850</v>
      </c>
      <c r="F13" s="139" t="s">
        <v>55</v>
      </c>
      <c r="G13" s="155">
        <v>6000000</v>
      </c>
      <c r="H13" s="139" t="s">
        <v>56</v>
      </c>
      <c r="I13" s="137">
        <v>15260</v>
      </c>
      <c r="J13" s="151" t="s">
        <v>57</v>
      </c>
      <c r="K13" s="160" t="s">
        <v>58</v>
      </c>
    </row>
    <row r="14" spans="2:1025" ht="49.5" customHeight="1" thickBot="1" x14ac:dyDescent="0.25">
      <c r="B14" s="139" t="s">
        <v>59</v>
      </c>
      <c r="C14" s="137">
        <v>665</v>
      </c>
      <c r="D14" s="139" t="s">
        <v>59</v>
      </c>
      <c r="E14" s="137">
        <v>665</v>
      </c>
      <c r="F14" s="139" t="s">
        <v>60</v>
      </c>
      <c r="G14" s="155">
        <v>90000</v>
      </c>
      <c r="H14" s="139" t="s">
        <v>52</v>
      </c>
      <c r="I14" s="158">
        <f>SUM(I12:I13)</f>
        <v>17360</v>
      </c>
      <c r="J14" s="335" t="s">
        <v>61</v>
      </c>
      <c r="K14" s="336"/>
    </row>
    <row r="15" spans="2:1025" ht="45.75" thickBot="1" x14ac:dyDescent="0.25">
      <c r="B15" s="139" t="s">
        <v>62</v>
      </c>
      <c r="C15" s="137">
        <v>41</v>
      </c>
      <c r="D15" s="139" t="s">
        <v>62</v>
      </c>
      <c r="E15" s="137">
        <v>41</v>
      </c>
      <c r="F15" s="139" t="s">
        <v>63</v>
      </c>
      <c r="G15" s="156">
        <v>0.98809999999999998</v>
      </c>
      <c r="H15" s="139" t="s">
        <v>64</v>
      </c>
      <c r="I15" s="137">
        <v>250</v>
      </c>
      <c r="J15" s="161" t="s">
        <v>65</v>
      </c>
      <c r="K15" s="162">
        <v>7.0000000000000007E-2</v>
      </c>
      <c r="M15" s="96"/>
    </row>
    <row r="16" spans="2:1025" ht="30.75" customHeight="1" thickBot="1" x14ac:dyDescent="0.25">
      <c r="B16" s="140" t="s">
        <v>66</v>
      </c>
      <c r="C16" s="141">
        <v>0.97799999999999998</v>
      </c>
      <c r="D16" s="140" t="s">
        <v>66</v>
      </c>
      <c r="E16" s="141">
        <v>0.97799999999999998</v>
      </c>
      <c r="F16" s="151" t="s">
        <v>221</v>
      </c>
      <c r="G16" s="157">
        <v>90000</v>
      </c>
      <c r="H16" s="139" t="s">
        <v>67</v>
      </c>
      <c r="I16" s="137">
        <v>38.4</v>
      </c>
      <c r="J16" s="337" t="s">
        <v>68</v>
      </c>
      <c r="K16" s="338"/>
      <c r="M16" s="97"/>
    </row>
    <row r="17" spans="2:1025" ht="30.75" thickBot="1" x14ac:dyDescent="0.25">
      <c r="B17" s="142" t="s">
        <v>69</v>
      </c>
      <c r="C17" s="143">
        <f>C13*$C$12*$C$15*$C$16</f>
        <v>920249.1</v>
      </c>
      <c r="D17" s="142" t="s">
        <v>69</v>
      </c>
      <c r="E17" s="143">
        <f>E13*$E$12*$E$15*$E$16</f>
        <v>6748493.3999999994</v>
      </c>
      <c r="H17" s="139" t="s">
        <v>70</v>
      </c>
      <c r="I17" s="137">
        <v>8.75</v>
      </c>
      <c r="J17" s="161" t="s">
        <v>71</v>
      </c>
      <c r="K17" s="163">
        <v>5.0000000000000001E-3</v>
      </c>
    </row>
    <row r="18" spans="2:1025" ht="48" customHeight="1" thickBot="1" x14ac:dyDescent="0.25">
      <c r="B18" s="144" t="s">
        <v>72</v>
      </c>
      <c r="C18" s="145">
        <f>C14*$C$12*$C$15*$C$16</f>
        <v>719959.59</v>
      </c>
      <c r="D18" s="144" t="s">
        <v>72</v>
      </c>
      <c r="E18" s="145">
        <f>E14*$E$12*$E$15*$E$16</f>
        <v>5279703.66</v>
      </c>
      <c r="H18" s="151" t="s">
        <v>63</v>
      </c>
      <c r="I18" s="159">
        <v>0.153</v>
      </c>
      <c r="J18" s="339" t="s">
        <v>73</v>
      </c>
      <c r="K18" s="340"/>
    </row>
    <row r="19" spans="2:1025" ht="47.25" customHeight="1" thickBot="1" x14ac:dyDescent="0.25">
      <c r="F19" s="96"/>
      <c r="J19" s="149" t="s">
        <v>74</v>
      </c>
      <c r="K19" s="164">
        <v>19.940000000000001</v>
      </c>
    </row>
    <row r="20" spans="2:1025" ht="33.75" customHeight="1" thickBot="1" x14ac:dyDescent="0.25">
      <c r="B20" s="341" t="s">
        <v>7</v>
      </c>
      <c r="C20" s="343" t="s">
        <v>30</v>
      </c>
      <c r="D20" s="344" t="s">
        <v>31</v>
      </c>
      <c r="F20" s="346" t="s">
        <v>75</v>
      </c>
      <c r="G20" s="343"/>
      <c r="H20" s="210">
        <f>($I$15*$I$14*10^-3)</f>
        <v>4340</v>
      </c>
      <c r="J20" s="151" t="s">
        <v>76</v>
      </c>
      <c r="K20" s="165">
        <v>100000</v>
      </c>
    </row>
    <row r="21" spans="2:1025" ht="30.75" customHeight="1" thickBot="1" x14ac:dyDescent="0.25">
      <c r="B21" s="342"/>
      <c r="C21" s="310"/>
      <c r="D21" s="345"/>
      <c r="F21" s="334" t="s">
        <v>225</v>
      </c>
      <c r="G21" s="310"/>
      <c r="H21" s="211">
        <f>($C$14*$C$15*$C$16)*C12</f>
        <v>719959.59</v>
      </c>
      <c r="J21" s="347" t="s">
        <v>77</v>
      </c>
      <c r="K21" s="348"/>
    </row>
    <row r="22" spans="2:1025" ht="30" x14ac:dyDescent="0.2">
      <c r="B22" s="139" t="s">
        <v>78</v>
      </c>
      <c r="C22" s="9">
        <v>105</v>
      </c>
      <c r="D22" s="213">
        <v>763</v>
      </c>
      <c r="F22" s="334" t="s">
        <v>79</v>
      </c>
      <c r="G22" s="310"/>
      <c r="H22" s="211">
        <f>($E$14*$E$15*$E$16)*E12</f>
        <v>5279703.6599999992</v>
      </c>
      <c r="J22" s="149" t="s">
        <v>231</v>
      </c>
      <c r="K22" s="257">
        <v>20000</v>
      </c>
      <c r="M22" s="16"/>
    </row>
    <row r="23" spans="2:1025" ht="30.75" thickBot="1" x14ac:dyDescent="0.25">
      <c r="B23" s="139" t="s">
        <v>80</v>
      </c>
      <c r="C23" s="9">
        <v>20</v>
      </c>
      <c r="D23" s="213">
        <v>20</v>
      </c>
      <c r="F23" s="259" t="s">
        <v>98</v>
      </c>
      <c r="G23" s="260"/>
      <c r="H23" s="212" t="str">
        <f>IF($G$14&lt;=$G$16,"Compatible", "Non compatible")</f>
        <v>Compatible</v>
      </c>
      <c r="J23" s="151" t="s">
        <v>81</v>
      </c>
      <c r="K23" s="258"/>
    </row>
    <row r="24" spans="2:1025" ht="30.75" thickBot="1" x14ac:dyDescent="0.25">
      <c r="B24" s="151" t="s">
        <v>82</v>
      </c>
      <c r="C24" s="214">
        <v>20</v>
      </c>
      <c r="D24" s="215">
        <v>20</v>
      </c>
      <c r="H24" s="98"/>
      <c r="L24" s="96"/>
    </row>
    <row r="25" spans="2:1025" ht="15.75" thickBot="1" x14ac:dyDescent="0.25">
      <c r="E25" s="15"/>
    </row>
    <row r="26" spans="2:1025" x14ac:dyDescent="0.2">
      <c r="B26" s="319" t="s">
        <v>222</v>
      </c>
      <c r="C26" s="320"/>
      <c r="D26" s="321"/>
      <c r="E26" s="15"/>
    </row>
    <row r="27" spans="2:1025" ht="15.75" thickBot="1" x14ac:dyDescent="0.25">
      <c r="B27" s="322"/>
      <c r="C27" s="323"/>
      <c r="D27" s="324"/>
      <c r="E27" s="15"/>
    </row>
    <row r="28" spans="2:1025" x14ac:dyDescent="0.2">
      <c r="E28" s="15"/>
    </row>
    <row r="29" spans="2:1025" s="6" customFormat="1" x14ac:dyDescent="0.2"/>
    <row r="31" spans="2:1025" ht="27" customHeight="1" thickBot="1" x14ac:dyDescent="0.25"/>
    <row r="32" spans="2:1025" s="101" customFormat="1" ht="30.75" customHeight="1" thickBot="1" x14ac:dyDescent="0.25">
      <c r="B32" s="261" t="s">
        <v>83</v>
      </c>
      <c r="C32" s="262"/>
      <c r="D32" s="263"/>
      <c r="E32" s="100"/>
      <c r="F32" s="261" t="s">
        <v>84</v>
      </c>
      <c r="G32" s="262"/>
      <c r="H32" s="263"/>
      <c r="I32" s="100"/>
      <c r="J32" s="245" t="s">
        <v>85</v>
      </c>
      <c r="K32" s="264"/>
      <c r="L32" s="246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  <c r="IW32" s="100"/>
      <c r="IX32" s="100"/>
      <c r="IY32" s="100"/>
      <c r="IZ32" s="100"/>
      <c r="JA32" s="100"/>
      <c r="JB32" s="100"/>
      <c r="JC32" s="100"/>
      <c r="JD32" s="100"/>
      <c r="JE32" s="100"/>
      <c r="JF32" s="100"/>
      <c r="JG32" s="100"/>
      <c r="JH32" s="100"/>
      <c r="JI32" s="100"/>
      <c r="JJ32" s="100"/>
      <c r="JK32" s="100"/>
      <c r="JL32" s="100"/>
      <c r="JM32" s="100"/>
      <c r="JN32" s="100"/>
      <c r="JO32" s="100"/>
      <c r="JP32" s="100"/>
      <c r="JQ32" s="100"/>
      <c r="JR32" s="100"/>
      <c r="JS32" s="100"/>
      <c r="JT32" s="100"/>
      <c r="JU32" s="100"/>
      <c r="JV32" s="100"/>
      <c r="JW32" s="100"/>
      <c r="JX32" s="100"/>
      <c r="JY32" s="100"/>
      <c r="JZ32" s="100"/>
      <c r="KA32" s="100"/>
      <c r="KB32" s="100"/>
      <c r="KC32" s="100"/>
      <c r="KD32" s="100"/>
      <c r="KE32" s="100"/>
      <c r="KF32" s="100"/>
      <c r="KG32" s="100"/>
      <c r="KH32" s="100"/>
      <c r="KI32" s="100"/>
      <c r="KJ32" s="100"/>
      <c r="KK32" s="100"/>
      <c r="KL32" s="100"/>
      <c r="KM32" s="100"/>
      <c r="KN32" s="100"/>
      <c r="KO32" s="100"/>
      <c r="KP32" s="100"/>
      <c r="KQ32" s="100"/>
      <c r="KR32" s="100"/>
      <c r="KS32" s="100"/>
      <c r="KT32" s="100"/>
      <c r="KU32" s="100"/>
      <c r="KV32" s="100"/>
      <c r="KW32" s="100"/>
      <c r="KX32" s="100"/>
      <c r="KY32" s="100"/>
      <c r="KZ32" s="100"/>
      <c r="LA32" s="100"/>
      <c r="LB32" s="100"/>
      <c r="LC32" s="100"/>
      <c r="LD32" s="100"/>
      <c r="LE32" s="100"/>
      <c r="LF32" s="100"/>
      <c r="LG32" s="100"/>
      <c r="LH32" s="100"/>
      <c r="LI32" s="100"/>
      <c r="LJ32" s="100"/>
      <c r="LK32" s="100"/>
      <c r="LL32" s="100"/>
      <c r="LM32" s="100"/>
      <c r="LN32" s="100"/>
      <c r="LO32" s="100"/>
      <c r="LP32" s="100"/>
      <c r="LQ32" s="100"/>
      <c r="LR32" s="100"/>
      <c r="LS32" s="100"/>
      <c r="LT32" s="100"/>
      <c r="LU32" s="100"/>
      <c r="LV32" s="100"/>
      <c r="LW32" s="100"/>
      <c r="LX32" s="100"/>
      <c r="LY32" s="100"/>
      <c r="LZ32" s="100"/>
      <c r="MA32" s="100"/>
      <c r="MB32" s="100"/>
      <c r="MC32" s="100"/>
      <c r="MD32" s="100"/>
      <c r="ME32" s="100"/>
      <c r="MF32" s="100"/>
      <c r="MG32" s="100"/>
      <c r="MH32" s="100"/>
      <c r="MI32" s="100"/>
      <c r="MJ32" s="100"/>
      <c r="MK32" s="100"/>
      <c r="ML32" s="100"/>
      <c r="MM32" s="100"/>
      <c r="MN32" s="100"/>
      <c r="MO32" s="100"/>
      <c r="MP32" s="100"/>
      <c r="MQ32" s="100"/>
      <c r="MR32" s="100"/>
      <c r="MS32" s="100"/>
      <c r="MT32" s="100"/>
      <c r="MU32" s="100"/>
      <c r="MV32" s="100"/>
      <c r="MW32" s="100"/>
      <c r="MX32" s="100"/>
      <c r="MY32" s="100"/>
      <c r="MZ32" s="100"/>
      <c r="NA32" s="100"/>
      <c r="NB32" s="100"/>
      <c r="NC32" s="100"/>
      <c r="ND32" s="100"/>
      <c r="NE32" s="100"/>
      <c r="NF32" s="100"/>
      <c r="NG32" s="100"/>
      <c r="NH32" s="100"/>
      <c r="NI32" s="100"/>
      <c r="NJ32" s="100"/>
      <c r="NK32" s="100"/>
      <c r="NL32" s="100"/>
      <c r="NM32" s="100"/>
      <c r="NN32" s="100"/>
      <c r="NO32" s="100"/>
      <c r="NP32" s="100"/>
      <c r="NQ32" s="100"/>
      <c r="NR32" s="100"/>
      <c r="NS32" s="100"/>
      <c r="NT32" s="100"/>
      <c r="NU32" s="100"/>
      <c r="NV32" s="100"/>
      <c r="NW32" s="100"/>
      <c r="NX32" s="100"/>
      <c r="NY32" s="100"/>
      <c r="NZ32" s="100"/>
      <c r="OA32" s="100"/>
      <c r="OB32" s="100"/>
      <c r="OC32" s="100"/>
      <c r="OD32" s="100"/>
      <c r="OE32" s="100"/>
      <c r="OF32" s="100"/>
      <c r="OG32" s="100"/>
      <c r="OH32" s="100"/>
      <c r="OI32" s="100"/>
      <c r="OJ32" s="100"/>
      <c r="OK32" s="100"/>
      <c r="OL32" s="100"/>
      <c r="OM32" s="100"/>
      <c r="ON32" s="100"/>
      <c r="OO32" s="100"/>
      <c r="OP32" s="100"/>
      <c r="OQ32" s="100"/>
      <c r="OR32" s="100"/>
      <c r="OS32" s="100"/>
      <c r="OT32" s="100"/>
      <c r="OU32" s="100"/>
      <c r="OV32" s="100"/>
      <c r="OW32" s="100"/>
      <c r="OX32" s="100"/>
      <c r="OY32" s="100"/>
      <c r="OZ32" s="100"/>
      <c r="PA32" s="100"/>
      <c r="PB32" s="100"/>
      <c r="PC32" s="100"/>
      <c r="PD32" s="100"/>
      <c r="PE32" s="100"/>
      <c r="PF32" s="100"/>
      <c r="PG32" s="100"/>
      <c r="PH32" s="100"/>
      <c r="PI32" s="100"/>
      <c r="PJ32" s="100"/>
      <c r="PK32" s="100"/>
      <c r="PL32" s="100"/>
      <c r="PM32" s="100"/>
      <c r="PN32" s="100"/>
      <c r="PO32" s="100"/>
      <c r="PP32" s="100"/>
      <c r="PQ32" s="100"/>
      <c r="PR32" s="100"/>
      <c r="PS32" s="100"/>
      <c r="PT32" s="100"/>
      <c r="PU32" s="100"/>
      <c r="PV32" s="100"/>
      <c r="PW32" s="100"/>
      <c r="PX32" s="100"/>
      <c r="PY32" s="100"/>
      <c r="PZ32" s="100"/>
      <c r="QA32" s="100"/>
      <c r="QB32" s="100"/>
      <c r="QC32" s="100"/>
      <c r="QD32" s="100"/>
      <c r="QE32" s="100"/>
      <c r="QF32" s="100"/>
      <c r="QG32" s="100"/>
      <c r="QH32" s="100"/>
      <c r="QI32" s="100"/>
      <c r="QJ32" s="100"/>
      <c r="QK32" s="100"/>
      <c r="QL32" s="100"/>
      <c r="QM32" s="100"/>
      <c r="QN32" s="100"/>
      <c r="QO32" s="100"/>
      <c r="QP32" s="100"/>
      <c r="QQ32" s="100"/>
      <c r="QR32" s="100"/>
      <c r="QS32" s="100"/>
      <c r="QT32" s="100"/>
      <c r="QU32" s="100"/>
      <c r="QV32" s="100"/>
      <c r="QW32" s="100"/>
      <c r="QX32" s="100"/>
      <c r="QY32" s="100"/>
      <c r="QZ32" s="100"/>
      <c r="RA32" s="100"/>
      <c r="RB32" s="100"/>
      <c r="RC32" s="100"/>
      <c r="RD32" s="100"/>
      <c r="RE32" s="100"/>
      <c r="RF32" s="100"/>
      <c r="RG32" s="100"/>
      <c r="RH32" s="100"/>
      <c r="RI32" s="100"/>
      <c r="RJ32" s="100"/>
      <c r="RK32" s="100"/>
      <c r="RL32" s="100"/>
      <c r="RM32" s="100"/>
      <c r="RN32" s="100"/>
      <c r="RO32" s="100"/>
      <c r="RP32" s="100"/>
      <c r="RQ32" s="100"/>
      <c r="RR32" s="100"/>
      <c r="RS32" s="100"/>
      <c r="RT32" s="100"/>
      <c r="RU32" s="100"/>
      <c r="RV32" s="100"/>
      <c r="RW32" s="100"/>
      <c r="RX32" s="100"/>
      <c r="RY32" s="100"/>
      <c r="RZ32" s="100"/>
      <c r="SA32" s="100"/>
      <c r="SB32" s="100"/>
      <c r="SC32" s="100"/>
      <c r="SD32" s="100"/>
      <c r="SE32" s="100"/>
      <c r="SF32" s="100"/>
      <c r="SG32" s="100"/>
      <c r="SH32" s="100"/>
      <c r="SI32" s="100"/>
      <c r="SJ32" s="100"/>
      <c r="SK32" s="100"/>
      <c r="SL32" s="100"/>
      <c r="SM32" s="100"/>
      <c r="SN32" s="100"/>
      <c r="SO32" s="100"/>
      <c r="SP32" s="100"/>
      <c r="SQ32" s="100"/>
      <c r="SR32" s="100"/>
      <c r="SS32" s="100"/>
      <c r="ST32" s="100"/>
      <c r="SU32" s="100"/>
      <c r="SV32" s="100"/>
      <c r="SW32" s="100"/>
      <c r="SX32" s="100"/>
      <c r="SY32" s="100"/>
      <c r="SZ32" s="100"/>
      <c r="TA32" s="100"/>
      <c r="TB32" s="100"/>
      <c r="TC32" s="100"/>
      <c r="TD32" s="100"/>
      <c r="TE32" s="100"/>
      <c r="TF32" s="100"/>
      <c r="TG32" s="100"/>
      <c r="TH32" s="100"/>
      <c r="TI32" s="100"/>
      <c r="TJ32" s="100"/>
      <c r="TK32" s="100"/>
      <c r="TL32" s="100"/>
      <c r="TM32" s="100"/>
      <c r="TN32" s="100"/>
      <c r="TO32" s="100"/>
      <c r="TP32" s="100"/>
      <c r="TQ32" s="100"/>
      <c r="TR32" s="100"/>
      <c r="TS32" s="100"/>
      <c r="TT32" s="100"/>
      <c r="TU32" s="100"/>
      <c r="TV32" s="100"/>
      <c r="TW32" s="100"/>
      <c r="TX32" s="100"/>
      <c r="TY32" s="100"/>
      <c r="TZ32" s="100"/>
      <c r="UA32" s="100"/>
      <c r="UB32" s="100"/>
      <c r="UC32" s="100"/>
      <c r="UD32" s="100"/>
      <c r="UE32" s="100"/>
      <c r="UF32" s="100"/>
      <c r="UG32" s="100"/>
      <c r="UH32" s="100"/>
      <c r="UI32" s="100"/>
      <c r="UJ32" s="100"/>
      <c r="UK32" s="100"/>
      <c r="UL32" s="100"/>
      <c r="UM32" s="100"/>
      <c r="UN32" s="100"/>
      <c r="UO32" s="100"/>
      <c r="UP32" s="100"/>
      <c r="UQ32" s="100"/>
      <c r="UR32" s="100"/>
      <c r="US32" s="100"/>
      <c r="UT32" s="100"/>
      <c r="UU32" s="100"/>
      <c r="UV32" s="100"/>
      <c r="UW32" s="100"/>
      <c r="UX32" s="100"/>
      <c r="UY32" s="100"/>
      <c r="UZ32" s="100"/>
      <c r="VA32" s="100"/>
      <c r="VB32" s="100"/>
      <c r="VC32" s="100"/>
      <c r="VD32" s="100"/>
      <c r="VE32" s="100"/>
      <c r="VF32" s="100"/>
      <c r="VG32" s="100"/>
      <c r="VH32" s="100"/>
      <c r="VI32" s="100"/>
      <c r="VJ32" s="100"/>
      <c r="VK32" s="100"/>
      <c r="VL32" s="100"/>
      <c r="VM32" s="100"/>
      <c r="VN32" s="100"/>
      <c r="VO32" s="100"/>
      <c r="VP32" s="100"/>
      <c r="VQ32" s="100"/>
      <c r="VR32" s="100"/>
      <c r="VS32" s="100"/>
      <c r="VT32" s="100"/>
      <c r="VU32" s="100"/>
      <c r="VV32" s="100"/>
      <c r="VW32" s="100"/>
      <c r="VX32" s="100"/>
      <c r="VY32" s="100"/>
      <c r="VZ32" s="100"/>
      <c r="WA32" s="100"/>
      <c r="WB32" s="100"/>
      <c r="WC32" s="100"/>
      <c r="WD32" s="100"/>
      <c r="WE32" s="100"/>
      <c r="WF32" s="100"/>
      <c r="WG32" s="100"/>
      <c r="WH32" s="100"/>
      <c r="WI32" s="100"/>
      <c r="WJ32" s="100"/>
      <c r="WK32" s="100"/>
      <c r="WL32" s="100"/>
      <c r="WM32" s="100"/>
      <c r="WN32" s="100"/>
      <c r="WO32" s="100"/>
      <c r="WP32" s="100"/>
      <c r="WQ32" s="100"/>
      <c r="WR32" s="100"/>
      <c r="WS32" s="100"/>
      <c r="WT32" s="100"/>
      <c r="WU32" s="100"/>
      <c r="WV32" s="100"/>
      <c r="WW32" s="100"/>
      <c r="WX32" s="100"/>
      <c r="WY32" s="100"/>
      <c r="WZ32" s="100"/>
      <c r="XA32" s="100"/>
      <c r="XB32" s="100"/>
      <c r="XC32" s="100"/>
      <c r="XD32" s="100"/>
      <c r="XE32" s="100"/>
      <c r="XF32" s="100"/>
      <c r="XG32" s="100"/>
      <c r="XH32" s="100"/>
      <c r="XI32" s="100"/>
      <c r="XJ32" s="100"/>
      <c r="XK32" s="100"/>
      <c r="XL32" s="100"/>
      <c r="XM32" s="100"/>
      <c r="XN32" s="100"/>
      <c r="XO32" s="100"/>
      <c r="XP32" s="100"/>
      <c r="XQ32" s="100"/>
      <c r="XR32" s="100"/>
      <c r="XS32" s="100"/>
      <c r="XT32" s="100"/>
      <c r="XU32" s="100"/>
      <c r="XV32" s="100"/>
      <c r="XW32" s="100"/>
      <c r="XX32" s="100"/>
      <c r="XY32" s="100"/>
      <c r="XZ32" s="100"/>
      <c r="YA32" s="100"/>
      <c r="YB32" s="100"/>
      <c r="YC32" s="100"/>
      <c r="YD32" s="100"/>
      <c r="YE32" s="100"/>
      <c r="YF32" s="100"/>
      <c r="YG32" s="100"/>
      <c r="YH32" s="100"/>
      <c r="YI32" s="100"/>
      <c r="YJ32" s="100"/>
      <c r="YK32" s="100"/>
      <c r="YL32" s="100"/>
      <c r="YM32" s="100"/>
      <c r="YN32" s="100"/>
      <c r="YO32" s="100"/>
      <c r="YP32" s="100"/>
      <c r="YQ32" s="100"/>
      <c r="YR32" s="100"/>
      <c r="YS32" s="100"/>
      <c r="YT32" s="100"/>
      <c r="YU32" s="100"/>
      <c r="YV32" s="100"/>
      <c r="YW32" s="100"/>
      <c r="YX32" s="100"/>
      <c r="YY32" s="100"/>
      <c r="YZ32" s="100"/>
      <c r="ZA32" s="100"/>
      <c r="ZB32" s="100"/>
      <c r="ZC32" s="100"/>
      <c r="ZD32" s="100"/>
      <c r="ZE32" s="100"/>
      <c r="ZF32" s="100"/>
      <c r="ZG32" s="100"/>
      <c r="ZH32" s="100"/>
      <c r="ZI32" s="100"/>
      <c r="ZJ32" s="100"/>
      <c r="ZK32" s="100"/>
      <c r="ZL32" s="100"/>
      <c r="ZM32" s="100"/>
      <c r="ZN32" s="100"/>
      <c r="ZO32" s="100"/>
      <c r="ZP32" s="100"/>
      <c r="ZQ32" s="100"/>
      <c r="ZR32" s="100"/>
      <c r="ZS32" s="100"/>
      <c r="ZT32" s="100"/>
      <c r="ZU32" s="100"/>
      <c r="ZV32" s="100"/>
      <c r="ZW32" s="100"/>
      <c r="ZX32" s="100"/>
      <c r="ZY32" s="100"/>
      <c r="ZZ32" s="100"/>
      <c r="AAA32" s="100"/>
      <c r="AAB32" s="100"/>
      <c r="AAC32" s="100"/>
      <c r="AAD32" s="100"/>
      <c r="AAE32" s="100"/>
      <c r="AAF32" s="100"/>
      <c r="AAG32" s="100"/>
      <c r="AAH32" s="100"/>
      <c r="AAI32" s="100"/>
      <c r="AAJ32" s="100"/>
      <c r="AAK32" s="100"/>
      <c r="AAL32" s="100"/>
      <c r="AAM32" s="100"/>
      <c r="AAN32" s="100"/>
      <c r="AAO32" s="100"/>
      <c r="AAP32" s="100"/>
      <c r="AAQ32" s="100"/>
      <c r="AAR32" s="100"/>
      <c r="AAS32" s="100"/>
      <c r="AAT32" s="100"/>
      <c r="AAU32" s="100"/>
      <c r="AAV32" s="100"/>
      <c r="AAW32" s="100"/>
      <c r="AAX32" s="100"/>
      <c r="AAY32" s="100"/>
      <c r="AAZ32" s="100"/>
      <c r="ABA32" s="100"/>
      <c r="ABB32" s="100"/>
      <c r="ABC32" s="100"/>
      <c r="ABD32" s="100"/>
      <c r="ABE32" s="100"/>
      <c r="ABF32" s="100"/>
      <c r="ABG32" s="100"/>
      <c r="ABH32" s="100"/>
      <c r="ABI32" s="100"/>
      <c r="ABJ32" s="100"/>
      <c r="ABK32" s="100"/>
      <c r="ABL32" s="100"/>
      <c r="ABM32" s="100"/>
      <c r="ABN32" s="100"/>
      <c r="ABO32" s="100"/>
      <c r="ABP32" s="100"/>
      <c r="ABQ32" s="100"/>
      <c r="ABR32" s="100"/>
      <c r="ABS32" s="100"/>
      <c r="ABT32" s="100"/>
      <c r="ABU32" s="100"/>
      <c r="ABV32" s="100"/>
      <c r="ABW32" s="100"/>
      <c r="ABX32" s="100"/>
      <c r="ABY32" s="100"/>
      <c r="ABZ32" s="100"/>
      <c r="ACA32" s="100"/>
      <c r="ACB32" s="100"/>
      <c r="ACC32" s="100"/>
      <c r="ACD32" s="100"/>
      <c r="ACE32" s="100"/>
      <c r="ACF32" s="100"/>
      <c r="ACG32" s="100"/>
      <c r="ACH32" s="100"/>
      <c r="ACI32" s="100"/>
      <c r="ACJ32" s="100"/>
      <c r="ACK32" s="100"/>
      <c r="ACL32" s="100"/>
      <c r="ACM32" s="100"/>
      <c r="ACN32" s="100"/>
      <c r="ACO32" s="100"/>
      <c r="ACP32" s="100"/>
      <c r="ACQ32" s="100"/>
      <c r="ACR32" s="100"/>
      <c r="ACS32" s="100"/>
      <c r="ACT32" s="100"/>
      <c r="ACU32" s="100"/>
      <c r="ACV32" s="100"/>
      <c r="ACW32" s="100"/>
      <c r="ACX32" s="100"/>
      <c r="ACY32" s="100"/>
      <c r="ACZ32" s="100"/>
      <c r="ADA32" s="100"/>
      <c r="ADB32" s="100"/>
      <c r="ADC32" s="100"/>
      <c r="ADD32" s="100"/>
      <c r="ADE32" s="100"/>
      <c r="ADF32" s="100"/>
      <c r="ADG32" s="100"/>
      <c r="ADH32" s="100"/>
      <c r="ADI32" s="100"/>
      <c r="ADJ32" s="100"/>
      <c r="ADK32" s="100"/>
      <c r="ADL32" s="100"/>
      <c r="ADM32" s="100"/>
      <c r="ADN32" s="100"/>
      <c r="ADO32" s="100"/>
      <c r="ADP32" s="100"/>
      <c r="ADQ32" s="100"/>
      <c r="ADR32" s="100"/>
      <c r="ADS32" s="100"/>
      <c r="ADT32" s="100"/>
      <c r="ADU32" s="100"/>
      <c r="ADV32" s="100"/>
      <c r="ADW32" s="100"/>
      <c r="ADX32" s="100"/>
      <c r="ADY32" s="100"/>
      <c r="ADZ32" s="100"/>
      <c r="AEA32" s="100"/>
      <c r="AEB32" s="100"/>
      <c r="AEC32" s="100"/>
      <c r="AED32" s="100"/>
      <c r="AEE32" s="100"/>
      <c r="AEF32" s="100"/>
      <c r="AEG32" s="100"/>
      <c r="AEH32" s="100"/>
      <c r="AEI32" s="100"/>
      <c r="AEJ32" s="100"/>
      <c r="AEK32" s="100"/>
      <c r="AEL32" s="100"/>
      <c r="AEM32" s="100"/>
      <c r="AEN32" s="100"/>
      <c r="AEO32" s="100"/>
      <c r="AEP32" s="100"/>
      <c r="AEQ32" s="100"/>
      <c r="AER32" s="100"/>
      <c r="AES32" s="100"/>
      <c r="AET32" s="100"/>
      <c r="AEU32" s="100"/>
      <c r="AEV32" s="100"/>
      <c r="AEW32" s="100"/>
      <c r="AEX32" s="100"/>
      <c r="AEY32" s="100"/>
      <c r="AEZ32" s="100"/>
      <c r="AFA32" s="100"/>
      <c r="AFB32" s="100"/>
      <c r="AFC32" s="100"/>
      <c r="AFD32" s="100"/>
      <c r="AFE32" s="100"/>
      <c r="AFF32" s="100"/>
      <c r="AFG32" s="100"/>
      <c r="AFH32" s="100"/>
      <c r="AFI32" s="100"/>
      <c r="AFJ32" s="100"/>
      <c r="AFK32" s="100"/>
      <c r="AFL32" s="100"/>
      <c r="AFM32" s="100"/>
      <c r="AFN32" s="100"/>
      <c r="AFO32" s="100"/>
      <c r="AFP32" s="100"/>
      <c r="AFQ32" s="100"/>
      <c r="AFR32" s="100"/>
      <c r="AFS32" s="100"/>
      <c r="AFT32" s="100"/>
      <c r="AFU32" s="100"/>
      <c r="AFV32" s="100"/>
      <c r="AFW32" s="100"/>
      <c r="AFX32" s="100"/>
      <c r="AFY32" s="100"/>
      <c r="AFZ32" s="100"/>
      <c r="AGA32" s="100"/>
      <c r="AGB32" s="100"/>
      <c r="AGC32" s="100"/>
      <c r="AGD32" s="100"/>
      <c r="AGE32" s="100"/>
      <c r="AGF32" s="100"/>
      <c r="AGG32" s="100"/>
      <c r="AGH32" s="100"/>
      <c r="AGI32" s="100"/>
      <c r="AGJ32" s="100"/>
      <c r="AGK32" s="100"/>
      <c r="AGL32" s="100"/>
      <c r="AGM32" s="100"/>
      <c r="AGN32" s="100"/>
      <c r="AGO32" s="100"/>
      <c r="AGP32" s="100"/>
      <c r="AGQ32" s="100"/>
      <c r="AGR32" s="100"/>
      <c r="AGS32" s="100"/>
      <c r="AGT32" s="100"/>
      <c r="AGU32" s="100"/>
      <c r="AGV32" s="100"/>
      <c r="AGW32" s="100"/>
      <c r="AGX32" s="100"/>
      <c r="AGY32" s="100"/>
      <c r="AGZ32" s="100"/>
      <c r="AHA32" s="100"/>
      <c r="AHB32" s="100"/>
      <c r="AHC32" s="100"/>
      <c r="AHD32" s="100"/>
      <c r="AHE32" s="100"/>
      <c r="AHF32" s="100"/>
      <c r="AHG32" s="100"/>
      <c r="AHH32" s="100"/>
      <c r="AHI32" s="100"/>
      <c r="AHJ32" s="100"/>
      <c r="AHK32" s="100"/>
      <c r="AHL32" s="100"/>
      <c r="AHM32" s="100"/>
      <c r="AHN32" s="100"/>
      <c r="AHO32" s="100"/>
      <c r="AHP32" s="100"/>
      <c r="AHQ32" s="100"/>
      <c r="AHR32" s="100"/>
      <c r="AHS32" s="100"/>
      <c r="AHT32" s="100"/>
      <c r="AHU32" s="100"/>
      <c r="AHV32" s="100"/>
      <c r="AHW32" s="100"/>
      <c r="AHX32" s="100"/>
      <c r="AHY32" s="100"/>
      <c r="AHZ32" s="100"/>
      <c r="AIA32" s="100"/>
      <c r="AIB32" s="100"/>
      <c r="AIC32" s="100"/>
      <c r="AID32" s="100"/>
      <c r="AIE32" s="100"/>
      <c r="AIF32" s="100"/>
      <c r="AIG32" s="100"/>
      <c r="AIH32" s="100"/>
      <c r="AII32" s="100"/>
      <c r="AIJ32" s="100"/>
      <c r="AIK32" s="100"/>
      <c r="AIL32" s="100"/>
      <c r="AIM32" s="100"/>
      <c r="AIN32" s="100"/>
      <c r="AIO32" s="100"/>
      <c r="AIP32" s="100"/>
      <c r="AIQ32" s="100"/>
      <c r="AIR32" s="100"/>
      <c r="AIS32" s="100"/>
      <c r="AIT32" s="100"/>
      <c r="AIU32" s="100"/>
      <c r="AIV32" s="100"/>
      <c r="AIW32" s="100"/>
      <c r="AIX32" s="100"/>
      <c r="AIY32" s="100"/>
      <c r="AIZ32" s="100"/>
      <c r="AJA32" s="100"/>
      <c r="AJB32" s="100"/>
      <c r="AJC32" s="100"/>
      <c r="AJD32" s="100"/>
      <c r="AJE32" s="100"/>
      <c r="AJF32" s="100"/>
      <c r="AJG32" s="100"/>
      <c r="AJH32" s="100"/>
      <c r="AJI32" s="100"/>
      <c r="AJJ32" s="100"/>
      <c r="AJK32" s="100"/>
      <c r="AJL32" s="100"/>
      <c r="AJM32" s="100"/>
      <c r="AJN32" s="100"/>
      <c r="AJO32" s="100"/>
      <c r="AJP32" s="100"/>
      <c r="AJQ32" s="100"/>
      <c r="AJR32" s="100"/>
      <c r="AJS32" s="100"/>
      <c r="AJT32" s="100"/>
      <c r="AJU32" s="100"/>
      <c r="AJV32" s="100"/>
      <c r="AJW32" s="100"/>
      <c r="AJX32" s="100"/>
      <c r="AJY32" s="100"/>
      <c r="AJZ32" s="100"/>
      <c r="AKA32" s="100"/>
      <c r="AKB32" s="100"/>
      <c r="AKC32" s="100"/>
      <c r="AKD32" s="100"/>
      <c r="AKE32" s="100"/>
      <c r="AKF32" s="100"/>
      <c r="AKG32" s="100"/>
      <c r="AKH32" s="100"/>
      <c r="AKI32" s="100"/>
      <c r="AKJ32" s="100"/>
      <c r="AKK32" s="100"/>
      <c r="AKL32" s="100"/>
      <c r="AKM32" s="100"/>
      <c r="AKN32" s="100"/>
      <c r="AKO32" s="100"/>
      <c r="AKP32" s="100"/>
      <c r="AKQ32" s="100"/>
      <c r="AKR32" s="100"/>
      <c r="AKS32" s="100"/>
      <c r="AKT32" s="100"/>
      <c r="AKU32" s="100"/>
      <c r="AKV32" s="100"/>
      <c r="AKW32" s="100"/>
      <c r="AKX32" s="100"/>
      <c r="AKY32" s="100"/>
      <c r="AKZ32" s="100"/>
      <c r="ALA32" s="100"/>
      <c r="ALB32" s="100"/>
      <c r="ALC32" s="100"/>
      <c r="ALD32" s="100"/>
      <c r="ALE32" s="100"/>
      <c r="ALF32" s="100"/>
      <c r="ALG32" s="100"/>
      <c r="ALH32" s="100"/>
      <c r="ALI32" s="100"/>
      <c r="ALJ32" s="100"/>
      <c r="ALK32" s="100"/>
      <c r="ALL32" s="100"/>
      <c r="ALM32" s="100"/>
      <c r="ALN32" s="100"/>
      <c r="ALO32" s="100"/>
      <c r="ALP32" s="100"/>
      <c r="ALQ32" s="100"/>
      <c r="ALR32" s="100"/>
      <c r="ALS32" s="100"/>
      <c r="ALT32" s="100"/>
      <c r="ALU32" s="100"/>
      <c r="ALV32" s="100"/>
      <c r="ALW32" s="100"/>
      <c r="ALX32" s="100"/>
      <c r="ALY32" s="100"/>
      <c r="ALZ32" s="100"/>
      <c r="AMA32" s="100"/>
      <c r="AMB32" s="100"/>
      <c r="AMC32" s="100"/>
      <c r="AMD32" s="100"/>
      <c r="AME32" s="100"/>
      <c r="AMF32" s="100"/>
      <c r="AMG32" s="100"/>
      <c r="AMH32" s="100"/>
      <c r="AMI32" s="100"/>
      <c r="AMJ32" s="100"/>
      <c r="AMK32" s="100"/>
    </row>
    <row r="33" spans="2:20" ht="30" customHeight="1" thickBot="1" x14ac:dyDescent="0.25">
      <c r="B33" s="3"/>
      <c r="C33" s="3"/>
      <c r="D33" s="3"/>
      <c r="J33" s="267" t="s">
        <v>86</v>
      </c>
      <c r="K33" s="268"/>
      <c r="L33" s="166">
        <f>$G$11*$G$12</f>
        <v>0</v>
      </c>
    </row>
    <row r="34" spans="2:20" ht="15.75" customHeight="1" thickBot="1" x14ac:dyDescent="0.25">
      <c r="B34" s="269" t="s">
        <v>87</v>
      </c>
      <c r="C34" s="270"/>
      <c r="D34" s="169">
        <v>4810</v>
      </c>
      <c r="F34" s="269" t="s">
        <v>87</v>
      </c>
      <c r="G34" s="270"/>
      <c r="H34" s="169">
        <v>4484</v>
      </c>
      <c r="J34" s="265" t="s">
        <v>88</v>
      </c>
      <c r="K34" s="266"/>
      <c r="L34" s="167">
        <f>($E$11*$E$12)+(C11*C12)</f>
        <v>865476</v>
      </c>
    </row>
    <row r="35" spans="2:20" ht="15.75" customHeight="1" thickBot="1" x14ac:dyDescent="0.25">
      <c r="I35" s="3"/>
      <c r="J35" s="271" t="s">
        <v>89</v>
      </c>
      <c r="K35" s="272"/>
      <c r="L35" s="167">
        <f>(I14*I11)</f>
        <v>5208000</v>
      </c>
    </row>
    <row r="36" spans="2:20" ht="15" customHeight="1" x14ac:dyDescent="0.2">
      <c r="B36" s="273" t="s">
        <v>90</v>
      </c>
      <c r="C36" s="274"/>
      <c r="D36" s="170">
        <v>6.62</v>
      </c>
      <c r="F36" s="273" t="s">
        <v>90</v>
      </c>
      <c r="G36" s="274"/>
      <c r="H36" s="170">
        <v>6.62</v>
      </c>
      <c r="I36" s="17"/>
      <c r="J36" s="271" t="s">
        <v>91</v>
      </c>
      <c r="K36" s="272"/>
      <c r="L36" s="167">
        <f>$K$11*$H$20</f>
        <v>775992</v>
      </c>
    </row>
    <row r="37" spans="2:20" ht="18" thickBot="1" x14ac:dyDescent="0.25">
      <c r="B37" s="275" t="s">
        <v>92</v>
      </c>
      <c r="C37" s="276"/>
      <c r="D37" s="171">
        <v>9</v>
      </c>
      <c r="F37" s="275" t="s">
        <v>92</v>
      </c>
      <c r="G37" s="276"/>
      <c r="H37" s="171">
        <v>9</v>
      </c>
      <c r="I37" s="17"/>
      <c r="J37" s="265" t="s">
        <v>93</v>
      </c>
      <c r="K37" s="266"/>
      <c r="L37" s="167">
        <f>$K$15*(H20*10^3)</f>
        <v>303800</v>
      </c>
    </row>
    <row r="38" spans="2:20" ht="18" thickBot="1" x14ac:dyDescent="0.25">
      <c r="B38" s="3"/>
      <c r="C38" s="3"/>
      <c r="D38" s="3"/>
      <c r="I38" s="3"/>
      <c r="J38" s="265" t="s">
        <v>94</v>
      </c>
      <c r="K38" s="266"/>
      <c r="L38" s="167">
        <f>$K$15*H20*10^3</f>
        <v>303800</v>
      </c>
    </row>
    <row r="39" spans="2:20" ht="17.25" x14ac:dyDescent="0.2">
      <c r="B39" s="172" t="s">
        <v>95</v>
      </c>
      <c r="C39" s="173">
        <f>($D$34*10^3)*$D$36</f>
        <v>31842200</v>
      </c>
      <c r="D39" s="3"/>
      <c r="F39" s="172" t="s">
        <v>95</v>
      </c>
      <c r="G39" s="173">
        <f>($H$34*10^3)*$H$36</f>
        <v>29684080</v>
      </c>
      <c r="J39" s="265" t="s">
        <v>96</v>
      </c>
      <c r="K39" s="266"/>
      <c r="L39" s="167">
        <f>L38</f>
        <v>303800</v>
      </c>
    </row>
    <row r="40" spans="2:20" ht="17.25" x14ac:dyDescent="0.2">
      <c r="B40" s="174" t="s">
        <v>97</v>
      </c>
      <c r="C40" s="175">
        <f>C39*10^-2</f>
        <v>318422</v>
      </c>
      <c r="D40" s="3"/>
      <c r="F40" s="174" t="s">
        <v>97</v>
      </c>
      <c r="G40" s="175">
        <f>G39*10^-2</f>
        <v>296840.8</v>
      </c>
      <c r="J40" s="265" t="s">
        <v>98</v>
      </c>
      <c r="K40" s="266"/>
      <c r="L40" s="167">
        <f>($K$19*H20)+K20</f>
        <v>186539.6</v>
      </c>
    </row>
    <row r="41" spans="2:20" ht="17.25" x14ac:dyDescent="0.2">
      <c r="B41" s="176" t="s">
        <v>95</v>
      </c>
      <c r="C41" s="177">
        <f>($D$34*10^3)*$D$37</f>
        <v>43290000</v>
      </c>
      <c r="D41" s="3"/>
      <c r="F41" s="176" t="s">
        <v>95</v>
      </c>
      <c r="G41" s="177">
        <f>($H$34*10^3)*$H$37</f>
        <v>40356000</v>
      </c>
      <c r="J41" s="265" t="s">
        <v>99</v>
      </c>
      <c r="K41" s="266"/>
      <c r="L41" s="167">
        <f>($L$45*K17)</f>
        <v>39837.038</v>
      </c>
      <c r="Q41" s="3"/>
      <c r="R41" s="3"/>
      <c r="S41" s="3"/>
    </row>
    <row r="42" spans="2:20" ht="15" customHeight="1" thickBot="1" x14ac:dyDescent="0.25">
      <c r="B42" s="178" t="s">
        <v>97</v>
      </c>
      <c r="C42" s="179">
        <f>C41*10^-2</f>
        <v>432900</v>
      </c>
      <c r="D42" s="3"/>
      <c r="F42" s="178" t="s">
        <v>97</v>
      </c>
      <c r="G42" s="179">
        <f>G41*10^-2</f>
        <v>403560</v>
      </c>
      <c r="J42" s="277" t="s">
        <v>100</v>
      </c>
      <c r="K42" s="278"/>
      <c r="L42" s="168">
        <f>K22</f>
        <v>20000</v>
      </c>
      <c r="Q42" s="14"/>
      <c r="R42" s="14"/>
      <c r="S42" s="14"/>
    </row>
    <row r="43" spans="2:20" ht="18" thickBot="1" x14ac:dyDescent="0.25">
      <c r="F43" s="19"/>
      <c r="G43" s="19"/>
      <c r="J43" s="104"/>
      <c r="K43" s="104"/>
      <c r="O43" s="3"/>
      <c r="P43" s="14"/>
      <c r="Q43" s="14"/>
      <c r="R43" s="14"/>
      <c r="S43" s="14"/>
    </row>
    <row r="44" spans="2:20" ht="39" customHeight="1" thickBot="1" x14ac:dyDescent="0.25">
      <c r="F44" s="19"/>
      <c r="G44" s="20"/>
      <c r="J44" s="267" t="s">
        <v>101</v>
      </c>
      <c r="K44" s="268"/>
      <c r="L44" s="182">
        <v>0.05</v>
      </c>
      <c r="P44" s="21"/>
      <c r="Q44" s="21"/>
      <c r="R44" s="21"/>
      <c r="S44" s="21"/>
      <c r="T44" s="21"/>
    </row>
    <row r="45" spans="2:20" ht="30.75" customHeight="1" x14ac:dyDescent="0.2">
      <c r="B45" s="279" t="s">
        <v>102</v>
      </c>
      <c r="C45" s="280"/>
      <c r="D45" s="119" t="str">
        <f>ROUNDUP(L46/C40,0) &amp;" "&amp;"ans"</f>
        <v>26 ans</v>
      </c>
      <c r="F45" s="279" t="s">
        <v>102</v>
      </c>
      <c r="G45" s="280"/>
      <c r="H45" s="119" t="str">
        <f>ROUNDUP(L46/G40,0) &amp;" "&amp;"ans"</f>
        <v>27 ans</v>
      </c>
      <c r="J45" s="265" t="s">
        <v>52</v>
      </c>
      <c r="K45" s="266"/>
      <c r="L45" s="183">
        <f>SUM(L33:L40)+L42</f>
        <v>7967407.5999999996</v>
      </c>
      <c r="P45" s="22"/>
      <c r="Q45" s="22"/>
      <c r="R45" s="22"/>
      <c r="S45" s="22"/>
      <c r="T45" s="21"/>
    </row>
    <row r="46" spans="2:20" ht="30.75" customHeight="1" thickBot="1" x14ac:dyDescent="0.25">
      <c r="B46" s="289" t="s">
        <v>102</v>
      </c>
      <c r="C46" s="290"/>
      <c r="D46" s="71" t="str">
        <f>ROUNDUP($L$46/$C$42,0)&amp;" "&amp;"ans"</f>
        <v>19 ans</v>
      </c>
      <c r="F46" s="289" t="s">
        <v>102</v>
      </c>
      <c r="G46" s="290"/>
      <c r="H46" s="71" t="str">
        <f>ROUNDUP($L$46/$G$42,0)&amp;" "&amp;"ans"</f>
        <v>20 ans</v>
      </c>
      <c r="J46" s="277" t="s">
        <v>103</v>
      </c>
      <c r="K46" s="278"/>
      <c r="L46" s="184">
        <f>L45+L41</f>
        <v>8007244.6379999993</v>
      </c>
      <c r="O46" s="3"/>
      <c r="P46" s="3"/>
      <c r="Q46" s="3"/>
      <c r="R46" s="3"/>
    </row>
    <row r="47" spans="2:20" ht="10.7" customHeight="1" thickBot="1" x14ac:dyDescent="0.25">
      <c r="J47" s="23"/>
      <c r="K47" s="23"/>
      <c r="L47" s="99"/>
      <c r="O47" s="3"/>
      <c r="P47" s="3"/>
      <c r="Q47" s="3"/>
      <c r="R47" s="3"/>
    </row>
    <row r="48" spans="2:20" ht="69.75" customHeight="1" thickBot="1" x14ac:dyDescent="0.25">
      <c r="B48" s="291" t="s">
        <v>224</v>
      </c>
      <c r="C48" s="292"/>
      <c r="D48" s="180" t="str">
        <f>ROUNDUP($L$48/$C$42,0)&amp;" "&amp;"ans"</f>
        <v>18 ans</v>
      </c>
      <c r="F48" s="291" t="s">
        <v>224</v>
      </c>
      <c r="G48" s="292"/>
      <c r="H48" s="180" t="str">
        <f>ROUNDUP($L$48/$G$42,0)&amp;" "&amp;"ans"</f>
        <v>19 ans</v>
      </c>
      <c r="J48" s="293" t="s">
        <v>104</v>
      </c>
      <c r="K48" s="294"/>
      <c r="L48" s="181">
        <f>($L$46)-($L$46*$L$44)</f>
        <v>7606882.4060999993</v>
      </c>
      <c r="O48" s="24"/>
      <c r="P48" s="24"/>
      <c r="Q48" s="24"/>
      <c r="R48" s="3"/>
    </row>
    <row r="49" spans="3:11" x14ac:dyDescent="0.2">
      <c r="E49" s="6"/>
      <c r="F49" s="6"/>
      <c r="G49" s="6"/>
      <c r="H49" s="6"/>
    </row>
    <row r="50" spans="3:11" s="25" customFormat="1" x14ac:dyDescent="0.2">
      <c r="C50" s="26"/>
    </row>
    <row r="51" spans="3:11" s="6" customFormat="1" x14ac:dyDescent="0.2"/>
    <row r="52" spans="3:11" ht="15.75" thickBot="1" x14ac:dyDescent="0.25">
      <c r="I52" s="3"/>
      <c r="J52" s="3"/>
    </row>
    <row r="53" spans="3:11" ht="19.5" x14ac:dyDescent="0.2">
      <c r="D53" s="295" t="s">
        <v>105</v>
      </c>
      <c r="E53" s="296"/>
      <c r="F53" s="296"/>
      <c r="G53" s="296"/>
      <c r="H53" s="297"/>
      <c r="I53" s="3"/>
      <c r="J53" s="301" t="s">
        <v>106</v>
      </c>
      <c r="K53" s="302"/>
    </row>
    <row r="54" spans="3:11" ht="15" customHeight="1" thickBot="1" x14ac:dyDescent="0.25">
      <c r="D54" s="298"/>
      <c r="E54" s="299"/>
      <c r="F54" s="299"/>
      <c r="G54" s="299"/>
      <c r="H54" s="300"/>
      <c r="J54" s="303">
        <f>D34*10^3</f>
        <v>4810000</v>
      </c>
      <c r="K54" s="304"/>
    </row>
    <row r="55" spans="3:11" ht="15" customHeight="1" thickBot="1" x14ac:dyDescent="0.25">
      <c r="J55" s="305"/>
      <c r="K55" s="306"/>
    </row>
    <row r="56" spans="3:11" x14ac:dyDescent="0.2">
      <c r="D56" s="281" t="s">
        <v>107</v>
      </c>
      <c r="E56" s="282"/>
      <c r="F56" s="283"/>
      <c r="H56" s="287" t="str">
        <f>ROUNDUP((J54/2500),0)&amp;" "&amp;"foyers"</f>
        <v>1924 foyers</v>
      </c>
    </row>
    <row r="57" spans="3:11" ht="15.75" thickBot="1" x14ac:dyDescent="0.25">
      <c r="D57" s="284"/>
      <c r="E57" s="285"/>
      <c r="F57" s="286"/>
      <c r="H57" s="288"/>
    </row>
    <row r="58" spans="3:11" ht="15.75" thickBot="1" x14ac:dyDescent="0.25"/>
    <row r="59" spans="3:11" x14ac:dyDescent="0.2">
      <c r="D59" s="281" t="s">
        <v>108</v>
      </c>
      <c r="E59" s="282"/>
      <c r="F59" s="283"/>
      <c r="H59" s="287" t="str">
        <f>ROUNDUP(($J$54/0.089),0)&amp;" "&amp;"kg eq CO2"</f>
        <v>54044944 kg eq CO2</v>
      </c>
    </row>
    <row r="60" spans="3:11" ht="15.75" thickBot="1" x14ac:dyDescent="0.25">
      <c r="D60" s="284"/>
      <c r="E60" s="285"/>
      <c r="F60" s="286"/>
      <c r="H60" s="288"/>
    </row>
    <row r="61" spans="3:11" ht="15.75" thickBot="1" x14ac:dyDescent="0.25"/>
    <row r="62" spans="3:11" x14ac:dyDescent="0.2">
      <c r="D62" s="281" t="s">
        <v>109</v>
      </c>
      <c r="E62" s="282"/>
      <c r="F62" s="283"/>
      <c r="H62" s="287" t="str">
        <f>ROUNDUP(($J$54/0.0034)*10^-3,0)&amp;" "&amp;"kg"</f>
        <v>1414706 kg</v>
      </c>
    </row>
    <row r="63" spans="3:11" ht="15.75" thickBot="1" x14ac:dyDescent="0.25">
      <c r="D63" s="284"/>
      <c r="E63" s="285"/>
      <c r="F63" s="286"/>
      <c r="H63" s="288"/>
    </row>
    <row r="65" spans="3:14" ht="15" customHeight="1" x14ac:dyDescent="0.2">
      <c r="D65" s="309"/>
      <c r="E65" s="309"/>
      <c r="F65" s="309"/>
      <c r="G65" s="6"/>
      <c r="H65" s="6"/>
    </row>
    <row r="66" spans="3:14" x14ac:dyDescent="0.2">
      <c r="D66" s="6"/>
      <c r="E66" s="6"/>
      <c r="F66" s="6"/>
      <c r="G66" s="6"/>
      <c r="H66" s="6"/>
    </row>
    <row r="67" spans="3:14" s="25" customFormat="1" hidden="1" x14ac:dyDescent="0.2">
      <c r="C67" s="26"/>
    </row>
    <row r="68" spans="3:14" hidden="1" x14ac:dyDescent="0.2"/>
    <row r="69" spans="3:14" hidden="1" x14ac:dyDescent="0.2">
      <c r="D69" s="310" t="s">
        <v>110</v>
      </c>
      <c r="E69" s="310"/>
      <c r="F69" s="310"/>
      <c r="G69" s="310"/>
      <c r="H69" s="310"/>
      <c r="I69" s="310"/>
      <c r="J69" s="310"/>
      <c r="K69" s="310"/>
      <c r="L69" s="310"/>
    </row>
    <row r="70" spans="3:14" hidden="1" x14ac:dyDescent="0.2">
      <c r="D70" s="310"/>
      <c r="E70" s="310"/>
      <c r="F70" s="310"/>
      <c r="G70" s="310"/>
      <c r="H70" s="310"/>
      <c r="I70" s="310"/>
      <c r="J70" s="310"/>
      <c r="K70" s="310"/>
      <c r="L70" s="310"/>
    </row>
    <row r="71" spans="3:14" hidden="1" x14ac:dyDescent="0.2"/>
    <row r="72" spans="3:14" hidden="1" x14ac:dyDescent="0.2">
      <c r="D72" s="311" t="s">
        <v>111</v>
      </c>
      <c r="E72" s="311"/>
      <c r="F72" s="312" t="s">
        <v>112</v>
      </c>
      <c r="G72" s="312"/>
      <c r="I72" s="313" t="s">
        <v>113</v>
      </c>
      <c r="J72" s="313"/>
      <c r="K72" s="313" t="s">
        <v>114</v>
      </c>
      <c r="L72" s="313"/>
    </row>
    <row r="73" spans="3:14" ht="30" hidden="1" x14ac:dyDescent="0.2">
      <c r="D73" s="11" t="s">
        <v>115</v>
      </c>
      <c r="E73" s="2">
        <v>11720</v>
      </c>
      <c r="F73" s="11" t="s">
        <v>115</v>
      </c>
      <c r="G73" s="2">
        <f>I14</f>
        <v>17360</v>
      </c>
      <c r="I73" s="18">
        <v>11720</v>
      </c>
      <c r="J73" s="27">
        <v>4000000</v>
      </c>
      <c r="K73" s="28">
        <v>17064</v>
      </c>
      <c r="L73" s="29">
        <f>L46</f>
        <v>8007244.6379999993</v>
      </c>
    </row>
    <row r="74" spans="3:14" hidden="1" x14ac:dyDescent="0.2">
      <c r="D74" s="2" t="s">
        <v>116</v>
      </c>
      <c r="E74" s="2" t="s">
        <v>117</v>
      </c>
      <c r="F74" s="2" t="s">
        <v>116</v>
      </c>
      <c r="G74" s="2" t="s">
        <v>118</v>
      </c>
      <c r="I74" s="28">
        <v>17064</v>
      </c>
      <c r="J74" s="29">
        <f>(I74*J73)/I73</f>
        <v>5823890.7849829355</v>
      </c>
      <c r="K74" s="28">
        <v>11720</v>
      </c>
      <c r="L74" s="29">
        <f>(K74*L73)/K73</f>
        <v>5499584.3388045002</v>
      </c>
    </row>
    <row r="75" spans="3:14" hidden="1" x14ac:dyDescent="0.2">
      <c r="D75" s="2" t="s">
        <v>119</v>
      </c>
      <c r="E75" s="30">
        <v>4000000</v>
      </c>
      <c r="F75" s="2" t="s">
        <v>119</v>
      </c>
      <c r="G75" s="30">
        <f>L46</f>
        <v>8007244.6379999993</v>
      </c>
    </row>
    <row r="76" spans="3:14" ht="27.75" hidden="1" customHeight="1" x14ac:dyDescent="0.2">
      <c r="D76" s="2" t="s">
        <v>120</v>
      </c>
      <c r="E76" s="30" t="s">
        <v>121</v>
      </c>
      <c r="F76" s="2" t="s">
        <v>120</v>
      </c>
      <c r="G76" s="30" t="s">
        <v>122</v>
      </c>
      <c r="I76" s="307" t="s">
        <v>123</v>
      </c>
      <c r="J76" s="307"/>
      <c r="K76" s="307" t="s">
        <v>124</v>
      </c>
      <c r="L76" s="307"/>
      <c r="N76" s="31"/>
    </row>
    <row r="77" spans="3:14" ht="30" hidden="1" x14ac:dyDescent="0.2">
      <c r="D77" s="11" t="s">
        <v>125</v>
      </c>
      <c r="E77" s="32">
        <f>3300*10^3</f>
        <v>3300000</v>
      </c>
      <c r="F77" s="11" t="s">
        <v>125</v>
      </c>
      <c r="G77" s="32">
        <v>4780000</v>
      </c>
      <c r="I77" s="18">
        <v>7.17</v>
      </c>
      <c r="J77" s="27">
        <v>236661</v>
      </c>
      <c r="K77" s="18">
        <v>6.62</v>
      </c>
      <c r="L77" s="27">
        <f>G40</f>
        <v>296840.8</v>
      </c>
    </row>
    <row r="78" spans="3:14" hidden="1" x14ac:dyDescent="0.2">
      <c r="D78" s="3"/>
      <c r="E78" s="33"/>
      <c r="F78" s="3"/>
      <c r="G78" s="33"/>
      <c r="I78" s="34">
        <v>6.62</v>
      </c>
      <c r="J78" s="35">
        <f>(I78*J77)/I77</f>
        <v>218507.08786610881</v>
      </c>
      <c r="K78" s="34">
        <v>7.17</v>
      </c>
      <c r="L78" s="35">
        <f>(K78*L77)/K77</f>
        <v>321502.8</v>
      </c>
    </row>
    <row r="79" spans="3:14" ht="28.5" hidden="1" customHeight="1" x14ac:dyDescent="0.2">
      <c r="D79" s="3"/>
      <c r="E79" s="33"/>
      <c r="F79" s="308" t="s">
        <v>126</v>
      </c>
      <c r="G79" s="308"/>
      <c r="H79" s="308"/>
      <c r="I79" s="36" t="s">
        <v>127</v>
      </c>
      <c r="J79" s="36" t="str">
        <f>ROUNDUP((J73/J78),0)&amp;" "&amp;"ans"</f>
        <v>19 ans</v>
      </c>
      <c r="K79" s="36" t="s">
        <v>127</v>
      </c>
      <c r="L79" s="36" t="str">
        <f>ROUNDUP((L73/L78),0)&amp;" "&amp;"ans"</f>
        <v>25 ans</v>
      </c>
    </row>
    <row r="80" spans="3:14" hidden="1" x14ac:dyDescent="0.2">
      <c r="D80" s="3"/>
      <c r="E80" s="33"/>
      <c r="F80" s="3"/>
      <c r="G80" s="33"/>
    </row>
    <row r="81" spans="4:12" hidden="1" x14ac:dyDescent="0.2">
      <c r="D81" s="3"/>
      <c r="E81" s="33"/>
      <c r="F81" s="307" t="s">
        <v>128</v>
      </c>
      <c r="G81" s="307"/>
      <c r="H81" s="307"/>
      <c r="I81" s="307"/>
      <c r="J81" s="307"/>
      <c r="K81" s="307"/>
      <c r="L81" s="307"/>
    </row>
    <row r="82" spans="4:12" hidden="1" x14ac:dyDescent="0.2">
      <c r="F82" s="307"/>
      <c r="G82" s="307"/>
      <c r="H82" s="307"/>
      <c r="I82" s="307"/>
      <c r="J82" s="307"/>
      <c r="K82" s="307"/>
      <c r="L82" s="307"/>
    </row>
    <row r="83" spans="4:12" hidden="1" x14ac:dyDescent="0.2">
      <c r="F83" s="307"/>
      <c r="G83" s="307"/>
      <c r="H83" s="307"/>
      <c r="I83" s="307"/>
      <c r="J83" s="307"/>
      <c r="K83" s="307"/>
      <c r="L83" s="307"/>
    </row>
    <row r="84" spans="4:12" hidden="1" x14ac:dyDescent="0.2"/>
  </sheetData>
  <mergeCells count="75">
    <mergeCell ref="C2:E2"/>
    <mergeCell ref="C3:E3"/>
    <mergeCell ref="C4:E4"/>
    <mergeCell ref="B26:D27"/>
    <mergeCell ref="G2:J4"/>
    <mergeCell ref="F22:G22"/>
    <mergeCell ref="J14:K14"/>
    <mergeCell ref="J16:K16"/>
    <mergeCell ref="J18:K18"/>
    <mergeCell ref="B20:B21"/>
    <mergeCell ref="C20:C21"/>
    <mergeCell ref="D20:D21"/>
    <mergeCell ref="F20:G20"/>
    <mergeCell ref="F21:G21"/>
    <mergeCell ref="J21:K21"/>
    <mergeCell ref="B7:C7"/>
    <mergeCell ref="I76:J76"/>
    <mergeCell ref="K76:L76"/>
    <mergeCell ref="F79:H79"/>
    <mergeCell ref="F81:L83"/>
    <mergeCell ref="D62:F63"/>
    <mergeCell ref="H62:H63"/>
    <mergeCell ref="D65:F65"/>
    <mergeCell ref="D69:L70"/>
    <mergeCell ref="D72:E72"/>
    <mergeCell ref="F72:G72"/>
    <mergeCell ref="I72:J72"/>
    <mergeCell ref="K72:L72"/>
    <mergeCell ref="D59:F60"/>
    <mergeCell ref="H59:H60"/>
    <mergeCell ref="B46:C46"/>
    <mergeCell ref="F46:G46"/>
    <mergeCell ref="J46:K46"/>
    <mergeCell ref="B48:C48"/>
    <mergeCell ref="F48:G48"/>
    <mergeCell ref="J48:K48"/>
    <mergeCell ref="D53:H54"/>
    <mergeCell ref="J53:K53"/>
    <mergeCell ref="J54:K55"/>
    <mergeCell ref="D56:F57"/>
    <mergeCell ref="H56:H57"/>
    <mergeCell ref="J41:K41"/>
    <mergeCell ref="J42:K42"/>
    <mergeCell ref="J44:K44"/>
    <mergeCell ref="B45:C45"/>
    <mergeCell ref="F45:G45"/>
    <mergeCell ref="J45:K45"/>
    <mergeCell ref="J40:K40"/>
    <mergeCell ref="J33:K33"/>
    <mergeCell ref="B34:C34"/>
    <mergeCell ref="F34:G34"/>
    <mergeCell ref="J34:K34"/>
    <mergeCell ref="J35:K35"/>
    <mergeCell ref="B36:C36"/>
    <mergeCell ref="F36:G36"/>
    <mergeCell ref="J36:K36"/>
    <mergeCell ref="B37:C37"/>
    <mergeCell ref="F37:G37"/>
    <mergeCell ref="J37:K37"/>
    <mergeCell ref="J38:K38"/>
    <mergeCell ref="J39:K39"/>
    <mergeCell ref="K22:K23"/>
    <mergeCell ref="F23:G23"/>
    <mergeCell ref="B32:D32"/>
    <mergeCell ref="F32:H32"/>
    <mergeCell ref="J32:L32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conditionalFormatting sqref="H21:H22">
    <cfRule type="expression" dxfId="19" priority="2" stopIfTrue="1">
      <formula>$H$21&lt;($G$13*$G$12)</formula>
    </cfRule>
  </conditionalFormatting>
  <conditionalFormatting sqref="H21:H22">
    <cfRule type="expression" dxfId="18" priority="1" stopIfTrue="1">
      <formula>$H$21&gt;($G$13*$G$12)</formula>
    </cfRule>
  </conditionalFormatting>
  <conditionalFormatting sqref="H23">
    <cfRule type="expression" dxfId="17" priority="4" stopIfTrue="1">
      <formula>$H$23="Compatible"</formula>
    </cfRule>
  </conditionalFormatting>
  <conditionalFormatting sqref="H23">
    <cfRule type="expression" dxfId="16" priority="3" stopIfTrue="1">
      <formula>$H$23="Non compatible"</formula>
    </cfRule>
  </conditionalFormatting>
  <pageMargins left="0.25000000000000006" right="0.25000000000000006" top="1.1437007874015745" bottom="1.1437007874015745" header="0.74999999999999989" footer="0.74999999999999989"/>
  <pageSetup paperSize="9" fitToWidth="0" fitToHeight="0" orientation="landscape" horizontalDpi="0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MJ42"/>
  <sheetViews>
    <sheetView topLeftCell="A28" workbookViewId="0">
      <selection activeCell="F43" sqref="F43"/>
    </sheetView>
  </sheetViews>
  <sheetFormatPr baseColWidth="10" defaultRowHeight="15" x14ac:dyDescent="0.2"/>
  <cols>
    <col min="1" max="1" width="14.375" style="1" customWidth="1"/>
    <col min="2" max="2" width="10.375" style="1" customWidth="1"/>
    <col min="3" max="3" width="11.75" style="1" customWidth="1"/>
    <col min="4" max="4" width="10.625" style="1" customWidth="1"/>
    <col min="5" max="5" width="17.375" style="1" customWidth="1"/>
    <col min="6" max="6" width="16.25" style="1" customWidth="1"/>
    <col min="7" max="7" width="14" style="1" customWidth="1"/>
    <col min="8" max="8" width="10.625" style="1" customWidth="1"/>
    <col min="9" max="9" width="17.5" style="1" customWidth="1"/>
    <col min="10" max="1023" width="10.625" style="1" customWidth="1"/>
    <col min="1024" max="1024" width="10.625" style="39" customWidth="1"/>
  </cols>
  <sheetData>
    <row r="1" spans="1:12" ht="15.75" thickBot="1" x14ac:dyDescent="0.25"/>
    <row r="2" spans="1:12" x14ac:dyDescent="0.2">
      <c r="A2" s="353" t="s">
        <v>152</v>
      </c>
      <c r="B2" s="354"/>
      <c r="C2" s="354"/>
      <c r="D2" s="354"/>
      <c r="E2" s="354"/>
      <c r="F2" s="355"/>
      <c r="G2" s="39"/>
      <c r="H2" s="39"/>
      <c r="I2" s="39"/>
      <c r="J2" s="39"/>
      <c r="K2" s="39"/>
    </row>
    <row r="3" spans="1:12" ht="15.75" thickBot="1" x14ac:dyDescent="0.25">
      <c r="A3" s="356"/>
      <c r="B3" s="357"/>
      <c r="C3" s="357"/>
      <c r="D3" s="357"/>
      <c r="E3" s="357"/>
      <c r="F3" s="358"/>
      <c r="G3" s="39"/>
      <c r="H3" s="39"/>
      <c r="I3" s="39"/>
      <c r="J3" s="39"/>
      <c r="K3" s="39"/>
    </row>
    <row r="4" spans="1:12" ht="15.75" thickBot="1" x14ac:dyDescent="0.25">
      <c r="C4" s="39"/>
      <c r="D4" s="39"/>
      <c r="E4" s="39"/>
      <c r="F4" s="39"/>
      <c r="G4" s="39"/>
      <c r="H4" s="39"/>
      <c r="I4" s="39"/>
      <c r="J4" s="39"/>
      <c r="K4" s="39"/>
    </row>
    <row r="5" spans="1:12" x14ac:dyDescent="0.2">
      <c r="A5" s="21"/>
      <c r="B5" s="21"/>
      <c r="C5" s="132"/>
      <c r="D5" s="359" t="s">
        <v>2</v>
      </c>
      <c r="E5" s="359"/>
      <c r="F5" s="360"/>
      <c r="G5" s="39"/>
      <c r="H5" s="39"/>
      <c r="I5" s="39"/>
      <c r="J5" s="39"/>
      <c r="K5" s="39"/>
    </row>
    <row r="6" spans="1:12" x14ac:dyDescent="0.2">
      <c r="A6" s="40"/>
      <c r="B6" s="38"/>
      <c r="C6" s="133"/>
      <c r="D6" s="361" t="s">
        <v>130</v>
      </c>
      <c r="E6" s="361"/>
      <c r="F6" s="362"/>
      <c r="G6" s="39"/>
      <c r="H6" s="39"/>
      <c r="I6" s="39"/>
      <c r="J6" s="39"/>
      <c r="K6" s="39"/>
    </row>
    <row r="7" spans="1:12" ht="15.75" thickBot="1" x14ac:dyDescent="0.25">
      <c r="A7" s="38"/>
      <c r="B7" s="38"/>
      <c r="C7" s="134"/>
      <c r="D7" s="363" t="s">
        <v>131</v>
      </c>
      <c r="E7" s="363"/>
      <c r="F7" s="364"/>
      <c r="G7" s="39"/>
      <c r="H7" s="39"/>
      <c r="I7" s="39"/>
      <c r="J7" s="39"/>
      <c r="K7" s="39"/>
    </row>
    <row r="8" spans="1:12" ht="15.75" thickBot="1" x14ac:dyDescent="0.25">
      <c r="G8" s="39"/>
      <c r="H8" s="39"/>
      <c r="I8" s="39"/>
      <c r="J8" s="39"/>
      <c r="K8" s="39"/>
    </row>
    <row r="9" spans="1:12" ht="15.75" customHeight="1" thickBot="1" x14ac:dyDescent="0.25">
      <c r="A9" s="350" t="s">
        <v>132</v>
      </c>
      <c r="B9" s="351"/>
      <c r="C9" s="351"/>
      <c r="D9" s="351"/>
      <c r="E9" s="351"/>
      <c r="F9" s="352"/>
      <c r="G9" s="39"/>
      <c r="H9" s="39"/>
      <c r="I9" s="39"/>
      <c r="J9" s="39"/>
      <c r="K9" s="39"/>
      <c r="L9" s="39"/>
    </row>
    <row r="10" spans="1:12" ht="15.75" thickBot="1" x14ac:dyDescent="0.25">
      <c r="G10" s="39"/>
      <c r="H10" s="39"/>
      <c r="I10" s="39"/>
      <c r="J10" s="39"/>
      <c r="K10" s="39"/>
      <c r="L10" s="39"/>
    </row>
    <row r="11" spans="1:12" ht="18" x14ac:dyDescent="0.2">
      <c r="C11" s="185" t="s">
        <v>133</v>
      </c>
      <c r="D11" s="186">
        <v>38.4</v>
      </c>
      <c r="G11" s="39"/>
      <c r="H11" s="39"/>
      <c r="I11" s="39"/>
      <c r="J11" s="39"/>
      <c r="K11" s="39"/>
      <c r="L11" s="39"/>
    </row>
    <row r="12" spans="1:12" ht="18" x14ac:dyDescent="0.2">
      <c r="C12" s="187" t="s">
        <v>134</v>
      </c>
      <c r="D12" s="188">
        <v>30.3</v>
      </c>
      <c r="G12" s="39"/>
      <c r="H12" s="39"/>
      <c r="I12" s="39"/>
      <c r="J12" s="39"/>
      <c r="K12" s="39"/>
    </row>
    <row r="13" spans="1:12" ht="18" x14ac:dyDescent="0.2">
      <c r="C13" s="187" t="s">
        <v>135</v>
      </c>
      <c r="D13" s="189">
        <v>8.25</v>
      </c>
      <c r="G13" s="39"/>
      <c r="H13" s="39"/>
      <c r="I13" s="39"/>
      <c r="J13" s="39"/>
      <c r="K13" s="39"/>
    </row>
    <row r="14" spans="1:12" ht="18.75" thickBot="1" x14ac:dyDescent="0.25">
      <c r="C14" s="190" t="s">
        <v>136</v>
      </c>
      <c r="D14" s="171">
        <f>-121*10^-3</f>
        <v>-0.121</v>
      </c>
      <c r="G14" s="39"/>
      <c r="H14" s="39"/>
      <c r="I14" s="39"/>
      <c r="J14" s="39"/>
      <c r="K14" s="39"/>
    </row>
    <row r="15" spans="1:12" ht="15.75" thickBot="1" x14ac:dyDescent="0.25">
      <c r="G15" s="39"/>
      <c r="H15" s="39"/>
      <c r="I15" s="39"/>
      <c r="J15" s="39"/>
      <c r="K15" s="39"/>
    </row>
    <row r="16" spans="1:12" ht="15.75" customHeight="1" thickBot="1" x14ac:dyDescent="0.25">
      <c r="A16" s="350" t="s">
        <v>137</v>
      </c>
      <c r="B16" s="351"/>
      <c r="C16" s="351"/>
      <c r="D16" s="351"/>
      <c r="E16" s="351"/>
      <c r="F16" s="352"/>
      <c r="G16" s="39"/>
      <c r="H16" s="39"/>
      <c r="I16" s="39"/>
      <c r="J16" s="39"/>
      <c r="K16" s="39"/>
    </row>
    <row r="17" spans="1:11" ht="15.75" thickBot="1" x14ac:dyDescent="0.25">
      <c r="G17" s="39"/>
      <c r="H17" s="39"/>
      <c r="I17" s="39"/>
      <c r="J17" s="39"/>
      <c r="K17" s="39"/>
    </row>
    <row r="18" spans="1:11" ht="18.75" thickBot="1" x14ac:dyDescent="0.25">
      <c r="A18" s="192" t="s">
        <v>138</v>
      </c>
      <c r="B18" s="193">
        <f>$F$18*($D$11-(($D$14)*35))</f>
        <v>852.69999999999993</v>
      </c>
      <c r="D18" s="365" t="s">
        <v>139</v>
      </c>
      <c r="E18" s="366"/>
      <c r="F18" s="170">
        <v>20</v>
      </c>
      <c r="G18" s="39"/>
      <c r="H18" s="39"/>
      <c r="I18" s="39"/>
      <c r="J18" s="39"/>
      <c r="K18" s="39"/>
    </row>
    <row r="19" spans="1:11" ht="15.75" thickBot="1" x14ac:dyDescent="0.25">
      <c r="D19" s="367" t="s">
        <v>140</v>
      </c>
      <c r="E19" s="368"/>
      <c r="F19" s="191" t="str">
        <f>IF($B$18&lt;$B$20, "OK","Incompatible")</f>
        <v>OK</v>
      </c>
      <c r="G19" s="39"/>
      <c r="H19" s="39"/>
      <c r="I19" s="39"/>
      <c r="J19" s="39"/>
      <c r="K19" s="39"/>
    </row>
    <row r="20" spans="1:11" ht="45" customHeight="1" thickBot="1" x14ac:dyDescent="0.25">
      <c r="A20" s="194" t="s">
        <v>141</v>
      </c>
      <c r="B20" s="169">
        <v>1000</v>
      </c>
      <c r="G20" s="39"/>
      <c r="H20" s="39"/>
      <c r="I20" s="39"/>
      <c r="J20" s="39"/>
      <c r="K20" s="39"/>
    </row>
    <row r="21" spans="1:11" ht="15.75" thickBot="1" x14ac:dyDescent="0.25">
      <c r="G21" s="39"/>
      <c r="H21" s="39"/>
      <c r="I21" s="39"/>
      <c r="J21" s="39"/>
      <c r="K21" s="39"/>
    </row>
    <row r="22" spans="1:11" ht="15.75" customHeight="1" thickBot="1" x14ac:dyDescent="0.25">
      <c r="A22" s="350" t="s">
        <v>137</v>
      </c>
      <c r="B22" s="351"/>
      <c r="C22" s="351"/>
      <c r="D22" s="351"/>
      <c r="E22" s="351"/>
      <c r="F22" s="352"/>
      <c r="G22" s="39"/>
      <c r="H22" s="39"/>
      <c r="I22" s="39"/>
      <c r="J22" s="39"/>
      <c r="K22" s="39"/>
    </row>
    <row r="23" spans="1:11" ht="15.75" thickBot="1" x14ac:dyDescent="0.25">
      <c r="G23" s="39"/>
      <c r="H23" s="39"/>
      <c r="I23" s="39"/>
      <c r="J23" s="39"/>
      <c r="K23" s="39"/>
    </row>
    <row r="24" spans="1:11" ht="18.75" thickBot="1" x14ac:dyDescent="0.25">
      <c r="A24" s="192" t="s">
        <v>142</v>
      </c>
      <c r="B24" s="193">
        <f>$F$24*($D$12-(($D$14)*35))</f>
        <v>690.69999999999993</v>
      </c>
      <c r="D24" s="365" t="s">
        <v>139</v>
      </c>
      <c r="E24" s="366"/>
      <c r="F24" s="170">
        <f>F18</f>
        <v>20</v>
      </c>
      <c r="G24" s="39"/>
      <c r="H24" s="39"/>
      <c r="I24" s="39"/>
      <c r="J24" s="39"/>
      <c r="K24" s="39"/>
    </row>
    <row r="25" spans="1:11" ht="15.75" thickBot="1" x14ac:dyDescent="0.25">
      <c r="D25" s="367" t="s">
        <v>140</v>
      </c>
      <c r="E25" s="368"/>
      <c r="F25" s="195" t="str">
        <f>IF($B$24&gt;$B$26, "OK","Incompatible")</f>
        <v>OK</v>
      </c>
      <c r="G25" s="39"/>
      <c r="H25" s="39"/>
      <c r="I25" s="39"/>
      <c r="J25" s="39"/>
      <c r="K25" s="39"/>
    </row>
    <row r="26" spans="1:11" ht="18.75" thickBot="1" x14ac:dyDescent="0.25">
      <c r="A26" s="192" t="s">
        <v>143</v>
      </c>
      <c r="B26" s="169">
        <v>480</v>
      </c>
      <c r="G26" s="39"/>
      <c r="H26" s="39"/>
      <c r="I26" s="39"/>
      <c r="J26" s="39"/>
      <c r="K26" s="39"/>
    </row>
    <row r="27" spans="1:11" ht="15.75" thickBot="1" x14ac:dyDescent="0.25">
      <c r="G27" s="39"/>
      <c r="H27" s="39"/>
      <c r="I27" s="39"/>
      <c r="J27" s="39"/>
      <c r="K27" s="39"/>
    </row>
    <row r="28" spans="1:11" ht="15.75" customHeight="1" thickBot="1" x14ac:dyDescent="0.25">
      <c r="A28" s="350" t="s">
        <v>144</v>
      </c>
      <c r="B28" s="351"/>
      <c r="C28" s="351"/>
      <c r="D28" s="351"/>
      <c r="E28" s="351"/>
      <c r="F28" s="352"/>
      <c r="G28" s="39"/>
      <c r="H28" s="39"/>
      <c r="I28" s="39"/>
      <c r="J28" s="39"/>
      <c r="K28" s="39"/>
    </row>
    <row r="29" spans="1:11" ht="15.75" thickBot="1" x14ac:dyDescent="0.25">
      <c r="G29" s="39"/>
      <c r="H29" s="39"/>
      <c r="I29" s="39"/>
      <c r="J29" s="39"/>
      <c r="K29" s="39"/>
    </row>
    <row r="30" spans="1:11" ht="15.75" thickBot="1" x14ac:dyDescent="0.25">
      <c r="D30" s="365" t="s">
        <v>139</v>
      </c>
      <c r="E30" s="366"/>
      <c r="F30" s="170">
        <f>F24</f>
        <v>20</v>
      </c>
      <c r="G30" s="39"/>
      <c r="H30" s="39"/>
      <c r="I30" s="39"/>
      <c r="J30" s="39"/>
      <c r="K30" s="39"/>
    </row>
    <row r="31" spans="1:11" ht="18" x14ac:dyDescent="0.2">
      <c r="A31" s="185" t="s">
        <v>145</v>
      </c>
      <c r="B31" s="170">
        <f>D13</f>
        <v>8.25</v>
      </c>
      <c r="D31" s="369" t="s">
        <v>146</v>
      </c>
      <c r="E31" s="370"/>
      <c r="F31" s="189">
        <v>763</v>
      </c>
      <c r="G31" s="39"/>
      <c r="H31" s="39"/>
      <c r="I31" s="39"/>
      <c r="J31" s="39"/>
      <c r="K31" s="39"/>
    </row>
    <row r="32" spans="1:11" ht="18.75" thickBot="1" x14ac:dyDescent="0.25">
      <c r="A32" s="196" t="s">
        <v>147</v>
      </c>
      <c r="B32" s="171">
        <v>41</v>
      </c>
      <c r="D32" s="367" t="s">
        <v>148</v>
      </c>
      <c r="E32" s="368"/>
      <c r="F32" s="171">
        <v>198</v>
      </c>
      <c r="G32" s="39"/>
      <c r="H32" s="39"/>
      <c r="I32" s="39"/>
      <c r="J32" s="39"/>
      <c r="K32" s="39"/>
    </row>
    <row r="33" spans="1:11" x14ac:dyDescent="0.2">
      <c r="G33" s="39"/>
      <c r="H33" s="39"/>
      <c r="I33" s="39"/>
      <c r="J33" s="39"/>
      <c r="K33" s="39"/>
    </row>
    <row r="34" spans="1:11" ht="15.75" thickBot="1" x14ac:dyDescent="0.25">
      <c r="G34" s="39"/>
      <c r="H34" s="39"/>
      <c r="I34" s="39"/>
      <c r="J34" s="39"/>
      <c r="K34" s="39"/>
    </row>
    <row r="35" spans="1:11" ht="18.75" thickBot="1" x14ac:dyDescent="0.25">
      <c r="A35" s="197" t="s">
        <v>149</v>
      </c>
      <c r="B35" s="193">
        <f>($F$31*$B$31)/F32</f>
        <v>31.791666666666668</v>
      </c>
      <c r="D35" s="371" t="s">
        <v>140</v>
      </c>
      <c r="E35" s="372"/>
      <c r="F35" s="198" t="str">
        <f>IF($B$35&lt;$B$32, "OK","Incompatible")</f>
        <v>OK</v>
      </c>
      <c r="G35" s="39"/>
      <c r="H35" s="39"/>
      <c r="I35" s="39"/>
      <c r="J35" s="39"/>
      <c r="K35" s="39"/>
    </row>
    <row r="36" spans="1:11" x14ac:dyDescent="0.2">
      <c r="G36" s="39"/>
      <c r="H36" s="39"/>
      <c r="I36" s="39"/>
      <c r="J36" s="39"/>
      <c r="K36" s="39"/>
    </row>
    <row r="37" spans="1:11" x14ac:dyDescent="0.2">
      <c r="G37" s="39"/>
      <c r="H37" s="39"/>
      <c r="I37" s="39"/>
      <c r="J37" s="39"/>
      <c r="K37" s="39"/>
    </row>
    <row r="38" spans="1:11" ht="15.75" thickBot="1" x14ac:dyDescent="0.25">
      <c r="G38" s="39"/>
      <c r="H38" s="39"/>
      <c r="I38" s="39"/>
      <c r="J38" s="39"/>
      <c r="K38" s="39"/>
    </row>
    <row r="39" spans="1:11" ht="15.75" thickBot="1" x14ac:dyDescent="0.25">
      <c r="A39" s="373"/>
      <c r="B39" s="374"/>
      <c r="C39" s="374"/>
      <c r="D39" s="374"/>
      <c r="E39" s="375"/>
      <c r="F39" s="199" t="str">
        <f>IF(F35 ="OK", IF(F25="OK",IF(F19="OK","OK", "Incompatible"), "Incompatible"),"Incompatible")</f>
        <v>OK</v>
      </c>
      <c r="G39" s="39"/>
      <c r="H39" s="39"/>
      <c r="I39" s="39"/>
      <c r="J39" s="39"/>
      <c r="K39" s="39"/>
    </row>
    <row r="40" spans="1:11" ht="15.75" thickBot="1" x14ac:dyDescent="0.25">
      <c r="G40" s="39"/>
      <c r="H40" s="39"/>
      <c r="I40" s="39"/>
      <c r="J40" s="39"/>
      <c r="K40" s="39"/>
    </row>
    <row r="41" spans="1:11" x14ac:dyDescent="0.2">
      <c r="E41" s="200" t="s">
        <v>150</v>
      </c>
      <c r="F41" s="201">
        <v>163</v>
      </c>
      <c r="G41" s="39"/>
      <c r="H41" s="39"/>
      <c r="I41" s="39"/>
      <c r="J41" s="39"/>
      <c r="K41" s="39"/>
    </row>
    <row r="42" spans="1:11" ht="15.75" thickBot="1" x14ac:dyDescent="0.25">
      <c r="E42" s="134" t="s">
        <v>151</v>
      </c>
      <c r="F42" s="202">
        <v>198</v>
      </c>
    </row>
  </sheetData>
  <mergeCells count="17">
    <mergeCell ref="D30:E30"/>
    <mergeCell ref="D31:E31"/>
    <mergeCell ref="D32:E32"/>
    <mergeCell ref="D35:E35"/>
    <mergeCell ref="A39:E39"/>
    <mergeCell ref="A28:F28"/>
    <mergeCell ref="A2:F3"/>
    <mergeCell ref="D5:F5"/>
    <mergeCell ref="D6:F6"/>
    <mergeCell ref="D7:F7"/>
    <mergeCell ref="A9:F9"/>
    <mergeCell ref="A16:F16"/>
    <mergeCell ref="D18:E18"/>
    <mergeCell ref="D19:E19"/>
    <mergeCell ref="A22:F22"/>
    <mergeCell ref="D24:E24"/>
    <mergeCell ref="D25:E25"/>
  </mergeCells>
  <conditionalFormatting sqref="F19">
    <cfRule type="expression" dxfId="15" priority="5" stopIfTrue="1">
      <formula>$F$19&lt;&gt;"OK"</formula>
    </cfRule>
  </conditionalFormatting>
  <conditionalFormatting sqref="F19">
    <cfRule type="expression" dxfId="14" priority="6" stopIfTrue="1">
      <formula>$F$19="OK"</formula>
    </cfRule>
  </conditionalFormatting>
  <conditionalFormatting sqref="F25">
    <cfRule type="expression" dxfId="13" priority="7" stopIfTrue="1">
      <formula>$F$25&lt;&gt;"OK"</formula>
    </cfRule>
  </conditionalFormatting>
  <conditionalFormatting sqref="F25">
    <cfRule type="expression" dxfId="12" priority="8" stopIfTrue="1">
      <formula>$F$25="OK"</formula>
    </cfRule>
  </conditionalFormatting>
  <conditionalFormatting sqref="F35">
    <cfRule type="expression" dxfId="11" priority="9" stopIfTrue="1">
      <formula>$F$35&lt;&gt;"OK"</formula>
    </cfRule>
  </conditionalFormatting>
  <conditionalFormatting sqref="F35">
    <cfRule type="expression" dxfId="10" priority="10" stopIfTrue="1">
      <formula>$F$35="OK"</formula>
    </cfRule>
  </conditionalFormatting>
  <conditionalFormatting sqref="F39">
    <cfRule type="expression" dxfId="9" priority="11" stopIfTrue="1">
      <formula>$F$39&lt;&gt;"OK"</formula>
    </cfRule>
  </conditionalFormatting>
  <conditionalFormatting sqref="F39">
    <cfRule type="expression" dxfId="8" priority="12" stopIfTrue="1">
      <formula>$F$39="OK"</formula>
    </cfRule>
  </conditionalFormatting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MH42"/>
  <sheetViews>
    <sheetView workbookViewId="0">
      <selection activeCell="F43" sqref="F43"/>
    </sheetView>
  </sheetViews>
  <sheetFormatPr baseColWidth="10" defaultRowHeight="15" x14ac:dyDescent="0.2"/>
  <cols>
    <col min="1" max="1" width="14.75" style="1" customWidth="1"/>
    <col min="2" max="4" width="10.625" style="1" customWidth="1"/>
    <col min="5" max="5" width="16.25" style="1" customWidth="1"/>
    <col min="6" max="6" width="14" style="1" customWidth="1"/>
    <col min="7" max="7" width="10.625" style="1" customWidth="1"/>
    <col min="8" max="8" width="18.125" style="1" customWidth="1"/>
    <col min="9" max="1022" width="10.625" style="1" customWidth="1"/>
    <col min="1023" max="1024" width="10.625" customWidth="1"/>
  </cols>
  <sheetData>
    <row r="1" spans="1:11" ht="15.75" thickBot="1" x14ac:dyDescent="0.25"/>
    <row r="2" spans="1:11" x14ac:dyDescent="0.2">
      <c r="A2" s="353" t="s">
        <v>129</v>
      </c>
      <c r="B2" s="354"/>
      <c r="C2" s="354"/>
      <c r="D2" s="354"/>
      <c r="E2" s="354"/>
      <c r="F2" s="355"/>
      <c r="H2"/>
      <c r="I2"/>
      <c r="J2"/>
      <c r="K2"/>
    </row>
    <row r="3" spans="1:11" ht="15.75" thickBot="1" x14ac:dyDescent="0.25">
      <c r="A3" s="356"/>
      <c r="B3" s="357"/>
      <c r="C3" s="357"/>
      <c r="D3" s="357"/>
      <c r="E3" s="357"/>
      <c r="F3" s="358"/>
      <c r="H3"/>
      <c r="I3"/>
      <c r="J3"/>
      <c r="K3"/>
    </row>
    <row r="4" spans="1:11" ht="15.75" thickBot="1" x14ac:dyDescent="0.25">
      <c r="D4"/>
      <c r="E4"/>
      <c r="F4"/>
      <c r="H4"/>
      <c r="I4"/>
      <c r="J4"/>
      <c r="K4"/>
    </row>
    <row r="5" spans="1:11" x14ac:dyDescent="0.2">
      <c r="A5" s="21"/>
      <c r="B5" s="21"/>
      <c r="C5" s="132"/>
      <c r="D5" s="359" t="s">
        <v>2</v>
      </c>
      <c r="E5" s="359"/>
      <c r="F5" s="360"/>
    </row>
    <row r="6" spans="1:11" x14ac:dyDescent="0.2">
      <c r="A6" s="37"/>
      <c r="B6" s="38"/>
      <c r="C6" s="133"/>
      <c r="D6" s="361" t="s">
        <v>130</v>
      </c>
      <c r="E6" s="361"/>
      <c r="F6" s="362"/>
    </row>
    <row r="7" spans="1:11" ht="15.75" thickBot="1" x14ac:dyDescent="0.25">
      <c r="A7" s="38"/>
      <c r="B7" s="38"/>
      <c r="C7" s="134"/>
      <c r="D7" s="363" t="s">
        <v>131</v>
      </c>
      <c r="E7" s="363"/>
      <c r="F7" s="364"/>
    </row>
    <row r="8" spans="1:11" ht="15.75" thickBot="1" x14ac:dyDescent="0.25"/>
    <row r="9" spans="1:11" ht="15.75" customHeight="1" thickBot="1" x14ac:dyDescent="0.25">
      <c r="A9" s="350" t="s">
        <v>132</v>
      </c>
      <c r="B9" s="351"/>
      <c r="C9" s="351"/>
      <c r="D9" s="351"/>
      <c r="E9" s="351"/>
      <c r="F9" s="352"/>
      <c r="H9"/>
      <c r="I9"/>
      <c r="J9"/>
      <c r="K9"/>
    </row>
    <row r="10" spans="1:11" ht="15.75" thickBot="1" x14ac:dyDescent="0.25">
      <c r="H10"/>
      <c r="I10"/>
      <c r="J10"/>
      <c r="K10"/>
    </row>
    <row r="11" spans="1:11" ht="18" x14ac:dyDescent="0.2">
      <c r="C11" s="185" t="s">
        <v>133</v>
      </c>
      <c r="D11" s="186">
        <v>38.4</v>
      </c>
      <c r="G11"/>
      <c r="H11"/>
      <c r="I11"/>
      <c r="J11"/>
      <c r="K11"/>
    </row>
    <row r="12" spans="1:11" ht="18" x14ac:dyDescent="0.2">
      <c r="C12" s="187" t="s">
        <v>134</v>
      </c>
      <c r="D12" s="188">
        <v>30.3</v>
      </c>
      <c r="G12"/>
      <c r="H12"/>
      <c r="I12"/>
      <c r="J12"/>
    </row>
    <row r="13" spans="1:11" ht="18" x14ac:dyDescent="0.2">
      <c r="C13" s="187" t="s">
        <v>135</v>
      </c>
      <c r="D13" s="189">
        <v>8.25</v>
      </c>
      <c r="G13"/>
      <c r="H13"/>
      <c r="I13"/>
      <c r="J13"/>
    </row>
    <row r="14" spans="1:11" ht="18.75" thickBot="1" x14ac:dyDescent="0.25">
      <c r="C14" s="190" t="s">
        <v>136</v>
      </c>
      <c r="D14" s="171">
        <f>-121*10^-3</f>
        <v>-0.121</v>
      </c>
    </row>
    <row r="15" spans="1:11" ht="15.75" thickBot="1" x14ac:dyDescent="0.25"/>
    <row r="16" spans="1:11" ht="15.75" customHeight="1" thickBot="1" x14ac:dyDescent="0.25">
      <c r="A16" s="350" t="s">
        <v>137</v>
      </c>
      <c r="B16" s="351"/>
      <c r="C16" s="351"/>
      <c r="D16" s="351"/>
      <c r="E16" s="351"/>
      <c r="F16" s="352"/>
    </row>
    <row r="17" spans="1:9" ht="15.75" thickBot="1" x14ac:dyDescent="0.25"/>
    <row r="18" spans="1:9" ht="18.75" thickBot="1" x14ac:dyDescent="0.25">
      <c r="A18" s="192" t="s">
        <v>138</v>
      </c>
      <c r="B18" s="193">
        <f>$F$18*($D$11-(($D$14)*35))</f>
        <v>852.69999999999993</v>
      </c>
      <c r="D18" s="365" t="s">
        <v>139</v>
      </c>
      <c r="E18" s="366"/>
      <c r="F18" s="170">
        <v>20</v>
      </c>
    </row>
    <row r="19" spans="1:9" ht="15.75" thickBot="1" x14ac:dyDescent="0.25">
      <c r="D19" s="367" t="s">
        <v>140</v>
      </c>
      <c r="E19" s="368"/>
      <c r="F19" s="191" t="str">
        <f>IF($B$18&lt;$B$20, "OK","Incompatible")</f>
        <v>OK</v>
      </c>
    </row>
    <row r="20" spans="1:9" ht="45" customHeight="1" thickBot="1" x14ac:dyDescent="0.25">
      <c r="A20" s="194" t="s">
        <v>141</v>
      </c>
      <c r="B20" s="169">
        <v>1000</v>
      </c>
    </row>
    <row r="21" spans="1:9" ht="15.75" thickBot="1" x14ac:dyDescent="0.25"/>
    <row r="22" spans="1:9" ht="15.75" customHeight="1" thickBot="1" x14ac:dyDescent="0.25">
      <c r="A22" s="350" t="s">
        <v>137</v>
      </c>
      <c r="B22" s="351"/>
      <c r="C22" s="351"/>
      <c r="D22" s="351"/>
      <c r="E22" s="351"/>
      <c r="F22" s="352"/>
    </row>
    <row r="23" spans="1:9" ht="15.75" thickBot="1" x14ac:dyDescent="0.25"/>
    <row r="24" spans="1:9" ht="18.75" thickBot="1" x14ac:dyDescent="0.25">
      <c r="A24" s="192" t="s">
        <v>142</v>
      </c>
      <c r="B24" s="193">
        <f>$F$24*($D$12-(($D$14)*35))</f>
        <v>690.69999999999993</v>
      </c>
      <c r="D24" s="365" t="s">
        <v>139</v>
      </c>
      <c r="E24" s="366"/>
      <c r="F24" s="170">
        <f>F18</f>
        <v>20</v>
      </c>
    </row>
    <row r="25" spans="1:9" ht="15.75" thickBot="1" x14ac:dyDescent="0.25">
      <c r="D25" s="367" t="s">
        <v>140</v>
      </c>
      <c r="E25" s="368"/>
      <c r="F25" s="195" t="str">
        <f>IF($B$24&gt;$B$26, "OK","Incompatible")</f>
        <v>OK</v>
      </c>
    </row>
    <row r="26" spans="1:9" ht="18.75" thickBot="1" x14ac:dyDescent="0.25">
      <c r="A26" s="192" t="s">
        <v>143</v>
      </c>
      <c r="B26" s="169">
        <v>480</v>
      </c>
    </row>
    <row r="27" spans="1:9" ht="15.75" thickBot="1" x14ac:dyDescent="0.25"/>
    <row r="28" spans="1:9" ht="15.75" customHeight="1" thickBot="1" x14ac:dyDescent="0.25">
      <c r="A28" s="350" t="s">
        <v>144</v>
      </c>
      <c r="B28" s="351"/>
      <c r="C28" s="351"/>
      <c r="D28" s="351"/>
      <c r="E28" s="351"/>
      <c r="F28" s="352"/>
    </row>
    <row r="29" spans="1:9" ht="15.75" thickBot="1" x14ac:dyDescent="0.25"/>
    <row r="30" spans="1:9" ht="15.75" thickBot="1" x14ac:dyDescent="0.25">
      <c r="D30" s="365" t="s">
        <v>139</v>
      </c>
      <c r="E30" s="366"/>
      <c r="F30" s="170">
        <f>F24</f>
        <v>20</v>
      </c>
    </row>
    <row r="31" spans="1:9" ht="18" x14ac:dyDescent="0.2">
      <c r="A31" s="185" t="s">
        <v>145</v>
      </c>
      <c r="B31" s="170">
        <f>D13</f>
        <v>8.25</v>
      </c>
      <c r="D31" s="369" t="s">
        <v>146</v>
      </c>
      <c r="E31" s="370"/>
      <c r="F31" s="189">
        <v>105</v>
      </c>
      <c r="H31"/>
      <c r="I31"/>
    </row>
    <row r="32" spans="1:9" ht="18.75" thickBot="1" x14ac:dyDescent="0.25">
      <c r="A32" s="196" t="s">
        <v>147</v>
      </c>
      <c r="B32" s="171">
        <v>41</v>
      </c>
      <c r="D32" s="367" t="s">
        <v>148</v>
      </c>
      <c r="E32" s="368"/>
      <c r="F32" s="171">
        <v>27</v>
      </c>
      <c r="H32" s="64"/>
      <c r="I32"/>
    </row>
    <row r="34" spans="1:6" ht="15.75" thickBot="1" x14ac:dyDescent="0.25"/>
    <row r="35" spans="1:6" ht="18.75" thickBot="1" x14ac:dyDescent="0.25">
      <c r="A35" s="197" t="s">
        <v>149</v>
      </c>
      <c r="B35" s="193">
        <f>($F$31*$B$31)/F32</f>
        <v>32.083333333333336</v>
      </c>
      <c r="D35" s="371" t="s">
        <v>140</v>
      </c>
      <c r="E35" s="372"/>
      <c r="F35" s="198" t="str">
        <f>IF($B$35&lt;$B$32, "OK","Incompatible")</f>
        <v>OK</v>
      </c>
    </row>
    <row r="38" spans="1:6" ht="15.75" thickBot="1" x14ac:dyDescent="0.25"/>
    <row r="39" spans="1:6" ht="15.75" thickBot="1" x14ac:dyDescent="0.25">
      <c r="A39" s="373"/>
      <c r="B39" s="374"/>
      <c r="C39" s="374"/>
      <c r="D39" s="374"/>
      <c r="E39" s="375"/>
      <c r="F39" s="199" t="str">
        <f>IF(F35 ="OK", IF(F25="OK",IF(F19="OK","OK", "Incompatible"), "Incompatible"),"Incompatible")</f>
        <v>OK</v>
      </c>
    </row>
    <row r="40" spans="1:6" ht="15.75" thickBot="1" x14ac:dyDescent="0.25"/>
    <row r="41" spans="1:6" x14ac:dyDescent="0.2">
      <c r="E41" s="200" t="s">
        <v>150</v>
      </c>
      <c r="F41" s="201">
        <v>22</v>
      </c>
    </row>
    <row r="42" spans="1:6" ht="15.75" thickBot="1" x14ac:dyDescent="0.25">
      <c r="E42" s="134" t="s">
        <v>151</v>
      </c>
      <c r="F42" s="202">
        <v>27</v>
      </c>
    </row>
  </sheetData>
  <mergeCells count="17">
    <mergeCell ref="D30:E30"/>
    <mergeCell ref="D31:E31"/>
    <mergeCell ref="D32:E32"/>
    <mergeCell ref="D35:E35"/>
    <mergeCell ref="A39:E39"/>
    <mergeCell ref="A28:F28"/>
    <mergeCell ref="A2:F3"/>
    <mergeCell ref="D5:F5"/>
    <mergeCell ref="D6:F6"/>
    <mergeCell ref="D7:F7"/>
    <mergeCell ref="A9:F9"/>
    <mergeCell ref="A16:F16"/>
    <mergeCell ref="D18:E18"/>
    <mergeCell ref="D19:E19"/>
    <mergeCell ref="A22:F22"/>
    <mergeCell ref="D24:E24"/>
    <mergeCell ref="D25:E25"/>
  </mergeCells>
  <conditionalFormatting sqref="F19">
    <cfRule type="expression" dxfId="7" priority="5" stopIfTrue="1">
      <formula>$F$19&lt;&gt;"OK"</formula>
    </cfRule>
  </conditionalFormatting>
  <conditionalFormatting sqref="F19">
    <cfRule type="expression" dxfId="6" priority="6" stopIfTrue="1">
      <formula>$F$19="OK"</formula>
    </cfRule>
  </conditionalFormatting>
  <conditionalFormatting sqref="F25">
    <cfRule type="expression" dxfId="5" priority="7" stopIfTrue="1">
      <formula>$F$25&lt;&gt;"OK"</formula>
    </cfRule>
  </conditionalFormatting>
  <conditionalFormatting sqref="F25">
    <cfRule type="expression" dxfId="4" priority="8" stopIfTrue="1">
      <formula>$F$25="OK"</formula>
    </cfRule>
  </conditionalFormatting>
  <conditionalFormatting sqref="F35">
    <cfRule type="expression" dxfId="3" priority="9" stopIfTrue="1">
      <formula>$F$35&lt;&gt;"OK"</formula>
    </cfRule>
  </conditionalFormatting>
  <conditionalFormatting sqref="F35">
    <cfRule type="expression" dxfId="2" priority="10" stopIfTrue="1">
      <formula>$F$35="OK"</formula>
    </cfRule>
  </conditionalFormatting>
  <conditionalFormatting sqref="F39">
    <cfRule type="expression" dxfId="1" priority="11" stopIfTrue="1">
      <formula>$F$39&lt;&gt;"OK"</formula>
    </cfRule>
  </conditionalFormatting>
  <conditionalFormatting sqref="F39">
    <cfRule type="expression" dxfId="0" priority="12" stopIfTrue="1">
      <formula>$F$39="OK"</formula>
    </cfRule>
  </conditionalFormatting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B1:N66"/>
  <sheetViews>
    <sheetView topLeftCell="A7" zoomScale="85" zoomScaleNormal="85" workbookViewId="0">
      <selection activeCell="K6" sqref="K6"/>
    </sheetView>
  </sheetViews>
  <sheetFormatPr baseColWidth="10" defaultRowHeight="14.25" x14ac:dyDescent="0.2"/>
  <cols>
    <col min="1" max="1" width="11" style="39"/>
    <col min="2" max="2" width="19" style="39" customWidth="1"/>
    <col min="3" max="3" width="12.375" style="39" customWidth="1"/>
    <col min="4" max="4" width="12.75" style="39" customWidth="1"/>
    <col min="5" max="5" width="22.25" style="39" customWidth="1"/>
    <col min="6" max="8" width="11" style="39"/>
    <col min="9" max="9" width="12.5" style="39" customWidth="1"/>
    <col min="10" max="10" width="12.625" style="39" customWidth="1"/>
    <col min="11" max="11" width="13.5" style="39" customWidth="1"/>
    <col min="12" max="16384" width="11" style="39"/>
  </cols>
  <sheetData>
    <row r="1" spans="2:11" ht="15" thickBot="1" x14ac:dyDescent="0.25"/>
    <row r="2" spans="2:11" x14ac:dyDescent="0.2">
      <c r="B2" s="419" t="s">
        <v>188</v>
      </c>
      <c r="C2" s="420"/>
      <c r="D2" s="420"/>
      <c r="E2" s="420"/>
      <c r="F2" s="420"/>
      <c r="G2" s="420"/>
      <c r="H2" s="421"/>
    </row>
    <row r="3" spans="2:11" ht="15" thickBot="1" x14ac:dyDescent="0.25">
      <c r="B3" s="422"/>
      <c r="C3" s="423"/>
      <c r="D3" s="423"/>
      <c r="E3" s="423"/>
      <c r="F3" s="423"/>
      <c r="G3" s="423"/>
      <c r="H3" s="424"/>
    </row>
    <row r="4" spans="2:11" s="40" customFormat="1" ht="20.25" thickBot="1" x14ac:dyDescent="0.25">
      <c r="B4" s="41"/>
      <c r="C4" s="41"/>
      <c r="D4" s="41"/>
      <c r="E4" s="41"/>
      <c r="F4" s="41"/>
      <c r="G4" s="41"/>
      <c r="H4" s="41"/>
    </row>
    <row r="5" spans="2:11" s="40" customFormat="1" ht="19.5" x14ac:dyDescent="0.2">
      <c r="B5" s="41"/>
      <c r="C5" s="41"/>
      <c r="D5" s="132"/>
      <c r="E5" s="359" t="s">
        <v>2</v>
      </c>
      <c r="F5" s="359"/>
      <c r="G5" s="360"/>
      <c r="H5" s="41"/>
    </row>
    <row r="6" spans="2:11" s="40" customFormat="1" ht="19.5" x14ac:dyDescent="0.2">
      <c r="B6" s="41"/>
      <c r="C6" s="41"/>
      <c r="D6" s="133"/>
      <c r="E6" s="361" t="s">
        <v>130</v>
      </c>
      <c r="F6" s="361"/>
      <c r="G6" s="362"/>
      <c r="H6" s="41"/>
    </row>
    <row r="7" spans="2:11" s="40" customFormat="1" ht="20.25" thickBot="1" x14ac:dyDescent="0.25">
      <c r="B7" s="41"/>
      <c r="C7" s="41"/>
      <c r="D7" s="134"/>
      <c r="E7" s="363" t="s">
        <v>131</v>
      </c>
      <c r="F7" s="363"/>
      <c r="G7" s="364"/>
      <c r="H7" s="41"/>
    </row>
    <row r="8" spans="2:11" s="40" customFormat="1" ht="19.5" x14ac:dyDescent="0.2">
      <c r="B8" s="41"/>
      <c r="C8" s="41"/>
      <c r="D8" s="41"/>
      <c r="E8" s="41"/>
      <c r="F8" s="41"/>
      <c r="G8" s="41"/>
      <c r="H8" s="41"/>
    </row>
    <row r="9" spans="2:11" ht="15" thickBot="1" x14ac:dyDescent="0.25"/>
    <row r="10" spans="2:11" x14ac:dyDescent="0.2">
      <c r="B10" s="391" t="s">
        <v>153</v>
      </c>
      <c r="C10" s="392"/>
      <c r="D10" s="392"/>
      <c r="E10" s="392"/>
      <c r="F10" s="392"/>
      <c r="G10" s="392"/>
      <c r="H10" s="393"/>
      <c r="J10" s="425" t="s">
        <v>154</v>
      </c>
      <c r="K10" s="426"/>
    </row>
    <row r="11" spans="2:11" ht="15" thickBot="1" x14ac:dyDescent="0.25">
      <c r="B11" s="394"/>
      <c r="C11" s="395"/>
      <c r="D11" s="395"/>
      <c r="E11" s="395"/>
      <c r="F11" s="395"/>
      <c r="G11" s="395"/>
      <c r="H11" s="396"/>
      <c r="J11" s="427"/>
      <c r="K11" s="428"/>
    </row>
    <row r="12" spans="2:11" ht="15" thickBot="1" x14ac:dyDescent="0.25"/>
    <row r="13" spans="2:11" ht="15.75" thickBot="1" x14ac:dyDescent="0.25">
      <c r="B13" s="429" t="s">
        <v>159</v>
      </c>
      <c r="C13" s="430"/>
      <c r="E13" s="65" t="s">
        <v>177</v>
      </c>
      <c r="F13" s="60">
        <f>'Compatibilité parc 1'!F32</f>
        <v>27</v>
      </c>
    </row>
    <row r="14" spans="2:11" ht="15" x14ac:dyDescent="0.2">
      <c r="B14" s="43" t="s">
        <v>160</v>
      </c>
      <c r="C14" s="48">
        <v>250</v>
      </c>
    </row>
    <row r="15" spans="2:11" ht="19.5" thickBot="1" x14ac:dyDescent="0.25">
      <c r="B15" s="44" t="s">
        <v>161</v>
      </c>
      <c r="C15" s="49">
        <v>8.25</v>
      </c>
      <c r="J15" s="39" t="s">
        <v>155</v>
      </c>
    </row>
    <row r="16" spans="2:11" ht="18.75" x14ac:dyDescent="0.2">
      <c r="B16" s="44" t="s">
        <v>162</v>
      </c>
      <c r="C16" s="49">
        <v>30.3</v>
      </c>
      <c r="E16" s="53" t="s">
        <v>166</v>
      </c>
      <c r="F16" s="54">
        <f>$C$19*$C$16</f>
        <v>606</v>
      </c>
      <c r="J16" s="39" t="s">
        <v>156</v>
      </c>
    </row>
    <row r="17" spans="2:11" ht="18.75" x14ac:dyDescent="0.2">
      <c r="B17" s="44" t="s">
        <v>163</v>
      </c>
      <c r="C17" s="49">
        <v>38.4</v>
      </c>
      <c r="E17" s="55" t="s">
        <v>168</v>
      </c>
      <c r="F17" s="56">
        <f>$C$19*$C$17</f>
        <v>768</v>
      </c>
    </row>
    <row r="18" spans="2:11" ht="19.5" thickBot="1" x14ac:dyDescent="0.25">
      <c r="B18" s="44" t="s">
        <v>164</v>
      </c>
      <c r="C18" s="49">
        <v>8.75</v>
      </c>
      <c r="E18" s="57" t="s">
        <v>167</v>
      </c>
      <c r="F18" s="58">
        <f>$C$19*$C$16</f>
        <v>606</v>
      </c>
      <c r="J18" s="39" t="s">
        <v>184</v>
      </c>
    </row>
    <row r="19" spans="2:11" ht="29.25" thickBot="1" x14ac:dyDescent="0.25">
      <c r="B19" s="45" t="s">
        <v>165</v>
      </c>
      <c r="C19" s="49">
        <f>'Compatibilité parc 1'!F18</f>
        <v>20</v>
      </c>
    </row>
    <row r="20" spans="2:11" ht="15.75" thickBot="1" x14ac:dyDescent="0.25">
      <c r="B20" s="50" t="s">
        <v>170</v>
      </c>
      <c r="C20" s="51">
        <f>'Compatibilité parc 1'!F31</f>
        <v>105</v>
      </c>
      <c r="E20" s="52" t="s">
        <v>185</v>
      </c>
      <c r="F20" s="59">
        <f>ROUNDUP(($C$20/$F$13),0)</f>
        <v>4</v>
      </c>
    </row>
    <row r="21" spans="2:11" ht="15" thickBot="1" x14ac:dyDescent="0.25"/>
    <row r="22" spans="2:11" x14ac:dyDescent="0.2">
      <c r="B22" s="391" t="s">
        <v>157</v>
      </c>
      <c r="C22" s="392"/>
      <c r="D22" s="392"/>
      <c r="E22" s="392"/>
      <c r="F22" s="392"/>
      <c r="G22" s="392"/>
      <c r="H22" s="393"/>
      <c r="J22" s="425" t="s">
        <v>158</v>
      </c>
      <c r="K22" s="426"/>
    </row>
    <row r="23" spans="2:11" ht="15" thickBot="1" x14ac:dyDescent="0.25">
      <c r="B23" s="394"/>
      <c r="C23" s="395"/>
      <c r="D23" s="395"/>
      <c r="E23" s="395"/>
      <c r="F23" s="395"/>
      <c r="G23" s="395"/>
      <c r="H23" s="396"/>
      <c r="J23" s="427"/>
      <c r="K23" s="428"/>
    </row>
    <row r="24" spans="2:11" ht="15" thickBot="1" x14ac:dyDescent="0.25"/>
    <row r="25" spans="2:11" ht="18.75" x14ac:dyDescent="0.2">
      <c r="B25" s="61" t="s">
        <v>169</v>
      </c>
      <c r="C25" s="54">
        <f>1.25*$F$20*$C$18</f>
        <v>43.75</v>
      </c>
    </row>
    <row r="26" spans="2:11" ht="19.5" thickBot="1" x14ac:dyDescent="0.25">
      <c r="B26" s="50" t="s">
        <v>171</v>
      </c>
      <c r="C26" s="58">
        <f>$C$15*$F$16</f>
        <v>4999.5</v>
      </c>
    </row>
    <row r="27" spans="2:11" ht="15" thickBot="1" x14ac:dyDescent="0.25"/>
    <row r="28" spans="2:11" ht="28.5" x14ac:dyDescent="0.2">
      <c r="B28" s="47" t="s">
        <v>172</v>
      </c>
      <c r="C28" s="46">
        <v>120</v>
      </c>
      <c r="E28" s="61" t="s">
        <v>174</v>
      </c>
      <c r="F28" s="54">
        <f xml:space="preserve"> C29*F16</f>
        <v>6.0600000000000005</v>
      </c>
    </row>
    <row r="29" spans="2:11" ht="15.75" thickBot="1" x14ac:dyDescent="0.25">
      <c r="B29" s="47" t="s">
        <v>173</v>
      </c>
      <c r="C29" s="62">
        <v>0.01</v>
      </c>
      <c r="E29" s="50" t="s">
        <v>175</v>
      </c>
      <c r="F29" s="58">
        <f>ROUND((($C$30*$C$28*$C$25)/$F$28)*10^6,2)</f>
        <v>14.73</v>
      </c>
    </row>
    <row r="30" spans="2:11" ht="29.25" x14ac:dyDescent="0.2">
      <c r="B30" s="47" t="s">
        <v>176</v>
      </c>
      <c r="C30" s="63">
        <f>1.7*10^-8</f>
        <v>1.7E-8</v>
      </c>
    </row>
    <row r="32" spans="2:11" ht="15" thickBot="1" x14ac:dyDescent="0.25"/>
    <row r="33" spans="2:14" ht="38.25" customHeight="1" thickBot="1" x14ac:dyDescent="0.25">
      <c r="B33" s="416" t="s">
        <v>178</v>
      </c>
      <c r="C33" s="417"/>
      <c r="D33" s="417"/>
      <c r="E33" s="417"/>
      <c r="F33" s="418"/>
      <c r="G33" s="66" t="s">
        <v>179</v>
      </c>
      <c r="H33" s="67" t="str">
        <f>IF($F$29&lt;10, "10 mm²", "16 mm²")</f>
        <v>16 mm²</v>
      </c>
    </row>
    <row r="35" spans="2:14" ht="15" thickBot="1" x14ac:dyDescent="0.25"/>
    <row r="36" spans="2:14" x14ac:dyDescent="0.2">
      <c r="B36" s="391" t="s">
        <v>190</v>
      </c>
      <c r="C36" s="392"/>
      <c r="D36" s="392"/>
      <c r="E36" s="392"/>
      <c r="F36" s="392"/>
      <c r="G36" s="392"/>
      <c r="H36" s="393"/>
    </row>
    <row r="37" spans="2:14" ht="15" thickBot="1" x14ac:dyDescent="0.25">
      <c r="B37" s="394"/>
      <c r="C37" s="395"/>
      <c r="D37" s="395"/>
      <c r="E37" s="395"/>
      <c r="F37" s="395"/>
      <c r="G37" s="395"/>
      <c r="H37" s="396"/>
    </row>
    <row r="38" spans="2:14" ht="15" thickBot="1" x14ac:dyDescent="0.25"/>
    <row r="39" spans="2:14" ht="15.75" thickBot="1" x14ac:dyDescent="0.25">
      <c r="H39" s="410" t="s">
        <v>192</v>
      </c>
      <c r="I39" s="411"/>
      <c r="J39" s="411"/>
      <c r="K39" s="411"/>
      <c r="L39" s="411"/>
      <c r="M39" s="411"/>
      <c r="N39" s="412"/>
    </row>
    <row r="40" spans="2:14" ht="19.5" thickBot="1" x14ac:dyDescent="0.25">
      <c r="B40" s="43" t="s">
        <v>191</v>
      </c>
      <c r="C40" s="48">
        <v>13</v>
      </c>
    </row>
    <row r="41" spans="2:14" ht="41.25" customHeight="1" thickBot="1" x14ac:dyDescent="0.25">
      <c r="B41" s="44" t="s">
        <v>196</v>
      </c>
      <c r="C41" s="95">
        <f>1.4*$C$18</f>
        <v>12.25</v>
      </c>
      <c r="E41" s="402" t="str">
        <f>IF($C$42&gt;$C$40,"Présence obligatoire des fusibles","Fusibles non obligatoire")</f>
        <v>Présence obligatoire des fusibles</v>
      </c>
      <c r="F41" s="403"/>
      <c r="H41" s="407" t="s">
        <v>193</v>
      </c>
      <c r="I41" s="408"/>
      <c r="J41" s="408"/>
      <c r="K41" s="408"/>
      <c r="L41" s="408"/>
      <c r="M41" s="408"/>
      <c r="N41" s="409"/>
    </row>
    <row r="42" spans="2:14" ht="24" customHeight="1" thickBot="1" x14ac:dyDescent="0.25">
      <c r="B42" s="70" t="s">
        <v>195</v>
      </c>
      <c r="C42" s="71">
        <f>($C$20-1)*1.25*$C$18</f>
        <v>1137.5</v>
      </c>
      <c r="H42" s="385" t="str">
        <f>"- Installer des disjoncteurs."</f>
        <v>- Installer des disjoncteurs.</v>
      </c>
      <c r="I42" s="386"/>
      <c r="J42" s="386"/>
      <c r="K42" s="386"/>
      <c r="L42" s="386"/>
      <c r="M42" s="386"/>
      <c r="N42" s="387"/>
    </row>
    <row r="43" spans="2:14" ht="48" customHeight="1" thickBot="1" x14ac:dyDescent="0.25">
      <c r="E43" s="69"/>
      <c r="H43" s="413" t="str">
        <f>"- Installer des fusibles avec un calibre adapté."</f>
        <v>- Installer des fusibles avec un calibre adapté.</v>
      </c>
      <c r="I43" s="414"/>
      <c r="J43" s="414"/>
      <c r="K43" s="414"/>
      <c r="L43" s="414"/>
      <c r="M43" s="414"/>
      <c r="N43" s="415"/>
    </row>
    <row r="45" spans="2:14" x14ac:dyDescent="0.2">
      <c r="H45" s="400" t="s">
        <v>194</v>
      </c>
      <c r="I45" s="401"/>
      <c r="J45" s="401"/>
      <c r="K45" s="401"/>
      <c r="L45" s="401"/>
      <c r="M45" s="401"/>
      <c r="N45" s="401"/>
    </row>
    <row r="46" spans="2:14" ht="15" thickBot="1" x14ac:dyDescent="0.25"/>
    <row r="47" spans="2:14" x14ac:dyDescent="0.2">
      <c r="B47" s="391" t="s">
        <v>213</v>
      </c>
      <c r="C47" s="392"/>
      <c r="D47" s="392"/>
      <c r="E47" s="392"/>
      <c r="F47" s="392"/>
      <c r="G47" s="392"/>
      <c r="H47" s="393"/>
    </row>
    <row r="48" spans="2:14" ht="15" thickBot="1" x14ac:dyDescent="0.25">
      <c r="B48" s="394"/>
      <c r="C48" s="395"/>
      <c r="D48" s="395"/>
      <c r="E48" s="395"/>
      <c r="F48" s="395"/>
      <c r="G48" s="395"/>
      <c r="H48" s="396"/>
    </row>
    <row r="49" spans="2:14" ht="15" thickBot="1" x14ac:dyDescent="0.25"/>
    <row r="50" spans="2:14" ht="19.5" thickBot="1" x14ac:dyDescent="0.25">
      <c r="B50" s="76" t="s">
        <v>197</v>
      </c>
      <c r="C50" s="46">
        <v>17</v>
      </c>
      <c r="H50" s="404" t="s">
        <v>199</v>
      </c>
      <c r="I50" s="405"/>
      <c r="J50" s="405"/>
      <c r="K50" s="405"/>
      <c r="L50" s="405"/>
      <c r="M50" s="405"/>
      <c r="N50" s="406"/>
    </row>
    <row r="51" spans="2:14" ht="33.75" thickBot="1" x14ac:dyDescent="0.25">
      <c r="B51" s="47" t="s">
        <v>210</v>
      </c>
      <c r="C51" s="46">
        <f>$C$28</f>
        <v>120</v>
      </c>
      <c r="E51" s="78" t="s">
        <v>209</v>
      </c>
    </row>
    <row r="52" spans="2:14" ht="40.5" customHeight="1" thickBot="1" x14ac:dyDescent="0.25">
      <c r="B52" s="47" t="s">
        <v>198</v>
      </c>
      <c r="C52" s="77">
        <f>$C$50/10</f>
        <v>1.7</v>
      </c>
      <c r="E52" s="91" t="str">
        <f>IF($C$51&gt;$D$56,$D$57,$D$58)</f>
        <v>Parafoudre(s) obligatoire côté CC</v>
      </c>
      <c r="H52" s="407" t="s">
        <v>200</v>
      </c>
      <c r="I52" s="408"/>
      <c r="J52" s="408"/>
      <c r="K52" s="408"/>
      <c r="L52" s="408"/>
      <c r="M52" s="408"/>
      <c r="N52" s="409"/>
    </row>
    <row r="53" spans="2:14" ht="14.25" customHeight="1" x14ac:dyDescent="0.2">
      <c r="H53" s="385" t="str">
        <f>"- La longueur des câbles CC"</f>
        <v>- La longueur des câbles CC</v>
      </c>
      <c r="I53" s="386"/>
      <c r="J53" s="386"/>
      <c r="K53" s="386"/>
      <c r="L53" s="386"/>
      <c r="M53" s="386"/>
      <c r="N53" s="387"/>
    </row>
    <row r="54" spans="2:14" ht="15" customHeight="1" thickBot="1" x14ac:dyDescent="0.25">
      <c r="H54" s="388" t="str">
        <f>"- L’usage du bâtiment sur lequel sont implantés les modules photovoltaïque"</f>
        <v>- L’usage du bâtiment sur lequel sont implantés les modules photovoltaïque</v>
      </c>
      <c r="I54" s="389"/>
      <c r="J54" s="389"/>
      <c r="K54" s="389"/>
      <c r="L54" s="389"/>
      <c r="M54" s="389"/>
      <c r="N54" s="390"/>
    </row>
    <row r="55" spans="2:14" ht="51.75" customHeight="1" thickBot="1" x14ac:dyDescent="0.25">
      <c r="B55" s="73" t="s">
        <v>7</v>
      </c>
      <c r="C55" s="79" t="s">
        <v>201</v>
      </c>
      <c r="D55" s="87" t="s">
        <v>202</v>
      </c>
      <c r="E55" s="83" t="s">
        <v>203</v>
      </c>
      <c r="H55" s="397" t="str">
        <f>IF(E52="Parafoudre(s) obligatoire côté CC","Conformément au paragraphe 13.3.2 du guide de l’UTE C15-712-1,"&amp;" "&amp;" « lorsqu’un parafoudre est prescrit pour la partie CC d’une installation photovoltaïque, "&amp;"il est toujours installé dans le tableau situé le plus proche de l’onduleur »."&amp;" Par ailleurs, « lorsque l’une des chaînes est située à plus de 10 mètres de l’onduleur, un second parafoudre est recommandé à proximité des chaînes ». ","/")</f>
        <v>Conformément au paragraphe 13.3.2 du guide de l’UTE C15-712-1,  « lorsqu’un parafoudre est prescrit pour la partie CC d’une installation photovoltaïque, il est toujours installé dans le tableau situé le plus proche de l’onduleur ». Par ailleurs, « lorsque l’une des chaînes est située à plus de 10 mètres de l’onduleur, un second parafoudre est recommandé à proximité des chaînes ». </v>
      </c>
      <c r="I55" s="398"/>
      <c r="J55" s="398"/>
      <c r="K55" s="398"/>
      <c r="L55" s="398"/>
      <c r="M55" s="398"/>
      <c r="N55" s="399"/>
    </row>
    <row r="56" spans="2:14" ht="24.75" customHeight="1" x14ac:dyDescent="0.2">
      <c r="B56" s="74" t="s">
        <v>206</v>
      </c>
      <c r="C56" s="80">
        <f>115/$C$52</f>
        <v>67.64705882352942</v>
      </c>
      <c r="D56" s="88">
        <f>200/$C$52</f>
        <v>117.64705882352942</v>
      </c>
      <c r="E56" s="84">
        <f>450/$C$52</f>
        <v>264.70588235294116</v>
      </c>
      <c r="F56" s="92"/>
      <c r="G56" s="92"/>
      <c r="M56" s="72"/>
      <c r="N56" s="72"/>
    </row>
    <row r="57" spans="2:14" ht="62.25" customHeight="1" x14ac:dyDescent="0.2">
      <c r="B57" s="74" t="s">
        <v>207</v>
      </c>
      <c r="C57" s="81" t="s">
        <v>204</v>
      </c>
      <c r="D57" s="89" t="s">
        <v>204</v>
      </c>
      <c r="E57" s="85" t="s">
        <v>204</v>
      </c>
      <c r="F57" s="92"/>
      <c r="G57" s="92"/>
      <c r="M57" s="72"/>
      <c r="N57" s="72"/>
    </row>
    <row r="58" spans="2:14" ht="60.75" thickBot="1" x14ac:dyDescent="0.25">
      <c r="B58" s="75" t="s">
        <v>208</v>
      </c>
      <c r="C58" s="82" t="s">
        <v>205</v>
      </c>
      <c r="D58" s="90" t="s">
        <v>205</v>
      </c>
      <c r="E58" s="86" t="s">
        <v>205</v>
      </c>
      <c r="F58" s="92"/>
      <c r="G58" s="92"/>
      <c r="M58" s="72"/>
      <c r="N58" s="72"/>
    </row>
    <row r="59" spans="2:14" x14ac:dyDescent="0.2">
      <c r="M59" s="72"/>
      <c r="N59" s="72"/>
    </row>
    <row r="60" spans="2:14" ht="15" thickBot="1" x14ac:dyDescent="0.25">
      <c r="H60" s="72"/>
      <c r="I60" s="72"/>
      <c r="J60" s="72"/>
      <c r="K60" s="72"/>
      <c r="L60" s="72"/>
      <c r="M60" s="72"/>
      <c r="N60" s="72"/>
    </row>
    <row r="61" spans="2:14" x14ac:dyDescent="0.2">
      <c r="B61" s="391" t="s">
        <v>214</v>
      </c>
      <c r="C61" s="392"/>
      <c r="D61" s="392"/>
      <c r="E61" s="392"/>
      <c r="F61" s="392"/>
      <c r="G61" s="392"/>
      <c r="H61" s="393"/>
      <c r="M61" s="72"/>
      <c r="N61" s="72"/>
    </row>
    <row r="62" spans="2:14" ht="15" thickBot="1" x14ac:dyDescent="0.25">
      <c r="B62" s="394"/>
      <c r="C62" s="395"/>
      <c r="D62" s="395"/>
      <c r="E62" s="395"/>
      <c r="F62" s="395"/>
      <c r="G62" s="395"/>
      <c r="H62" s="396"/>
      <c r="M62" s="72"/>
      <c r="N62" s="72"/>
    </row>
    <row r="63" spans="2:14" ht="15" thickBot="1" x14ac:dyDescent="0.25"/>
    <row r="64" spans="2:14" ht="36.75" customHeight="1" thickBot="1" x14ac:dyDescent="0.25">
      <c r="B64" s="379" t="s">
        <v>212</v>
      </c>
      <c r="C64" s="380"/>
      <c r="D64" s="93">
        <f>1.25*$C$18</f>
        <v>10.9375</v>
      </c>
      <c r="H64" s="376" t="s">
        <v>211</v>
      </c>
      <c r="I64" s="377"/>
      <c r="J64" s="377"/>
      <c r="K64" s="377"/>
      <c r="L64" s="377"/>
      <c r="M64" s="377"/>
      <c r="N64" s="378"/>
    </row>
    <row r="65" spans="2:14" ht="15.75" thickBot="1" x14ac:dyDescent="0.25">
      <c r="B65" s="381" t="s">
        <v>215</v>
      </c>
      <c r="C65" s="382"/>
      <c r="D65" s="109" t="s">
        <v>230</v>
      </c>
      <c r="E65" s="94" t="e">
        <f>$D$65*$D$66</f>
        <v>#VALUE!</v>
      </c>
    </row>
    <row r="66" spans="2:14" ht="47.25" customHeight="1" thickBot="1" x14ac:dyDescent="0.25">
      <c r="B66" s="383" t="s">
        <v>220</v>
      </c>
      <c r="C66" s="384"/>
      <c r="D66" s="51">
        <v>1.1399999999999999</v>
      </c>
      <c r="H66" s="376" t="s">
        <v>219</v>
      </c>
      <c r="I66" s="377"/>
      <c r="J66" s="377"/>
      <c r="K66" s="377"/>
      <c r="L66" s="377"/>
      <c r="M66" s="377"/>
      <c r="N66" s="378"/>
    </row>
  </sheetData>
  <mergeCells count="29">
    <mergeCell ref="B33:F33"/>
    <mergeCell ref="B2:H3"/>
    <mergeCell ref="B10:H11"/>
    <mergeCell ref="J10:K11"/>
    <mergeCell ref="B22:H23"/>
    <mergeCell ref="J22:K23"/>
    <mergeCell ref="E5:G5"/>
    <mergeCell ref="E6:G6"/>
    <mergeCell ref="E7:G7"/>
    <mergeCell ref="B13:C13"/>
    <mergeCell ref="E41:F41"/>
    <mergeCell ref="B47:H48"/>
    <mergeCell ref="H50:N50"/>
    <mergeCell ref="H52:N52"/>
    <mergeCell ref="B36:H37"/>
    <mergeCell ref="H39:N39"/>
    <mergeCell ref="H41:N41"/>
    <mergeCell ref="H42:N42"/>
    <mergeCell ref="H43:N43"/>
    <mergeCell ref="H53:N53"/>
    <mergeCell ref="H54:N54"/>
    <mergeCell ref="B61:H62"/>
    <mergeCell ref="H55:N55"/>
    <mergeCell ref="H45:N45"/>
    <mergeCell ref="H64:N64"/>
    <mergeCell ref="B64:C64"/>
    <mergeCell ref="H66:N66"/>
    <mergeCell ref="B65:C65"/>
    <mergeCell ref="B66:C66"/>
  </mergeCells>
  <hyperlinks>
    <hyperlink ref="H45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/>
  <dimension ref="B1:K33"/>
  <sheetViews>
    <sheetView topLeftCell="A22" workbookViewId="0">
      <selection activeCell="H28" sqref="H28"/>
    </sheetView>
  </sheetViews>
  <sheetFormatPr baseColWidth="10" defaultRowHeight="14.25" x14ac:dyDescent="0.2"/>
  <cols>
    <col min="1" max="1" width="11" style="39"/>
    <col min="2" max="2" width="20.5" style="39" customWidth="1"/>
    <col min="3" max="4" width="11" style="39"/>
    <col min="5" max="5" width="20.75" style="39" bestFit="1" customWidth="1"/>
    <col min="6" max="16384" width="11" style="39"/>
  </cols>
  <sheetData>
    <row r="1" spans="2:11" ht="15" thickBot="1" x14ac:dyDescent="0.25"/>
    <row r="2" spans="2:11" x14ac:dyDescent="0.2">
      <c r="B2" s="419" t="s">
        <v>189</v>
      </c>
      <c r="C2" s="420"/>
      <c r="D2" s="420"/>
      <c r="E2" s="420"/>
      <c r="F2" s="420"/>
      <c r="G2" s="420"/>
      <c r="H2" s="421"/>
    </row>
    <row r="3" spans="2:11" ht="15" thickBot="1" x14ac:dyDescent="0.25">
      <c r="B3" s="422"/>
      <c r="C3" s="423"/>
      <c r="D3" s="423"/>
      <c r="E3" s="423"/>
      <c r="F3" s="423"/>
      <c r="G3" s="423"/>
      <c r="H3" s="424"/>
    </row>
    <row r="4" spans="2:11" s="40" customFormat="1" ht="20.25" thickBot="1" x14ac:dyDescent="0.25">
      <c r="B4" s="41"/>
      <c r="C4" s="41"/>
      <c r="D4" s="41"/>
      <c r="E4" s="41"/>
      <c r="F4" s="41"/>
      <c r="G4" s="41"/>
      <c r="H4" s="41"/>
    </row>
    <row r="5" spans="2:11" s="40" customFormat="1" ht="19.5" x14ac:dyDescent="0.2">
      <c r="B5" s="41"/>
      <c r="C5" s="41"/>
      <c r="D5" s="132"/>
      <c r="E5" s="359" t="s">
        <v>2</v>
      </c>
      <c r="F5" s="359"/>
      <c r="G5" s="360"/>
      <c r="H5" s="41"/>
    </row>
    <row r="6" spans="2:11" s="40" customFormat="1" ht="19.5" x14ac:dyDescent="0.2">
      <c r="B6" s="41"/>
      <c r="C6" s="41"/>
      <c r="D6" s="133"/>
      <c r="E6" s="361" t="s">
        <v>130</v>
      </c>
      <c r="F6" s="361"/>
      <c r="G6" s="362"/>
      <c r="H6" s="41"/>
    </row>
    <row r="7" spans="2:11" s="40" customFormat="1" ht="20.25" thickBot="1" x14ac:dyDescent="0.25">
      <c r="B7" s="41"/>
      <c r="C7" s="41"/>
      <c r="D7" s="134"/>
      <c r="E7" s="363" t="s">
        <v>131</v>
      </c>
      <c r="F7" s="363"/>
      <c r="G7" s="364"/>
      <c r="H7" s="41"/>
    </row>
    <row r="8" spans="2:11" s="40" customFormat="1" ht="19.5" x14ac:dyDescent="0.2">
      <c r="B8" s="41"/>
      <c r="C8" s="41"/>
      <c r="D8" s="41"/>
      <c r="E8" s="41"/>
      <c r="F8" s="41"/>
      <c r="G8" s="41"/>
      <c r="H8" s="41"/>
    </row>
    <row r="9" spans="2:11" ht="15" thickBot="1" x14ac:dyDescent="0.25"/>
    <row r="10" spans="2:11" x14ac:dyDescent="0.2">
      <c r="B10" s="391" t="s">
        <v>153</v>
      </c>
      <c r="C10" s="392"/>
      <c r="D10" s="392"/>
      <c r="E10" s="392"/>
      <c r="F10" s="392"/>
      <c r="G10" s="392"/>
      <c r="H10" s="393"/>
      <c r="J10" s="425" t="s">
        <v>154</v>
      </c>
      <c r="K10" s="426"/>
    </row>
    <row r="11" spans="2:11" ht="15" thickBot="1" x14ac:dyDescent="0.25">
      <c r="B11" s="394"/>
      <c r="C11" s="395"/>
      <c r="D11" s="395"/>
      <c r="E11" s="395"/>
      <c r="F11" s="395"/>
      <c r="G11" s="395"/>
      <c r="H11" s="396"/>
      <c r="J11" s="427"/>
      <c r="K11" s="428"/>
    </row>
    <row r="12" spans="2:11" ht="15" thickBot="1" x14ac:dyDescent="0.25"/>
    <row r="13" spans="2:11" ht="15.75" thickBot="1" x14ac:dyDescent="0.25">
      <c r="B13" s="429" t="s">
        <v>159</v>
      </c>
      <c r="C13" s="430"/>
      <c r="E13" s="65" t="s">
        <v>177</v>
      </c>
      <c r="F13" s="60">
        <f>'Compatibilité parc 2'!F32</f>
        <v>198</v>
      </c>
    </row>
    <row r="14" spans="2:11" ht="15" x14ac:dyDescent="0.2">
      <c r="B14" s="43" t="s">
        <v>160</v>
      </c>
      <c r="C14" s="48">
        <v>250</v>
      </c>
    </row>
    <row r="15" spans="2:11" ht="19.5" thickBot="1" x14ac:dyDescent="0.25">
      <c r="B15" s="44" t="s">
        <v>161</v>
      </c>
      <c r="C15" s="49">
        <v>8.25</v>
      </c>
      <c r="J15" s="42" t="s">
        <v>155</v>
      </c>
    </row>
    <row r="16" spans="2:11" ht="18.75" x14ac:dyDescent="0.2">
      <c r="B16" s="44" t="s">
        <v>162</v>
      </c>
      <c r="C16" s="49">
        <v>30.3</v>
      </c>
      <c r="E16" s="53" t="s">
        <v>166</v>
      </c>
      <c r="F16" s="54">
        <f>$C$19*$C$16</f>
        <v>606</v>
      </c>
      <c r="J16" s="42" t="s">
        <v>156</v>
      </c>
    </row>
    <row r="17" spans="2:11" ht="18.75" x14ac:dyDescent="0.2">
      <c r="B17" s="44" t="s">
        <v>163</v>
      </c>
      <c r="C17" s="49">
        <v>38.4</v>
      </c>
      <c r="E17" s="55" t="s">
        <v>168</v>
      </c>
      <c r="F17" s="56">
        <f>$C$19*$C$17</f>
        <v>768</v>
      </c>
    </row>
    <row r="18" spans="2:11" ht="19.5" thickBot="1" x14ac:dyDescent="0.25">
      <c r="B18" s="44" t="s">
        <v>164</v>
      </c>
      <c r="C18" s="49">
        <v>8.75</v>
      </c>
      <c r="E18" s="57" t="s">
        <v>167</v>
      </c>
      <c r="F18" s="58">
        <f>$C$19*$C$16</f>
        <v>606</v>
      </c>
      <c r="J18" s="42" t="s">
        <v>184</v>
      </c>
    </row>
    <row r="19" spans="2:11" ht="15.75" thickBot="1" x14ac:dyDescent="0.25">
      <c r="B19" s="45" t="s">
        <v>165</v>
      </c>
      <c r="C19" s="49">
        <f>'Compatibilité parc 1'!F18</f>
        <v>20</v>
      </c>
    </row>
    <row r="20" spans="2:11" ht="15.75" thickBot="1" x14ac:dyDescent="0.25">
      <c r="B20" s="50" t="s">
        <v>170</v>
      </c>
      <c r="C20" s="51">
        <f>'Compatibilité parc 2'!F31</f>
        <v>763</v>
      </c>
      <c r="E20" s="52" t="s">
        <v>185</v>
      </c>
      <c r="F20" s="59">
        <f>ROUNDUP(($C$20/$F$13),0)</f>
        <v>4</v>
      </c>
    </row>
    <row r="21" spans="2:11" ht="15" thickBot="1" x14ac:dyDescent="0.25"/>
    <row r="22" spans="2:11" x14ac:dyDescent="0.2">
      <c r="B22" s="391" t="s">
        <v>157</v>
      </c>
      <c r="C22" s="392"/>
      <c r="D22" s="392"/>
      <c r="E22" s="392"/>
      <c r="F22" s="392"/>
      <c r="G22" s="392"/>
      <c r="H22" s="393"/>
      <c r="J22" s="425" t="s">
        <v>158</v>
      </c>
      <c r="K22" s="426"/>
    </row>
    <row r="23" spans="2:11" ht="15" thickBot="1" x14ac:dyDescent="0.25">
      <c r="B23" s="394"/>
      <c r="C23" s="395"/>
      <c r="D23" s="395"/>
      <c r="E23" s="395"/>
      <c r="F23" s="395"/>
      <c r="G23" s="395"/>
      <c r="H23" s="396"/>
      <c r="J23" s="427"/>
      <c r="K23" s="428"/>
    </row>
    <row r="24" spans="2:11" ht="15" thickBot="1" x14ac:dyDescent="0.25"/>
    <row r="25" spans="2:11" ht="18.75" x14ac:dyDescent="0.2">
      <c r="B25" s="61" t="s">
        <v>183</v>
      </c>
      <c r="C25" s="54">
        <f>1.25*$F$20*$C$18</f>
        <v>43.75</v>
      </c>
    </row>
    <row r="26" spans="2:11" ht="19.5" thickBot="1" x14ac:dyDescent="0.25">
      <c r="B26" s="50" t="s">
        <v>182</v>
      </c>
      <c r="C26" s="58">
        <f>$C$15*$F$16</f>
        <v>4999.5</v>
      </c>
    </row>
    <row r="27" spans="2:11" ht="15" thickBot="1" x14ac:dyDescent="0.25"/>
    <row r="28" spans="2:11" ht="28.5" x14ac:dyDescent="0.2">
      <c r="B28" s="61" t="s">
        <v>172</v>
      </c>
      <c r="C28" s="48">
        <v>120</v>
      </c>
      <c r="E28" s="61" t="s">
        <v>174</v>
      </c>
      <c r="F28" s="54">
        <f xml:space="preserve"> C29*F16</f>
        <v>6.0600000000000005</v>
      </c>
    </row>
    <row r="29" spans="2:11" ht="15.75" thickBot="1" x14ac:dyDescent="0.25">
      <c r="B29" s="45" t="s">
        <v>180</v>
      </c>
      <c r="C29" s="203">
        <v>0.01</v>
      </c>
      <c r="E29" s="50" t="s">
        <v>181</v>
      </c>
      <c r="F29" s="58">
        <f>ROUND((($C$30*$C$28*$C$25)/$F$28)*10^6,2)</f>
        <v>14.73</v>
      </c>
    </row>
    <row r="30" spans="2:11" ht="30" thickBot="1" x14ac:dyDescent="0.25">
      <c r="B30" s="50" t="s">
        <v>176</v>
      </c>
      <c r="C30" s="204">
        <f>1.7*10^-8</f>
        <v>1.7E-8</v>
      </c>
    </row>
    <row r="32" spans="2:11" ht="15" thickBot="1" x14ac:dyDescent="0.25"/>
    <row r="33" spans="2:8" ht="38.25" customHeight="1" thickBot="1" x14ac:dyDescent="0.25">
      <c r="B33" s="416" t="s">
        <v>178</v>
      </c>
      <c r="C33" s="417"/>
      <c r="D33" s="417"/>
      <c r="E33" s="417"/>
      <c r="F33" s="418"/>
      <c r="G33" s="66" t="s">
        <v>179</v>
      </c>
      <c r="H33" s="67" t="str">
        <f>IF($F$29&lt;10, "10 mm²", "16 mm²")</f>
        <v>16 mm²</v>
      </c>
    </row>
  </sheetData>
  <mergeCells count="10">
    <mergeCell ref="B13:C13"/>
    <mergeCell ref="B22:H23"/>
    <mergeCell ref="J22:K23"/>
    <mergeCell ref="B33:F33"/>
    <mergeCell ref="B2:H3"/>
    <mergeCell ref="E5:G5"/>
    <mergeCell ref="E6:G6"/>
    <mergeCell ref="E7:G7"/>
    <mergeCell ref="B10:H11"/>
    <mergeCell ref="J10:K11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J8" sqref="J8"/>
    </sheetView>
  </sheetViews>
  <sheetFormatPr baseColWidth="10" defaultRowHeight="14.25" x14ac:dyDescent="0.2"/>
  <cols>
    <col min="13" max="13" width="15.75" customWidth="1"/>
  </cols>
  <sheetData>
    <row r="1" spans="2:13" ht="15" thickBot="1" x14ac:dyDescent="0.25"/>
    <row r="2" spans="2:13" x14ac:dyDescent="0.2">
      <c r="B2" s="419" t="s">
        <v>186</v>
      </c>
      <c r="C2" s="420"/>
      <c r="D2" s="420"/>
      <c r="E2" s="420"/>
      <c r="F2" s="420"/>
      <c r="G2" s="420"/>
      <c r="H2" s="421"/>
    </row>
    <row r="3" spans="2:13" ht="15" thickBot="1" x14ac:dyDescent="0.25">
      <c r="B3" s="422"/>
      <c r="C3" s="423"/>
      <c r="D3" s="423"/>
      <c r="E3" s="423"/>
      <c r="F3" s="423"/>
      <c r="G3" s="423"/>
      <c r="H3" s="424"/>
    </row>
    <row r="4" spans="2:13" ht="15" thickBot="1" x14ac:dyDescent="0.25"/>
    <row r="5" spans="2:13" ht="15" x14ac:dyDescent="0.2">
      <c r="D5" s="132"/>
      <c r="E5" s="359" t="s">
        <v>2</v>
      </c>
      <c r="F5" s="359"/>
      <c r="G5" s="360"/>
    </row>
    <row r="6" spans="2:13" ht="15" x14ac:dyDescent="0.2">
      <c r="D6" s="133"/>
      <c r="E6" s="361" t="s">
        <v>130</v>
      </c>
      <c r="F6" s="361"/>
      <c r="G6" s="362"/>
    </row>
    <row r="7" spans="2:13" ht="15.75" thickBot="1" x14ac:dyDescent="0.25">
      <c r="D7" s="134"/>
      <c r="E7" s="363" t="s">
        <v>131</v>
      </c>
      <c r="F7" s="363"/>
      <c r="G7" s="364"/>
    </row>
    <row r="9" spans="2:13" ht="15" thickBot="1" x14ac:dyDescent="0.25"/>
    <row r="10" spans="2:13" x14ac:dyDescent="0.2">
      <c r="B10" s="391" t="s">
        <v>187</v>
      </c>
      <c r="C10" s="392"/>
      <c r="D10" s="392"/>
      <c r="E10" s="392"/>
      <c r="F10" s="392"/>
      <c r="G10" s="392"/>
      <c r="H10" s="393"/>
    </row>
    <row r="11" spans="2:13" ht="15" thickBot="1" x14ac:dyDescent="0.25">
      <c r="B11" s="394"/>
      <c r="C11" s="395"/>
      <c r="D11" s="395"/>
      <c r="E11" s="395"/>
      <c r="F11" s="395"/>
      <c r="G11" s="395"/>
      <c r="H11" s="396"/>
    </row>
    <row r="12" spans="2:13" x14ac:dyDescent="0.2">
      <c r="J12" s="431" t="s">
        <v>216</v>
      </c>
      <c r="K12" s="432"/>
      <c r="L12" s="432"/>
      <c r="M12" s="433"/>
    </row>
    <row r="13" spans="2:13" ht="27.75" customHeight="1" x14ac:dyDescent="0.2">
      <c r="J13" s="434" t="s">
        <v>217</v>
      </c>
      <c r="K13" s="435"/>
      <c r="L13" s="435"/>
      <c r="M13" s="436"/>
    </row>
    <row r="14" spans="2:13" ht="15.75" thickBot="1" x14ac:dyDescent="0.3">
      <c r="J14" s="437" t="s">
        <v>218</v>
      </c>
      <c r="K14" s="438"/>
      <c r="L14" s="438"/>
      <c r="M14" s="439"/>
    </row>
  </sheetData>
  <mergeCells count="8">
    <mergeCell ref="J12:M12"/>
    <mergeCell ref="J13:M13"/>
    <mergeCell ref="J14:M14"/>
    <mergeCell ref="B2:H3"/>
    <mergeCell ref="E5:G5"/>
    <mergeCell ref="E6:G6"/>
    <mergeCell ref="E7:G7"/>
    <mergeCell ref="B10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Etude préfaisabilité technique</vt:lpstr>
      <vt:lpstr>Dimensionnement et coût</vt:lpstr>
      <vt:lpstr>Compatibilité parc 2</vt:lpstr>
      <vt:lpstr>Compatibilité parc 1</vt:lpstr>
      <vt:lpstr>DIM DC parc 1</vt:lpstr>
      <vt:lpstr>DIM DC parc 2</vt:lpstr>
      <vt:lpstr>DIM AC parc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arnal</dc:creator>
  <cp:lastModifiedBy>gaetan arnal</cp:lastModifiedBy>
  <cp:lastPrinted>2015-04-15T10:37:12Z</cp:lastPrinted>
  <dcterms:created xsi:type="dcterms:W3CDTF">2015-04-16T09:01:05Z</dcterms:created>
  <dcterms:modified xsi:type="dcterms:W3CDTF">2015-04-23T07:47:30Z</dcterms:modified>
</cp:coreProperties>
</file>