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8800" windowHeight="12420" tabRatio="590" activeTab="12"/>
  </bookViews>
  <sheets>
    <sheet name="Planning 2017" sheetId="32" r:id="rId1"/>
    <sheet name="Prime" sheetId="30" r:id="rId2"/>
    <sheet name="Janvier" sheetId="1" r:id="rId3"/>
    <sheet name="Février" sheetId="17" r:id="rId4"/>
    <sheet name="Mars" sheetId="19" r:id="rId5"/>
    <sheet name="Avril" sheetId="20" r:id="rId6"/>
    <sheet name="Mai" sheetId="21" r:id="rId7"/>
    <sheet name="Juin" sheetId="22" r:id="rId8"/>
    <sheet name="Juillet" sheetId="23" r:id="rId9"/>
    <sheet name="Aout" sheetId="24" r:id="rId10"/>
    <sheet name="Septembre" sheetId="25" r:id="rId11"/>
    <sheet name="Octobre" sheetId="26" r:id="rId12"/>
    <sheet name="Novembre" sheetId="27" r:id="rId13"/>
    <sheet name="Décembre" sheetId="28" r:id="rId14"/>
    <sheet name="Récap" sheetId="29" r:id="rId15"/>
  </sheets>
  <calcPr calcId="152511"/>
</workbook>
</file>

<file path=xl/calcChain.xml><?xml version="1.0" encoding="utf-8"?>
<calcChain xmlns="http://schemas.openxmlformats.org/spreadsheetml/2006/main">
  <c r="O4" i="27" l="1"/>
  <c r="O5" i="27"/>
  <c r="O6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D4" i="27"/>
  <c r="J4" i="27" s="1"/>
  <c r="L4" i="27"/>
  <c r="O27" i="27"/>
  <c r="O28" i="27"/>
  <c r="O29" i="27"/>
  <c r="O30" i="27"/>
  <c r="O31" i="27"/>
  <c r="O32" i="27"/>
  <c r="O33" i="27"/>
  <c r="O34" i="27"/>
  <c r="N4" i="27" l="1"/>
  <c r="N5" i="27"/>
  <c r="N6" i="27"/>
  <c r="N7" i="27"/>
  <c r="D5" i="27" l="1"/>
  <c r="D6" i="27"/>
  <c r="D7" i="27"/>
  <c r="D8" i="27"/>
  <c r="L4" i="26" l="1"/>
  <c r="L5" i="26"/>
  <c r="L6" i="26"/>
  <c r="L7" i="26"/>
  <c r="L8" i="26"/>
  <c r="L9" i="26"/>
  <c r="L10" i="26"/>
  <c r="L11" i="26"/>
  <c r="L12" i="26"/>
  <c r="L13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6" i="26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N4" i="26"/>
  <c r="N5" i="26"/>
  <c r="N6" i="26"/>
  <c r="N7" i="26"/>
  <c r="N8" i="26"/>
  <c r="N9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O36" i="26"/>
  <c r="N36" i="26" l="1"/>
  <c r="M36" i="26"/>
  <c r="Q31" i="1"/>
  <c r="Q32" i="1"/>
  <c r="R39" i="25" l="1"/>
  <c r="G5" i="27"/>
  <c r="N5" i="28" l="1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4" i="28"/>
  <c r="H5" i="28"/>
  <c r="L5" i="28" s="1"/>
  <c r="H6" i="28"/>
  <c r="H7" i="28"/>
  <c r="L7" i="28" s="1"/>
  <c r="H8" i="28"/>
  <c r="L8" i="28" s="1"/>
  <c r="H9" i="28"/>
  <c r="L9" i="28" s="1"/>
  <c r="H10" i="28"/>
  <c r="H11" i="28"/>
  <c r="L11" i="28" s="1"/>
  <c r="H12" i="28"/>
  <c r="L12" i="28" s="1"/>
  <c r="H13" i="28"/>
  <c r="L13" i="28" s="1"/>
  <c r="H14" i="28"/>
  <c r="H15" i="28"/>
  <c r="L15" i="28" s="1"/>
  <c r="H16" i="28"/>
  <c r="L16" i="28" s="1"/>
  <c r="H17" i="28"/>
  <c r="L17" i="28" s="1"/>
  <c r="H18" i="28"/>
  <c r="H19" i="28"/>
  <c r="L19" i="28" s="1"/>
  <c r="H20" i="28"/>
  <c r="L20" i="28" s="1"/>
  <c r="H21" i="28"/>
  <c r="L21" i="28" s="1"/>
  <c r="H22" i="28"/>
  <c r="H23" i="28"/>
  <c r="L23" i="28" s="1"/>
  <c r="H24" i="28"/>
  <c r="L24" i="28" s="1"/>
  <c r="H25" i="28"/>
  <c r="L25" i="28" s="1"/>
  <c r="H26" i="28"/>
  <c r="H27" i="28"/>
  <c r="L27" i="28" s="1"/>
  <c r="H28" i="28"/>
  <c r="L28" i="28" s="1"/>
  <c r="H29" i="28"/>
  <c r="L29" i="28" s="1"/>
  <c r="H30" i="28"/>
  <c r="H31" i="28"/>
  <c r="L31" i="28" s="1"/>
  <c r="H32" i="28"/>
  <c r="L32" i="28" s="1"/>
  <c r="H33" i="28"/>
  <c r="L33" i="28" s="1"/>
  <c r="H34" i="28"/>
  <c r="H4" i="28"/>
  <c r="L4" i="28" s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4" i="28"/>
  <c r="E5" i="28"/>
  <c r="E6" i="28"/>
  <c r="O6" i="28" s="1"/>
  <c r="E7" i="28"/>
  <c r="E8" i="28"/>
  <c r="O8" i="28" s="1"/>
  <c r="E9" i="28"/>
  <c r="E10" i="28"/>
  <c r="E11" i="28"/>
  <c r="E12" i="28"/>
  <c r="O12" i="28" s="1"/>
  <c r="E13" i="28"/>
  <c r="E14" i="28"/>
  <c r="E15" i="28"/>
  <c r="E16" i="28"/>
  <c r="E17" i="28"/>
  <c r="E18" i="28"/>
  <c r="E19" i="28"/>
  <c r="E20" i="28"/>
  <c r="O20" i="28" s="1"/>
  <c r="E21" i="28"/>
  <c r="E22" i="28"/>
  <c r="O22" i="28" s="1"/>
  <c r="E23" i="28"/>
  <c r="E24" i="28"/>
  <c r="O24" i="28" s="1"/>
  <c r="E25" i="28"/>
  <c r="E26" i="28"/>
  <c r="E27" i="28"/>
  <c r="E28" i="28"/>
  <c r="O28" i="28" s="1"/>
  <c r="E29" i="28"/>
  <c r="E30" i="28"/>
  <c r="E31" i="28"/>
  <c r="E32" i="28"/>
  <c r="E33" i="28"/>
  <c r="E34" i="28"/>
  <c r="E4" i="28"/>
  <c r="O4" i="28" s="1"/>
  <c r="D5" i="28"/>
  <c r="M5" i="28" s="1"/>
  <c r="D6" i="28"/>
  <c r="M6" i="28" s="1"/>
  <c r="D7" i="28"/>
  <c r="M7" i="28" s="1"/>
  <c r="D8" i="28"/>
  <c r="M8" i="28" s="1"/>
  <c r="D9" i="28"/>
  <c r="M9" i="28" s="1"/>
  <c r="D10" i="28"/>
  <c r="M10" i="28" s="1"/>
  <c r="D11" i="28"/>
  <c r="M11" i="28" s="1"/>
  <c r="D12" i="28"/>
  <c r="M12" i="28" s="1"/>
  <c r="D13" i="28"/>
  <c r="M13" i="28" s="1"/>
  <c r="D14" i="28"/>
  <c r="M14" i="28" s="1"/>
  <c r="D15" i="28"/>
  <c r="M15" i="28" s="1"/>
  <c r="D16" i="28"/>
  <c r="M16" i="28" s="1"/>
  <c r="D17" i="28"/>
  <c r="M17" i="28" s="1"/>
  <c r="D18" i="28"/>
  <c r="M18" i="28" s="1"/>
  <c r="D19" i="28"/>
  <c r="M19" i="28" s="1"/>
  <c r="D20" i="28"/>
  <c r="M20" i="28" s="1"/>
  <c r="D21" i="28"/>
  <c r="M21" i="28" s="1"/>
  <c r="D22" i="28"/>
  <c r="M22" i="28" s="1"/>
  <c r="D23" i="28"/>
  <c r="M23" i="28" s="1"/>
  <c r="D24" i="28"/>
  <c r="M24" i="28" s="1"/>
  <c r="D25" i="28"/>
  <c r="M25" i="28" s="1"/>
  <c r="D26" i="28"/>
  <c r="M26" i="28" s="1"/>
  <c r="D27" i="28"/>
  <c r="M27" i="28" s="1"/>
  <c r="D28" i="28"/>
  <c r="M28" i="28" s="1"/>
  <c r="D29" i="28"/>
  <c r="M29" i="28" s="1"/>
  <c r="D30" i="28"/>
  <c r="M30" i="28" s="1"/>
  <c r="D31" i="28"/>
  <c r="M31" i="28" s="1"/>
  <c r="D32" i="28"/>
  <c r="M32" i="28" s="1"/>
  <c r="D33" i="28"/>
  <c r="M33" i="28" s="1"/>
  <c r="D34" i="28"/>
  <c r="M34" i="28" s="1"/>
  <c r="D4" i="28"/>
  <c r="M4" i="28" s="1"/>
  <c r="C36" i="28"/>
  <c r="C36" i="27"/>
  <c r="D30" i="27"/>
  <c r="D31" i="27"/>
  <c r="D32" i="27"/>
  <c r="D33" i="27"/>
  <c r="D3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H5" i="27"/>
  <c r="M5" i="27" s="1"/>
  <c r="H6" i="27"/>
  <c r="H7" i="27"/>
  <c r="L7" i="27" s="1"/>
  <c r="H8" i="27"/>
  <c r="L8" i="27" s="1"/>
  <c r="H9" i="27"/>
  <c r="L9" i="27" s="1"/>
  <c r="H10" i="27"/>
  <c r="L10" i="27" s="1"/>
  <c r="H11" i="27"/>
  <c r="L11" i="27" s="1"/>
  <c r="H12" i="27"/>
  <c r="L12" i="27" s="1"/>
  <c r="H13" i="27"/>
  <c r="L13" i="27" s="1"/>
  <c r="H14" i="27"/>
  <c r="L14" i="27" s="1"/>
  <c r="H15" i="27"/>
  <c r="L15" i="27" s="1"/>
  <c r="H16" i="27"/>
  <c r="L16" i="27" s="1"/>
  <c r="H17" i="27"/>
  <c r="L17" i="27" s="1"/>
  <c r="H18" i="27"/>
  <c r="L18" i="27" s="1"/>
  <c r="H19" i="27"/>
  <c r="L19" i="27" s="1"/>
  <c r="H20" i="27"/>
  <c r="L20" i="27" s="1"/>
  <c r="H21" i="27"/>
  <c r="L21" i="27" s="1"/>
  <c r="H22" i="27"/>
  <c r="L22" i="27" s="1"/>
  <c r="H23" i="27"/>
  <c r="L23" i="27" s="1"/>
  <c r="H24" i="27"/>
  <c r="L24" i="27" s="1"/>
  <c r="H25" i="27"/>
  <c r="L25" i="27" s="1"/>
  <c r="H26" i="27"/>
  <c r="L26" i="27" s="1"/>
  <c r="H27" i="27"/>
  <c r="L27" i="27" s="1"/>
  <c r="H28" i="27"/>
  <c r="L28" i="27" s="1"/>
  <c r="H29" i="27"/>
  <c r="L29" i="27" s="1"/>
  <c r="H30" i="27"/>
  <c r="L30" i="27" s="1"/>
  <c r="H31" i="27"/>
  <c r="L31" i="27" s="1"/>
  <c r="H32" i="27"/>
  <c r="L32" i="27" s="1"/>
  <c r="H33" i="27"/>
  <c r="L33" i="27" s="1"/>
  <c r="H34" i="27"/>
  <c r="L34" i="27" s="1"/>
  <c r="H4" i="27"/>
  <c r="G4" i="27"/>
  <c r="E4" i="27"/>
  <c r="D9" i="27"/>
  <c r="D10" i="27"/>
  <c r="M10" i="27" s="1"/>
  <c r="D11" i="27"/>
  <c r="D12" i="27"/>
  <c r="D13" i="27"/>
  <c r="D14" i="27"/>
  <c r="M14" i="27" s="1"/>
  <c r="D15" i="27"/>
  <c r="D16" i="27"/>
  <c r="D17" i="27"/>
  <c r="D18" i="27"/>
  <c r="M18" i="27" s="1"/>
  <c r="D19" i="27"/>
  <c r="D20" i="27"/>
  <c r="D21" i="27"/>
  <c r="D22" i="27"/>
  <c r="M22" i="27" s="1"/>
  <c r="D23" i="27"/>
  <c r="D24" i="27"/>
  <c r="D25" i="27"/>
  <c r="D26" i="27"/>
  <c r="M26" i="27" s="1"/>
  <c r="D27" i="27"/>
  <c r="D28" i="27"/>
  <c r="D29" i="27"/>
  <c r="M8" i="27" l="1"/>
  <c r="M25" i="27"/>
  <c r="M17" i="27"/>
  <c r="M13" i="27"/>
  <c r="M9" i="27"/>
  <c r="M29" i="27"/>
  <c r="M4" i="27"/>
  <c r="K4" i="27"/>
  <c r="M31" i="27"/>
  <c r="M24" i="27"/>
  <c r="M20" i="27"/>
  <c r="M12" i="27"/>
  <c r="M7" i="27"/>
  <c r="M34" i="27"/>
  <c r="M30" i="27"/>
  <c r="M28" i="27"/>
  <c r="M16" i="27"/>
  <c r="M27" i="27"/>
  <c r="M23" i="27"/>
  <c r="M19" i="27"/>
  <c r="M15" i="27"/>
  <c r="M11" i="27"/>
  <c r="M6" i="27"/>
  <c r="M33" i="27"/>
  <c r="M32" i="27"/>
  <c r="M21" i="27"/>
  <c r="K4" i="28"/>
  <c r="K32" i="28"/>
  <c r="K28" i="28"/>
  <c r="K24" i="28"/>
  <c r="K20" i="28"/>
  <c r="K16" i="28"/>
  <c r="K12" i="28"/>
  <c r="K8" i="28"/>
  <c r="F4" i="28"/>
  <c r="F31" i="28"/>
  <c r="F27" i="28"/>
  <c r="F23" i="28"/>
  <c r="F19" i="28"/>
  <c r="F15" i="28"/>
  <c r="F11" i="28"/>
  <c r="F7" i="28"/>
  <c r="F34" i="28"/>
  <c r="F30" i="28"/>
  <c r="F26" i="28"/>
  <c r="F22" i="28"/>
  <c r="F18" i="28"/>
  <c r="F14" i="28"/>
  <c r="F10" i="28"/>
  <c r="F6" i="28"/>
  <c r="I33" i="28"/>
  <c r="I29" i="28"/>
  <c r="I17" i="28"/>
  <c r="I13" i="28"/>
  <c r="O10" i="28"/>
  <c r="O26" i="28"/>
  <c r="O14" i="28"/>
  <c r="O30" i="28"/>
  <c r="F32" i="28"/>
  <c r="F16" i="28"/>
  <c r="O18" i="28"/>
  <c r="O34" i="28"/>
  <c r="J32" i="28"/>
  <c r="J16" i="28"/>
  <c r="F24" i="28"/>
  <c r="F8" i="28"/>
  <c r="J28" i="28"/>
  <c r="J12" i="28"/>
  <c r="O7" i="28"/>
  <c r="O11" i="28"/>
  <c r="O15" i="28"/>
  <c r="O19" i="28"/>
  <c r="O23" i="28"/>
  <c r="O27" i="28"/>
  <c r="O31" i="28"/>
  <c r="R4" i="28"/>
  <c r="R31" i="28"/>
  <c r="R27" i="28"/>
  <c r="R23" i="28"/>
  <c r="R19" i="28"/>
  <c r="R15" i="28"/>
  <c r="R11" i="28"/>
  <c r="R7" i="28"/>
  <c r="F33" i="28"/>
  <c r="F29" i="28"/>
  <c r="F25" i="28"/>
  <c r="F21" i="28"/>
  <c r="F17" i="28"/>
  <c r="F13" i="28"/>
  <c r="F9" i="28"/>
  <c r="F5" i="28"/>
  <c r="F20" i="28"/>
  <c r="K31" i="28"/>
  <c r="K27" i="28"/>
  <c r="K23" i="28"/>
  <c r="K19" i="28"/>
  <c r="K15" i="28"/>
  <c r="K11" i="28"/>
  <c r="K7" i="28"/>
  <c r="I34" i="28"/>
  <c r="I30" i="28"/>
  <c r="I26" i="28"/>
  <c r="I22" i="28"/>
  <c r="I18" i="28"/>
  <c r="I14" i="28"/>
  <c r="I10" i="28"/>
  <c r="I6" i="28"/>
  <c r="I25" i="28"/>
  <c r="I9" i="28"/>
  <c r="J24" i="28"/>
  <c r="J8" i="28"/>
  <c r="O16" i="28"/>
  <c r="O32" i="28"/>
  <c r="R34" i="28"/>
  <c r="R30" i="28"/>
  <c r="R26" i="28"/>
  <c r="R22" i="28"/>
  <c r="R18" i="28"/>
  <c r="R14" i="28"/>
  <c r="R10" i="28"/>
  <c r="R6" i="28"/>
  <c r="F28" i="28"/>
  <c r="F12" i="28"/>
  <c r="R32" i="28"/>
  <c r="R28" i="28"/>
  <c r="R24" i="28"/>
  <c r="R20" i="28"/>
  <c r="R16" i="28"/>
  <c r="R12" i="28"/>
  <c r="R8" i="28"/>
  <c r="J33" i="28"/>
  <c r="J29" i="28"/>
  <c r="J25" i="28"/>
  <c r="J21" i="28"/>
  <c r="J17" i="28"/>
  <c r="J13" i="28"/>
  <c r="J9" i="28"/>
  <c r="J5" i="28"/>
  <c r="I21" i="28"/>
  <c r="I5" i="28"/>
  <c r="J20" i="28"/>
  <c r="O5" i="28"/>
  <c r="O9" i="28"/>
  <c r="O13" i="28"/>
  <c r="O17" i="28"/>
  <c r="O21" i="28"/>
  <c r="O25" i="28"/>
  <c r="O29" i="28"/>
  <c r="O33" i="28"/>
  <c r="R33" i="28"/>
  <c r="R29" i="28"/>
  <c r="R25" i="28"/>
  <c r="R21" i="28"/>
  <c r="R17" i="28"/>
  <c r="R13" i="28"/>
  <c r="R9" i="28"/>
  <c r="R5" i="28"/>
  <c r="I32" i="28"/>
  <c r="I28" i="28"/>
  <c r="I24" i="28"/>
  <c r="I20" i="28"/>
  <c r="I16" i="28"/>
  <c r="I12" i="28"/>
  <c r="I8" i="28"/>
  <c r="J4" i="28"/>
  <c r="J31" i="28"/>
  <c r="J27" i="28"/>
  <c r="J23" i="28"/>
  <c r="J19" i="28"/>
  <c r="J15" i="28"/>
  <c r="J11" i="28"/>
  <c r="J7" i="28"/>
  <c r="K34" i="28"/>
  <c r="K30" i="28"/>
  <c r="K26" i="28"/>
  <c r="K22" i="28"/>
  <c r="K18" i="28"/>
  <c r="K14" i="28"/>
  <c r="K10" i="28"/>
  <c r="K6" i="28"/>
  <c r="I4" i="28"/>
  <c r="I31" i="28"/>
  <c r="I27" i="28"/>
  <c r="I23" i="28"/>
  <c r="I19" i="28"/>
  <c r="I15" i="28"/>
  <c r="I11" i="28"/>
  <c r="I7" i="28"/>
  <c r="J34" i="28"/>
  <c r="J30" i="28"/>
  <c r="J26" i="28"/>
  <c r="J22" i="28"/>
  <c r="J18" i="28"/>
  <c r="J14" i="28"/>
  <c r="J10" i="28"/>
  <c r="J6" i="28"/>
  <c r="K33" i="28"/>
  <c r="K29" i="28"/>
  <c r="K25" i="28"/>
  <c r="K21" i="28"/>
  <c r="K17" i="28"/>
  <c r="K13" i="28"/>
  <c r="K9" i="28"/>
  <c r="K5" i="28"/>
  <c r="L34" i="28"/>
  <c r="L30" i="28"/>
  <c r="L26" i="28"/>
  <c r="L22" i="28"/>
  <c r="L18" i="28"/>
  <c r="L14" i="28"/>
  <c r="L10" i="28"/>
  <c r="L6" i="28"/>
  <c r="R4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L5" i="27"/>
  <c r="L6" i="27"/>
  <c r="E3" i="32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O36" i="28" l="1"/>
  <c r="I19" i="27"/>
  <c r="F30" i="27"/>
  <c r="F26" i="27"/>
  <c r="K10" i="27"/>
  <c r="I6" i="27"/>
  <c r="K34" i="27"/>
  <c r="I9" i="27"/>
  <c r="I5" i="27"/>
  <c r="K26" i="27"/>
  <c r="K18" i="27"/>
  <c r="J5" i="27"/>
  <c r="K29" i="27"/>
  <c r="K25" i="27"/>
  <c r="K21" i="27"/>
  <c r="J17" i="27"/>
  <c r="K13" i="27"/>
  <c r="J9" i="27"/>
  <c r="K27" i="27"/>
  <c r="I29" i="27"/>
  <c r="K22" i="27"/>
  <c r="J33" i="27"/>
  <c r="J25" i="27"/>
  <c r="K33" i="27"/>
  <c r="K17" i="27"/>
  <c r="K31" i="27"/>
  <c r="K12" i="27"/>
  <c r="J30" i="27"/>
  <c r="J22" i="27"/>
  <c r="J14" i="27"/>
  <c r="K30" i="27"/>
  <c r="K14" i="27"/>
  <c r="K11" i="27"/>
  <c r="J7" i="27"/>
  <c r="J10" i="27"/>
  <c r="J29" i="27"/>
  <c r="J21" i="27"/>
  <c r="J13" i="27"/>
  <c r="K19" i="27"/>
  <c r="K23" i="27"/>
  <c r="K15" i="27"/>
  <c r="K6" i="27"/>
  <c r="R6" i="27"/>
  <c r="S6" i="27" s="1"/>
  <c r="U6" i="27" s="1"/>
  <c r="J34" i="27"/>
  <c r="J26" i="27"/>
  <c r="J18" i="27"/>
  <c r="K28" i="27"/>
  <c r="K20" i="27"/>
  <c r="K32" i="27"/>
  <c r="K24" i="27"/>
  <c r="K16" i="27"/>
  <c r="J32" i="27"/>
  <c r="J28" i="27"/>
  <c r="J24" i="27"/>
  <c r="J20" i="27"/>
  <c r="J16" i="27"/>
  <c r="J12" i="27"/>
  <c r="J31" i="27"/>
  <c r="J27" i="27"/>
  <c r="J23" i="27"/>
  <c r="J19" i="27"/>
  <c r="J15" i="27"/>
  <c r="J11" i="27"/>
  <c r="F24" i="27"/>
  <c r="K9" i="27"/>
  <c r="K8" i="27"/>
  <c r="J8" i="27"/>
  <c r="K7" i="27"/>
  <c r="J6" i="27"/>
  <c r="K5" i="27"/>
  <c r="I7" i="27"/>
  <c r="I27" i="27"/>
  <c r="I31" i="27"/>
  <c r="I12" i="27"/>
  <c r="I8" i="27"/>
  <c r="F20" i="27"/>
  <c r="F32" i="27"/>
  <c r="S4" i="27"/>
  <c r="U4" i="27" s="1"/>
  <c r="I4" i="27"/>
  <c r="I13" i="27"/>
  <c r="I16" i="27"/>
  <c r="I17" i="27"/>
  <c r="I20" i="27"/>
  <c r="I21" i="27"/>
  <c r="I25" i="27"/>
  <c r="F28" i="27"/>
  <c r="I33" i="27"/>
  <c r="R23" i="27"/>
  <c r="S23" i="27" s="1"/>
  <c r="U23" i="27" s="1"/>
  <c r="I10" i="27"/>
  <c r="R10" i="27"/>
  <c r="S10" i="27" s="1"/>
  <c r="U10" i="27" s="1"/>
  <c r="I11" i="27"/>
  <c r="F5" i="27"/>
  <c r="F8" i="27"/>
  <c r="R8" i="27"/>
  <c r="S8" i="27" s="1"/>
  <c r="U8" i="27" s="1"/>
  <c r="F12" i="27"/>
  <c r="R12" i="27"/>
  <c r="S12" i="27" s="1"/>
  <c r="U12" i="27" s="1"/>
  <c r="I14" i="27"/>
  <c r="R14" i="27"/>
  <c r="S14" i="27" s="1"/>
  <c r="U14" i="27" s="1"/>
  <c r="I15" i="27"/>
  <c r="F6" i="27"/>
  <c r="F4" i="27"/>
  <c r="R5" i="27"/>
  <c r="S5" i="27" s="1"/>
  <c r="U5" i="27" s="1"/>
  <c r="F16" i="27"/>
  <c r="R16" i="27"/>
  <c r="S16" i="27" s="1"/>
  <c r="U16" i="27" s="1"/>
  <c r="R11" i="27"/>
  <c r="S11" i="27" s="1"/>
  <c r="U11" i="27" s="1"/>
  <c r="R15" i="27"/>
  <c r="S15" i="27" s="1"/>
  <c r="U15" i="27" s="1"/>
  <c r="F17" i="27"/>
  <c r="I22" i="27"/>
  <c r="R22" i="27"/>
  <c r="S22" i="27" s="1"/>
  <c r="U22" i="27" s="1"/>
  <c r="R7" i="27"/>
  <c r="S7" i="27" s="1"/>
  <c r="U7" i="27" s="1"/>
  <c r="R19" i="27"/>
  <c r="S19" i="27" s="1"/>
  <c r="U19" i="27" s="1"/>
  <c r="F21" i="27"/>
  <c r="F10" i="27"/>
  <c r="F14" i="27"/>
  <c r="F18" i="27"/>
  <c r="R20" i="27"/>
  <c r="S20" i="27" s="1"/>
  <c r="U20" i="27" s="1"/>
  <c r="F22" i="27"/>
  <c r="I23" i="27"/>
  <c r="I24" i="27"/>
  <c r="F25" i="27"/>
  <c r="I26" i="27"/>
  <c r="F27" i="27"/>
  <c r="I28" i="27"/>
  <c r="F29" i="27"/>
  <c r="I30" i="27"/>
  <c r="F31" i="27"/>
  <c r="I32" i="27"/>
  <c r="F33" i="27"/>
  <c r="R18" i="27"/>
  <c r="S18" i="27" s="1"/>
  <c r="U18" i="27" s="1"/>
  <c r="F9" i="27"/>
  <c r="F13" i="27"/>
  <c r="I18" i="27"/>
  <c r="F7" i="27"/>
  <c r="R9" i="27"/>
  <c r="S9" i="27" s="1"/>
  <c r="U9" i="27" s="1"/>
  <c r="F11" i="27"/>
  <c r="R13" i="27"/>
  <c r="S13" i="27" s="1"/>
  <c r="U13" i="27" s="1"/>
  <c r="F15" i="27"/>
  <c r="R17" i="27"/>
  <c r="S17" i="27" s="1"/>
  <c r="U17" i="27" s="1"/>
  <c r="F19" i="27"/>
  <c r="R21" i="27"/>
  <c r="S21" i="27" s="1"/>
  <c r="U21" i="27" s="1"/>
  <c r="F23" i="27"/>
  <c r="R34" i="27"/>
  <c r="R24" i="27"/>
  <c r="S24" i="27" s="1"/>
  <c r="U24" i="27" s="1"/>
  <c r="R25" i="27"/>
  <c r="S25" i="27" s="1"/>
  <c r="U25" i="27" s="1"/>
  <c r="R26" i="27"/>
  <c r="S26" i="27" s="1"/>
  <c r="U26" i="27" s="1"/>
  <c r="R27" i="27"/>
  <c r="S27" i="27" s="1"/>
  <c r="U27" i="27" s="1"/>
  <c r="R28" i="27"/>
  <c r="S28" i="27" s="1"/>
  <c r="U28" i="27" s="1"/>
  <c r="R29" i="27"/>
  <c r="S29" i="27" s="1"/>
  <c r="U29" i="27" s="1"/>
  <c r="R30" i="27"/>
  <c r="S30" i="27" s="1"/>
  <c r="U30" i="27" s="1"/>
  <c r="R31" i="27"/>
  <c r="S31" i="27" s="1"/>
  <c r="U31" i="27" s="1"/>
  <c r="R32" i="27"/>
  <c r="S32" i="27" s="1"/>
  <c r="U32" i="27" s="1"/>
  <c r="R33" i="27"/>
  <c r="S33" i="27" s="1"/>
  <c r="U33" i="27" s="1"/>
  <c r="N35" i="25"/>
  <c r="N36" i="24"/>
  <c r="N36" i="23"/>
  <c r="N36" i="22"/>
  <c r="N36" i="21"/>
  <c r="N36" i="20"/>
  <c r="N4" i="19"/>
  <c r="N5" i="19"/>
  <c r="N6" i="19"/>
  <c r="N7" i="19"/>
  <c r="N36" i="19" s="1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34" i="17"/>
  <c r="N36" i="1"/>
  <c r="M3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4" i="1"/>
  <c r="N5" i="25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4" i="25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4" i="24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4" i="23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4" i="22"/>
  <c r="N5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4" i="21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4" i="20"/>
  <c r="N24" i="19"/>
  <c r="N25" i="19"/>
  <c r="N26" i="19"/>
  <c r="N27" i="19"/>
  <c r="N28" i="19"/>
  <c r="N29" i="19"/>
  <c r="N30" i="19"/>
  <c r="N31" i="19"/>
  <c r="N32" i="19"/>
  <c r="N33" i="19"/>
  <c r="N34" i="19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4" i="17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4" i="1"/>
  <c r="S34" i="27" l="1"/>
  <c r="U34" i="27" s="1"/>
  <c r="R40" i="27"/>
  <c r="S40" i="27" s="1"/>
  <c r="O36" i="27"/>
  <c r="R36" i="27"/>
  <c r="N36" i="28"/>
  <c r="N36" i="27"/>
  <c r="D4" i="30"/>
  <c r="M36" i="24"/>
  <c r="M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6" i="23" s="1"/>
  <c r="M32" i="23"/>
  <c r="M33" i="23"/>
  <c r="M34" i="23"/>
  <c r="K36" i="23"/>
  <c r="K36" i="21"/>
  <c r="M36" i="20"/>
  <c r="K36" i="20"/>
  <c r="L34" i="17"/>
  <c r="K34" i="17"/>
  <c r="M36" i="19"/>
  <c r="L36" i="19"/>
  <c r="M34" i="17"/>
  <c r="M30" i="24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K7" i="22"/>
  <c r="K8" i="22"/>
  <c r="K9" i="22"/>
  <c r="I6" i="22"/>
  <c r="I7" i="22"/>
  <c r="I8" i="22"/>
  <c r="K6" i="22"/>
  <c r="M5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4" i="25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1" i="24"/>
  <c r="M32" i="24"/>
  <c r="M33" i="24"/>
  <c r="M34" i="24"/>
  <c r="M4" i="24"/>
  <c r="M34" i="22"/>
  <c r="M4" i="22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4" i="19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4" i="20"/>
  <c r="M5" i="21"/>
  <c r="M6" i="21"/>
  <c r="M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4" i="21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4" i="17"/>
  <c r="L5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4" i="25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4" i="24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4" i="23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4" i="22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4" i="21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4" i="20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4" i="19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4" i="17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4" i="1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4" i="26"/>
  <c r="J4" i="25"/>
  <c r="J5" i="25"/>
  <c r="J6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4" i="25"/>
  <c r="K5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4" i="24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4" i="23"/>
  <c r="K5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4" i="22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4" i="21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4" i="20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4" i="19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4" i="17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4" i="1"/>
  <c r="J34" i="26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4" i="26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5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4" i="24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4" i="23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4" i="22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4" i="21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4" i="20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4" i="19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4" i="17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4" i="1"/>
  <c r="K36" i="1" l="1"/>
  <c r="I14" i="19"/>
  <c r="I15" i="19"/>
  <c r="I28" i="17"/>
  <c r="I27" i="17"/>
  <c r="I26" i="17"/>
  <c r="Q26" i="17"/>
  <c r="Q27" i="17"/>
  <c r="Q28" i="17"/>
  <c r="Q29" i="17"/>
  <c r="Q17" i="1"/>
  <c r="L36" i="23" l="1"/>
  <c r="F30" i="1" l="1"/>
  <c r="I17" i="1"/>
  <c r="I31" i="1"/>
  <c r="K33" i="17"/>
  <c r="H4" i="30" l="1"/>
  <c r="G4" i="30"/>
  <c r="F4" i="30"/>
  <c r="E4" i="30"/>
  <c r="B4" i="30"/>
  <c r="I4" i="30" s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4" i="1"/>
  <c r="P36" i="1" s="1"/>
  <c r="J34" i="17"/>
  <c r="I30" i="20"/>
  <c r="F30" i="20"/>
  <c r="P36" i="28"/>
  <c r="D13" i="29"/>
  <c r="O35" i="25"/>
  <c r="O36" i="24"/>
  <c r="O36" i="23"/>
  <c r="O36" i="22"/>
  <c r="P33" i="21"/>
  <c r="O36" i="20"/>
  <c r="O36" i="19"/>
  <c r="Q33" i="28"/>
  <c r="Q32" i="28"/>
  <c r="Q31" i="28"/>
  <c r="Q30" i="28"/>
  <c r="Q29" i="28"/>
  <c r="Q28" i="28"/>
  <c r="Q27" i="28"/>
  <c r="Q26" i="28"/>
  <c r="Q25" i="28"/>
  <c r="Q2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Q11" i="28"/>
  <c r="Q10" i="28"/>
  <c r="Q9" i="28"/>
  <c r="Q8" i="28"/>
  <c r="Q7" i="28"/>
  <c r="Q6" i="28"/>
  <c r="Q5" i="28"/>
  <c r="Q4" i="28"/>
  <c r="P33" i="26"/>
  <c r="P32" i="26"/>
  <c r="P31" i="26"/>
  <c r="P30" i="26"/>
  <c r="P29" i="26"/>
  <c r="P28" i="26"/>
  <c r="P27" i="26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P6" i="26"/>
  <c r="P5" i="26"/>
  <c r="P4" i="26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35" i="25" s="1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P5" i="24"/>
  <c r="P4" i="24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P4" i="21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O34" i="17"/>
  <c r="P34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18" i="17"/>
  <c r="P33" i="17"/>
  <c r="O36" i="21"/>
  <c r="Q34" i="22"/>
  <c r="R34" i="22" s="1"/>
  <c r="T34" i="22" s="1"/>
  <c r="D11" i="29"/>
  <c r="C12" i="29"/>
  <c r="L5" i="29"/>
  <c r="C34" i="17"/>
  <c r="N5" i="29" s="1"/>
  <c r="C36" i="1"/>
  <c r="C36" i="26"/>
  <c r="C35" i="25"/>
  <c r="C36" i="24"/>
  <c r="C36" i="23"/>
  <c r="C36" i="22"/>
  <c r="C36" i="21"/>
  <c r="C36" i="20"/>
  <c r="C36" i="19"/>
  <c r="L35" i="25"/>
  <c r="L36" i="24"/>
  <c r="L36" i="21"/>
  <c r="M33" i="17"/>
  <c r="S36" i="19"/>
  <c r="D6" i="29"/>
  <c r="T36" i="28"/>
  <c r="D15" i="29" s="1"/>
  <c r="M36" i="28"/>
  <c r="S34" i="28"/>
  <c r="U34" i="28" s="1"/>
  <c r="S33" i="28"/>
  <c r="U33" i="28" s="1"/>
  <c r="S32" i="28"/>
  <c r="U32" i="28" s="1"/>
  <c r="S31" i="28"/>
  <c r="U31" i="28" s="1"/>
  <c r="S30" i="28"/>
  <c r="U30" i="28" s="1"/>
  <c r="S29" i="28"/>
  <c r="U29" i="28" s="1"/>
  <c r="S28" i="28"/>
  <c r="U28" i="28" s="1"/>
  <c r="S27" i="28"/>
  <c r="U27" i="28" s="1"/>
  <c r="S26" i="28"/>
  <c r="U26" i="28" s="1"/>
  <c r="S25" i="28"/>
  <c r="U25" i="28" s="1"/>
  <c r="S24" i="28"/>
  <c r="U24" i="28" s="1"/>
  <c r="S23" i="28"/>
  <c r="U23" i="28" s="1"/>
  <c r="S22" i="28"/>
  <c r="U22" i="28" s="1"/>
  <c r="S21" i="28"/>
  <c r="U21" i="28" s="1"/>
  <c r="S20" i="28"/>
  <c r="U20" i="28" s="1"/>
  <c r="S19" i="28"/>
  <c r="U19" i="28" s="1"/>
  <c r="S18" i="28"/>
  <c r="U18" i="28" s="1"/>
  <c r="S17" i="28"/>
  <c r="U17" i="28" s="1"/>
  <c r="S16" i="28"/>
  <c r="U16" i="28" s="1"/>
  <c r="S15" i="28"/>
  <c r="U15" i="28" s="1"/>
  <c r="S14" i="28"/>
  <c r="U14" i="28" s="1"/>
  <c r="S13" i="28"/>
  <c r="U13" i="28" s="1"/>
  <c r="S12" i="28"/>
  <c r="U12" i="28" s="1"/>
  <c r="S11" i="28"/>
  <c r="U11" i="28" s="1"/>
  <c r="S10" i="28"/>
  <c r="U10" i="28" s="1"/>
  <c r="S9" i="28"/>
  <c r="U9" i="28" s="1"/>
  <c r="S8" i="28"/>
  <c r="U8" i="28" s="1"/>
  <c r="S7" i="28"/>
  <c r="U7" i="28" s="1"/>
  <c r="S6" i="28"/>
  <c r="U6" i="28" s="1"/>
  <c r="S5" i="28"/>
  <c r="U5" i="28" s="1"/>
  <c r="S4" i="28"/>
  <c r="S36" i="27"/>
  <c r="D14" i="29" s="1"/>
  <c r="M36" i="27"/>
  <c r="S36" i="26"/>
  <c r="Q34" i="26"/>
  <c r="R34" i="26" s="1"/>
  <c r="T34" i="26" s="1"/>
  <c r="Q33" i="26"/>
  <c r="R33" i="26" s="1"/>
  <c r="T33" i="26" s="1"/>
  <c r="Q32" i="26"/>
  <c r="R32" i="26" s="1"/>
  <c r="T32" i="26" s="1"/>
  <c r="Q31" i="26"/>
  <c r="R31" i="26" s="1"/>
  <c r="T31" i="26" s="1"/>
  <c r="Q30" i="26"/>
  <c r="R30" i="26" s="1"/>
  <c r="T30" i="26" s="1"/>
  <c r="Q29" i="26"/>
  <c r="R29" i="26" s="1"/>
  <c r="T29" i="26" s="1"/>
  <c r="Q28" i="26"/>
  <c r="R28" i="26" s="1"/>
  <c r="T28" i="26" s="1"/>
  <c r="Q27" i="26"/>
  <c r="R27" i="26" s="1"/>
  <c r="T27" i="26" s="1"/>
  <c r="Q26" i="26"/>
  <c r="R26" i="26" s="1"/>
  <c r="T26" i="26" s="1"/>
  <c r="Q25" i="26"/>
  <c r="R25" i="26" s="1"/>
  <c r="T25" i="26" s="1"/>
  <c r="Q24" i="26"/>
  <c r="R24" i="26" s="1"/>
  <c r="T24" i="26" s="1"/>
  <c r="Q23" i="26"/>
  <c r="R23" i="26" s="1"/>
  <c r="T23" i="26" s="1"/>
  <c r="Q22" i="26"/>
  <c r="R22" i="26" s="1"/>
  <c r="T22" i="26" s="1"/>
  <c r="Q21" i="26"/>
  <c r="R21" i="26" s="1"/>
  <c r="T21" i="26" s="1"/>
  <c r="Q20" i="26"/>
  <c r="R20" i="26" s="1"/>
  <c r="T20" i="26" s="1"/>
  <c r="Q19" i="26"/>
  <c r="R19" i="26" s="1"/>
  <c r="T19" i="26" s="1"/>
  <c r="Q18" i="26"/>
  <c r="R18" i="26" s="1"/>
  <c r="T18" i="26" s="1"/>
  <c r="Q17" i="26"/>
  <c r="R17" i="26" s="1"/>
  <c r="T17" i="26" s="1"/>
  <c r="Q16" i="26"/>
  <c r="R16" i="26" s="1"/>
  <c r="T16" i="26" s="1"/>
  <c r="Q15" i="26"/>
  <c r="R15" i="26" s="1"/>
  <c r="T15" i="26" s="1"/>
  <c r="Q14" i="26"/>
  <c r="R14" i="26" s="1"/>
  <c r="T14" i="26" s="1"/>
  <c r="Q13" i="26"/>
  <c r="R13" i="26" s="1"/>
  <c r="T13" i="26" s="1"/>
  <c r="Q12" i="26"/>
  <c r="R12" i="26" s="1"/>
  <c r="T12" i="26" s="1"/>
  <c r="Q11" i="26"/>
  <c r="R11" i="26" s="1"/>
  <c r="Q10" i="26"/>
  <c r="R10" i="26" s="1"/>
  <c r="T10" i="26" s="1"/>
  <c r="Q9" i="26"/>
  <c r="R9" i="26" s="1"/>
  <c r="T9" i="26" s="1"/>
  <c r="Q8" i="26"/>
  <c r="R8" i="26" s="1"/>
  <c r="T8" i="26" s="1"/>
  <c r="Q7" i="26"/>
  <c r="R7" i="26" s="1"/>
  <c r="T7" i="26" s="1"/>
  <c r="Q6" i="26"/>
  <c r="R6" i="26" s="1"/>
  <c r="T6" i="26" s="1"/>
  <c r="Q5" i="26"/>
  <c r="R5" i="26" s="1"/>
  <c r="T5" i="26" s="1"/>
  <c r="J36" i="26"/>
  <c r="Q4" i="26"/>
  <c r="R4" i="26" s="1"/>
  <c r="T4" i="26" s="1"/>
  <c r="S35" i="25"/>
  <c r="D12" i="29" s="1"/>
  <c r="E12" i="29" s="1"/>
  <c r="M35" i="25"/>
  <c r="Q33" i="25"/>
  <c r="R33" i="25" s="1"/>
  <c r="T33" i="25" s="1"/>
  <c r="R32" i="25"/>
  <c r="T32" i="25"/>
  <c r="Q32" i="25"/>
  <c r="Q31" i="25"/>
  <c r="R31" i="25"/>
  <c r="T31" i="25"/>
  <c r="Q30" i="25"/>
  <c r="R30" i="25" s="1"/>
  <c r="T30" i="25" s="1"/>
  <c r="Q29" i="25"/>
  <c r="R29" i="25" s="1"/>
  <c r="T29" i="25" s="1"/>
  <c r="R28" i="25"/>
  <c r="T28" i="25"/>
  <c r="Q28" i="25"/>
  <c r="Q27" i="25"/>
  <c r="R27" i="25" s="1"/>
  <c r="T27" i="25" s="1"/>
  <c r="Q26" i="25"/>
  <c r="R26" i="25" s="1"/>
  <c r="T26" i="25" s="1"/>
  <c r="Q25" i="25"/>
  <c r="R25" i="25" s="1"/>
  <c r="T25" i="25" s="1"/>
  <c r="R24" i="25"/>
  <c r="T24" i="25"/>
  <c r="Q24" i="25"/>
  <c r="Q23" i="25"/>
  <c r="R23" i="25"/>
  <c r="T23" i="25"/>
  <c r="Q22" i="25"/>
  <c r="R22" i="25" s="1"/>
  <c r="T22" i="25" s="1"/>
  <c r="Q21" i="25"/>
  <c r="R21" i="25" s="1"/>
  <c r="T21" i="25" s="1"/>
  <c r="Q20" i="25"/>
  <c r="R20" i="25" s="1"/>
  <c r="T20" i="25" s="1"/>
  <c r="Q19" i="25"/>
  <c r="R19" i="25"/>
  <c r="T19" i="25"/>
  <c r="Q18" i="25"/>
  <c r="R18" i="25" s="1"/>
  <c r="T18" i="25" s="1"/>
  <c r="Q17" i="25"/>
  <c r="R17" i="25" s="1"/>
  <c r="T17" i="25" s="1"/>
  <c r="Q16" i="25"/>
  <c r="R16" i="25"/>
  <c r="T16" i="25" s="1"/>
  <c r="Q15" i="25"/>
  <c r="R15" i="25" s="1"/>
  <c r="T15" i="25" s="1"/>
  <c r="Q14" i="25"/>
  <c r="R14" i="25" s="1"/>
  <c r="T14" i="25" s="1"/>
  <c r="Q13" i="25"/>
  <c r="R13" i="25" s="1"/>
  <c r="T13" i="25" s="1"/>
  <c r="Q12" i="25"/>
  <c r="R12" i="25" s="1"/>
  <c r="T12" i="25" s="1"/>
  <c r="Q11" i="25"/>
  <c r="R11" i="25"/>
  <c r="T11" i="25"/>
  <c r="Q10" i="25"/>
  <c r="R10" i="25" s="1"/>
  <c r="T10" i="25" s="1"/>
  <c r="Q9" i="25"/>
  <c r="R9" i="25" s="1"/>
  <c r="T9" i="25" s="1"/>
  <c r="Q8" i="25"/>
  <c r="R8" i="25" s="1"/>
  <c r="T8" i="25" s="1"/>
  <c r="Q7" i="25"/>
  <c r="R7" i="25" s="1"/>
  <c r="T7" i="25" s="1"/>
  <c r="Q6" i="25"/>
  <c r="R6" i="25" s="1"/>
  <c r="T6" i="25" s="1"/>
  <c r="Q5" i="25"/>
  <c r="R5" i="25" s="1"/>
  <c r="T5" i="25" s="1"/>
  <c r="Q4" i="25"/>
  <c r="R4" i="25" s="1"/>
  <c r="S36" i="24"/>
  <c r="Q34" i="24"/>
  <c r="R34" i="24" s="1"/>
  <c r="T34" i="24" s="1"/>
  <c r="Q33" i="24"/>
  <c r="R33" i="24" s="1"/>
  <c r="T33" i="24" s="1"/>
  <c r="Q32" i="24"/>
  <c r="R32" i="24"/>
  <c r="T32" i="24"/>
  <c r="Q31" i="24"/>
  <c r="R31" i="24" s="1"/>
  <c r="T31" i="24" s="1"/>
  <c r="Q30" i="24"/>
  <c r="R30" i="24"/>
  <c r="T30" i="24"/>
  <c r="Q29" i="24"/>
  <c r="R29" i="24"/>
  <c r="T29" i="24"/>
  <c r="Q28" i="24"/>
  <c r="R28" i="24"/>
  <c r="T28" i="24"/>
  <c r="Q27" i="24"/>
  <c r="R26" i="24"/>
  <c r="T26" i="24" s="1"/>
  <c r="Q26" i="24"/>
  <c r="R25" i="24"/>
  <c r="T25" i="24"/>
  <c r="Q25" i="24"/>
  <c r="R24" i="24"/>
  <c r="T24" i="24"/>
  <c r="Q24" i="24"/>
  <c r="R23" i="24"/>
  <c r="T23" i="24"/>
  <c r="Q23" i="24"/>
  <c r="R22" i="24"/>
  <c r="T22" i="24"/>
  <c r="Q22" i="24"/>
  <c r="R21" i="24"/>
  <c r="T21" i="24"/>
  <c r="Q21" i="24"/>
  <c r="R20" i="24"/>
  <c r="T20" i="24"/>
  <c r="Q20" i="24"/>
  <c r="R19" i="24"/>
  <c r="T19" i="24"/>
  <c r="Q19" i="24"/>
  <c r="R18" i="24"/>
  <c r="T18" i="24"/>
  <c r="Q18" i="24"/>
  <c r="R17" i="24"/>
  <c r="T17" i="24"/>
  <c r="Q17" i="24"/>
  <c r="R16" i="24"/>
  <c r="T16" i="24"/>
  <c r="Q16" i="24"/>
  <c r="Q15" i="24"/>
  <c r="R15" i="24" s="1"/>
  <c r="T15" i="24" s="1"/>
  <c r="Q14" i="24"/>
  <c r="R14" i="24" s="1"/>
  <c r="T14" i="24" s="1"/>
  <c r="Q13" i="24"/>
  <c r="R13" i="24" s="1"/>
  <c r="T13" i="24" s="1"/>
  <c r="Q12" i="24"/>
  <c r="R12" i="24" s="1"/>
  <c r="T12" i="24" s="1"/>
  <c r="R11" i="24"/>
  <c r="T11" i="24"/>
  <c r="Q11" i="24"/>
  <c r="R10" i="24"/>
  <c r="T10" i="24"/>
  <c r="Q10" i="24"/>
  <c r="R9" i="24"/>
  <c r="T9" i="24"/>
  <c r="Q9" i="24"/>
  <c r="Q8" i="24"/>
  <c r="R8" i="24" s="1"/>
  <c r="R7" i="24"/>
  <c r="T7" i="24"/>
  <c r="Q7" i="24"/>
  <c r="R6" i="24"/>
  <c r="T6" i="24"/>
  <c r="Q6" i="24"/>
  <c r="R5" i="24"/>
  <c r="T5" i="24"/>
  <c r="Q5" i="24"/>
  <c r="R4" i="24"/>
  <c r="T4" i="24"/>
  <c r="Q4" i="24"/>
  <c r="S36" i="23"/>
  <c r="D10" i="29"/>
  <c r="Q34" i="23"/>
  <c r="R34" i="23"/>
  <c r="T34" i="23"/>
  <c r="Q33" i="23"/>
  <c r="R33" i="23"/>
  <c r="T33" i="23"/>
  <c r="Q32" i="23"/>
  <c r="R32" i="23"/>
  <c r="Q31" i="23"/>
  <c r="R31" i="23"/>
  <c r="T31" i="23" s="1"/>
  <c r="Q30" i="23"/>
  <c r="R30" i="23" s="1"/>
  <c r="T30" i="23" s="1"/>
  <c r="Q29" i="23"/>
  <c r="R29" i="23" s="1"/>
  <c r="T29" i="23" s="1"/>
  <c r="Q28" i="23"/>
  <c r="R28" i="23" s="1"/>
  <c r="T28" i="23" s="1"/>
  <c r="Q27" i="23"/>
  <c r="R27" i="23" s="1"/>
  <c r="T27" i="23" s="1"/>
  <c r="Q26" i="23"/>
  <c r="R26" i="23"/>
  <c r="T26" i="23"/>
  <c r="Q25" i="23"/>
  <c r="R25" i="23"/>
  <c r="T25" i="23"/>
  <c r="Q24" i="23"/>
  <c r="R24" i="23"/>
  <c r="T24" i="23"/>
  <c r="Q23" i="23"/>
  <c r="R23" i="23"/>
  <c r="T23" i="23"/>
  <c r="Q22" i="23"/>
  <c r="R22" i="23"/>
  <c r="T22" i="23"/>
  <c r="Q21" i="23"/>
  <c r="R21" i="23"/>
  <c r="T21" i="23"/>
  <c r="Q20" i="23"/>
  <c r="R20" i="23" s="1"/>
  <c r="T20" i="23" s="1"/>
  <c r="Q19" i="23"/>
  <c r="R19" i="23" s="1"/>
  <c r="T19" i="23" s="1"/>
  <c r="Q18" i="23"/>
  <c r="R18" i="23" s="1"/>
  <c r="T18" i="23" s="1"/>
  <c r="Q17" i="23"/>
  <c r="R17" i="23"/>
  <c r="T17" i="23"/>
  <c r="Q16" i="23"/>
  <c r="R16" i="23"/>
  <c r="T16" i="23"/>
  <c r="Q15" i="23"/>
  <c r="R15" i="23"/>
  <c r="T15" i="23" s="1"/>
  <c r="Q14" i="23"/>
  <c r="R14" i="23" s="1"/>
  <c r="T14" i="23" s="1"/>
  <c r="Q13" i="23"/>
  <c r="R13" i="23"/>
  <c r="T13" i="23"/>
  <c r="Q12" i="23"/>
  <c r="R12" i="23"/>
  <c r="T12" i="23"/>
  <c r="Q11" i="23"/>
  <c r="R11" i="23"/>
  <c r="T11" i="23"/>
  <c r="Q10" i="23"/>
  <c r="R10" i="23" s="1"/>
  <c r="T10" i="23" s="1"/>
  <c r="Q9" i="23"/>
  <c r="R9" i="23"/>
  <c r="T9" i="23"/>
  <c r="Q8" i="23"/>
  <c r="R8" i="23"/>
  <c r="T8" i="23"/>
  <c r="Q7" i="23"/>
  <c r="R7" i="23"/>
  <c r="T7" i="23"/>
  <c r="Q6" i="23"/>
  <c r="R6" i="23"/>
  <c r="T6" i="23"/>
  <c r="Q5" i="23"/>
  <c r="R5" i="23"/>
  <c r="T5" i="23"/>
  <c r="Q4" i="23"/>
  <c r="R4" i="23" s="1"/>
  <c r="S36" i="22"/>
  <c r="D9" i="29"/>
  <c r="Q33" i="22"/>
  <c r="R33" i="22" s="1"/>
  <c r="T33" i="22" s="1"/>
  <c r="Q32" i="22"/>
  <c r="R32" i="22" s="1"/>
  <c r="T32" i="22" s="1"/>
  <c r="Q31" i="22"/>
  <c r="R31" i="22" s="1"/>
  <c r="T31" i="22" s="1"/>
  <c r="Q30" i="22"/>
  <c r="R30" i="22" s="1"/>
  <c r="T30" i="22" s="1"/>
  <c r="Q29" i="22"/>
  <c r="R29" i="22" s="1"/>
  <c r="T29" i="22" s="1"/>
  <c r="Q28" i="22"/>
  <c r="R28" i="22" s="1"/>
  <c r="T28" i="22" s="1"/>
  <c r="Q27" i="22"/>
  <c r="R27" i="22" s="1"/>
  <c r="T27" i="22" s="1"/>
  <c r="Q26" i="22"/>
  <c r="R26" i="22" s="1"/>
  <c r="T26" i="22" s="1"/>
  <c r="Q25" i="22"/>
  <c r="R25" i="22" s="1"/>
  <c r="T25" i="22" s="1"/>
  <c r="Q24" i="22"/>
  <c r="R24" i="22" s="1"/>
  <c r="T24" i="22" s="1"/>
  <c r="Q23" i="22"/>
  <c r="R23" i="22" s="1"/>
  <c r="T23" i="22" s="1"/>
  <c r="Q22" i="22"/>
  <c r="R22" i="22" s="1"/>
  <c r="T22" i="22" s="1"/>
  <c r="Q21" i="22"/>
  <c r="R21" i="22" s="1"/>
  <c r="T21" i="22" s="1"/>
  <c r="Q20" i="22"/>
  <c r="R20" i="22" s="1"/>
  <c r="T20" i="22" s="1"/>
  <c r="Q19" i="22"/>
  <c r="R19" i="22" s="1"/>
  <c r="T19" i="22" s="1"/>
  <c r="Q18" i="22"/>
  <c r="R18" i="22" s="1"/>
  <c r="T18" i="22" s="1"/>
  <c r="Q17" i="22"/>
  <c r="R17" i="22" s="1"/>
  <c r="T17" i="22" s="1"/>
  <c r="Q16" i="22"/>
  <c r="R16" i="22" s="1"/>
  <c r="T16" i="22" s="1"/>
  <c r="Q15" i="22"/>
  <c r="R15" i="22" s="1"/>
  <c r="T15" i="22" s="1"/>
  <c r="Q14" i="22"/>
  <c r="R14" i="22"/>
  <c r="T14" i="22" s="1"/>
  <c r="Q13" i="22"/>
  <c r="R13" i="22" s="1"/>
  <c r="T13" i="22" s="1"/>
  <c r="Q12" i="22"/>
  <c r="R12" i="22" s="1"/>
  <c r="T12" i="22" s="1"/>
  <c r="Q11" i="22"/>
  <c r="R11" i="22" s="1"/>
  <c r="T11" i="22" s="1"/>
  <c r="Q10" i="22"/>
  <c r="R10" i="22" s="1"/>
  <c r="T10" i="22" s="1"/>
  <c r="Q9" i="22"/>
  <c r="R9" i="22" s="1"/>
  <c r="T9" i="22" s="1"/>
  <c r="Q8" i="22"/>
  <c r="R8" i="22" s="1"/>
  <c r="T8" i="22" s="1"/>
  <c r="Q7" i="22"/>
  <c r="R7" i="22" s="1"/>
  <c r="T7" i="22" s="1"/>
  <c r="Q6" i="22"/>
  <c r="R6" i="22" s="1"/>
  <c r="Q5" i="22"/>
  <c r="R5" i="22" s="1"/>
  <c r="T5" i="22" s="1"/>
  <c r="Q4" i="22"/>
  <c r="K36" i="22"/>
  <c r="S36" i="21"/>
  <c r="D8" i="29"/>
  <c r="M36" i="21"/>
  <c r="Q34" i="21"/>
  <c r="R34" i="21"/>
  <c r="T34" i="21" s="1"/>
  <c r="R33" i="21"/>
  <c r="T33" i="21"/>
  <c r="Q33" i="21"/>
  <c r="R32" i="21"/>
  <c r="T32" i="21"/>
  <c r="Q32" i="21"/>
  <c r="R31" i="21"/>
  <c r="T31" i="21"/>
  <c r="Q31" i="21"/>
  <c r="R30" i="21"/>
  <c r="T30" i="21"/>
  <c r="Q30" i="21"/>
  <c r="R29" i="21"/>
  <c r="T29" i="21"/>
  <c r="Q29" i="21"/>
  <c r="R28" i="21"/>
  <c r="T28" i="21"/>
  <c r="Q28" i="21"/>
  <c r="R27" i="21"/>
  <c r="T27" i="21"/>
  <c r="Q27" i="21"/>
  <c r="R26" i="21"/>
  <c r="T26" i="21"/>
  <c r="Q26" i="21"/>
  <c r="R25" i="21"/>
  <c r="T25" i="21"/>
  <c r="Q25" i="21"/>
  <c r="R24" i="21"/>
  <c r="T24" i="21"/>
  <c r="Q24" i="21"/>
  <c r="Q23" i="21"/>
  <c r="R23" i="21" s="1"/>
  <c r="T23" i="21" s="1"/>
  <c r="Q22" i="21"/>
  <c r="R22" i="21" s="1"/>
  <c r="T22" i="21" s="1"/>
  <c r="Q21" i="21"/>
  <c r="R21" i="21" s="1"/>
  <c r="T21" i="21" s="1"/>
  <c r="Q20" i="21"/>
  <c r="R20" i="21" s="1"/>
  <c r="T20" i="21" s="1"/>
  <c r="R19" i="21"/>
  <c r="T19" i="21"/>
  <c r="Q19" i="21"/>
  <c r="R18" i="21"/>
  <c r="T18" i="21"/>
  <c r="Q18" i="21"/>
  <c r="R17" i="21"/>
  <c r="T17" i="21"/>
  <c r="Q17" i="21"/>
  <c r="R16" i="21"/>
  <c r="T16" i="21"/>
  <c r="Q16" i="21"/>
  <c r="R15" i="21"/>
  <c r="T15" i="21"/>
  <c r="Q15" i="21"/>
  <c r="R14" i="21"/>
  <c r="T14" i="21"/>
  <c r="Q14" i="21"/>
  <c r="R13" i="21"/>
  <c r="T13" i="21"/>
  <c r="Q13" i="21"/>
  <c r="R12" i="21"/>
  <c r="T12" i="21"/>
  <c r="Q12" i="21"/>
  <c r="R11" i="21"/>
  <c r="T11" i="21"/>
  <c r="Q11" i="21"/>
  <c r="R10" i="21"/>
  <c r="T10" i="21"/>
  <c r="Q10" i="21"/>
  <c r="Q9" i="21"/>
  <c r="R9" i="21" s="1"/>
  <c r="T9" i="21" s="1"/>
  <c r="Q8" i="21"/>
  <c r="R8" i="21" s="1"/>
  <c r="T8" i="21" s="1"/>
  <c r="R7" i="21"/>
  <c r="T7" i="21" s="1"/>
  <c r="Q7" i="21"/>
  <c r="Q6" i="21"/>
  <c r="R6" i="21" s="1"/>
  <c r="T6" i="21" s="1"/>
  <c r="Q5" i="21"/>
  <c r="J36" i="21"/>
  <c r="R4" i="21"/>
  <c r="T4" i="21"/>
  <c r="Q4" i="21"/>
  <c r="S36" i="20"/>
  <c r="D7" i="29"/>
  <c r="Q34" i="20"/>
  <c r="R34" i="20"/>
  <c r="T34" i="20"/>
  <c r="R33" i="20"/>
  <c r="T33" i="20"/>
  <c r="Q33" i="20"/>
  <c r="Q32" i="20"/>
  <c r="R32" i="20"/>
  <c r="T32" i="20"/>
  <c r="R31" i="20"/>
  <c r="T31" i="20"/>
  <c r="Q31" i="20"/>
  <c r="Q30" i="20"/>
  <c r="R30" i="20"/>
  <c r="R29" i="20"/>
  <c r="T29" i="20"/>
  <c r="Q29" i="20"/>
  <c r="Q28" i="20"/>
  <c r="R28" i="20"/>
  <c r="T28" i="20"/>
  <c r="R27" i="20"/>
  <c r="T27" i="20"/>
  <c r="Q27" i="20"/>
  <c r="Q26" i="20"/>
  <c r="R26" i="20"/>
  <c r="T26" i="20"/>
  <c r="R25" i="20"/>
  <c r="T25" i="20"/>
  <c r="Q25" i="20"/>
  <c r="Q24" i="20"/>
  <c r="R24" i="20"/>
  <c r="T24" i="20"/>
  <c r="R23" i="20"/>
  <c r="T23" i="20"/>
  <c r="Q23" i="20"/>
  <c r="Q22" i="20"/>
  <c r="R22" i="20"/>
  <c r="T22" i="20"/>
  <c r="R21" i="20"/>
  <c r="T21" i="20"/>
  <c r="Q21" i="20"/>
  <c r="Q20" i="20"/>
  <c r="R20" i="20"/>
  <c r="T20" i="20"/>
  <c r="R19" i="20"/>
  <c r="T19" i="20"/>
  <c r="Q19" i="20"/>
  <c r="Q18" i="20"/>
  <c r="R18" i="20"/>
  <c r="T18" i="20"/>
  <c r="R17" i="20"/>
  <c r="T17" i="20"/>
  <c r="Q17" i="20"/>
  <c r="Q16" i="20"/>
  <c r="R16" i="20"/>
  <c r="T16" i="20"/>
  <c r="R15" i="20"/>
  <c r="T15" i="20"/>
  <c r="Q15" i="20"/>
  <c r="Q14" i="20"/>
  <c r="R14" i="20"/>
  <c r="T14" i="20"/>
  <c r="R13" i="20"/>
  <c r="T13" i="20"/>
  <c r="Q13" i="20"/>
  <c r="Q12" i="20"/>
  <c r="R12" i="20"/>
  <c r="T12" i="20"/>
  <c r="R11" i="20"/>
  <c r="T11" i="20"/>
  <c r="Q11" i="20"/>
  <c r="Q10" i="20"/>
  <c r="R10" i="20" s="1"/>
  <c r="T10" i="20" s="1"/>
  <c r="Q9" i="20"/>
  <c r="Q8" i="20"/>
  <c r="R8" i="20"/>
  <c r="T8" i="20"/>
  <c r="R7" i="20"/>
  <c r="T7" i="20"/>
  <c r="Q7" i="20"/>
  <c r="Q6" i="20"/>
  <c r="R6" i="20"/>
  <c r="T6" i="20"/>
  <c r="R5" i="20"/>
  <c r="T5" i="20"/>
  <c r="Q5" i="20"/>
  <c r="J36" i="20"/>
  <c r="Q4" i="20"/>
  <c r="R4" i="20"/>
  <c r="S34" i="17"/>
  <c r="D5" i="29"/>
  <c r="Q31" i="17"/>
  <c r="R31" i="17"/>
  <c r="T31" i="17"/>
  <c r="R30" i="17"/>
  <c r="T30" i="17"/>
  <c r="Q30" i="17"/>
  <c r="R29" i="17"/>
  <c r="T29" i="17" s="1"/>
  <c r="R28" i="17"/>
  <c r="T28" i="17" s="1"/>
  <c r="R27" i="17"/>
  <c r="T27" i="17" s="1"/>
  <c r="R26" i="17"/>
  <c r="T26" i="17" s="1"/>
  <c r="Q25" i="17"/>
  <c r="R25" i="17"/>
  <c r="T25" i="17"/>
  <c r="R24" i="17"/>
  <c r="T24" i="17" s="1"/>
  <c r="Q24" i="17"/>
  <c r="Q23" i="17"/>
  <c r="R23" i="17" s="1"/>
  <c r="T23" i="17" s="1"/>
  <c r="R22" i="17"/>
  <c r="T22" i="17"/>
  <c r="Q22" i="17"/>
  <c r="Q21" i="17"/>
  <c r="R21" i="17"/>
  <c r="T21" i="17"/>
  <c r="R20" i="17"/>
  <c r="T20" i="17"/>
  <c r="Q20" i="17"/>
  <c r="Q19" i="17"/>
  <c r="R19" i="17"/>
  <c r="T19" i="17"/>
  <c r="R18" i="17"/>
  <c r="T18" i="17"/>
  <c r="Q18" i="17"/>
  <c r="Q17" i="17"/>
  <c r="R17" i="17"/>
  <c r="T17" i="17"/>
  <c r="R16" i="17"/>
  <c r="T16" i="17"/>
  <c r="Q16" i="17"/>
  <c r="Q15" i="17"/>
  <c r="R15" i="17"/>
  <c r="T15" i="17"/>
  <c r="R14" i="17"/>
  <c r="T14" i="17"/>
  <c r="Q14" i="17"/>
  <c r="Q13" i="17"/>
  <c r="R13" i="17"/>
  <c r="T13" i="17"/>
  <c r="R12" i="17"/>
  <c r="T12" i="17"/>
  <c r="Q12" i="17"/>
  <c r="Q11" i="17"/>
  <c r="R11" i="17"/>
  <c r="T11" i="17"/>
  <c r="Q10" i="17"/>
  <c r="R10" i="17" s="1"/>
  <c r="Q9" i="17"/>
  <c r="R9" i="17"/>
  <c r="T9" i="17"/>
  <c r="R8" i="17"/>
  <c r="T8" i="17"/>
  <c r="Q8" i="17"/>
  <c r="Q7" i="17"/>
  <c r="R7" i="17" s="1"/>
  <c r="T7" i="17" s="1"/>
  <c r="Q6" i="17"/>
  <c r="R6" i="17" s="1"/>
  <c r="T6" i="17" s="1"/>
  <c r="Q5" i="17"/>
  <c r="R5" i="17" s="1"/>
  <c r="T5" i="17" s="1"/>
  <c r="Q4" i="17"/>
  <c r="R4" i="17" s="1"/>
  <c r="T4" i="17" s="1"/>
  <c r="I25" i="19"/>
  <c r="F25" i="19"/>
  <c r="R4" i="22"/>
  <c r="T4" i="22" s="1"/>
  <c r="J35" i="25"/>
  <c r="J36" i="24"/>
  <c r="R27" i="24"/>
  <c r="T27" i="24"/>
  <c r="T4" i="20"/>
  <c r="I33" i="22"/>
  <c r="F33" i="22"/>
  <c r="I32" i="22"/>
  <c r="F32" i="22"/>
  <c r="I28" i="22"/>
  <c r="F28" i="22"/>
  <c r="F29" i="22"/>
  <c r="I29" i="22"/>
  <c r="F30" i="22"/>
  <c r="I30" i="22"/>
  <c r="F31" i="22"/>
  <c r="I31" i="22"/>
  <c r="K36" i="19"/>
  <c r="Q34" i="19"/>
  <c r="R34" i="19"/>
  <c r="T34" i="19"/>
  <c r="Q33" i="19"/>
  <c r="R33" i="19"/>
  <c r="T33" i="19"/>
  <c r="Q32" i="19"/>
  <c r="R32" i="19"/>
  <c r="T32" i="19"/>
  <c r="Q31" i="19"/>
  <c r="R31" i="19"/>
  <c r="T31" i="19"/>
  <c r="Q30" i="19"/>
  <c r="R30" i="19"/>
  <c r="T30" i="19"/>
  <c r="Q29" i="19"/>
  <c r="R29" i="19"/>
  <c r="T29" i="19"/>
  <c r="Q28" i="19"/>
  <c r="R28" i="19"/>
  <c r="T28" i="19"/>
  <c r="Q27" i="19"/>
  <c r="R27" i="19"/>
  <c r="T27" i="19"/>
  <c r="Q26" i="19"/>
  <c r="R26" i="19" s="1"/>
  <c r="T26" i="19" s="1"/>
  <c r="Q25" i="19"/>
  <c r="R25" i="19"/>
  <c r="T25" i="19"/>
  <c r="Q24" i="19"/>
  <c r="R24" i="19"/>
  <c r="T24" i="19"/>
  <c r="Q23" i="19"/>
  <c r="R23" i="19"/>
  <c r="T23" i="19"/>
  <c r="Q22" i="19"/>
  <c r="R22" i="19"/>
  <c r="T22" i="19"/>
  <c r="Q21" i="19"/>
  <c r="R21" i="19"/>
  <c r="T21" i="19"/>
  <c r="Q20" i="19"/>
  <c r="R20" i="19"/>
  <c r="T20" i="19"/>
  <c r="Q19" i="19"/>
  <c r="R19" i="19"/>
  <c r="T19" i="19"/>
  <c r="Q18" i="19"/>
  <c r="R18" i="19"/>
  <c r="T18" i="19"/>
  <c r="Q17" i="19"/>
  <c r="R17" i="19"/>
  <c r="T17" i="19"/>
  <c r="Q16" i="19"/>
  <c r="R16" i="19"/>
  <c r="T16" i="19"/>
  <c r="Q15" i="19"/>
  <c r="R15" i="19" s="1"/>
  <c r="T15" i="19" s="1"/>
  <c r="Q14" i="19"/>
  <c r="R14" i="19" s="1"/>
  <c r="Q13" i="19"/>
  <c r="R13" i="19"/>
  <c r="T13" i="19"/>
  <c r="Q12" i="19"/>
  <c r="R12" i="19"/>
  <c r="T12" i="19"/>
  <c r="Q11" i="19"/>
  <c r="R11" i="19"/>
  <c r="T11" i="19"/>
  <c r="Q10" i="19"/>
  <c r="R10" i="19"/>
  <c r="T10" i="19"/>
  <c r="Q9" i="19"/>
  <c r="R9" i="19"/>
  <c r="T9" i="19"/>
  <c r="Q8" i="19"/>
  <c r="R8" i="19"/>
  <c r="T8" i="19"/>
  <c r="Q7" i="19"/>
  <c r="R7" i="19"/>
  <c r="T7" i="19"/>
  <c r="Q6" i="19"/>
  <c r="R6" i="19"/>
  <c r="T6" i="19"/>
  <c r="Q5" i="19"/>
  <c r="Q4" i="19"/>
  <c r="R4" i="19"/>
  <c r="T4" i="19"/>
  <c r="I4" i="19"/>
  <c r="I5" i="19"/>
  <c r="I6" i="19"/>
  <c r="I7" i="19"/>
  <c r="I8" i="19"/>
  <c r="I9" i="19"/>
  <c r="I10" i="19"/>
  <c r="I11" i="19"/>
  <c r="I12" i="19"/>
  <c r="I13" i="19"/>
  <c r="I16" i="19"/>
  <c r="I17" i="19"/>
  <c r="I18" i="19"/>
  <c r="I19" i="19"/>
  <c r="I20" i="19"/>
  <c r="I21" i="19"/>
  <c r="I22" i="19"/>
  <c r="I23" i="19"/>
  <c r="I24" i="19"/>
  <c r="I26" i="19"/>
  <c r="I27" i="19"/>
  <c r="I28" i="19"/>
  <c r="I29" i="19"/>
  <c r="I30" i="19"/>
  <c r="I31" i="19"/>
  <c r="I32" i="19"/>
  <c r="I33" i="19"/>
  <c r="I34" i="19"/>
  <c r="C34" i="29"/>
  <c r="R5" i="19"/>
  <c r="J36" i="19"/>
  <c r="T5" i="19"/>
  <c r="J17" i="29"/>
  <c r="G24" i="29"/>
  <c r="C24" i="29"/>
  <c r="G31" i="29"/>
  <c r="C28" i="29"/>
  <c r="F16" i="22"/>
  <c r="F15" i="1"/>
  <c r="F14" i="1"/>
  <c r="I13" i="1"/>
  <c r="F11" i="21"/>
  <c r="F12" i="21"/>
  <c r="F15" i="20"/>
  <c r="F9" i="20"/>
  <c r="F10" i="20"/>
  <c r="F11" i="20"/>
  <c r="F24" i="19"/>
  <c r="F23" i="19"/>
  <c r="F27" i="1"/>
  <c r="I19" i="17"/>
  <c r="F19" i="17"/>
  <c r="F13" i="17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5" i="22"/>
  <c r="I4" i="22"/>
  <c r="F27" i="22"/>
  <c r="F26" i="22"/>
  <c r="F25" i="22"/>
  <c r="F24" i="22"/>
  <c r="F23" i="22"/>
  <c r="F22" i="22"/>
  <c r="F21" i="22"/>
  <c r="F20" i="22"/>
  <c r="F19" i="22"/>
  <c r="F18" i="22"/>
  <c r="F17" i="22"/>
  <c r="F15" i="22"/>
  <c r="F14" i="22"/>
  <c r="F13" i="22"/>
  <c r="F12" i="22"/>
  <c r="F11" i="22"/>
  <c r="F10" i="22"/>
  <c r="F9" i="22"/>
  <c r="F8" i="22"/>
  <c r="F7" i="22"/>
  <c r="F6" i="22"/>
  <c r="F5" i="22"/>
  <c r="F4" i="22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0" i="21"/>
  <c r="F9" i="21"/>
  <c r="F8" i="21"/>
  <c r="F7" i="21"/>
  <c r="F6" i="21"/>
  <c r="F5" i="21"/>
  <c r="F4" i="21"/>
  <c r="I34" i="20"/>
  <c r="I33" i="20"/>
  <c r="I32" i="20"/>
  <c r="I31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F34" i="20"/>
  <c r="F33" i="20"/>
  <c r="F32" i="20"/>
  <c r="F31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4" i="20"/>
  <c r="F13" i="20"/>
  <c r="F12" i="20"/>
  <c r="F8" i="20"/>
  <c r="F7" i="20"/>
  <c r="F6" i="20"/>
  <c r="F5" i="20"/>
  <c r="F4" i="20"/>
  <c r="F34" i="19"/>
  <c r="F33" i="19"/>
  <c r="F32" i="19"/>
  <c r="F31" i="19"/>
  <c r="F30" i="19"/>
  <c r="F29" i="19"/>
  <c r="F28" i="19"/>
  <c r="F27" i="19"/>
  <c r="F26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I31" i="17"/>
  <c r="I30" i="17"/>
  <c r="I29" i="17"/>
  <c r="I25" i="17"/>
  <c r="I24" i="17"/>
  <c r="I23" i="17"/>
  <c r="I22" i="17"/>
  <c r="I21" i="17"/>
  <c r="I20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8" i="17"/>
  <c r="F17" i="17"/>
  <c r="F16" i="17"/>
  <c r="F15" i="17"/>
  <c r="F14" i="17"/>
  <c r="F12" i="17"/>
  <c r="F11" i="17"/>
  <c r="F10" i="17"/>
  <c r="F9" i="17"/>
  <c r="F8" i="17"/>
  <c r="F7" i="17"/>
  <c r="F6" i="17"/>
  <c r="F5" i="17"/>
  <c r="F4" i="17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2" i="1"/>
  <c r="I11" i="1"/>
  <c r="I10" i="1"/>
  <c r="I9" i="1"/>
  <c r="I8" i="1"/>
  <c r="I7" i="1"/>
  <c r="I6" i="1"/>
  <c r="I5" i="1"/>
  <c r="I4" i="1"/>
  <c r="F34" i="1"/>
  <c r="F33" i="1"/>
  <c r="F32" i="1"/>
  <c r="F31" i="1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  <c r="F6" i="1"/>
  <c r="F5" i="1"/>
  <c r="F4" i="1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S36" i="1"/>
  <c r="D4" i="29" s="1"/>
  <c r="Q34" i="1"/>
  <c r="R34" i="1" s="1"/>
  <c r="T34" i="1" s="1"/>
  <c r="Q33" i="1"/>
  <c r="R33" i="1" s="1"/>
  <c r="T33" i="1" s="1"/>
  <c r="R32" i="1"/>
  <c r="T32" i="1" s="1"/>
  <c r="R31" i="1"/>
  <c r="T31" i="1" s="1"/>
  <c r="Q30" i="1"/>
  <c r="R30" i="1" s="1"/>
  <c r="T30" i="1" s="1"/>
  <c r="Q29" i="1"/>
  <c r="R29" i="1" s="1"/>
  <c r="T29" i="1" s="1"/>
  <c r="Q28" i="1"/>
  <c r="R28" i="1" s="1"/>
  <c r="T28" i="1" s="1"/>
  <c r="Q27" i="1"/>
  <c r="R27" i="1"/>
  <c r="T27" i="1" s="1"/>
  <c r="Q26" i="1"/>
  <c r="R26" i="1" s="1"/>
  <c r="T26" i="1" s="1"/>
  <c r="Q25" i="1"/>
  <c r="R25" i="1" s="1"/>
  <c r="T25" i="1" s="1"/>
  <c r="Q24" i="1"/>
  <c r="R24" i="1" s="1"/>
  <c r="T24" i="1" s="1"/>
  <c r="Q23" i="1"/>
  <c r="R23" i="1" s="1"/>
  <c r="T23" i="1" s="1"/>
  <c r="Q22" i="1"/>
  <c r="R22" i="1"/>
  <c r="T22" i="1" s="1"/>
  <c r="Q21" i="1"/>
  <c r="R21" i="1" s="1"/>
  <c r="T21" i="1" s="1"/>
  <c r="Q20" i="1"/>
  <c r="R20" i="1"/>
  <c r="T20" i="1" s="1"/>
  <c r="Q19" i="1"/>
  <c r="R19" i="1" s="1"/>
  <c r="T19" i="1" s="1"/>
  <c r="Q18" i="1"/>
  <c r="R18" i="1" s="1"/>
  <c r="T18" i="1" s="1"/>
  <c r="R17" i="1"/>
  <c r="T17" i="1" s="1"/>
  <c r="Q16" i="1"/>
  <c r="R16" i="1" s="1"/>
  <c r="T16" i="1" s="1"/>
  <c r="Q15" i="1"/>
  <c r="R15" i="1" s="1"/>
  <c r="T15" i="1" s="1"/>
  <c r="Q14" i="1"/>
  <c r="R14" i="1" s="1"/>
  <c r="T14" i="1" s="1"/>
  <c r="Q13" i="1"/>
  <c r="R13" i="1" s="1"/>
  <c r="T13" i="1" s="1"/>
  <c r="Q12" i="1"/>
  <c r="R12" i="1" s="1"/>
  <c r="T12" i="1" s="1"/>
  <c r="Q11" i="1"/>
  <c r="R11" i="1"/>
  <c r="T11" i="1" s="1"/>
  <c r="Q10" i="1"/>
  <c r="R10" i="1" s="1"/>
  <c r="T10" i="1" s="1"/>
  <c r="Q9" i="1"/>
  <c r="R9" i="1" s="1"/>
  <c r="T9" i="1" s="1"/>
  <c r="Q8" i="1"/>
  <c r="R8" i="1" s="1"/>
  <c r="T8" i="1" s="1"/>
  <c r="Q7" i="1"/>
  <c r="R7" i="1" s="1"/>
  <c r="T7" i="1" s="1"/>
  <c r="Q6" i="1"/>
  <c r="R6" i="1"/>
  <c r="T6" i="1" s="1"/>
  <c r="Q5" i="1"/>
  <c r="R5" i="1" s="1"/>
  <c r="T5" i="1" s="1"/>
  <c r="Q4" i="1"/>
  <c r="R4" i="1" s="1"/>
  <c r="T4" i="1" s="1"/>
  <c r="F24" i="23"/>
  <c r="M36" i="22"/>
  <c r="J5" i="29"/>
  <c r="O5" i="29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I8" i="23"/>
  <c r="F8" i="23"/>
  <c r="I7" i="23"/>
  <c r="F7" i="23"/>
  <c r="I6" i="23"/>
  <c r="F6" i="23"/>
  <c r="I5" i="23"/>
  <c r="F5" i="23"/>
  <c r="I4" i="23"/>
  <c r="F4" i="23"/>
  <c r="J36" i="22"/>
  <c r="J36" i="23"/>
  <c r="T32" i="23"/>
  <c r="L36" i="20"/>
  <c r="L36" i="22"/>
  <c r="T30" i="20"/>
  <c r="P36" i="23"/>
  <c r="P36" i="22"/>
  <c r="P36" i="21"/>
  <c r="P36" i="20"/>
  <c r="P36" i="19"/>
  <c r="P36" i="24"/>
  <c r="P36" i="27"/>
  <c r="Q36" i="28"/>
  <c r="O36" i="1"/>
  <c r="J36" i="1"/>
  <c r="P36" i="26" l="1"/>
  <c r="Q36" i="19"/>
  <c r="L6" i="29" s="1"/>
  <c r="O6" i="29" s="1"/>
  <c r="P6" i="29" s="1"/>
  <c r="T11" i="26"/>
  <c r="R36" i="26"/>
  <c r="Q36" i="26"/>
  <c r="Q35" i="25"/>
  <c r="L12" i="29" s="1"/>
  <c r="J12" i="29" s="1"/>
  <c r="R35" i="25"/>
  <c r="T35" i="25" s="1"/>
  <c r="T4" i="25"/>
  <c r="Q36" i="24"/>
  <c r="L11" i="29" s="1"/>
  <c r="J11" i="29" s="1"/>
  <c r="R36" i="24"/>
  <c r="T8" i="24"/>
  <c r="T6" i="22"/>
  <c r="R36" i="22"/>
  <c r="Q36" i="22"/>
  <c r="Q36" i="21"/>
  <c r="Q40" i="21" s="1"/>
  <c r="R40" i="21" s="1"/>
  <c r="R5" i="21"/>
  <c r="Q36" i="20"/>
  <c r="Q40" i="20" s="1"/>
  <c r="R40" i="20" s="1"/>
  <c r="L7" i="29"/>
  <c r="N7" i="29" s="1"/>
  <c r="R9" i="20"/>
  <c r="T14" i="19"/>
  <c r="R36" i="19"/>
  <c r="C6" i="29" s="1"/>
  <c r="E6" i="29" s="1"/>
  <c r="Q40" i="19"/>
  <c r="R40" i="19" s="1"/>
  <c r="N6" i="29"/>
  <c r="R36" i="23"/>
  <c r="T4" i="23"/>
  <c r="Q36" i="23"/>
  <c r="D16" i="29"/>
  <c r="Q34" i="17"/>
  <c r="Q38" i="17" s="1"/>
  <c r="R38" i="17" s="1"/>
  <c r="T10" i="17"/>
  <c r="R34" i="17"/>
  <c r="Q36" i="1"/>
  <c r="Q40" i="1" s="1"/>
  <c r="R40" i="1" s="1"/>
  <c r="L36" i="1"/>
  <c r="L36" i="28"/>
  <c r="J36" i="28"/>
  <c r="R36" i="28"/>
  <c r="L15" i="29" s="1"/>
  <c r="J15" i="29" s="1"/>
  <c r="S36" i="28"/>
  <c r="U4" i="28"/>
  <c r="J36" i="27"/>
  <c r="Q36" i="27"/>
  <c r="C14" i="29"/>
  <c r="E14" i="29" s="1"/>
  <c r="L36" i="27"/>
  <c r="R36" i="1"/>
  <c r="R40" i="28" l="1"/>
  <c r="S40" i="28" s="1"/>
  <c r="L14" i="29"/>
  <c r="O12" i="29"/>
  <c r="N12" i="29"/>
  <c r="J6" i="29"/>
  <c r="L13" i="29"/>
  <c r="Q40" i="26"/>
  <c r="R40" i="26" s="1"/>
  <c r="C13" i="29"/>
  <c r="E13" i="29" s="1"/>
  <c r="T36" i="26"/>
  <c r="Q39" i="25"/>
  <c r="Q40" i="24"/>
  <c r="R40" i="24" s="1"/>
  <c r="O11" i="29"/>
  <c r="N11" i="29"/>
  <c r="C11" i="29"/>
  <c r="E11" i="29" s="1"/>
  <c r="T36" i="24"/>
  <c r="L9" i="29"/>
  <c r="Q40" i="22"/>
  <c r="R40" i="22" s="1"/>
  <c r="T36" i="22"/>
  <c r="C9" i="29"/>
  <c r="E9" i="29" s="1"/>
  <c r="L8" i="29"/>
  <c r="O8" i="29" s="1"/>
  <c r="R36" i="21"/>
  <c r="T5" i="21"/>
  <c r="J8" i="29"/>
  <c r="N8" i="29"/>
  <c r="T9" i="20"/>
  <c r="R36" i="20"/>
  <c r="O7" i="29"/>
  <c r="J7" i="29"/>
  <c r="L4" i="29"/>
  <c r="J4" i="29" s="1"/>
  <c r="L10" i="29"/>
  <c r="Q40" i="23"/>
  <c r="R40" i="23" s="1"/>
  <c r="C10" i="29"/>
  <c r="E10" i="29" s="1"/>
  <c r="T36" i="23"/>
  <c r="C5" i="29"/>
  <c r="E5" i="29" s="1"/>
  <c r="T34" i="17"/>
  <c r="N15" i="29"/>
  <c r="O15" i="29"/>
  <c r="U36" i="28"/>
  <c r="C15" i="29"/>
  <c r="E15" i="29" s="1"/>
  <c r="T36" i="27"/>
  <c r="J14" i="29"/>
  <c r="O14" i="29"/>
  <c r="N14" i="29"/>
  <c r="C4" i="29"/>
  <c r="T36" i="1"/>
  <c r="L16" i="29" l="1"/>
  <c r="L17" i="29" s="1"/>
  <c r="P12" i="29"/>
  <c r="O13" i="29"/>
  <c r="P13" i="29" s="1"/>
  <c r="J13" i="29"/>
  <c r="N13" i="29"/>
  <c r="N9" i="29"/>
  <c r="O9" i="29"/>
  <c r="P9" i="29" s="1"/>
  <c r="J9" i="29"/>
  <c r="C8" i="29"/>
  <c r="E8" i="29" s="1"/>
  <c r="T36" i="21"/>
  <c r="P7" i="29"/>
  <c r="P8" i="29"/>
  <c r="C7" i="29"/>
  <c r="E7" i="29" s="1"/>
  <c r="T36" i="20"/>
  <c r="O4" i="29"/>
  <c r="P5" i="29" s="1"/>
  <c r="N4" i="29"/>
  <c r="N17" i="29" s="1"/>
  <c r="O10" i="29"/>
  <c r="J10" i="29"/>
  <c r="J16" i="29" s="1"/>
  <c r="K17" i="29" s="1"/>
  <c r="N10" i="29"/>
  <c r="P14" i="29"/>
  <c r="P15" i="29"/>
  <c r="O16" i="29"/>
  <c r="O17" i="29" s="1"/>
  <c r="P4" i="29"/>
  <c r="E4" i="29"/>
  <c r="E16" i="29" s="1"/>
  <c r="C16" i="29"/>
  <c r="C29" i="29" s="1"/>
  <c r="C31" i="29" s="1"/>
  <c r="P10" i="29" l="1"/>
  <c r="P11" i="29"/>
  <c r="P17" i="29" l="1"/>
</calcChain>
</file>

<file path=xl/sharedStrings.xml><?xml version="1.0" encoding="utf-8"?>
<sst xmlns="http://schemas.openxmlformats.org/spreadsheetml/2006/main" count="781" uniqueCount="308">
  <si>
    <t>CH</t>
  </si>
  <si>
    <t>CC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</si>
  <si>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</si>
  <si>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</si>
  <si>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</si>
  <si>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</si>
  <si>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</si>
  <si>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</si>
  <si>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</si>
  <si>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</si>
  <si>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NOVEMBRE</t>
  </si>
  <si>
    <t>DÉCEMBRE</t>
  </si>
  <si>
    <t>OCTOBRE</t>
  </si>
  <si>
    <t>MATIN</t>
  </si>
  <si>
    <t>APRES MIDI</t>
  </si>
  <si>
    <t>JANVIER</t>
  </si>
  <si>
    <t>Temps</t>
  </si>
  <si>
    <t>TOTAL</t>
  </si>
  <si>
    <t>Service</t>
  </si>
  <si>
    <t>RTT</t>
  </si>
  <si>
    <t>Heures Supp</t>
  </si>
  <si>
    <t>Perso</t>
  </si>
  <si>
    <t>Kéolis</t>
  </si>
  <si>
    <t>737-21</t>
  </si>
  <si>
    <t>719-3</t>
  </si>
  <si>
    <t>726-5</t>
  </si>
  <si>
    <t>721-3</t>
  </si>
  <si>
    <t>819-3</t>
  </si>
  <si>
    <t>820-3(dp)</t>
  </si>
  <si>
    <t>821-3</t>
  </si>
  <si>
    <t>817-3</t>
  </si>
  <si>
    <t>CB</t>
  </si>
  <si>
    <t>RP-701</t>
  </si>
  <si>
    <t>905-5</t>
  </si>
  <si>
    <t>903-1</t>
  </si>
  <si>
    <t>825-4</t>
  </si>
  <si>
    <t>827-15</t>
  </si>
  <si>
    <t>Heures</t>
  </si>
  <si>
    <t>Centièmes</t>
  </si>
  <si>
    <t>Différence</t>
  </si>
  <si>
    <t>736-18</t>
  </si>
  <si>
    <t>720-3</t>
  </si>
  <si>
    <t>803-1</t>
  </si>
  <si>
    <t>103-5</t>
  </si>
  <si>
    <t>843-25</t>
  </si>
  <si>
    <t>802-1</t>
  </si>
  <si>
    <t>810-1</t>
  </si>
  <si>
    <t>106-70</t>
  </si>
  <si>
    <t>730-12</t>
  </si>
  <si>
    <t>705-1</t>
  </si>
  <si>
    <t>301-1</t>
  </si>
  <si>
    <t>304-5</t>
  </si>
  <si>
    <t>CP</t>
  </si>
  <si>
    <t>314-4</t>
  </si>
  <si>
    <t>805-1</t>
  </si>
  <si>
    <t>822-2</t>
  </si>
  <si>
    <t>710-1</t>
  </si>
  <si>
    <t>742-6</t>
  </si>
  <si>
    <t>706-1</t>
  </si>
  <si>
    <t>748-8</t>
  </si>
  <si>
    <t>732-4</t>
  </si>
  <si>
    <t>305-1</t>
  </si>
  <si>
    <t>907-3</t>
  </si>
  <si>
    <t>838-6</t>
  </si>
  <si>
    <t>819-2</t>
  </si>
  <si>
    <t>913-5</t>
  </si>
  <si>
    <t>718-2</t>
  </si>
  <si>
    <t>733-4</t>
  </si>
  <si>
    <t>761-18</t>
  </si>
  <si>
    <t>740-5</t>
  </si>
  <si>
    <t>204-4</t>
  </si>
  <si>
    <t>FOCO</t>
  </si>
  <si>
    <t>107-7</t>
  </si>
  <si>
    <t>122-70</t>
  </si>
  <si>
    <t>741-5</t>
  </si>
  <si>
    <t>726-3</t>
  </si>
  <si>
    <t>757-15</t>
  </si>
  <si>
    <t>850-7</t>
  </si>
  <si>
    <t>806-1</t>
  </si>
  <si>
    <t>304-1</t>
  </si>
  <si>
    <t>306-1</t>
  </si>
  <si>
    <t>319-18</t>
  </si>
  <si>
    <t>399-18</t>
  </si>
  <si>
    <t>310-4</t>
  </si>
  <si>
    <t>FERIÉ</t>
  </si>
  <si>
    <t>905-2</t>
  </si>
  <si>
    <t>817-2</t>
  </si>
  <si>
    <t>915-70</t>
  </si>
  <si>
    <t>874-27</t>
  </si>
  <si>
    <t>310-2</t>
  </si>
  <si>
    <t>714-2</t>
  </si>
  <si>
    <t>315-18</t>
  </si>
  <si>
    <t>829-3</t>
  </si>
  <si>
    <t>765-18</t>
  </si>
  <si>
    <t>746-7</t>
  </si>
  <si>
    <t>729-3</t>
  </si>
  <si>
    <t>768-21</t>
  </si>
  <si>
    <t>738-5</t>
  </si>
  <si>
    <t>874-25</t>
  </si>
  <si>
    <t>CH(MSH)</t>
  </si>
  <si>
    <t>Horaire mensuel</t>
  </si>
  <si>
    <t>853-8</t>
  </si>
  <si>
    <t>844-5</t>
  </si>
  <si>
    <t>831-4</t>
  </si>
  <si>
    <t>820-2</t>
  </si>
  <si>
    <t>840-4</t>
  </si>
  <si>
    <t>837-4</t>
  </si>
  <si>
    <t>119-5</t>
  </si>
  <si>
    <t>743-6</t>
  </si>
  <si>
    <t>756-15</t>
  </si>
  <si>
    <t>756-15(RTT)</t>
  </si>
  <si>
    <t>868-21</t>
  </si>
  <si>
    <t>864-21</t>
  </si>
  <si>
    <t>Horaire de base</t>
  </si>
  <si>
    <t>Valorisation RTT</t>
  </si>
  <si>
    <t>Valorisation CP</t>
  </si>
  <si>
    <t>RTT pris</t>
  </si>
  <si>
    <t>Horaire de référence</t>
  </si>
  <si>
    <t>RTT acquis</t>
  </si>
  <si>
    <t>CP acquis</t>
  </si>
  <si>
    <t>CP pris</t>
  </si>
  <si>
    <t>Temps de travail</t>
  </si>
  <si>
    <t>Heures payés</t>
  </si>
  <si>
    <t>Soldes</t>
  </si>
  <si>
    <t>866-18</t>
  </si>
  <si>
    <t>903-2</t>
  </si>
  <si>
    <t>753-9</t>
  </si>
  <si>
    <t>769-18</t>
  </si>
  <si>
    <t>733-3</t>
  </si>
  <si>
    <t>HEURES</t>
  </si>
  <si>
    <t>CENTIÈMES</t>
  </si>
  <si>
    <t xml:space="preserve">AVRIL </t>
  </si>
  <si>
    <t>Horaire de Base Mensuel</t>
  </si>
  <si>
    <t>€</t>
  </si>
  <si>
    <t>MOYENNE</t>
  </si>
  <si>
    <t>Date</t>
  </si>
  <si>
    <t>RT</t>
  </si>
  <si>
    <t>749-8</t>
  </si>
  <si>
    <t>20RE</t>
  </si>
  <si>
    <t>771-18</t>
  </si>
  <si>
    <t>714-1</t>
  </si>
  <si>
    <t>125-70</t>
  </si>
  <si>
    <t>833-4</t>
  </si>
  <si>
    <t>826-3</t>
  </si>
  <si>
    <t>RP-801</t>
  </si>
  <si>
    <t>113-8</t>
  </si>
  <si>
    <t>Vacances</t>
  </si>
  <si>
    <t>101-1</t>
  </si>
  <si>
    <t>703-1</t>
  </si>
  <si>
    <t>832-3</t>
  </si>
  <si>
    <t>302-2</t>
  </si>
  <si>
    <t>117-36</t>
  </si>
  <si>
    <t>849-11</t>
  </si>
  <si>
    <t>852-12</t>
  </si>
  <si>
    <t>RTT (MSH)</t>
  </si>
  <si>
    <t>CH (MSH)</t>
  </si>
  <si>
    <t>Jours travaillés</t>
  </si>
  <si>
    <t>Prime de nuit</t>
  </si>
  <si>
    <t>Valeur du point</t>
  </si>
  <si>
    <t>748-8(MSH)</t>
  </si>
  <si>
    <t>717-2(MSH)</t>
  </si>
  <si>
    <t>739-5(MSH)</t>
  </si>
  <si>
    <t>RTT(MSH)</t>
  </si>
  <si>
    <t>CC(MSH)</t>
  </si>
  <si>
    <t>104-5(MSH)</t>
  </si>
  <si>
    <t>50RE(MSH)</t>
  </si>
  <si>
    <t>102-4(MSH)</t>
  </si>
  <si>
    <t>10RE(MSH)</t>
  </si>
  <si>
    <t>805-1 (MSH)</t>
  </si>
  <si>
    <t>CC (MSH)</t>
  </si>
  <si>
    <t>822-2 (MSH)</t>
  </si>
  <si>
    <t>738-5 (MSH)</t>
  </si>
  <si>
    <t>702-1 (MSH)</t>
  </si>
  <si>
    <t>705-1 (MSH)</t>
  </si>
  <si>
    <t>742-7 (MSH)</t>
  </si>
  <si>
    <t>754-11</t>
  </si>
  <si>
    <t>306-18</t>
  </si>
  <si>
    <t>108-7</t>
  </si>
  <si>
    <t>315-9</t>
  </si>
  <si>
    <t>CC (dp)</t>
  </si>
  <si>
    <t>PJ1</t>
  </si>
  <si>
    <t>PJ2</t>
  </si>
  <si>
    <t>VP</t>
  </si>
  <si>
    <t>Sal+Ancien</t>
  </si>
  <si>
    <t>Nuit</t>
  </si>
  <si>
    <t>Dimanche</t>
  </si>
  <si>
    <t>Dim Dem</t>
  </si>
  <si>
    <t>FERIE</t>
  </si>
  <si>
    <t>Férié</t>
  </si>
  <si>
    <t>827-5</t>
  </si>
  <si>
    <t>d CH(MSH)</t>
  </si>
  <si>
    <t>s CC(MSH)</t>
  </si>
  <si>
    <t>s 862-15(MSH)</t>
  </si>
  <si>
    <t>d CC(MSH)</t>
  </si>
  <si>
    <t>s CH(MSH)</t>
  </si>
  <si>
    <t>s 862-15</t>
  </si>
  <si>
    <t>d 512-15</t>
  </si>
  <si>
    <t>s 812-1</t>
  </si>
  <si>
    <t>d CH</t>
  </si>
  <si>
    <t>s CC</t>
  </si>
  <si>
    <t>s 304-4</t>
  </si>
  <si>
    <t>s 811-1</t>
  </si>
  <si>
    <t>s 901-1</t>
  </si>
  <si>
    <t>d 903-3</t>
  </si>
  <si>
    <t>s 752-25</t>
  </si>
  <si>
    <t>s 738-9</t>
  </si>
  <si>
    <t>s 306-3</t>
  </si>
  <si>
    <t>s RTT</t>
  </si>
  <si>
    <t>d RTT</t>
  </si>
  <si>
    <t>s CP</t>
  </si>
  <si>
    <t>d CP</t>
  </si>
  <si>
    <t>s 806-1</t>
  </si>
  <si>
    <t>s 824-4</t>
  </si>
  <si>
    <t>s 839-4</t>
  </si>
  <si>
    <t>d 907-3</t>
  </si>
  <si>
    <t>s 838-4</t>
  </si>
  <si>
    <t>s 736-8</t>
  </si>
  <si>
    <t>s 839-18</t>
  </si>
  <si>
    <t>d 906-2</t>
  </si>
  <si>
    <t>s 707-1</t>
  </si>
  <si>
    <t>s 803-1</t>
  </si>
  <si>
    <t>s 813-2</t>
  </si>
  <si>
    <t>s CP (MSH)</t>
  </si>
  <si>
    <t>d 52-3 (MSH)</t>
  </si>
  <si>
    <t>s 812-1 (MSH)</t>
  </si>
  <si>
    <t>d CH (MSH)</t>
  </si>
  <si>
    <t>s CC (MSH)</t>
  </si>
  <si>
    <t>s 306-12</t>
  </si>
  <si>
    <t>d CC</t>
  </si>
  <si>
    <t>s 848-7</t>
  </si>
  <si>
    <t>d 910-3</t>
  </si>
  <si>
    <t>s 733-11</t>
  </si>
  <si>
    <t>s 816-1</t>
  </si>
  <si>
    <t>s 309-18</t>
  </si>
  <si>
    <t>s 874-21</t>
  </si>
  <si>
    <t>10 RE</t>
  </si>
  <si>
    <t>761-15</t>
  </si>
  <si>
    <t>752-12</t>
  </si>
  <si>
    <t>s 735-12</t>
  </si>
  <si>
    <t>20 RE</t>
  </si>
  <si>
    <t>Matin</t>
  </si>
  <si>
    <t>Soir</t>
  </si>
  <si>
    <t>702-1</t>
  </si>
  <si>
    <t>ChècDej</t>
  </si>
  <si>
    <t>d 610-3</t>
  </si>
  <si>
    <t>v 811-1</t>
  </si>
  <si>
    <t>v 814-1</t>
  </si>
  <si>
    <t>202-2</t>
  </si>
  <si>
    <t>s 817-2</t>
  </si>
  <si>
    <t>v 903-2</t>
  </si>
  <si>
    <t>904-2</t>
  </si>
  <si>
    <t>305-3</t>
  </si>
  <si>
    <t>724-3</t>
  </si>
  <si>
    <t>v 733-3</t>
  </si>
  <si>
    <t>v 832-3</t>
  </si>
  <si>
    <t>s 835-3</t>
  </si>
  <si>
    <t>s 836-3</t>
  </si>
  <si>
    <t>906-3</t>
  </si>
  <si>
    <t>734-4</t>
  </si>
  <si>
    <t>v 735-4</t>
  </si>
  <si>
    <t>735-4</t>
  </si>
  <si>
    <t>v 833-4</t>
  </si>
  <si>
    <t>834-4</t>
  </si>
  <si>
    <t>835-4</t>
  </si>
  <si>
    <t>s 837-4</t>
  </si>
  <si>
    <t>d 613-5</t>
  </si>
  <si>
    <t>d 614-5</t>
  </si>
  <si>
    <t>s 725-5</t>
  </si>
  <si>
    <t>v 736-5</t>
  </si>
  <si>
    <t>v 739-5</t>
  </si>
  <si>
    <t>739-5</t>
  </si>
  <si>
    <t>837-5</t>
  </si>
  <si>
    <t>s 841-5</t>
  </si>
  <si>
    <t>907-5</t>
  </si>
  <si>
    <t>v 108-7</t>
  </si>
  <si>
    <t>v 112-7</t>
  </si>
  <si>
    <t>v 742-7</t>
  </si>
  <si>
    <t>v 843-7</t>
  </si>
  <si>
    <t>107-8</t>
  </si>
  <si>
    <t>108-8</t>
  </si>
  <si>
    <t>v 113-8</t>
  </si>
  <si>
    <t>v 307-8</t>
  </si>
  <si>
    <t>v 747-9</t>
  </si>
  <si>
    <t>s 734-11</t>
  </si>
  <si>
    <t>756-11</t>
  </si>
  <si>
    <t>v 752-12</t>
  </si>
  <si>
    <t>5;45</t>
  </si>
  <si>
    <t>762-15</t>
  </si>
  <si>
    <t>199-18</t>
  </si>
  <si>
    <t>s 743-18</t>
  </si>
  <si>
    <t>v 869-18</t>
  </si>
  <si>
    <t>772-21</t>
  </si>
  <si>
    <t>773-21</t>
  </si>
  <si>
    <t>870-21</t>
  </si>
  <si>
    <t>v 874-25</t>
  </si>
  <si>
    <t>876-25</t>
  </si>
  <si>
    <t>118-70</t>
  </si>
  <si>
    <t>119-70</t>
  </si>
  <si>
    <t>v 125-70</t>
  </si>
  <si>
    <t>771-73</t>
  </si>
  <si>
    <t>50 RE</t>
  </si>
  <si>
    <t>v 802-1</t>
  </si>
  <si>
    <t>s 872-18</t>
  </si>
  <si>
    <t>v114-8</t>
  </si>
  <si>
    <t>Prime nuit</t>
  </si>
  <si>
    <t>s816-1</t>
  </si>
  <si>
    <t>Férié 101-1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</si>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</sst>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#,##0.00\ &quot;€&quot;;[Red]\-#,##0.00\ &quot;€&quot;"/>
    <numFmt numFmtId="164" formatCode="h:mm;@"/>
    <numFmt numFmtId="165" formatCode="[h]:mm;@"/>
    <numFmt numFmtId="166" formatCode="0.00;[Red]0.00"/>
    <numFmt numFmtId="167" formatCode="[h]:mm"/>
    <numFmt numFmtId="168" formatCode="0.000;[Red]0.000"/>
    <numFmt numFmtId="169" formatCode="0.000_ ;[Red]\-0.000\ "/>
    <numFmt numFmtId="170" formatCode="0.000"/>
    <numFmt numFmtId="171" formatCode="#,##0.00\ &quot;€&quot;"/>
    <numFmt numFmtId="172" formatCode="#,##0.000\ &quot;€&quot;"/>
    <numFmt numFmtId="173" formatCode="[$-F800]dddd\,\ mmmm\ dd\,\ yyyy"/>
    <numFmt numFmtId="174" formatCode="#,##0.00\ _€;[Red]#,##0.00\ _€"/>
    <numFmt numFmtId="175" formatCode="#,##0.00\ &quot;€&quot;;[Red]#,##0.00\ &quot;€&quot;"/>
    <numFmt numFmtId="176" formatCode="[$-40C]d\-mmm\-yy;@"/>
    <numFmt numFmtId="177" formatCode="[$-40C]d\-mmm\-yyyy;@"/>
    <numFmt numFmtId="178" formatCode="[$-40C]d\ mmmm\ yyyy;@"/>
    <numFmt numFmtId="179" formatCode="[$-40C]ddd\ d\ mmm\ yyyy"/>
  </numFmts>
  <fonts count="5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i/>
      <sz val="12"/>
      <color rgb="FF7030A0"/>
      <name val="Times New Roman"/>
      <family val="1"/>
    </font>
    <font>
      <sz val="11"/>
      <color theme="1"/>
      <name val="Times New Roman"/>
      <family val="1"/>
    </font>
    <font>
      <sz val="11"/>
      <color theme="8"/>
      <name val="Calibri"/>
      <family val="2"/>
      <scheme val="minor"/>
    </font>
    <font>
      <b/>
      <sz val="11"/>
      <color theme="5" tint="-0.499984740745262"/>
      <name val="Times New Roman"/>
      <family val="1"/>
    </font>
    <font>
      <sz val="11"/>
      <color theme="5" tint="-0.499984740745262"/>
      <name val="Calibri"/>
      <family val="2"/>
      <scheme val="minor"/>
    </font>
    <font>
      <sz val="11"/>
      <color theme="5" tint="-0.499984740745262"/>
      <name val="Times New Roman"/>
      <family val="1"/>
    </font>
    <font>
      <sz val="12"/>
      <color rgb="FF7030A0"/>
      <name val="Times New Roman"/>
      <family val="1"/>
    </font>
    <font>
      <sz val="12"/>
      <color rgb="FF00B0F0"/>
      <name val="Times New Roman"/>
      <family val="1"/>
    </font>
    <font>
      <sz val="12"/>
      <color rgb="FFC00000"/>
      <name val="Times New Roman"/>
      <family val="1"/>
    </font>
    <font>
      <sz val="12"/>
      <color rgb="FF002060"/>
      <name val="Times New Roman"/>
      <family val="1"/>
    </font>
    <font>
      <sz val="12"/>
      <color theme="7" tint="-0.499984740745262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5" tint="-0.49998474074526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8" tint="-0.499984740745262"/>
      <name val="Times New Roman"/>
      <family val="1"/>
    </font>
    <font>
      <b/>
      <sz val="12"/>
      <color theme="8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8" tint="-0.499984740745262"/>
      <name val="Times New Roman"/>
      <family val="1"/>
    </font>
    <font>
      <b/>
      <sz val="12"/>
      <color rgb="FF002060"/>
      <name val="Times New Roman"/>
      <family val="1"/>
    </font>
    <font>
      <i/>
      <sz val="12"/>
      <color theme="1"/>
      <name val="Times New Roman"/>
      <family val="1"/>
    </font>
    <font>
      <b/>
      <sz val="11"/>
      <color rgb="FF7030A0"/>
      <name val="Times New Roman"/>
      <family val="1"/>
    </font>
    <font>
      <b/>
      <sz val="11"/>
      <color theme="3"/>
      <name val="Times New Roman"/>
      <family val="1"/>
    </font>
    <font>
      <b/>
      <sz val="11"/>
      <color theme="5"/>
      <name val="Times New Roman"/>
      <family val="1"/>
    </font>
    <font>
      <b/>
      <sz val="11"/>
      <color rgb="FF00B050"/>
      <name val="Times New Roman"/>
      <family val="1"/>
    </font>
    <font>
      <b/>
      <i/>
      <sz val="11"/>
      <color rgb="FF7030A0"/>
      <name val="Times New Roman"/>
      <family val="1"/>
    </font>
    <font>
      <b/>
      <i/>
      <sz val="11"/>
      <color theme="5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9" tint="-0.249977111117893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theme="9" tint="-0.499984740745262"/>
      <name val="Times New Roman"/>
      <family val="1"/>
    </font>
    <font>
      <b/>
      <sz val="12"/>
      <color theme="3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b/>
      <sz val="11"/>
      <color theme="9" tint="-0.499984740745262"/>
      <name val="Calibri"/>
      <family val="2"/>
      <scheme val="minor"/>
    </font>
    <font>
      <b/>
      <sz val="12"/>
      <color rgb="FF0070C0"/>
      <name val="Times New Roman"/>
      <family val="1"/>
    </font>
    <font>
      <b/>
      <sz val="12"/>
      <color theme="9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C00000"/>
      <name val="Times New Roman"/>
      <family val="1"/>
    </font>
    <font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C55A11"/>
      <name val="Times New Roman"/>
      <family val="1"/>
    </font>
    <font>
      <sz val="12"/>
      <color rgb="FF000000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theme="1" tint="0.1499984740745262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164" fontId="4" fillId="0" borderId="1" applyBorder="0">
      <alignment horizontal="center"/>
    </xf>
  </cellStyleXfs>
  <cellXfs count="563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20" fontId="5" fillId="0" borderId="4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20" fontId="5" fillId="0" borderId="7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20" fontId="5" fillId="0" borderId="9" xfId="0" applyNumberFormat="1" applyFont="1" applyBorder="1" applyAlignment="1">
      <alignment horizontal="center"/>
    </xf>
    <xf numFmtId="20" fontId="5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7" fillId="0" borderId="5" xfId="0" applyNumberFormat="1" applyFont="1" applyBorder="1" applyAlignment="1">
      <alignment horizontal="center"/>
    </xf>
    <xf numFmtId="20" fontId="7" fillId="0" borderId="7" xfId="0" applyNumberFormat="1" applyFont="1" applyBorder="1" applyAlignment="1">
      <alignment horizontal="center"/>
    </xf>
    <xf numFmtId="20" fontId="7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166" fontId="0" fillId="0" borderId="0" xfId="0" applyNumberFormat="1"/>
    <xf numFmtId="20" fontId="5" fillId="0" borderId="3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166" fontId="5" fillId="0" borderId="0" xfId="0" applyNumberFormat="1" applyFont="1" applyBorder="1"/>
    <xf numFmtId="0" fontId="5" fillId="0" borderId="0" xfId="0" applyFont="1" applyBorder="1" applyAlignment="1"/>
    <xf numFmtId="0" fontId="0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166" fontId="13" fillId="0" borderId="0" xfId="0" applyNumberFormat="1" applyFont="1" applyBorder="1"/>
    <xf numFmtId="166" fontId="15" fillId="0" borderId="0" xfId="0" applyNumberFormat="1" applyFont="1" applyBorder="1"/>
    <xf numFmtId="166" fontId="16" fillId="0" borderId="0" xfId="0" applyNumberFormat="1" applyFont="1" applyBorder="1"/>
    <xf numFmtId="166" fontId="17" fillId="0" borderId="0" xfId="0" applyNumberFormat="1" applyFont="1" applyBorder="1"/>
    <xf numFmtId="166" fontId="5" fillId="0" borderId="0" xfId="0" applyNumberFormat="1" applyFont="1" applyBorder="1" applyAlignment="1"/>
    <xf numFmtId="0" fontId="5" fillId="2" borderId="0" xfId="0" applyFont="1" applyFill="1" applyBorder="1" applyAlignment="1"/>
    <xf numFmtId="166" fontId="5" fillId="2" borderId="0" xfId="0" applyNumberFormat="1" applyFont="1" applyFill="1" applyBorder="1" applyAlignme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66" fontId="5" fillId="0" borderId="15" xfId="0" applyNumberFormat="1" applyFont="1" applyBorder="1"/>
    <xf numFmtId="0" fontId="2" fillId="0" borderId="14" xfId="0" applyFont="1" applyBorder="1" applyAlignment="1">
      <alignment horizontal="left"/>
    </xf>
    <xf numFmtId="166" fontId="5" fillId="0" borderId="16" xfId="0" applyNumberFormat="1" applyFont="1" applyBorder="1"/>
    <xf numFmtId="0" fontId="5" fillId="0" borderId="17" xfId="0" applyFont="1" applyBorder="1" applyAlignment="1">
      <alignment horizontal="left"/>
    </xf>
    <xf numFmtId="166" fontId="5" fillId="0" borderId="18" xfId="0" applyNumberFormat="1" applyFont="1" applyBorder="1"/>
    <xf numFmtId="0" fontId="18" fillId="0" borderId="19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5" fillId="0" borderId="14" xfId="0" applyFont="1" applyBorder="1"/>
    <xf numFmtId="0" fontId="20" fillId="0" borderId="20" xfId="0" applyFont="1" applyBorder="1"/>
    <xf numFmtId="0" fontId="5" fillId="0" borderId="17" xfId="0" applyFont="1" applyBorder="1"/>
    <xf numFmtId="0" fontId="21" fillId="0" borderId="19" xfId="0" applyFont="1" applyBorder="1"/>
    <xf numFmtId="0" fontId="20" fillId="0" borderId="14" xfId="0" applyFont="1" applyBorder="1"/>
    <xf numFmtId="0" fontId="22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0" fillId="3" borderId="23" xfId="0" applyFont="1" applyFill="1" applyBorder="1"/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168" fontId="24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68" fontId="25" fillId="4" borderId="0" xfId="0" applyNumberFormat="1" applyFont="1" applyFill="1" applyAlignment="1">
      <alignment horizontal="center"/>
    </xf>
    <xf numFmtId="0" fontId="16" fillId="0" borderId="0" xfId="0" applyFont="1" applyBorder="1" applyAlignment="1">
      <alignment horizontal="center"/>
    </xf>
    <xf numFmtId="169" fontId="26" fillId="0" borderId="0" xfId="0" applyNumberFormat="1" applyFont="1" applyBorder="1" applyAlignment="1">
      <alignment horizontal="center"/>
    </xf>
    <xf numFmtId="167" fontId="20" fillId="5" borderId="0" xfId="0" applyNumberFormat="1" applyFont="1" applyFill="1" applyAlignment="1">
      <alignment horizontal="center"/>
    </xf>
    <xf numFmtId="168" fontId="20" fillId="5" borderId="0" xfId="0" applyNumberFormat="1" applyFont="1" applyFill="1" applyAlignment="1">
      <alignment horizontal="center"/>
    </xf>
    <xf numFmtId="170" fontId="22" fillId="0" borderId="24" xfId="0" applyNumberFormat="1" applyFont="1" applyBorder="1" applyAlignment="1">
      <alignment horizontal="center"/>
    </xf>
    <xf numFmtId="170" fontId="19" fillId="0" borderId="24" xfId="0" applyNumberFormat="1" applyFont="1" applyBorder="1" applyAlignment="1">
      <alignment horizontal="center"/>
    </xf>
    <xf numFmtId="170" fontId="22" fillId="0" borderId="25" xfId="0" applyNumberFormat="1" applyFont="1" applyBorder="1" applyAlignment="1">
      <alignment horizontal="center"/>
    </xf>
    <xf numFmtId="170" fontId="19" fillId="0" borderId="25" xfId="0" applyNumberFormat="1" applyFont="1" applyBorder="1" applyAlignment="1">
      <alignment horizontal="center"/>
    </xf>
    <xf numFmtId="170" fontId="20" fillId="0" borderId="26" xfId="0" applyNumberFormat="1" applyFont="1" applyBorder="1" applyAlignment="1">
      <alignment horizontal="center"/>
    </xf>
    <xf numFmtId="0" fontId="20" fillId="0" borderId="0" xfId="0" applyFont="1" applyBorder="1"/>
    <xf numFmtId="170" fontId="20" fillId="0" borderId="0" xfId="0" applyNumberFormat="1" applyFont="1" applyBorder="1" applyAlignment="1">
      <alignment horizontal="center"/>
    </xf>
    <xf numFmtId="170" fontId="23" fillId="0" borderId="0" xfId="0" applyNumberFormat="1" applyFont="1" applyBorder="1" applyAlignment="1">
      <alignment horizontal="center"/>
    </xf>
    <xf numFmtId="171" fontId="5" fillId="0" borderId="0" xfId="0" applyNumberFormat="1" applyFont="1"/>
    <xf numFmtId="172" fontId="5" fillId="0" borderId="0" xfId="0" applyNumberFormat="1" applyFont="1"/>
    <xf numFmtId="167" fontId="23" fillId="0" borderId="2" xfId="0" applyNumberFormat="1" applyFont="1" applyBorder="1" applyAlignment="1">
      <alignment horizontal="center"/>
    </xf>
    <xf numFmtId="166" fontId="19" fillId="0" borderId="22" xfId="0" applyNumberFormat="1" applyFont="1" applyBorder="1" applyAlignment="1">
      <alignment horizontal="right"/>
    </xf>
    <xf numFmtId="166" fontId="5" fillId="0" borderId="16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166" fontId="14" fillId="0" borderId="18" xfId="0" applyNumberFormat="1" applyFont="1" applyBorder="1" applyAlignment="1">
      <alignment horizontal="right"/>
    </xf>
    <xf numFmtId="166" fontId="6" fillId="0" borderId="22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21" fillId="0" borderId="22" xfId="0" applyNumberFormat="1" applyFont="1" applyBorder="1" applyAlignment="1">
      <alignment horizontal="right"/>
    </xf>
    <xf numFmtId="166" fontId="5" fillId="0" borderId="15" xfId="0" applyNumberFormat="1" applyFont="1" applyBorder="1" applyAlignment="1">
      <alignment horizontal="right"/>
    </xf>
    <xf numFmtId="166" fontId="18" fillId="0" borderId="22" xfId="0" applyNumberFormat="1" applyFont="1" applyBorder="1" applyAlignment="1">
      <alignment horizontal="right"/>
    </xf>
    <xf numFmtId="0" fontId="20" fillId="0" borderId="27" xfId="0" applyFont="1" applyBorder="1" applyAlignment="1">
      <alignment horizontal="center"/>
    </xf>
    <xf numFmtId="168" fontId="27" fillId="4" borderId="28" xfId="0" applyNumberFormat="1" applyFont="1" applyFill="1" applyBorder="1" applyAlignment="1">
      <alignment horizontal="center"/>
    </xf>
    <xf numFmtId="169" fontId="6" fillId="0" borderId="27" xfId="0" applyNumberFormat="1" applyFont="1" applyBorder="1" applyAlignment="1">
      <alignment horizontal="center"/>
    </xf>
    <xf numFmtId="167" fontId="21" fillId="0" borderId="13" xfId="0" applyNumberFormat="1" applyFont="1" applyBorder="1" applyAlignment="1">
      <alignment horizontal="center"/>
    </xf>
    <xf numFmtId="8" fontId="6" fillId="0" borderId="16" xfId="0" applyNumberFormat="1" applyFont="1" applyBorder="1" applyAlignment="1">
      <alignment horizontal="center"/>
    </xf>
    <xf numFmtId="167" fontId="21" fillId="0" borderId="14" xfId="0" applyNumberFormat="1" applyFont="1" applyBorder="1" applyAlignment="1">
      <alignment horizontal="center"/>
    </xf>
    <xf numFmtId="8" fontId="6" fillId="0" borderId="15" xfId="0" applyNumberFormat="1" applyFont="1" applyBorder="1" applyAlignment="1">
      <alignment horizontal="center"/>
    </xf>
    <xf numFmtId="167" fontId="21" fillId="0" borderId="17" xfId="0" applyNumberFormat="1" applyFont="1" applyBorder="1" applyAlignment="1">
      <alignment horizontal="center"/>
    </xf>
    <xf numFmtId="8" fontId="6" fillId="0" borderId="18" xfId="0" applyNumberFormat="1" applyFont="1" applyBorder="1" applyAlignment="1">
      <alignment horizontal="center"/>
    </xf>
    <xf numFmtId="167" fontId="28" fillId="5" borderId="2" xfId="0" applyNumberFormat="1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167" fontId="29" fillId="0" borderId="30" xfId="0" applyNumberFormat="1" applyFont="1" applyBorder="1" applyAlignment="1">
      <alignment horizontal="center"/>
    </xf>
    <xf numFmtId="167" fontId="29" fillId="0" borderId="31" xfId="0" applyNumberFormat="1" applyFont="1" applyBorder="1" applyAlignment="1">
      <alignment horizontal="center"/>
    </xf>
    <xf numFmtId="167" fontId="29" fillId="0" borderId="32" xfId="0" applyNumberFormat="1" applyFont="1" applyBorder="1" applyAlignment="1">
      <alignment horizontal="center"/>
    </xf>
    <xf numFmtId="166" fontId="29" fillId="5" borderId="27" xfId="0" applyNumberFormat="1" applyFont="1" applyFill="1" applyBorder="1" applyAlignment="1">
      <alignment horizontal="center"/>
    </xf>
    <xf numFmtId="167" fontId="29" fillId="0" borderId="27" xfId="0" applyNumberFormat="1" applyFont="1" applyBorder="1" applyAlignment="1">
      <alignment horizontal="center"/>
    </xf>
    <xf numFmtId="0" fontId="30" fillId="0" borderId="0" xfId="0" applyFont="1" applyBorder="1"/>
    <xf numFmtId="0" fontId="20" fillId="0" borderId="30" xfId="0" applyFont="1" applyBorder="1"/>
    <xf numFmtId="0" fontId="20" fillId="0" borderId="31" xfId="0" applyFont="1" applyBorder="1"/>
    <xf numFmtId="0" fontId="20" fillId="5" borderId="29" xfId="0" applyFont="1" applyFill="1" applyBorder="1"/>
    <xf numFmtId="169" fontId="1" fillId="0" borderId="33" xfId="0" applyNumberFormat="1" applyFont="1" applyBorder="1" applyAlignment="1">
      <alignment horizontal="center"/>
    </xf>
    <xf numFmtId="169" fontId="1" fillId="0" borderId="15" xfId="0" applyNumberFormat="1" applyFont="1" applyBorder="1" applyAlignment="1">
      <alignment horizontal="center"/>
    </xf>
    <xf numFmtId="169" fontId="23" fillId="0" borderId="34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173" fontId="1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6" borderId="0" xfId="0" applyFont="1" applyFill="1" applyAlignment="1">
      <alignment horizontal="left"/>
    </xf>
    <xf numFmtId="0" fontId="0" fillId="0" borderId="0" xfId="0" applyAlignment="1">
      <alignment horizontal="left"/>
    </xf>
    <xf numFmtId="173" fontId="5" fillId="0" borderId="0" xfId="0" applyNumberFormat="1" applyFont="1" applyAlignment="1">
      <alignment horizontal="left"/>
    </xf>
    <xf numFmtId="173" fontId="5" fillId="6" borderId="0" xfId="0" applyNumberFormat="1" applyFont="1" applyFill="1" applyAlignment="1">
      <alignment horizontal="left"/>
    </xf>
    <xf numFmtId="173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6" fontId="0" fillId="0" borderId="0" xfId="0" applyNumberFormat="1" applyFont="1"/>
    <xf numFmtId="0" fontId="3" fillId="0" borderId="2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166" fontId="34" fillId="0" borderId="22" xfId="0" applyNumberFormat="1" applyFont="1" applyBorder="1"/>
    <xf numFmtId="20" fontId="8" fillId="0" borderId="4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20" fontId="35" fillId="0" borderId="5" xfId="0" applyNumberFormat="1" applyFont="1" applyBorder="1" applyAlignment="1">
      <alignment horizontal="center"/>
    </xf>
    <xf numFmtId="20" fontId="37" fillId="0" borderId="38" xfId="0" applyNumberFormat="1" applyFont="1" applyBorder="1" applyAlignment="1">
      <alignment horizontal="center"/>
    </xf>
    <xf numFmtId="168" fontId="24" fillId="0" borderId="24" xfId="0" applyNumberFormat="1" applyFont="1" applyBorder="1" applyAlignment="1">
      <alignment horizontal="center"/>
    </xf>
    <xf numFmtId="168" fontId="10" fillId="0" borderId="24" xfId="0" applyNumberFormat="1" applyFont="1" applyBorder="1" applyAlignment="1">
      <alignment horizontal="center"/>
    </xf>
    <xf numFmtId="169" fontId="34" fillId="0" borderId="33" xfId="0" applyNumberFormat="1" applyFont="1" applyBorder="1" applyAlignment="1">
      <alignment horizontal="center"/>
    </xf>
    <xf numFmtId="20" fontId="37" fillId="0" borderId="14" xfId="0" applyNumberFormat="1" applyFont="1" applyBorder="1" applyAlignment="1">
      <alignment horizontal="center"/>
    </xf>
    <xf numFmtId="168" fontId="24" fillId="0" borderId="25" xfId="0" applyNumberFormat="1" applyFont="1" applyBorder="1" applyAlignment="1">
      <alignment horizontal="center"/>
    </xf>
    <xf numFmtId="168" fontId="10" fillId="0" borderId="25" xfId="0" applyNumberFormat="1" applyFont="1" applyBorder="1" applyAlignment="1">
      <alignment horizontal="center"/>
    </xf>
    <xf numFmtId="20" fontId="37" fillId="0" borderId="20" xfId="0" applyNumberFormat="1" applyFont="1" applyBorder="1" applyAlignment="1">
      <alignment horizontal="center"/>
    </xf>
    <xf numFmtId="168" fontId="24" fillId="0" borderId="26" xfId="0" applyNumberFormat="1" applyFont="1" applyBorder="1" applyAlignment="1">
      <alignment horizontal="center"/>
    </xf>
    <xf numFmtId="168" fontId="10" fillId="0" borderId="26" xfId="0" applyNumberFormat="1" applyFont="1" applyBorder="1" applyAlignment="1">
      <alignment horizontal="center"/>
    </xf>
    <xf numFmtId="169" fontId="34" fillId="0" borderId="34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34" fillId="0" borderId="0" xfId="0" applyNumberFormat="1" applyFont="1" applyBorder="1" applyAlignment="1">
      <alignment horizontal="center"/>
    </xf>
    <xf numFmtId="20" fontId="32" fillId="0" borderId="0" xfId="0" applyNumberFormat="1" applyFont="1" applyAlignment="1">
      <alignment horizontal="center"/>
    </xf>
    <xf numFmtId="20" fontId="33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167" fontId="25" fillId="4" borderId="0" xfId="0" applyNumberFormat="1" applyFont="1" applyFill="1" applyAlignment="1">
      <alignment horizontal="center"/>
    </xf>
    <xf numFmtId="167" fontId="25" fillId="5" borderId="0" xfId="0" applyNumberFormat="1" applyFont="1" applyFill="1" applyAlignment="1">
      <alignment horizontal="center"/>
    </xf>
    <xf numFmtId="168" fontId="25" fillId="5" borderId="0" xfId="0" applyNumberFormat="1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37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174" fontId="8" fillId="0" borderId="0" xfId="0" applyNumberFormat="1" applyFont="1" applyAlignment="1">
      <alignment horizontal="center"/>
    </xf>
    <xf numFmtId="175" fontId="38" fillId="0" borderId="0" xfId="0" applyNumberFormat="1" applyFont="1" applyAlignment="1">
      <alignment horizontal="center"/>
    </xf>
    <xf numFmtId="175" fontId="39" fillId="0" borderId="0" xfId="0" applyNumberFormat="1" applyFont="1" applyAlignment="1">
      <alignment horizontal="center"/>
    </xf>
    <xf numFmtId="167" fontId="25" fillId="2" borderId="0" xfId="0" applyNumberFormat="1" applyFont="1" applyFill="1" applyAlignment="1">
      <alignment horizontal="center"/>
    </xf>
    <xf numFmtId="168" fontId="25" fillId="2" borderId="0" xfId="0" applyNumberFormat="1" applyFont="1" applyFill="1" applyAlignment="1">
      <alignment horizontal="center"/>
    </xf>
    <xf numFmtId="14" fontId="0" fillId="0" borderId="0" xfId="0" applyNumberFormat="1"/>
    <xf numFmtId="166" fontId="40" fillId="0" borderId="2" xfId="0" applyNumberFormat="1" applyFont="1" applyBorder="1" applyAlignment="1">
      <alignment horizontal="center"/>
    </xf>
    <xf numFmtId="166" fontId="41" fillId="0" borderId="2" xfId="0" applyNumberFormat="1" applyFont="1" applyBorder="1" applyAlignment="1">
      <alignment horizontal="center"/>
    </xf>
    <xf numFmtId="167" fontId="40" fillId="0" borderId="27" xfId="0" applyNumberFormat="1" applyFont="1" applyBorder="1" applyAlignment="1">
      <alignment horizontal="center"/>
    </xf>
    <xf numFmtId="167" fontId="6" fillId="0" borderId="19" xfId="0" applyNumberFormat="1" applyFont="1" applyBorder="1" applyAlignment="1">
      <alignment horizontal="center"/>
    </xf>
    <xf numFmtId="0" fontId="25" fillId="5" borderId="0" xfId="0" applyFont="1" applyFill="1" applyAlignment="1"/>
    <xf numFmtId="0" fontId="25" fillId="4" borderId="0" xfId="0" applyFont="1" applyFill="1" applyAlignment="1"/>
    <xf numFmtId="0" fontId="20" fillId="5" borderId="0" xfId="0" applyFont="1" applyFill="1" applyAlignment="1"/>
    <xf numFmtId="0" fontId="20" fillId="4" borderId="0" xfId="0" applyFont="1" applyFill="1" applyAlignment="1"/>
    <xf numFmtId="0" fontId="25" fillId="2" borderId="0" xfId="0" applyFont="1" applyFill="1" applyAlignment="1"/>
    <xf numFmtId="175" fontId="0" fillId="0" borderId="0" xfId="0" applyNumberFormat="1" applyFont="1"/>
    <xf numFmtId="171" fontId="0" fillId="0" borderId="0" xfId="0" applyNumberFormat="1"/>
    <xf numFmtId="171" fontId="38" fillId="0" borderId="0" xfId="0" applyNumberFormat="1" applyFont="1" applyAlignment="1">
      <alignment horizontal="center"/>
    </xf>
    <xf numFmtId="171" fontId="8" fillId="0" borderId="0" xfId="0" applyNumberFormat="1" applyFont="1" applyAlignment="1">
      <alignment horizontal="center"/>
    </xf>
    <xf numFmtId="171" fontId="39" fillId="0" borderId="0" xfId="0" applyNumberFormat="1" applyFont="1" applyAlignment="1">
      <alignment horizontal="center"/>
    </xf>
    <xf numFmtId="171" fontId="42" fillId="0" borderId="0" xfId="0" applyNumberFormat="1" applyFont="1" applyAlignment="1">
      <alignment horizontal="center"/>
    </xf>
    <xf numFmtId="171" fontId="0" fillId="0" borderId="0" xfId="0" applyNumberFormat="1" applyFont="1"/>
    <xf numFmtId="20" fontId="0" fillId="0" borderId="0" xfId="0" applyNumberFormat="1" applyFont="1"/>
    <xf numFmtId="20" fontId="8" fillId="0" borderId="0" xfId="0" applyNumberFormat="1" applyFont="1"/>
    <xf numFmtId="20" fontId="8" fillId="0" borderId="0" xfId="0" applyNumberFormat="1" applyFont="1" applyAlignment="1">
      <alignment horizontal="center"/>
    </xf>
    <xf numFmtId="0" fontId="33" fillId="0" borderId="28" xfId="0" applyFont="1" applyBorder="1" applyAlignment="1">
      <alignment horizontal="center"/>
    </xf>
    <xf numFmtId="20" fontId="37" fillId="0" borderId="43" xfId="0" applyNumberFormat="1" applyFont="1" applyBorder="1" applyAlignment="1">
      <alignment horizontal="center"/>
    </xf>
    <xf numFmtId="20" fontId="37" fillId="0" borderId="44" xfId="0" applyNumberFormat="1" applyFont="1" applyBorder="1" applyAlignment="1">
      <alignment horizontal="center"/>
    </xf>
    <xf numFmtId="2" fontId="25" fillId="0" borderId="42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2" fontId="33" fillId="0" borderId="0" xfId="0" applyNumberFormat="1" applyFont="1" applyAlignment="1">
      <alignment horizontal="center"/>
    </xf>
    <xf numFmtId="20" fontId="10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2" fontId="8" fillId="0" borderId="49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2" fontId="8" fillId="0" borderId="50" xfId="0" applyNumberFormat="1" applyFont="1" applyBorder="1" applyAlignment="1">
      <alignment horizontal="center"/>
    </xf>
    <xf numFmtId="0" fontId="25" fillId="5" borderId="0" xfId="0" applyFont="1" applyFill="1" applyAlignment="1"/>
    <xf numFmtId="0" fontId="25" fillId="4" borderId="0" xfId="0" applyFont="1" applyFill="1" applyAlignment="1"/>
    <xf numFmtId="0" fontId="0" fillId="0" borderId="0" xfId="0" applyAlignment="1">
      <alignment horizontal="center"/>
    </xf>
    <xf numFmtId="0" fontId="23" fillId="0" borderId="51" xfId="0" applyFont="1" applyBorder="1"/>
    <xf numFmtId="0" fontId="26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47" fillId="0" borderId="54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48" fillId="0" borderId="55" xfId="0" applyFont="1" applyBorder="1" applyAlignment="1">
      <alignment horizontal="center"/>
    </xf>
    <xf numFmtId="0" fontId="45" fillId="0" borderId="51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171" fontId="47" fillId="0" borderId="59" xfId="0" applyNumberFormat="1" applyFont="1" applyBorder="1" applyAlignment="1">
      <alignment horizontal="center"/>
    </xf>
    <xf numFmtId="2" fontId="18" fillId="0" borderId="59" xfId="0" applyNumberFormat="1" applyFont="1" applyBorder="1" applyAlignment="1">
      <alignment horizontal="center"/>
    </xf>
    <xf numFmtId="2" fontId="6" fillId="0" borderId="60" xfId="0" applyNumberFormat="1" applyFont="1" applyBorder="1" applyAlignment="1">
      <alignment horizontal="center"/>
    </xf>
    <xf numFmtId="2" fontId="48" fillId="0" borderId="61" xfId="0" applyNumberFormat="1" applyFont="1" applyBorder="1" applyAlignment="1">
      <alignment horizontal="center"/>
    </xf>
    <xf numFmtId="2" fontId="45" fillId="0" borderId="56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2" fontId="38" fillId="0" borderId="36" xfId="0" applyNumberFormat="1" applyFont="1" applyBorder="1" applyAlignment="1">
      <alignment horizontal="center"/>
    </xf>
    <xf numFmtId="20" fontId="8" fillId="0" borderId="24" xfId="0" applyNumberFormat="1" applyFont="1" applyBorder="1" applyAlignment="1">
      <alignment horizontal="center"/>
    </xf>
    <xf numFmtId="20" fontId="35" fillId="0" borderId="64" xfId="0" applyNumberFormat="1" applyFont="1" applyBorder="1" applyAlignment="1">
      <alignment horizontal="center"/>
    </xf>
    <xf numFmtId="20" fontId="8" fillId="0" borderId="64" xfId="0" applyNumberFormat="1" applyFont="1" applyBorder="1" applyAlignment="1">
      <alignment horizontal="center"/>
    </xf>
    <xf numFmtId="20" fontId="8" fillId="0" borderId="25" xfId="0" applyNumberFormat="1" applyFont="1" applyBorder="1" applyAlignment="1">
      <alignment horizontal="center"/>
    </xf>
    <xf numFmtId="20" fontId="35" fillId="0" borderId="25" xfId="0" applyNumberFormat="1" applyFont="1" applyBorder="1" applyAlignment="1">
      <alignment horizontal="center"/>
    </xf>
    <xf numFmtId="20" fontId="8" fillId="0" borderId="26" xfId="0" applyNumberFormat="1" applyFont="1" applyBorder="1" applyAlignment="1">
      <alignment horizontal="center"/>
    </xf>
    <xf numFmtId="20" fontId="35" fillId="0" borderId="26" xfId="0" applyNumberFormat="1" applyFont="1" applyBorder="1" applyAlignment="1">
      <alignment horizontal="center"/>
    </xf>
    <xf numFmtId="0" fontId="50" fillId="0" borderId="36" xfId="0" applyFont="1" applyBorder="1" applyAlignment="1">
      <alignment horizontal="center"/>
    </xf>
    <xf numFmtId="2" fontId="23" fillId="0" borderId="63" xfId="0" applyNumberFormat="1" applyFont="1" applyBorder="1" applyAlignment="1">
      <alignment horizontal="center" vertical="center"/>
    </xf>
    <xf numFmtId="2" fontId="23" fillId="0" borderId="25" xfId="0" applyNumberFormat="1" applyFont="1" applyBorder="1" applyAlignment="1">
      <alignment horizontal="center" vertical="center"/>
    </xf>
    <xf numFmtId="2" fontId="23" fillId="0" borderId="26" xfId="0" applyNumberFormat="1" applyFont="1" applyBorder="1" applyAlignment="1">
      <alignment horizontal="center" vertical="center"/>
    </xf>
    <xf numFmtId="0" fontId="34" fillId="0" borderId="36" xfId="0" applyFont="1" applyBorder="1" applyAlignment="1">
      <alignment horizontal="center"/>
    </xf>
    <xf numFmtId="20" fontId="5" fillId="0" borderId="63" xfId="0" applyNumberFormat="1" applyFont="1" applyBorder="1" applyAlignment="1">
      <alignment horizontal="center"/>
    </xf>
    <xf numFmtId="20" fontId="7" fillId="0" borderId="63" xfId="0" applyNumberFormat="1" applyFont="1" applyBorder="1" applyAlignment="1">
      <alignment horizontal="center"/>
    </xf>
    <xf numFmtId="2" fontId="49" fillId="0" borderId="63" xfId="0" applyNumberFormat="1" applyFont="1" applyBorder="1" applyAlignment="1">
      <alignment horizontal="center" vertical="center"/>
    </xf>
    <xf numFmtId="20" fontId="36" fillId="0" borderId="63" xfId="0" applyNumberFormat="1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20" fontId="5" fillId="0" borderId="25" xfId="0" applyNumberFormat="1" applyFont="1" applyBorder="1" applyAlignment="1">
      <alignment horizontal="center"/>
    </xf>
    <xf numFmtId="20" fontId="7" fillId="0" borderId="25" xfId="0" applyNumberFormat="1" applyFont="1" applyBorder="1" applyAlignment="1">
      <alignment horizontal="center"/>
    </xf>
    <xf numFmtId="20" fontId="36" fillId="0" borderId="25" xfId="0" applyNumberFormat="1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20" fontId="5" fillId="0" borderId="26" xfId="0" applyNumberFormat="1" applyFont="1" applyBorder="1" applyAlignment="1">
      <alignment horizontal="center"/>
    </xf>
    <xf numFmtId="20" fontId="7" fillId="0" borderId="26" xfId="0" applyNumberFormat="1" applyFont="1" applyBorder="1" applyAlignment="1">
      <alignment horizontal="center"/>
    </xf>
    <xf numFmtId="20" fontId="36" fillId="0" borderId="26" xfId="0" applyNumberFormat="1" applyFont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0" fillId="0" borderId="34" xfId="0" applyBorder="1"/>
    <xf numFmtId="0" fontId="0" fillId="0" borderId="26" xfId="0" applyBorder="1"/>
    <xf numFmtId="2" fontId="43" fillId="0" borderId="34" xfId="0" applyNumberFormat="1" applyFont="1" applyBorder="1" applyAlignment="1">
      <alignment horizontal="center"/>
    </xf>
    <xf numFmtId="20" fontId="5" fillId="0" borderId="13" xfId="0" applyNumberFormat="1" applyFont="1" applyBorder="1" applyAlignment="1">
      <alignment horizontal="center"/>
    </xf>
    <xf numFmtId="20" fontId="5" fillId="0" borderId="65" xfId="0" applyNumberFormat="1" applyFont="1" applyBorder="1" applyAlignment="1">
      <alignment horizontal="center"/>
    </xf>
    <xf numFmtId="20" fontId="5" fillId="0" borderId="67" xfId="0" applyNumberFormat="1" applyFont="1" applyBorder="1" applyAlignment="1">
      <alignment horizontal="center"/>
    </xf>
    <xf numFmtId="20" fontId="5" fillId="0" borderId="68" xfId="0" applyNumberFormat="1" applyFont="1" applyBorder="1" applyAlignment="1">
      <alignment horizontal="center"/>
    </xf>
    <xf numFmtId="20" fontId="5" fillId="0" borderId="14" xfId="0" applyNumberFormat="1" applyFont="1" applyBorder="1" applyAlignment="1">
      <alignment horizontal="center"/>
    </xf>
    <xf numFmtId="20" fontId="5" fillId="0" borderId="62" xfId="0" applyNumberFormat="1" applyFont="1" applyBorder="1" applyAlignment="1">
      <alignment horizontal="center"/>
    </xf>
    <xf numFmtId="20" fontId="5" fillId="0" borderId="69" xfId="0" applyNumberFormat="1" applyFont="1" applyBorder="1" applyAlignment="1">
      <alignment horizontal="center"/>
    </xf>
    <xf numFmtId="20" fontId="7" fillId="0" borderId="69" xfId="0" applyNumberFormat="1" applyFont="1" applyBorder="1" applyAlignment="1">
      <alignment horizontal="center"/>
    </xf>
    <xf numFmtId="14" fontId="5" fillId="0" borderId="30" xfId="0" applyNumberFormat="1" applyFont="1" applyBorder="1" applyAlignment="1">
      <alignment horizontal="center"/>
    </xf>
    <xf numFmtId="20" fontId="5" fillId="0" borderId="20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71" fontId="51" fillId="0" borderId="0" xfId="0" applyNumberFormat="1" applyFont="1"/>
    <xf numFmtId="171" fontId="52" fillId="0" borderId="0" xfId="0" applyNumberFormat="1" applyFont="1"/>
    <xf numFmtId="171" fontId="53" fillId="0" borderId="0" xfId="0" applyNumberFormat="1" applyFont="1" applyAlignment="1">
      <alignment horizontal="center"/>
    </xf>
    <xf numFmtId="2" fontId="14" fillId="0" borderId="63" xfId="0" applyNumberFormat="1" applyFont="1" applyBorder="1" applyAlignment="1">
      <alignment horizontal="center" vertical="center"/>
    </xf>
    <xf numFmtId="2" fontId="14" fillId="0" borderId="25" xfId="0" applyNumberFormat="1" applyFont="1" applyBorder="1" applyAlignment="1">
      <alignment horizontal="center" vertical="center"/>
    </xf>
    <xf numFmtId="2" fontId="14" fillId="0" borderId="26" xfId="0" applyNumberFormat="1" applyFont="1" applyBorder="1" applyAlignment="1">
      <alignment horizontal="center" vertical="center"/>
    </xf>
    <xf numFmtId="2" fontId="14" fillId="0" borderId="70" xfId="0" applyNumberFormat="1" applyFont="1" applyBorder="1" applyAlignment="1">
      <alignment horizontal="center" vertical="center"/>
    </xf>
    <xf numFmtId="2" fontId="14" fillId="0" borderId="71" xfId="0" applyNumberFormat="1" applyFont="1" applyBorder="1" applyAlignment="1">
      <alignment horizontal="center" vertical="center"/>
    </xf>
    <xf numFmtId="2" fontId="14" fillId="0" borderId="72" xfId="0" applyNumberFormat="1" applyFont="1" applyBorder="1" applyAlignment="1">
      <alignment horizontal="center" vertical="center"/>
    </xf>
    <xf numFmtId="2" fontId="49" fillId="0" borderId="25" xfId="0" applyNumberFormat="1" applyFont="1" applyBorder="1" applyAlignment="1">
      <alignment horizontal="center" vertical="center"/>
    </xf>
    <xf numFmtId="2" fontId="49" fillId="0" borderId="26" xfId="0" applyNumberFormat="1" applyFont="1" applyBorder="1" applyAlignment="1">
      <alignment horizontal="center" vertical="center"/>
    </xf>
    <xf numFmtId="2" fontId="49" fillId="0" borderId="73" xfId="0" applyNumberFormat="1" applyFont="1" applyBorder="1" applyAlignment="1">
      <alignment horizontal="center" vertical="center"/>
    </xf>
    <xf numFmtId="2" fontId="49" fillId="0" borderId="43" xfId="0" applyNumberFormat="1" applyFont="1" applyBorder="1" applyAlignment="1">
      <alignment horizontal="center" vertical="center"/>
    </xf>
    <xf numFmtId="2" fontId="49" fillId="0" borderId="44" xfId="0" applyNumberFormat="1" applyFont="1" applyBorder="1" applyAlignment="1">
      <alignment horizontal="center" vertical="center"/>
    </xf>
    <xf numFmtId="46" fontId="5" fillId="0" borderId="25" xfId="0" applyNumberFormat="1" applyFont="1" applyBorder="1" applyAlignment="1">
      <alignment horizontal="center"/>
    </xf>
    <xf numFmtId="20" fontId="7" fillId="0" borderId="37" xfId="0" applyNumberFormat="1" applyFont="1" applyBorder="1" applyAlignment="1">
      <alignment horizontal="center"/>
    </xf>
    <xf numFmtId="20" fontId="7" fillId="0" borderId="39" xfId="0" applyNumberFormat="1" applyFont="1" applyBorder="1" applyAlignment="1">
      <alignment horizontal="center"/>
    </xf>
    <xf numFmtId="20" fontId="7" fillId="0" borderId="40" xfId="0" applyNumberFormat="1" applyFont="1" applyBorder="1" applyAlignment="1">
      <alignment horizontal="center"/>
    </xf>
    <xf numFmtId="20" fontId="5" fillId="0" borderId="74" xfId="0" applyNumberFormat="1" applyFont="1" applyBorder="1" applyAlignment="1">
      <alignment horizontal="center"/>
    </xf>
    <xf numFmtId="20" fontId="5" fillId="0" borderId="75" xfId="0" applyNumberFormat="1" applyFont="1" applyBorder="1" applyAlignment="1">
      <alignment horizontal="center"/>
    </xf>
    <xf numFmtId="20" fontId="5" fillId="0" borderId="76" xfId="0" applyNumberFormat="1" applyFont="1" applyBorder="1" applyAlignment="1">
      <alignment horizontal="center"/>
    </xf>
    <xf numFmtId="20" fontId="5" fillId="0" borderId="77" xfId="0" applyNumberFormat="1" applyFont="1" applyBorder="1" applyAlignment="1">
      <alignment horizontal="center"/>
    </xf>
    <xf numFmtId="2" fontId="54" fillId="0" borderId="63" xfId="0" applyNumberFormat="1" applyFont="1" applyBorder="1" applyAlignment="1">
      <alignment horizontal="center" vertical="center"/>
    </xf>
    <xf numFmtId="2" fontId="6" fillId="0" borderId="63" xfId="0" applyNumberFormat="1" applyFont="1" applyBorder="1" applyAlignment="1">
      <alignment horizontal="center" vertical="center"/>
    </xf>
    <xf numFmtId="2" fontId="54" fillId="0" borderId="25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54" fillId="0" borderId="26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54" fillId="0" borderId="6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4" fillId="0" borderId="63" xfId="0" applyNumberFormat="1" applyFont="1" applyBorder="1" applyAlignment="1">
      <alignment vertical="center"/>
    </xf>
    <xf numFmtId="2" fontId="14" fillId="0" borderId="25" xfId="0" applyNumberFormat="1" applyFont="1" applyBorder="1" applyAlignment="1">
      <alignment vertical="center"/>
    </xf>
    <xf numFmtId="2" fontId="14" fillId="0" borderId="26" xfId="0" applyNumberFormat="1" applyFont="1" applyBorder="1" applyAlignment="1">
      <alignment vertical="center"/>
    </xf>
    <xf numFmtId="2" fontId="5" fillId="0" borderId="63" xfId="0" applyNumberFormat="1" applyFont="1" applyBorder="1" applyAlignment="1">
      <alignment vertical="center"/>
    </xf>
    <xf numFmtId="2" fontId="5" fillId="0" borderId="25" xfId="0" applyNumberFormat="1" applyFont="1" applyBorder="1" applyAlignment="1">
      <alignment vertical="center"/>
    </xf>
    <xf numFmtId="2" fontId="5" fillId="0" borderId="26" xfId="0" applyNumberFormat="1" applyFont="1" applyBorder="1" applyAlignment="1">
      <alignment vertical="center"/>
    </xf>
    <xf numFmtId="171" fontId="39" fillId="0" borderId="0" xfId="0" applyNumberFormat="1" applyFont="1" applyBorder="1" applyAlignment="1">
      <alignment horizontal="center"/>
    </xf>
    <xf numFmtId="2" fontId="0" fillId="0" borderId="0" xfId="0" applyNumberFormat="1" applyFont="1"/>
    <xf numFmtId="171" fontId="32" fillId="0" borderId="0" xfId="0" applyNumberFormat="1" applyFont="1" applyAlignment="1">
      <alignment horizontal="center"/>
    </xf>
    <xf numFmtId="175" fontId="31" fillId="0" borderId="0" xfId="0" applyNumberFormat="1" applyFont="1" applyAlignment="1">
      <alignment horizontal="center"/>
    </xf>
    <xf numFmtId="171" fontId="49" fillId="0" borderId="0" xfId="0" applyNumberFormat="1" applyFont="1" applyAlignment="1">
      <alignment horizontal="center"/>
    </xf>
    <xf numFmtId="171" fontId="23" fillId="0" borderId="0" xfId="0" applyNumberFormat="1" applyFont="1" applyAlignment="1">
      <alignment horizontal="center"/>
    </xf>
    <xf numFmtId="171" fontId="37" fillId="0" borderId="0" xfId="0" applyNumberFormat="1" applyFont="1" applyAlignment="1">
      <alignment horizontal="center"/>
    </xf>
    <xf numFmtId="171" fontId="31" fillId="0" borderId="0" xfId="0" applyNumberFormat="1" applyFont="1" applyAlignment="1">
      <alignment horizontal="center"/>
    </xf>
    <xf numFmtId="2" fontId="18" fillId="0" borderId="63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171" fontId="50" fillId="0" borderId="0" xfId="0" applyNumberFormat="1" applyFont="1" applyAlignment="1">
      <alignment horizontal="center"/>
    </xf>
    <xf numFmtId="175" fontId="18" fillId="0" borderId="63" xfId="0" applyNumberFormat="1" applyFont="1" applyBorder="1" applyAlignment="1">
      <alignment horizontal="center" vertical="center"/>
    </xf>
    <xf numFmtId="175" fontId="18" fillId="0" borderId="25" xfId="0" applyNumberFormat="1" applyFont="1" applyBorder="1" applyAlignment="1">
      <alignment horizontal="center" vertical="center"/>
    </xf>
    <xf numFmtId="175" fontId="18" fillId="0" borderId="26" xfId="0" applyNumberFormat="1" applyFont="1" applyBorder="1" applyAlignment="1">
      <alignment horizontal="center" vertical="center"/>
    </xf>
    <xf numFmtId="171" fontId="34" fillId="0" borderId="0" xfId="0" applyNumberFormat="1" applyFont="1" applyAlignment="1">
      <alignment horizontal="center"/>
    </xf>
    <xf numFmtId="2" fontId="26" fillId="0" borderId="63" xfId="0" applyNumberFormat="1" applyFont="1" applyBorder="1" applyAlignment="1">
      <alignment horizontal="center" vertical="center"/>
    </xf>
    <xf numFmtId="2" fontId="26" fillId="0" borderId="25" xfId="0" applyNumberFormat="1" applyFont="1" applyBorder="1" applyAlignment="1">
      <alignment horizontal="center" vertical="center"/>
    </xf>
    <xf numFmtId="2" fontId="26" fillId="0" borderId="26" xfId="0" applyNumberFormat="1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175" fontId="34" fillId="0" borderId="0" xfId="0" applyNumberFormat="1" applyFont="1" applyAlignment="1">
      <alignment horizontal="center"/>
    </xf>
    <xf numFmtId="171" fontId="26" fillId="0" borderId="65" xfId="0" applyNumberFormat="1" applyFont="1" applyBorder="1" applyAlignment="1">
      <alignment horizontal="center" vertical="center"/>
    </xf>
    <xf numFmtId="171" fontId="26" fillId="0" borderId="62" xfId="0" applyNumberFormat="1" applyFont="1" applyBorder="1" applyAlignment="1">
      <alignment horizontal="center" vertical="center"/>
    </xf>
    <xf numFmtId="171" fontId="26" fillId="0" borderId="66" xfId="0" applyNumberFormat="1" applyFont="1" applyBorder="1" applyAlignment="1">
      <alignment horizontal="center" vertical="center"/>
    </xf>
    <xf numFmtId="171" fontId="26" fillId="0" borderId="63" xfId="0" applyNumberFormat="1" applyFont="1" applyBorder="1" applyAlignment="1">
      <alignment horizontal="center" vertical="center"/>
    </xf>
    <xf numFmtId="171" fontId="26" fillId="0" borderId="25" xfId="0" applyNumberFormat="1" applyFont="1" applyBorder="1" applyAlignment="1">
      <alignment horizontal="center" vertical="center"/>
    </xf>
    <xf numFmtId="171" fontId="26" fillId="0" borderId="26" xfId="0" applyNumberFormat="1" applyFont="1" applyBorder="1" applyAlignment="1">
      <alignment horizontal="center" vertical="center"/>
    </xf>
    <xf numFmtId="171" fontId="6" fillId="0" borderId="63" xfId="0" applyNumberFormat="1" applyFont="1" applyBorder="1" applyAlignment="1">
      <alignment horizontal="center" vertical="center"/>
    </xf>
    <xf numFmtId="171" fontId="6" fillId="0" borderId="25" xfId="0" applyNumberFormat="1" applyFont="1" applyBorder="1" applyAlignment="1">
      <alignment horizontal="center" vertical="center"/>
    </xf>
    <xf numFmtId="171" fontId="6" fillId="0" borderId="26" xfId="0" applyNumberFormat="1" applyFont="1" applyBorder="1" applyAlignment="1">
      <alignment horizontal="center" vertical="center"/>
    </xf>
    <xf numFmtId="166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34" fillId="0" borderId="0" xfId="0" applyNumberFormat="1" applyFont="1" applyBorder="1" applyAlignment="1">
      <alignment horizontal="center"/>
    </xf>
    <xf numFmtId="20" fontId="7" fillId="0" borderId="70" xfId="0" applyNumberFormat="1" applyFont="1" applyBorder="1" applyAlignment="1">
      <alignment horizontal="center"/>
    </xf>
    <xf numFmtId="20" fontId="7" fillId="0" borderId="71" xfId="0" applyNumberFormat="1" applyFont="1" applyBorder="1" applyAlignment="1">
      <alignment horizontal="center"/>
    </xf>
    <xf numFmtId="20" fontId="7" fillId="0" borderId="72" xfId="0" applyNumberFormat="1" applyFont="1" applyBorder="1" applyAlignment="1">
      <alignment horizontal="center"/>
    </xf>
    <xf numFmtId="20" fontId="36" fillId="0" borderId="70" xfId="0" applyNumberFormat="1" applyFont="1" applyBorder="1" applyAlignment="1">
      <alignment horizontal="center"/>
    </xf>
    <xf numFmtId="20" fontId="36" fillId="0" borderId="71" xfId="0" applyNumberFormat="1" applyFont="1" applyBorder="1" applyAlignment="1">
      <alignment horizontal="center"/>
    </xf>
    <xf numFmtId="20" fontId="36" fillId="0" borderId="72" xfId="0" applyNumberFormat="1" applyFont="1" applyBorder="1" applyAlignment="1">
      <alignment horizontal="center"/>
    </xf>
    <xf numFmtId="20" fontId="7" fillId="0" borderId="4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0" fontId="37" fillId="0" borderId="78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0" fontId="7" fillId="0" borderId="79" xfId="0" applyNumberFormat="1" applyFont="1" applyBorder="1" applyAlignment="1">
      <alignment horizontal="center"/>
    </xf>
    <xf numFmtId="20" fontId="7" fillId="0" borderId="30" xfId="0" applyNumberFormat="1" applyFont="1" applyBorder="1" applyAlignment="1">
      <alignment horizontal="center"/>
    </xf>
    <xf numFmtId="20" fontId="7" fillId="0" borderId="31" xfId="0" applyNumberFormat="1" applyFont="1" applyBorder="1" applyAlignment="1">
      <alignment horizontal="center"/>
    </xf>
    <xf numFmtId="20" fontId="7" fillId="0" borderId="2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6" fillId="0" borderId="27" xfId="0" applyFont="1" applyBorder="1" applyAlignment="1">
      <alignment horizontal="center"/>
    </xf>
    <xf numFmtId="20" fontId="55" fillId="0" borderId="13" xfId="0" applyNumberFormat="1" applyFont="1" applyBorder="1" applyAlignment="1">
      <alignment horizontal="center" vertical="center"/>
    </xf>
    <xf numFmtId="1" fontId="58" fillId="0" borderId="30" xfId="0" applyNumberFormat="1" applyFont="1" applyBorder="1" applyAlignment="1">
      <alignment horizontal="center" vertical="center"/>
    </xf>
    <xf numFmtId="20" fontId="55" fillId="0" borderId="14" xfId="0" applyNumberFormat="1" applyFont="1" applyBorder="1" applyAlignment="1">
      <alignment horizontal="center" vertical="center"/>
    </xf>
    <xf numFmtId="1" fontId="58" fillId="0" borderId="31" xfId="0" applyNumberFormat="1" applyFont="1" applyBorder="1" applyAlignment="1">
      <alignment horizontal="center" vertical="center"/>
    </xf>
    <xf numFmtId="20" fontId="7" fillId="2" borderId="79" xfId="0" applyNumberFormat="1" applyFont="1" applyFill="1" applyBorder="1" applyAlignment="1">
      <alignment horizontal="center"/>
    </xf>
    <xf numFmtId="20" fontId="7" fillId="2" borderId="31" xfId="0" applyNumberFormat="1" applyFont="1" applyFill="1" applyBorder="1" applyAlignment="1">
      <alignment horizontal="center"/>
    </xf>
    <xf numFmtId="2" fontId="25" fillId="2" borderId="15" xfId="0" applyNumberFormat="1" applyFont="1" applyFill="1" applyBorder="1" applyAlignment="1">
      <alignment horizontal="center"/>
    </xf>
    <xf numFmtId="20" fontId="55" fillId="0" borderId="20" xfId="0" applyNumberFormat="1" applyFont="1" applyBorder="1" applyAlignment="1">
      <alignment horizontal="center" vertical="center"/>
    </xf>
    <xf numFmtId="2" fontId="49" fillId="0" borderId="23" xfId="0" applyNumberFormat="1" applyFont="1" applyBorder="1" applyAlignment="1">
      <alignment horizontal="center" vertical="center"/>
    </xf>
    <xf numFmtId="2" fontId="49" fillId="0" borderId="81" xfId="0" applyNumberFormat="1" applyFont="1" applyBorder="1" applyAlignment="1">
      <alignment horizontal="center" vertical="center"/>
    </xf>
    <xf numFmtId="2" fontId="23" fillId="0" borderId="30" xfId="0" applyNumberFormat="1" applyFont="1" applyBorder="1" applyAlignment="1">
      <alignment horizontal="center" vertical="center"/>
    </xf>
    <xf numFmtId="2" fontId="23" fillId="0" borderId="31" xfId="0" applyNumberFormat="1" applyFont="1" applyBorder="1" applyAlignment="1">
      <alignment horizontal="center" vertical="center"/>
    </xf>
    <xf numFmtId="2" fontId="23" fillId="0" borderId="29" xfId="0" applyNumberFormat="1" applyFont="1" applyBorder="1" applyAlignment="1">
      <alignment horizontal="center" vertical="center"/>
    </xf>
    <xf numFmtId="2" fontId="57" fillId="0" borderId="83" xfId="0" applyNumberFormat="1" applyFont="1" applyBorder="1" applyAlignment="1">
      <alignment horizontal="center" vertical="center"/>
    </xf>
    <xf numFmtId="2" fontId="57" fillId="0" borderId="84" xfId="0" applyNumberFormat="1" applyFont="1" applyBorder="1" applyAlignment="1">
      <alignment horizontal="center" vertical="center"/>
    </xf>
    <xf numFmtId="2" fontId="57" fillId="0" borderId="85" xfId="0" applyNumberFormat="1" applyFont="1" applyBorder="1" applyAlignment="1">
      <alignment horizontal="center" vertical="center"/>
    </xf>
    <xf numFmtId="2" fontId="26" fillId="0" borderId="80" xfId="0" applyNumberFormat="1" applyFont="1" applyBorder="1" applyAlignment="1">
      <alignment horizontal="center" vertical="center"/>
    </xf>
    <xf numFmtId="2" fontId="38" fillId="0" borderId="27" xfId="0" applyNumberFormat="1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9" fillId="0" borderId="27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20" fontId="55" fillId="0" borderId="16" xfId="0" applyNumberFormat="1" applyFont="1" applyBorder="1" applyAlignment="1">
      <alignment horizontal="center" vertical="center"/>
    </xf>
    <xf numFmtId="20" fontId="55" fillId="0" borderId="15" xfId="0" applyNumberFormat="1" applyFont="1" applyBorder="1" applyAlignment="1">
      <alignment horizontal="center" vertical="center"/>
    </xf>
    <xf numFmtId="20" fontId="5" fillId="0" borderId="30" xfId="0" applyNumberFormat="1" applyFont="1" applyBorder="1" applyAlignment="1">
      <alignment horizontal="center"/>
    </xf>
    <xf numFmtId="20" fontId="5" fillId="0" borderId="31" xfId="0" applyNumberFormat="1" applyFont="1" applyBorder="1" applyAlignment="1">
      <alignment horizontal="center"/>
    </xf>
    <xf numFmtId="20" fontId="5" fillId="0" borderId="29" xfId="0" applyNumberFormat="1" applyFont="1" applyBorder="1" applyAlignment="1">
      <alignment horizontal="center"/>
    </xf>
    <xf numFmtId="2" fontId="50" fillId="2" borderId="31" xfId="0" applyNumberFormat="1" applyFont="1" applyFill="1" applyBorder="1" applyAlignment="1">
      <alignment horizontal="center"/>
    </xf>
    <xf numFmtId="20" fontId="55" fillId="2" borderId="20" xfId="0" applyNumberFormat="1" applyFont="1" applyFill="1" applyBorder="1" applyAlignment="1">
      <alignment horizontal="center" vertical="center"/>
    </xf>
    <xf numFmtId="20" fontId="55" fillId="2" borderId="34" xfId="0" applyNumberFormat="1" applyFont="1" applyFill="1" applyBorder="1" applyAlignment="1">
      <alignment horizontal="center" vertical="center"/>
    </xf>
    <xf numFmtId="20" fontId="7" fillId="2" borderId="35" xfId="0" applyNumberFormat="1" applyFont="1" applyFill="1" applyBorder="1" applyAlignment="1">
      <alignment horizontal="center"/>
    </xf>
    <xf numFmtId="20" fontId="7" fillId="2" borderId="29" xfId="0" applyNumberFormat="1" applyFont="1" applyFill="1" applyBorder="1" applyAlignment="1">
      <alignment horizontal="center"/>
    </xf>
    <xf numFmtId="2" fontId="49" fillId="2" borderId="82" xfId="0" applyNumberFormat="1" applyFont="1" applyFill="1" applyBorder="1" applyAlignment="1">
      <alignment horizontal="center" vertical="center"/>
    </xf>
    <xf numFmtId="2" fontId="23" fillId="2" borderId="29" xfId="0" applyNumberFormat="1" applyFont="1" applyFill="1" applyBorder="1" applyAlignment="1">
      <alignment horizontal="center" vertical="center"/>
    </xf>
    <xf numFmtId="2" fontId="50" fillId="2" borderId="29" xfId="0" applyNumberFormat="1" applyFont="1" applyFill="1" applyBorder="1" applyAlignment="1">
      <alignment horizontal="center"/>
    </xf>
    <xf numFmtId="2" fontId="26" fillId="2" borderId="87" xfId="0" applyNumberFormat="1" applyFont="1" applyFill="1" applyBorder="1" applyAlignment="1">
      <alignment horizontal="center" vertical="center"/>
    </xf>
    <xf numFmtId="1" fontId="58" fillId="2" borderId="29" xfId="0" applyNumberFormat="1" applyFont="1" applyFill="1" applyBorder="1" applyAlignment="1">
      <alignment horizontal="center" vertical="center"/>
    </xf>
    <xf numFmtId="0" fontId="56" fillId="2" borderId="27" xfId="0" applyFont="1" applyFill="1" applyBorder="1" applyAlignment="1">
      <alignment horizontal="center"/>
    </xf>
    <xf numFmtId="20" fontId="55" fillId="0" borderId="91" xfId="0" applyNumberFormat="1" applyFont="1" applyBorder="1" applyAlignment="1">
      <alignment horizontal="center" vertical="center"/>
    </xf>
    <xf numFmtId="20" fontId="55" fillId="0" borderId="47" xfId="0" applyNumberFormat="1" applyFont="1" applyBorder="1" applyAlignment="1">
      <alignment horizontal="center" vertical="center"/>
    </xf>
    <xf numFmtId="20" fontId="55" fillId="0" borderId="92" xfId="0" applyNumberFormat="1" applyFont="1" applyBorder="1" applyAlignment="1">
      <alignment horizontal="center" vertical="center"/>
    </xf>
    <xf numFmtId="20" fontId="55" fillId="0" borderId="73" xfId="0" applyNumberFormat="1" applyFont="1" applyBorder="1" applyAlignment="1">
      <alignment horizontal="center" vertical="center"/>
    </xf>
    <xf numFmtId="20" fontId="55" fillId="0" borderId="43" xfId="0" applyNumberFormat="1" applyFont="1" applyBorder="1" applyAlignment="1">
      <alignment horizontal="center" vertical="center"/>
    </xf>
    <xf numFmtId="20" fontId="55" fillId="0" borderId="44" xfId="0" applyNumberFormat="1" applyFont="1" applyBorder="1" applyAlignment="1">
      <alignment horizontal="center" vertical="center"/>
    </xf>
    <xf numFmtId="2" fontId="38" fillId="0" borderId="28" xfId="0" applyNumberFormat="1" applyFont="1" applyBorder="1" applyAlignment="1">
      <alignment horizontal="center"/>
    </xf>
    <xf numFmtId="2" fontId="49" fillId="0" borderId="83" xfId="0" applyNumberFormat="1" applyFont="1" applyBorder="1" applyAlignment="1">
      <alignment horizontal="center" vertical="center"/>
    </xf>
    <xf numFmtId="2" fontId="49" fillId="0" borderId="84" xfId="0" applyNumberFormat="1" applyFont="1" applyBorder="1" applyAlignment="1">
      <alignment horizontal="center" vertical="center"/>
    </xf>
    <xf numFmtId="2" fontId="49" fillId="0" borderId="85" xfId="0" applyNumberFormat="1" applyFont="1" applyBorder="1" applyAlignment="1">
      <alignment horizontal="center" vertical="center"/>
    </xf>
    <xf numFmtId="0" fontId="39" fillId="0" borderId="28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2" fontId="50" fillId="2" borderId="30" xfId="0" applyNumberFormat="1" applyFont="1" applyFill="1" applyBorder="1" applyAlignment="1">
      <alignment horizontal="center"/>
    </xf>
    <xf numFmtId="1" fontId="58" fillId="2" borderId="86" xfId="0" applyNumberFormat="1" applyFont="1" applyFill="1" applyBorder="1" applyAlignment="1">
      <alignment horizontal="center" vertical="center"/>
    </xf>
    <xf numFmtId="1" fontId="58" fillId="2" borderId="80" xfId="0" applyNumberFormat="1" applyFont="1" applyFill="1" applyBorder="1" applyAlignment="1">
      <alignment horizontal="center" vertical="center"/>
    </xf>
    <xf numFmtId="1" fontId="58" fillId="2" borderId="87" xfId="0" applyNumberFormat="1" applyFont="1" applyFill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26" fillId="0" borderId="31" xfId="0" applyNumberFormat="1" applyFont="1" applyBorder="1" applyAlignment="1">
      <alignment horizontal="center" vertical="center"/>
    </xf>
    <xf numFmtId="2" fontId="26" fillId="0" borderId="29" xfId="0" applyNumberFormat="1" applyFont="1" applyBorder="1" applyAlignment="1">
      <alignment horizontal="center" vertical="center"/>
    </xf>
    <xf numFmtId="20" fontId="37" fillId="0" borderId="13" xfId="0" applyNumberFormat="1" applyFont="1" applyBorder="1" applyAlignment="1">
      <alignment horizontal="center"/>
    </xf>
    <xf numFmtId="0" fontId="25" fillId="0" borderId="88" xfId="0" applyFont="1" applyBorder="1" applyAlignment="1">
      <alignment horizontal="center"/>
    </xf>
    <xf numFmtId="168" fontId="24" fillId="0" borderId="46" xfId="0" applyNumberFormat="1" applyFont="1" applyBorder="1" applyAlignment="1">
      <alignment horizontal="center"/>
    </xf>
    <xf numFmtId="168" fontId="24" fillId="0" borderId="47" xfId="0" applyNumberFormat="1" applyFont="1" applyBorder="1" applyAlignment="1">
      <alignment horizontal="center"/>
    </xf>
    <xf numFmtId="168" fontId="24" fillId="0" borderId="92" xfId="0" applyNumberFormat="1" applyFont="1" applyBorder="1" applyAlignment="1">
      <alignment horizontal="center"/>
    </xf>
    <xf numFmtId="166" fontId="34" fillId="0" borderId="45" xfId="0" applyNumberFormat="1" applyFont="1" applyBorder="1"/>
    <xf numFmtId="169" fontId="34" fillId="0" borderId="94" xfId="0" applyNumberFormat="1" applyFont="1" applyBorder="1" applyAlignment="1">
      <alignment horizontal="center"/>
    </xf>
    <xf numFmtId="169" fontId="34" fillId="0" borderId="87" xfId="0" applyNumberFormat="1" applyFont="1" applyBorder="1" applyAlignment="1">
      <alignment horizontal="center"/>
    </xf>
    <xf numFmtId="166" fontId="10" fillId="0" borderId="27" xfId="0" applyNumberFormat="1" applyFont="1" applyBorder="1" applyAlignment="1">
      <alignment horizontal="center"/>
    </xf>
    <xf numFmtId="168" fontId="10" fillId="0" borderId="95" xfId="0" applyNumberFormat="1" applyFont="1" applyBorder="1" applyAlignment="1">
      <alignment horizontal="center"/>
    </xf>
    <xf numFmtId="168" fontId="10" fillId="0" borderId="31" xfId="0" applyNumberFormat="1" applyFont="1" applyBorder="1" applyAlignment="1">
      <alignment horizontal="center"/>
    </xf>
    <xf numFmtId="168" fontId="10" fillId="0" borderId="29" xfId="0" applyNumberFormat="1" applyFont="1" applyBorder="1" applyAlignment="1">
      <alignment horizontal="center"/>
    </xf>
    <xf numFmtId="169" fontId="34" fillId="0" borderId="96" xfId="0" applyNumberFormat="1" applyFont="1" applyBorder="1" applyAlignment="1">
      <alignment horizontal="center"/>
    </xf>
    <xf numFmtId="0" fontId="20" fillId="5" borderId="0" xfId="0" applyFont="1" applyFill="1" applyAlignment="1"/>
    <xf numFmtId="0" fontId="20" fillId="4" borderId="0" xfId="0" applyFont="1" applyFill="1" applyAlignment="1"/>
    <xf numFmtId="20" fontId="55" fillId="2" borderId="14" xfId="0" applyNumberFormat="1" applyFont="1" applyFill="1" applyBorder="1" applyAlignment="1">
      <alignment horizontal="center" vertical="center"/>
    </xf>
    <xf numFmtId="20" fontId="55" fillId="2" borderId="15" xfId="0" applyNumberFormat="1" applyFont="1" applyFill="1" applyBorder="1" applyAlignment="1">
      <alignment horizontal="center" vertical="center"/>
    </xf>
    <xf numFmtId="2" fontId="49" fillId="2" borderId="81" xfId="0" applyNumberFormat="1" applyFont="1" applyFill="1" applyBorder="1" applyAlignment="1">
      <alignment horizontal="center" vertical="center"/>
    </xf>
    <xf numFmtId="2" fontId="23" fillId="2" borderId="31" xfId="0" applyNumberFormat="1" applyFont="1" applyFill="1" applyBorder="1" applyAlignment="1">
      <alignment horizontal="center" vertical="center"/>
    </xf>
    <xf numFmtId="2" fontId="26" fillId="2" borderId="80" xfId="0" applyNumberFormat="1" applyFont="1" applyFill="1" applyBorder="1" applyAlignment="1">
      <alignment horizontal="center" vertical="center"/>
    </xf>
    <xf numFmtId="20" fontId="2" fillId="2" borderId="31" xfId="0" applyNumberFormat="1" applyFont="1" applyFill="1" applyBorder="1" applyAlignment="1">
      <alignment horizontal="center"/>
    </xf>
    <xf numFmtId="1" fontId="56" fillId="0" borderId="0" xfId="0" applyNumberFormat="1" applyFont="1" applyAlignment="1">
      <alignment horizontal="center"/>
    </xf>
    <xf numFmtId="3" fontId="5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2" fontId="25" fillId="4" borderId="0" xfId="0" applyNumberFormat="1" applyFont="1" applyFill="1" applyAlignment="1">
      <alignment horizontal="center"/>
    </xf>
    <xf numFmtId="2" fontId="0" fillId="0" borderId="0" xfId="0" applyNumberFormat="1"/>
    <xf numFmtId="2" fontId="20" fillId="5" borderId="0" xfId="0" applyNumberFormat="1" applyFont="1" applyFill="1" applyAlignment="1">
      <alignment horizontal="center"/>
    </xf>
    <xf numFmtId="0" fontId="25" fillId="0" borderId="81" xfId="0" applyFont="1" applyBorder="1" applyAlignment="1">
      <alignment horizontal="center"/>
    </xf>
    <xf numFmtId="164" fontId="25" fillId="0" borderId="14" xfId="0" applyNumberFormat="1" applyFont="1" applyBorder="1" applyAlignment="1">
      <alignment horizontal="center"/>
    </xf>
    <xf numFmtId="164" fontId="25" fillId="0" borderId="15" xfId="0" applyNumberFormat="1" applyFont="1" applyBorder="1" applyAlignment="1">
      <alignment horizontal="center"/>
    </xf>
    <xf numFmtId="164" fontId="25" fillId="0" borderId="43" xfId="0" applyNumberFormat="1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164" fontId="25" fillId="0" borderId="20" xfId="0" applyNumberFormat="1" applyFont="1" applyBorder="1" applyAlignment="1">
      <alignment horizontal="center"/>
    </xf>
    <xf numFmtId="164" fontId="25" fillId="0" borderId="34" xfId="0" applyNumberFormat="1" applyFont="1" applyBorder="1" applyAlignment="1">
      <alignment horizontal="center"/>
    </xf>
    <xf numFmtId="164" fontId="25" fillId="0" borderId="4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8" fillId="0" borderId="97" xfId="0" applyNumberFormat="1" applyFont="1" applyBorder="1" applyAlignment="1">
      <alignment horizontal="center"/>
    </xf>
    <xf numFmtId="2" fontId="8" fillId="0" borderId="98" xfId="0" applyNumberFormat="1" applyFont="1" applyBorder="1" applyAlignment="1">
      <alignment horizontal="center"/>
    </xf>
    <xf numFmtId="2" fontId="8" fillId="0" borderId="99" xfId="0" applyNumberFormat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5" fillId="0" borderId="20" xfId="0" applyNumberFormat="1" applyFont="1" applyBorder="1" applyAlignment="1">
      <alignment horizontal="center"/>
    </xf>
    <xf numFmtId="14" fontId="8" fillId="0" borderId="100" xfId="0" applyNumberFormat="1" applyFont="1" applyBorder="1" applyAlignment="1">
      <alignment horizontal="center"/>
    </xf>
    <xf numFmtId="14" fontId="8" fillId="0" borderId="38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0" fontId="20" fillId="5" borderId="0" xfId="0" applyFont="1" applyFill="1" applyAlignment="1"/>
    <xf numFmtId="0" fontId="20" fillId="4" borderId="0" xfId="0" applyFont="1" applyFill="1" applyAlignment="1"/>
    <xf numFmtId="0" fontId="8" fillId="0" borderId="2" xfId="0" applyFont="1" applyBorder="1" applyAlignment="1">
      <alignment horizontal="center"/>
    </xf>
    <xf numFmtId="20" fontId="8" fillId="0" borderId="81" xfId="0" applyNumberFormat="1" applyFont="1" applyBorder="1" applyAlignment="1">
      <alignment horizontal="center"/>
    </xf>
    <xf numFmtId="20" fontId="8" fillId="0" borderId="14" xfId="0" applyNumberFormat="1" applyFont="1" applyBorder="1" applyAlignment="1">
      <alignment horizontal="center"/>
    </xf>
    <xf numFmtId="20" fontId="8" fillId="0" borderId="15" xfId="0" applyNumberFormat="1" applyFont="1" applyBorder="1" applyAlignment="1">
      <alignment horizontal="center"/>
    </xf>
    <xf numFmtId="20" fontId="8" fillId="0" borderId="43" xfId="0" applyNumberFormat="1" applyFont="1" applyBorder="1" applyAlignment="1">
      <alignment horizontal="center"/>
    </xf>
    <xf numFmtId="20" fontId="8" fillId="0" borderId="89" xfId="0" applyNumberFormat="1" applyFont="1" applyBorder="1" applyAlignment="1">
      <alignment horizontal="center"/>
    </xf>
    <xf numFmtId="20" fontId="8" fillId="0" borderId="38" xfId="0" applyNumberFormat="1" applyFont="1" applyBorder="1" applyAlignment="1">
      <alignment horizontal="center"/>
    </xf>
    <xf numFmtId="20" fontId="8" fillId="0" borderId="33" xfId="0" applyNumberFormat="1" applyFont="1" applyBorder="1" applyAlignment="1">
      <alignment horizontal="center"/>
    </xf>
    <xf numFmtId="20" fontId="8" fillId="0" borderId="101" xfId="0" applyNumberFormat="1" applyFont="1" applyBorder="1" applyAlignment="1">
      <alignment horizontal="center"/>
    </xf>
    <xf numFmtId="20" fontId="5" fillId="2" borderId="31" xfId="0" applyNumberFormat="1" applyFont="1" applyFill="1" applyBorder="1" applyAlignment="1">
      <alignment horizontal="center"/>
    </xf>
    <xf numFmtId="20" fontId="5" fillId="2" borderId="14" xfId="0" applyNumberFormat="1" applyFont="1" applyFill="1" applyBorder="1" applyAlignment="1">
      <alignment horizontal="center" vertical="center"/>
    </xf>
    <xf numFmtId="20" fontId="5" fillId="2" borderId="15" xfId="0" applyNumberFormat="1" applyFont="1" applyFill="1" applyBorder="1" applyAlignment="1">
      <alignment horizontal="center" vertical="center"/>
    </xf>
    <xf numFmtId="2" fontId="5" fillId="2" borderId="81" xfId="0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2" fontId="5" fillId="2" borderId="80" xfId="0" applyNumberFormat="1" applyFont="1" applyFill="1" applyBorder="1" applyAlignment="1">
      <alignment horizontal="center" vertical="center"/>
    </xf>
    <xf numFmtId="20" fontId="55" fillId="2" borderId="14" xfId="0" applyNumberFormat="1" applyFont="1" applyFill="1" applyBorder="1" applyAlignment="1" applyProtection="1">
      <alignment horizontal="center" vertical="center"/>
    </xf>
    <xf numFmtId="164" fontId="33" fillId="0" borderId="63" xfId="0" applyNumberFormat="1" applyFont="1" applyBorder="1" applyAlignment="1">
      <alignment horizontal="center"/>
    </xf>
    <xf numFmtId="164" fontId="33" fillId="0" borderId="25" xfId="0" applyNumberFormat="1" applyFont="1" applyBorder="1" applyAlignment="1">
      <alignment horizontal="center"/>
    </xf>
    <xf numFmtId="164" fontId="33" fillId="0" borderId="26" xfId="0" applyNumberFormat="1" applyFont="1" applyBorder="1" applyAlignment="1">
      <alignment horizontal="center"/>
    </xf>
    <xf numFmtId="20" fontId="33" fillId="0" borderId="13" xfId="0" applyNumberFormat="1" applyFont="1" applyBorder="1" applyAlignment="1">
      <alignment horizontal="center"/>
    </xf>
    <xf numFmtId="20" fontId="33" fillId="0" borderId="14" xfId="0" applyNumberFormat="1" applyFont="1" applyBorder="1" applyAlignment="1">
      <alignment horizontal="center"/>
    </xf>
    <xf numFmtId="20" fontId="33" fillId="2" borderId="14" xfId="0" applyNumberFormat="1" applyFont="1" applyFill="1" applyBorder="1" applyAlignment="1">
      <alignment horizontal="center"/>
    </xf>
    <xf numFmtId="20" fontId="33" fillId="2" borderId="20" xfId="0" applyNumberFormat="1" applyFont="1" applyFill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center"/>
    </xf>
    <xf numFmtId="0" fontId="0" fillId="2" borderId="34" xfId="0" applyFont="1" applyFill="1" applyBorder="1"/>
    <xf numFmtId="173" fontId="5" fillId="0" borderId="8" xfId="0" applyNumberFormat="1" applyFont="1" applyBorder="1" applyAlignment="1">
      <alignment horizontal="center"/>
    </xf>
    <xf numFmtId="177" fontId="8" fillId="0" borderId="3" xfId="0" applyNumberFormat="1" applyFont="1" applyBorder="1" applyAlignment="1">
      <alignment horizontal="center"/>
    </xf>
    <xf numFmtId="177" fontId="8" fillId="0" borderId="8" xfId="0" applyNumberFormat="1" applyFont="1" applyBorder="1" applyAlignment="1">
      <alignment horizontal="center"/>
    </xf>
    <xf numFmtId="0" fontId="8" fillId="6" borderId="0" xfId="0" applyFont="1" applyFill="1" applyAlignment="1">
      <alignment horizontal="center"/>
    </xf>
    <xf numFmtId="173" fontId="5" fillId="0" borderId="0" xfId="0" applyNumberFormat="1" applyFont="1" applyAlignment="1">
      <alignment horizontal="center"/>
    </xf>
    <xf numFmtId="176" fontId="5" fillId="0" borderId="30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78" fontId="5" fillId="0" borderId="29" xfId="0" applyNumberFormat="1" applyFont="1" applyBorder="1" applyAlignment="1">
      <alignment horizontal="center"/>
    </xf>
    <xf numFmtId="173" fontId="5" fillId="6" borderId="0" xfId="0" applyNumberFormat="1" applyFont="1" applyFill="1" applyAlignment="1">
      <alignment horizontal="center"/>
    </xf>
    <xf numFmtId="173" fontId="0" fillId="0" borderId="0" xfId="0" applyNumberFormat="1" applyAlignment="1">
      <alignment horizontal="center"/>
    </xf>
    <xf numFmtId="173" fontId="8" fillId="0" borderId="0" xfId="0" applyNumberFormat="1" applyFont="1" applyAlignment="1">
      <alignment horizontal="center"/>
    </xf>
    <xf numFmtId="14" fontId="5" fillId="0" borderId="73" xfId="0" applyNumberFormat="1" applyFont="1" applyBorder="1" applyAlignment="1">
      <alignment horizontal="center"/>
    </xf>
    <xf numFmtId="14" fontId="5" fillId="0" borderId="43" xfId="0" applyNumberFormat="1" applyFont="1" applyBorder="1" applyAlignment="1">
      <alignment horizontal="center"/>
    </xf>
    <xf numFmtId="14" fontId="5" fillId="0" borderId="44" xfId="0" applyNumberFormat="1" applyFont="1" applyBorder="1" applyAlignment="1">
      <alignment horizontal="center"/>
    </xf>
    <xf numFmtId="176" fontId="5" fillId="0" borderId="2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73" fontId="5" fillId="0" borderId="29" xfId="0" applyNumberFormat="1" applyFont="1" applyBorder="1" applyAlignment="1">
      <alignment horizontal="center"/>
    </xf>
    <xf numFmtId="20" fontId="5" fillId="0" borderId="43" xfId="0" applyNumberFormat="1" applyFont="1" applyBorder="1" applyAlignment="1">
      <alignment horizontal="center"/>
    </xf>
    <xf numFmtId="20" fontId="5" fillId="0" borderId="44" xfId="0" applyNumberFormat="1" applyFont="1" applyBorder="1" applyAlignment="1">
      <alignment horizontal="center"/>
    </xf>
    <xf numFmtId="173" fontId="1" fillId="0" borderId="30" xfId="0" applyNumberFormat="1" applyFont="1" applyBorder="1" applyAlignment="1">
      <alignment horizontal="center"/>
    </xf>
    <xf numFmtId="2" fontId="57" fillId="0" borderId="31" xfId="0" applyNumberFormat="1" applyFont="1" applyBorder="1" applyAlignment="1">
      <alignment horizontal="center" vertical="center"/>
    </xf>
    <xf numFmtId="2" fontId="57" fillId="0" borderId="29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43" fillId="0" borderId="28" xfId="0" applyFont="1" applyBorder="1" applyAlignment="1"/>
    <xf numFmtId="0" fontId="43" fillId="0" borderId="45" xfId="0" applyFont="1" applyBorder="1" applyAlignment="1"/>
    <xf numFmtId="0" fontId="33" fillId="0" borderId="2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20" fillId="5" borderId="0" xfId="0" applyFont="1" applyFill="1" applyAlignment="1"/>
    <xf numFmtId="0" fontId="1" fillId="0" borderId="4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Alignment="1"/>
    <xf numFmtId="0" fontId="33" fillId="0" borderId="36" xfId="0" applyFont="1" applyBorder="1" applyAlignment="1">
      <alignment horizontal="center"/>
    </xf>
    <xf numFmtId="0" fontId="25" fillId="2" borderId="0" xfId="0" applyFont="1" applyFill="1" applyAlignment="1"/>
    <xf numFmtId="0" fontId="25" fillId="5" borderId="0" xfId="0" applyFont="1" applyFill="1" applyAlignment="1"/>
    <xf numFmtId="0" fontId="25" fillId="4" borderId="0" xfId="0" applyFont="1" applyFill="1" applyAlignment="1"/>
    <xf numFmtId="0" fontId="25" fillId="0" borderId="28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93" xfId="0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7" fontId="23" fillId="0" borderId="17" xfId="0" applyNumberFormat="1" applyFont="1" applyBorder="1" applyAlignment="1">
      <alignment horizontal="center"/>
    </xf>
    <xf numFmtId="0" fontId="44" fillId="0" borderId="18" xfId="0" applyFont="1" applyBorder="1" applyAlignment="1">
      <alignment horizontal="center"/>
    </xf>
    <xf numFmtId="169" fontId="45" fillId="0" borderId="14" xfId="0" applyNumberFormat="1" applyFont="1" applyBorder="1" applyAlignment="1">
      <alignment horizontal="center"/>
    </xf>
    <xf numFmtId="0" fontId="46" fillId="0" borderId="47" xfId="0" applyFont="1" applyBorder="1" applyAlignment="1"/>
    <xf numFmtId="169" fontId="45" fillId="0" borderId="17" xfId="0" applyNumberFormat="1" applyFont="1" applyBorder="1" applyAlignment="1">
      <alignment horizontal="center"/>
    </xf>
    <xf numFmtId="0" fontId="46" fillId="0" borderId="48" xfId="0" applyFont="1" applyBorder="1" applyAlignment="1"/>
    <xf numFmtId="169" fontId="45" fillId="5" borderId="27" xfId="0" applyNumberFormat="1" applyFont="1" applyFill="1" applyBorder="1" applyAlignment="1">
      <alignment horizontal="center"/>
    </xf>
    <xf numFmtId="0" fontId="0" fillId="0" borderId="27" xfId="0" applyBorder="1" applyAlignment="1"/>
    <xf numFmtId="167" fontId="23" fillId="5" borderId="27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169" fontId="45" fillId="0" borderId="38" xfId="0" applyNumberFormat="1" applyFont="1" applyBorder="1" applyAlignment="1">
      <alignment horizontal="center"/>
    </xf>
    <xf numFmtId="0" fontId="46" fillId="0" borderId="46" xfId="0" applyFont="1" applyBorder="1" applyAlignment="1"/>
    <xf numFmtId="0" fontId="45" fillId="0" borderId="2" xfId="0" applyFont="1" applyBorder="1" applyAlignment="1">
      <alignment horizontal="center"/>
    </xf>
    <xf numFmtId="0" fontId="46" fillId="0" borderId="28" xfId="0" applyFont="1" applyBorder="1" applyAlignment="1"/>
    <xf numFmtId="0" fontId="17" fillId="0" borderId="0" xfId="0" applyFont="1" applyBorder="1" applyAlignment="1"/>
    <xf numFmtId="0" fontId="14" fillId="0" borderId="0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167" fontId="23" fillId="0" borderId="38" xfId="0" applyNumberFormat="1" applyFont="1" applyBorder="1" applyAlignment="1">
      <alignment horizontal="center"/>
    </xf>
    <xf numFmtId="0" fontId="44" fillId="0" borderId="33" xfId="0" applyFont="1" applyBorder="1" applyAlignment="1">
      <alignment horizontal="center"/>
    </xf>
  </cellXfs>
  <cellStyles count="2">
    <cellStyle name="Normal" xfId="0" builtinId="0"/>
    <cellStyle name="Style 1" xfId="1"/>
  </cellStyles>
  <dxfs count="62">
    <dxf>
      <font>
        <b/>
        <i/>
        <color theme="7"/>
      </font>
    </dxf>
    <dxf>
      <font>
        <color rgb="FF00B050"/>
      </font>
    </dxf>
    <dxf>
      <font>
        <b/>
        <i/>
        <color rgb="FF00206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color rgb="FFFFFF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7"/>
  <sheetViews>
    <sheetView topLeftCell="A69" workbookViewId="0">
      <selection activeCell="B91" sqref="B91"/>
    </sheetView>
  </sheetViews>
  <sheetFormatPr baseColWidth="10" defaultRowHeight="15" x14ac:dyDescent="0.25"/>
  <sheetData>
    <row r="1" spans="2:6" ht="15.75" thickBot="1" x14ac:dyDescent="0.3"/>
    <row r="2" spans="2:6" ht="15.75" thickBot="1" x14ac:dyDescent="0.3">
      <c r="B2" s="461" t="s">
        <v>18</v>
      </c>
      <c r="C2" s="512" t="s">
        <v>240</v>
      </c>
      <c r="D2" s="513"/>
      <c r="E2" s="514" t="s">
        <v>241</v>
      </c>
      <c r="F2" s="513"/>
    </row>
    <row r="3" spans="2:6" x14ac:dyDescent="0.25">
      <c r="B3" s="462" t="s">
        <v>242</v>
      </c>
      <c r="C3" s="463">
        <v>0.20277777777777781</v>
      </c>
      <c r="D3" s="464">
        <v>0.53263888888888888</v>
      </c>
      <c r="E3" s="465" t="str">
        <f>IF(ISNA(VLOOKUP(C3,3,FALSE)),"",VLOOKUP(C3,'Planning 2017'!B2:F397,3,FALSE))</f>
        <v/>
      </c>
      <c r="F3" s="464"/>
    </row>
    <row r="4" spans="2:6" x14ac:dyDescent="0.25">
      <c r="B4" s="462" t="s">
        <v>49</v>
      </c>
      <c r="C4" s="462">
        <v>0.24166666666666667</v>
      </c>
      <c r="D4" s="464">
        <v>0.5444444444444444</v>
      </c>
      <c r="E4" s="465"/>
      <c r="F4" s="464"/>
    </row>
    <row r="5" spans="2:6" x14ac:dyDescent="0.25">
      <c r="B5" s="462" t="s">
        <v>140</v>
      </c>
      <c r="C5" s="462">
        <v>0.29930555555555555</v>
      </c>
      <c r="D5" s="464">
        <v>0.58472222222222225</v>
      </c>
      <c r="E5" s="465"/>
      <c r="F5" s="464"/>
    </row>
    <row r="6" spans="2:6" s="1" customFormat="1" x14ac:dyDescent="0.25">
      <c r="B6" s="462" t="s">
        <v>301</v>
      </c>
      <c r="C6" s="463"/>
      <c r="D6" s="464"/>
      <c r="E6" s="465">
        <v>0.48402777777777778</v>
      </c>
      <c r="F6" s="464">
        <v>0.81736111111111109</v>
      </c>
    </row>
    <row r="7" spans="2:6" s="1" customFormat="1" x14ac:dyDescent="0.25">
      <c r="B7" s="462" t="s">
        <v>302</v>
      </c>
      <c r="C7" s="463"/>
      <c r="D7" s="464"/>
      <c r="E7" s="465">
        <v>0.61111111111111105</v>
      </c>
      <c r="F7" s="464">
        <v>0.90069444444444446</v>
      </c>
    </row>
    <row r="8" spans="2:6" x14ac:dyDescent="0.25">
      <c r="B8" s="462" t="s">
        <v>78</v>
      </c>
      <c r="C8" s="463"/>
      <c r="D8" s="464"/>
      <c r="E8" s="465">
        <v>0.51458333333333328</v>
      </c>
      <c r="F8" s="464">
        <v>0.8340277777777777</v>
      </c>
    </row>
    <row r="9" spans="2:6" x14ac:dyDescent="0.25">
      <c r="B9" s="462" t="s">
        <v>201</v>
      </c>
      <c r="C9" s="462"/>
      <c r="D9" s="464"/>
      <c r="E9" s="465">
        <v>0.53194444444444444</v>
      </c>
      <c r="F9" s="464">
        <v>0.86111111111111116</v>
      </c>
    </row>
    <row r="10" spans="2:6" x14ac:dyDescent="0.25">
      <c r="B10" s="462" t="s">
        <v>246</v>
      </c>
      <c r="C10" s="462"/>
      <c r="D10" s="464"/>
      <c r="E10" s="465">
        <v>0.55486111111111114</v>
      </c>
      <c r="F10" s="464">
        <v>0.8340277777777777</v>
      </c>
    </row>
    <row r="11" spans="2:6" s="1" customFormat="1" x14ac:dyDescent="0.25">
      <c r="B11" s="462" t="s">
        <v>305</v>
      </c>
      <c r="C11" s="462"/>
      <c r="D11" s="464"/>
      <c r="E11" s="465">
        <v>0.60486111111111118</v>
      </c>
      <c r="F11" s="464">
        <v>0.93680555555555556</v>
      </c>
    </row>
    <row r="12" spans="2:6" x14ac:dyDescent="0.25">
      <c r="B12" s="462" t="s">
        <v>247</v>
      </c>
      <c r="C12" s="462">
        <v>0.47083333333333338</v>
      </c>
      <c r="D12" s="464">
        <v>0.57222222222222219</v>
      </c>
      <c r="E12" s="465">
        <v>0.68888888888888899</v>
      </c>
      <c r="F12" s="464">
        <v>0.92708333333333337</v>
      </c>
    </row>
    <row r="13" spans="2:6" x14ac:dyDescent="0.25">
      <c r="B13" s="462" t="s">
        <v>150</v>
      </c>
      <c r="C13" s="463">
        <v>0.2590277777777778</v>
      </c>
      <c r="D13" s="464">
        <v>0.43263888888888885</v>
      </c>
      <c r="E13" s="465">
        <v>0.51180555555555551</v>
      </c>
      <c r="F13" s="464">
        <v>0.68263888888888891</v>
      </c>
    </row>
    <row r="14" spans="2:6" x14ac:dyDescent="0.25">
      <c r="B14" s="462" t="s">
        <v>248</v>
      </c>
      <c r="C14" s="463"/>
      <c r="D14" s="464"/>
      <c r="E14" s="465">
        <v>0.49791666666666662</v>
      </c>
      <c r="F14" s="464">
        <v>0.7715277777777777</v>
      </c>
    </row>
    <row r="15" spans="2:6" x14ac:dyDescent="0.25">
      <c r="B15" s="462" t="s">
        <v>250</v>
      </c>
      <c r="C15" s="463"/>
      <c r="D15" s="464"/>
      <c r="E15" s="465">
        <v>0.6381944444444444</v>
      </c>
      <c r="F15" s="464">
        <v>0.96527777777777779</v>
      </c>
    </row>
    <row r="16" spans="2:6" x14ac:dyDescent="0.25">
      <c r="B16" s="462" t="s">
        <v>251</v>
      </c>
      <c r="C16" s="463">
        <v>0.28263888888888888</v>
      </c>
      <c r="D16" s="464">
        <v>0.43055555555555558</v>
      </c>
      <c r="E16" s="465">
        <v>0.50416666666666665</v>
      </c>
      <c r="F16" s="464">
        <v>0.7104166666666667</v>
      </c>
    </row>
    <row r="17" spans="2:6" x14ac:dyDescent="0.25">
      <c r="B17" s="462" t="s">
        <v>244</v>
      </c>
      <c r="C17" s="463"/>
      <c r="D17" s="464"/>
      <c r="E17" s="465">
        <v>0.50624999999999998</v>
      </c>
      <c r="F17" s="464">
        <v>0.83333333333333337</v>
      </c>
    </row>
    <row r="18" spans="2:6" x14ac:dyDescent="0.25">
      <c r="B18" s="462" t="s">
        <v>252</v>
      </c>
      <c r="C18" s="463">
        <v>0.17291666666666669</v>
      </c>
      <c r="D18" s="464">
        <v>0.49861111111111112</v>
      </c>
      <c r="E18" s="465"/>
      <c r="F18" s="464"/>
    </row>
    <row r="19" spans="2:6" x14ac:dyDescent="0.25">
      <c r="B19" s="462" t="s">
        <v>75</v>
      </c>
      <c r="C19" s="463">
        <v>0.20972222222222223</v>
      </c>
      <c r="D19" s="464">
        <v>0.53402777777777777</v>
      </c>
      <c r="E19" s="465"/>
      <c r="F19" s="464"/>
    </row>
    <row r="20" spans="2:6" x14ac:dyDescent="0.25">
      <c r="B20" s="462" t="s">
        <v>253</v>
      </c>
      <c r="C20" s="463">
        <v>0.26180555555555557</v>
      </c>
      <c r="D20" s="464">
        <v>0.5854166666666667</v>
      </c>
      <c r="E20" s="465"/>
      <c r="F20" s="464"/>
    </row>
    <row r="21" spans="2:6" x14ac:dyDescent="0.25">
      <c r="B21" s="462" t="s">
        <v>143</v>
      </c>
      <c r="C21" s="463"/>
      <c r="D21" s="464"/>
      <c r="E21" s="465">
        <v>0.50416666666666665</v>
      </c>
      <c r="F21" s="464">
        <v>0.82291666666666663</v>
      </c>
    </row>
    <row r="22" spans="2:6" x14ac:dyDescent="0.25">
      <c r="B22" s="462" t="s">
        <v>254</v>
      </c>
      <c r="C22" s="463"/>
      <c r="D22" s="464"/>
      <c r="E22" s="465">
        <v>0.59305555555555556</v>
      </c>
      <c r="F22" s="464">
        <v>0.92361111111111116</v>
      </c>
    </row>
    <row r="23" spans="2:6" x14ac:dyDescent="0.25">
      <c r="B23" s="462" t="s">
        <v>255</v>
      </c>
      <c r="C23" s="463"/>
      <c r="D23" s="464"/>
      <c r="E23" s="465">
        <v>0.5395833333333333</v>
      </c>
      <c r="F23" s="464">
        <v>0.86319444444444438</v>
      </c>
    </row>
    <row r="24" spans="2:6" x14ac:dyDescent="0.25">
      <c r="B24" s="462" t="s">
        <v>256</v>
      </c>
      <c r="C24" s="463"/>
      <c r="D24" s="464"/>
      <c r="E24" s="465">
        <v>0.61041666666666672</v>
      </c>
      <c r="F24" s="464">
        <v>0.92569444444444438</v>
      </c>
    </row>
    <row r="25" spans="2:6" x14ac:dyDescent="0.25">
      <c r="B25" s="462" t="s">
        <v>257</v>
      </c>
      <c r="C25" s="463"/>
      <c r="D25" s="464"/>
      <c r="E25" s="465">
        <v>0.66041666666666665</v>
      </c>
      <c r="F25" s="464">
        <v>0.9458333333333333</v>
      </c>
    </row>
    <row r="26" spans="2:6" x14ac:dyDescent="0.25">
      <c r="B26" s="462" t="s">
        <v>230</v>
      </c>
      <c r="C26" s="463"/>
      <c r="D26" s="464"/>
      <c r="E26" s="465">
        <v>0.71250000000000002</v>
      </c>
      <c r="F26" s="464">
        <v>0.96805555555555556</v>
      </c>
    </row>
    <row r="27" spans="2:6" x14ac:dyDescent="0.25">
      <c r="B27" s="462" t="s">
        <v>258</v>
      </c>
      <c r="C27" s="463">
        <v>0.20277777777777781</v>
      </c>
      <c r="D27" s="464">
        <v>0.5083333333333333</v>
      </c>
      <c r="E27" s="465"/>
      <c r="F27" s="464"/>
    </row>
    <row r="28" spans="2:6" x14ac:dyDescent="0.25">
      <c r="B28" s="462" t="s">
        <v>259</v>
      </c>
      <c r="C28" s="463">
        <v>0.20555555555555557</v>
      </c>
      <c r="D28" s="464">
        <v>0.52430555555555558</v>
      </c>
      <c r="E28" s="465"/>
      <c r="F28" s="464"/>
    </row>
    <row r="29" spans="2:6" x14ac:dyDescent="0.25">
      <c r="B29" s="462" t="s">
        <v>260</v>
      </c>
      <c r="C29" s="463">
        <v>0.20555555555555557</v>
      </c>
      <c r="D29" s="464">
        <v>0.51874999999999993</v>
      </c>
      <c r="E29" s="465"/>
      <c r="F29" s="464"/>
    </row>
    <row r="30" spans="2:6" x14ac:dyDescent="0.25">
      <c r="B30" s="462" t="s">
        <v>261</v>
      </c>
      <c r="C30" s="463"/>
      <c r="D30" s="464"/>
      <c r="E30" s="465">
        <v>0.56458333333333333</v>
      </c>
      <c r="F30" s="464">
        <v>0.85486111111111107</v>
      </c>
    </row>
    <row r="31" spans="2:6" x14ac:dyDescent="0.25">
      <c r="B31" s="462" t="s">
        <v>142</v>
      </c>
      <c r="C31" s="463"/>
      <c r="D31" s="464"/>
      <c r="E31" s="465">
        <v>0.52152777777777781</v>
      </c>
      <c r="F31" s="464">
        <v>0.84791666666666676</v>
      </c>
    </row>
    <row r="32" spans="2:6" x14ac:dyDescent="0.25">
      <c r="B32" s="462" t="s">
        <v>262</v>
      </c>
      <c r="C32" s="463"/>
      <c r="D32" s="464"/>
      <c r="E32" s="465">
        <v>0.53819444444444442</v>
      </c>
      <c r="F32" s="464">
        <v>0.86805555555555547</v>
      </c>
    </row>
    <row r="33" spans="2:6" x14ac:dyDescent="0.25">
      <c r="B33" s="462" t="s">
        <v>263</v>
      </c>
      <c r="C33" s="463"/>
      <c r="D33" s="464"/>
      <c r="E33" s="465">
        <v>0.58888888888888891</v>
      </c>
      <c r="F33" s="464">
        <v>0.89444444444444438</v>
      </c>
    </row>
    <row r="34" spans="2:6" x14ac:dyDescent="0.25">
      <c r="B34" s="462" t="s">
        <v>264</v>
      </c>
      <c r="C34" s="463"/>
      <c r="D34" s="464"/>
      <c r="E34" s="465">
        <v>0.51111111111111118</v>
      </c>
      <c r="F34" s="464">
        <v>0.83750000000000002</v>
      </c>
    </row>
    <row r="35" spans="2:6" x14ac:dyDescent="0.25">
      <c r="B35" s="462" t="s">
        <v>215</v>
      </c>
      <c r="C35" s="463"/>
      <c r="D35" s="464"/>
      <c r="E35" s="465">
        <v>0.51458333333333328</v>
      </c>
      <c r="F35" s="464">
        <v>0.84375</v>
      </c>
    </row>
    <row r="36" spans="2:6" x14ac:dyDescent="0.25">
      <c r="B36" s="462" t="s">
        <v>265</v>
      </c>
      <c r="C36" s="463"/>
      <c r="D36" s="464"/>
      <c r="E36" s="465">
        <v>0.51597222222222217</v>
      </c>
      <c r="F36" s="464">
        <v>0.83958333333333324</v>
      </c>
    </row>
    <row r="37" spans="2:6" x14ac:dyDescent="0.25">
      <c r="B37" s="462" t="s">
        <v>266</v>
      </c>
      <c r="C37" s="463"/>
      <c r="D37" s="464"/>
      <c r="E37" s="465">
        <v>0.52777777777777779</v>
      </c>
      <c r="F37" s="464">
        <v>0.83819444444444446</v>
      </c>
    </row>
    <row r="38" spans="2:6" x14ac:dyDescent="0.25">
      <c r="B38" s="462" t="s">
        <v>267</v>
      </c>
      <c r="C38" s="463">
        <v>0.21180555555555555</v>
      </c>
      <c r="D38" s="464">
        <v>0.53680555555555554</v>
      </c>
      <c r="E38" s="465"/>
      <c r="F38" s="464"/>
    </row>
    <row r="39" spans="2:6" x14ac:dyDescent="0.25">
      <c r="B39" s="462" t="s">
        <v>268</v>
      </c>
      <c r="C39" s="463">
        <v>0.19652777777777777</v>
      </c>
      <c r="D39" s="464">
        <v>0.52986111111111112</v>
      </c>
      <c r="E39" s="465"/>
      <c r="F39" s="464"/>
    </row>
    <row r="40" spans="2:6" x14ac:dyDescent="0.25">
      <c r="B40" s="462" t="s">
        <v>97</v>
      </c>
      <c r="C40" s="463">
        <v>0.20486111111111113</v>
      </c>
      <c r="D40" s="464">
        <v>0.53541666666666665</v>
      </c>
      <c r="E40" s="465"/>
      <c r="F40" s="464"/>
    </row>
    <row r="41" spans="2:6" x14ac:dyDescent="0.25">
      <c r="B41" s="462" t="s">
        <v>269</v>
      </c>
      <c r="C41" s="463">
        <v>0.24374999999999999</v>
      </c>
      <c r="D41" s="464">
        <v>0.56666666666666665</v>
      </c>
      <c r="E41" s="465"/>
      <c r="F41" s="464"/>
    </row>
    <row r="42" spans="2:6" x14ac:dyDescent="0.25">
      <c r="B42" s="462" t="s">
        <v>270</v>
      </c>
      <c r="C42" s="463">
        <v>0.22430555555555556</v>
      </c>
      <c r="D42" s="464">
        <v>0.53472222222222221</v>
      </c>
      <c r="E42" s="465"/>
      <c r="F42" s="464"/>
    </row>
    <row r="43" spans="2:6" x14ac:dyDescent="0.25">
      <c r="B43" s="462" t="s">
        <v>271</v>
      </c>
      <c r="C43" s="463"/>
      <c r="D43" s="464"/>
      <c r="E43" s="465">
        <v>0.54791666666666672</v>
      </c>
      <c r="F43" s="464">
        <v>0.87361111111111101</v>
      </c>
    </row>
    <row r="44" spans="2:6" x14ac:dyDescent="0.25">
      <c r="B44" s="462" t="s">
        <v>272</v>
      </c>
      <c r="C44" s="463"/>
      <c r="D44" s="464"/>
      <c r="E44" s="465">
        <v>0.49652777777777773</v>
      </c>
      <c r="F44" s="464">
        <v>0.81041666666666667</v>
      </c>
    </row>
    <row r="45" spans="2:6" x14ac:dyDescent="0.25">
      <c r="B45" s="462" t="s">
        <v>273</v>
      </c>
      <c r="C45" s="463"/>
      <c r="D45" s="464"/>
      <c r="E45" s="465">
        <v>0.65347222222222223</v>
      </c>
      <c r="F45" s="464">
        <v>0.95833333333333337</v>
      </c>
    </row>
    <row r="46" spans="2:6" x14ac:dyDescent="0.25">
      <c r="B46" s="462" t="s">
        <v>274</v>
      </c>
      <c r="C46" s="463">
        <v>0.26041666666666669</v>
      </c>
      <c r="D46" s="464">
        <v>0.39097222222222222</v>
      </c>
      <c r="E46" s="465">
        <v>0.56180555555555556</v>
      </c>
      <c r="F46" s="464">
        <v>0.76458333333333339</v>
      </c>
    </row>
    <row r="47" spans="2:6" x14ac:dyDescent="0.25">
      <c r="B47" s="462" t="s">
        <v>275</v>
      </c>
      <c r="C47" s="463">
        <v>0.29375000000000001</v>
      </c>
      <c r="D47" s="464">
        <v>0.37708333333333338</v>
      </c>
      <c r="E47" s="465">
        <v>0.62291666666666667</v>
      </c>
      <c r="F47" s="464">
        <v>0.83333333333333337</v>
      </c>
    </row>
    <row r="48" spans="2:6" x14ac:dyDescent="0.25">
      <c r="B48" s="462" t="s">
        <v>276</v>
      </c>
      <c r="C48" s="463">
        <v>0.23611111111111113</v>
      </c>
      <c r="D48" s="464">
        <v>0.50694444444444442</v>
      </c>
      <c r="E48" s="465"/>
      <c r="F48" s="464"/>
    </row>
    <row r="49" spans="2:6" x14ac:dyDescent="0.25">
      <c r="B49" s="462" t="s">
        <v>277</v>
      </c>
      <c r="C49" s="463"/>
      <c r="D49" s="464"/>
      <c r="E49" s="465">
        <v>0.64097222222222217</v>
      </c>
      <c r="F49" s="464">
        <v>0.89513888888888893</v>
      </c>
    </row>
    <row r="50" spans="2:6" x14ac:dyDescent="0.25">
      <c r="B50" s="462" t="s">
        <v>229</v>
      </c>
      <c r="C50" s="463"/>
      <c r="D50" s="464"/>
      <c r="E50" s="465">
        <v>0.5131944444444444</v>
      </c>
      <c r="F50" s="464">
        <v>0.84583333333333333</v>
      </c>
    </row>
    <row r="51" spans="2:6" x14ac:dyDescent="0.25">
      <c r="B51" s="462" t="s">
        <v>278</v>
      </c>
      <c r="C51" s="463">
        <v>0.27083333333333331</v>
      </c>
      <c r="D51" s="464">
        <v>0.40416666666666662</v>
      </c>
      <c r="E51" s="465">
        <v>0.59791666666666665</v>
      </c>
      <c r="F51" s="464">
        <v>0.79583333333333339</v>
      </c>
    </row>
    <row r="52" spans="2:6" x14ac:dyDescent="0.25">
      <c r="B52" s="462" t="s">
        <v>279</v>
      </c>
      <c r="C52" s="463">
        <v>0.2902777777777778</v>
      </c>
      <c r="D52" s="464">
        <v>0.42152777777777778</v>
      </c>
      <c r="E52" s="465">
        <v>0.61597222222222225</v>
      </c>
      <c r="F52" s="464">
        <v>0.82986111111111116</v>
      </c>
    </row>
    <row r="53" spans="2:6" x14ac:dyDescent="0.25">
      <c r="B53" s="462" t="s">
        <v>280</v>
      </c>
      <c r="C53" s="463">
        <v>0.27083333333333331</v>
      </c>
      <c r="D53" s="464">
        <v>0.40416666666666662</v>
      </c>
      <c r="E53" s="465">
        <v>0.58888888888888891</v>
      </c>
      <c r="F53" s="464">
        <v>0.80763888888888891</v>
      </c>
    </row>
    <row r="54" spans="2:6" x14ac:dyDescent="0.25">
      <c r="B54" s="462" t="s">
        <v>303</v>
      </c>
      <c r="C54" s="463">
        <v>0.2902777777777778</v>
      </c>
      <c r="D54" s="464">
        <v>0.42152777777777778</v>
      </c>
      <c r="E54" s="465">
        <v>0.61597222222222225</v>
      </c>
      <c r="F54" s="464">
        <v>0.82986111111111116</v>
      </c>
    </row>
    <row r="55" spans="2:6" x14ac:dyDescent="0.25">
      <c r="B55" s="462" t="s">
        <v>281</v>
      </c>
      <c r="C55" s="463">
        <v>0.23611111111111113</v>
      </c>
      <c r="D55" s="464">
        <v>0.37361111111111112</v>
      </c>
      <c r="E55" s="465">
        <v>0.49652777777777773</v>
      </c>
      <c r="F55" s="464">
        <v>0.68819444444444444</v>
      </c>
    </row>
    <row r="56" spans="2:6" x14ac:dyDescent="0.25">
      <c r="B56" s="462" t="s">
        <v>137</v>
      </c>
      <c r="C56" s="463">
        <v>0.22569444444444445</v>
      </c>
      <c r="D56" s="464">
        <v>0.54583333333333328</v>
      </c>
      <c r="E56" s="465"/>
      <c r="F56" s="464"/>
    </row>
    <row r="57" spans="2:6" x14ac:dyDescent="0.25">
      <c r="B57" s="462" t="s">
        <v>282</v>
      </c>
      <c r="C57" s="463">
        <v>0.25138888888888888</v>
      </c>
      <c r="D57" s="464">
        <v>0.57916666666666672</v>
      </c>
      <c r="E57" s="465"/>
      <c r="F57" s="464"/>
    </row>
    <row r="58" spans="2:6" x14ac:dyDescent="0.25">
      <c r="B58" s="462" t="s">
        <v>126</v>
      </c>
      <c r="C58" s="463">
        <v>0.26041666666666669</v>
      </c>
      <c r="D58" s="464">
        <v>0.5854166666666667</v>
      </c>
      <c r="E58" s="465"/>
      <c r="F58" s="464"/>
    </row>
    <row r="59" spans="2:6" x14ac:dyDescent="0.25">
      <c r="B59" s="462" t="s">
        <v>231</v>
      </c>
      <c r="C59" s="463">
        <v>0.25</v>
      </c>
      <c r="D59" s="464">
        <v>0.56180555555555556</v>
      </c>
      <c r="E59" s="465"/>
      <c r="F59" s="464"/>
    </row>
    <row r="60" spans="2:6" x14ac:dyDescent="0.25">
      <c r="B60" s="462" t="s">
        <v>283</v>
      </c>
      <c r="C60" s="463">
        <v>0.25694444444444448</v>
      </c>
      <c r="D60" s="464">
        <v>0.55555555555555558</v>
      </c>
      <c r="E60" s="465"/>
      <c r="F60" s="464"/>
    </row>
    <row r="61" spans="2:6" x14ac:dyDescent="0.25">
      <c r="B61" s="462" t="s">
        <v>175</v>
      </c>
      <c r="C61" s="463">
        <v>0.22291666666666665</v>
      </c>
      <c r="D61" s="464">
        <v>0.55347222222222225</v>
      </c>
      <c r="E61" s="465"/>
      <c r="F61" s="464"/>
    </row>
    <row r="62" spans="2:6" x14ac:dyDescent="0.25">
      <c r="B62" s="462" t="s">
        <v>284</v>
      </c>
      <c r="C62" s="463">
        <v>0.25</v>
      </c>
      <c r="D62" s="464">
        <v>0.5756944444444444</v>
      </c>
      <c r="E62" s="465"/>
      <c r="F62" s="464"/>
    </row>
    <row r="63" spans="2:6" x14ac:dyDescent="0.25">
      <c r="B63" s="462" t="s">
        <v>152</v>
      </c>
      <c r="C63" s="463"/>
      <c r="D63" s="464"/>
      <c r="E63" s="465">
        <v>0.56666666666666665</v>
      </c>
      <c r="F63" s="464">
        <v>0.8569444444444444</v>
      </c>
    </row>
    <row r="64" spans="2:6" x14ac:dyDescent="0.25">
      <c r="B64" s="462" t="s">
        <v>227</v>
      </c>
      <c r="C64" s="463">
        <v>0.26666666666666666</v>
      </c>
      <c r="D64" s="464">
        <v>0.4604166666666667</v>
      </c>
      <c r="E64" s="465">
        <v>0.50694444444444442</v>
      </c>
      <c r="F64" s="464">
        <v>0.65555555555555556</v>
      </c>
    </row>
    <row r="65" spans="2:6" x14ac:dyDescent="0.25">
      <c r="B65" s="462" t="s">
        <v>238</v>
      </c>
      <c r="C65" s="463">
        <v>0.26597222222222222</v>
      </c>
      <c r="D65" s="464">
        <v>0.56458333333333333</v>
      </c>
      <c r="E65" s="465"/>
      <c r="F65" s="464"/>
    </row>
    <row r="66" spans="2:6" x14ac:dyDescent="0.25">
      <c r="B66" s="462" t="s">
        <v>285</v>
      </c>
      <c r="C66" s="463">
        <v>0.25625000000000003</v>
      </c>
      <c r="D66" s="464">
        <v>0.56944444444444442</v>
      </c>
      <c r="E66" s="465"/>
      <c r="F66" s="464"/>
    </row>
    <row r="67" spans="2:6" x14ac:dyDescent="0.25">
      <c r="B67" s="462" t="s">
        <v>153</v>
      </c>
      <c r="C67" s="463"/>
      <c r="D67" s="464"/>
      <c r="E67" s="465">
        <v>0.56111111111111112</v>
      </c>
      <c r="F67" s="464">
        <v>0.8833333333333333</v>
      </c>
    </row>
    <row r="68" spans="2:6" x14ac:dyDescent="0.25">
      <c r="B68" s="462" t="s">
        <v>236</v>
      </c>
      <c r="C68" s="463" t="s">
        <v>286</v>
      </c>
      <c r="D68" s="464">
        <v>0.54583333333333328</v>
      </c>
      <c r="E68" s="465"/>
      <c r="F68" s="464"/>
    </row>
    <row r="69" spans="2:6" x14ac:dyDescent="0.25">
      <c r="B69" s="462" t="s">
        <v>287</v>
      </c>
      <c r="C69" s="463">
        <v>0.24444444444444446</v>
      </c>
      <c r="D69" s="464">
        <v>0.56874999999999998</v>
      </c>
      <c r="E69" s="465"/>
      <c r="F69" s="464"/>
    </row>
    <row r="70" spans="2:6" x14ac:dyDescent="0.25">
      <c r="B70" s="462" t="s">
        <v>288</v>
      </c>
      <c r="C70" s="463">
        <v>0.43333333333333335</v>
      </c>
      <c r="D70" s="464">
        <v>0.55555555555555558</v>
      </c>
      <c r="E70" s="465">
        <v>0.67152777777777783</v>
      </c>
      <c r="F70" s="464">
        <v>0.90069444444444446</v>
      </c>
    </row>
    <row r="71" spans="2:6" x14ac:dyDescent="0.25">
      <c r="B71" s="462" t="s">
        <v>176</v>
      </c>
      <c r="C71" s="463">
        <v>0.25</v>
      </c>
      <c r="D71" s="464">
        <v>0.42222222222222222</v>
      </c>
      <c r="E71" s="465">
        <v>0.49444444444444446</v>
      </c>
      <c r="F71" s="464">
        <v>0.65555555555555556</v>
      </c>
    </row>
    <row r="72" spans="2:6" x14ac:dyDescent="0.25">
      <c r="B72" s="462" t="s">
        <v>233</v>
      </c>
      <c r="C72" s="463">
        <v>0.37013888888888885</v>
      </c>
      <c r="D72" s="464">
        <v>0.4770833333333333</v>
      </c>
      <c r="E72" s="465">
        <v>0.53680555555555554</v>
      </c>
      <c r="F72" s="464">
        <v>0.68125000000000002</v>
      </c>
    </row>
    <row r="73" spans="2:6" x14ac:dyDescent="0.25">
      <c r="B73" s="462" t="s">
        <v>289</v>
      </c>
      <c r="C73" s="463">
        <v>0.21249999999999999</v>
      </c>
      <c r="D73" s="464">
        <v>0.53472222222222221</v>
      </c>
      <c r="E73" s="465"/>
      <c r="F73" s="464"/>
    </row>
    <row r="74" spans="2:6" x14ac:dyDescent="0.25">
      <c r="B74" s="462" t="s">
        <v>127</v>
      </c>
      <c r="C74" s="463">
        <v>0.21249999999999999</v>
      </c>
      <c r="D74" s="464">
        <v>0.53263888888888888</v>
      </c>
      <c r="E74" s="465"/>
      <c r="F74" s="464"/>
    </row>
    <row r="75" spans="2:6" x14ac:dyDescent="0.25">
      <c r="B75" s="462" t="s">
        <v>124</v>
      </c>
      <c r="C75" s="463"/>
      <c r="D75" s="464"/>
      <c r="E75" s="465">
        <v>0.49861111111111112</v>
      </c>
      <c r="F75" s="464">
        <v>0.79999999999999993</v>
      </c>
    </row>
    <row r="76" spans="2:6" x14ac:dyDescent="0.25">
      <c r="B76" s="462" t="s">
        <v>290</v>
      </c>
      <c r="C76" s="463"/>
      <c r="D76" s="464"/>
      <c r="E76" s="465">
        <v>0.61111111111111105</v>
      </c>
      <c r="F76" s="464">
        <v>0.9277777777777777</v>
      </c>
    </row>
    <row r="77" spans="2:6" x14ac:dyDescent="0.25">
      <c r="B77" s="462" t="s">
        <v>291</v>
      </c>
      <c r="C77" s="463">
        <v>0.24861111111111112</v>
      </c>
      <c r="D77" s="464">
        <v>0.56944444444444442</v>
      </c>
      <c r="E77" s="465"/>
      <c r="F77" s="464"/>
    </row>
    <row r="78" spans="2:6" x14ac:dyDescent="0.25">
      <c r="B78" s="462" t="s">
        <v>292</v>
      </c>
      <c r="C78" s="463">
        <v>0.26250000000000001</v>
      </c>
      <c r="D78" s="464">
        <v>0.58402777777777781</v>
      </c>
      <c r="E78" s="465"/>
      <c r="F78" s="464"/>
    </row>
    <row r="79" spans="2:6" x14ac:dyDescent="0.25">
      <c r="B79" s="462" t="s">
        <v>293</v>
      </c>
      <c r="C79" s="463"/>
      <c r="D79" s="464"/>
      <c r="E79" s="465">
        <v>0.54513888888888895</v>
      </c>
      <c r="F79" s="464">
        <v>0.86805555555555547</v>
      </c>
    </row>
    <row r="80" spans="2:6" x14ac:dyDescent="0.25">
      <c r="B80" s="462" t="s">
        <v>234</v>
      </c>
      <c r="C80" s="463"/>
      <c r="D80" s="464"/>
      <c r="E80" s="465">
        <v>0.54375000000000007</v>
      </c>
      <c r="F80" s="464">
        <v>0.875</v>
      </c>
    </row>
    <row r="81" spans="2:6" x14ac:dyDescent="0.25">
      <c r="B81" s="462" t="s">
        <v>294</v>
      </c>
      <c r="C81" s="463"/>
      <c r="D81" s="464"/>
      <c r="E81" s="465">
        <v>0.51111111111111118</v>
      </c>
      <c r="F81" s="464">
        <v>0.84444444444444444</v>
      </c>
    </row>
    <row r="82" spans="2:6" x14ac:dyDescent="0.25">
      <c r="B82" s="462" t="s">
        <v>295</v>
      </c>
      <c r="C82" s="463"/>
      <c r="D82" s="464"/>
      <c r="E82" s="465">
        <v>0.52777777777777779</v>
      </c>
      <c r="F82" s="464">
        <v>1.2715277777777778</v>
      </c>
    </row>
    <row r="83" spans="2:6" x14ac:dyDescent="0.25">
      <c r="B83" s="462" t="s">
        <v>151</v>
      </c>
      <c r="C83" s="463">
        <v>0.27847222222222223</v>
      </c>
      <c r="D83" s="464">
        <v>0.38958333333333334</v>
      </c>
      <c r="E83" s="465">
        <v>0.6020833333333333</v>
      </c>
      <c r="F83" s="464">
        <v>0.80763888888888891</v>
      </c>
    </row>
    <row r="84" spans="2:6" x14ac:dyDescent="0.25">
      <c r="B84" s="462" t="s">
        <v>296</v>
      </c>
      <c r="C84" s="463">
        <v>0.27430555555555552</v>
      </c>
      <c r="D84" s="464">
        <v>0.375</v>
      </c>
      <c r="E84" s="465">
        <v>0.5395833333333333</v>
      </c>
      <c r="F84" s="464">
        <v>0.77361111111111114</v>
      </c>
    </row>
    <row r="85" spans="2:6" x14ac:dyDescent="0.25">
      <c r="B85" s="462" t="s">
        <v>297</v>
      </c>
      <c r="C85" s="463">
        <v>0.28125</v>
      </c>
      <c r="D85" s="464">
        <v>0.39305555555555555</v>
      </c>
      <c r="E85" s="465">
        <v>0.58888888888888891</v>
      </c>
      <c r="F85" s="464">
        <v>0.8208333333333333</v>
      </c>
    </row>
    <row r="86" spans="2:6" x14ac:dyDescent="0.25">
      <c r="B86" s="462" t="s">
        <v>298</v>
      </c>
      <c r="C86" s="463">
        <v>0.27430555555555552</v>
      </c>
      <c r="D86" s="464">
        <v>0.375</v>
      </c>
      <c r="E86" s="465">
        <v>0.49444444444444446</v>
      </c>
      <c r="F86" s="464">
        <v>0.73749999999999993</v>
      </c>
    </row>
    <row r="87" spans="2:6" x14ac:dyDescent="0.25">
      <c r="B87" s="462" t="s">
        <v>299</v>
      </c>
      <c r="C87" s="463">
        <v>0.19166666666666665</v>
      </c>
      <c r="D87" s="464">
        <v>0.52430555555555558</v>
      </c>
      <c r="E87" s="465"/>
      <c r="F87" s="464"/>
    </row>
    <row r="88" spans="2:6" x14ac:dyDescent="0.25">
      <c r="B88" s="462" t="s">
        <v>32</v>
      </c>
      <c r="C88" s="463">
        <v>0.18055555555555555</v>
      </c>
      <c r="D88" s="464">
        <v>0.49722222222222223</v>
      </c>
      <c r="E88" s="465"/>
      <c r="F88" s="464"/>
    </row>
    <row r="89" spans="2:6" x14ac:dyDescent="0.25">
      <c r="B89" s="462" t="s">
        <v>144</v>
      </c>
      <c r="C89" s="463"/>
      <c r="D89" s="464"/>
      <c r="E89" s="465">
        <v>0.49444444444444446</v>
      </c>
      <c r="F89" s="464">
        <v>0.81111111111111101</v>
      </c>
    </row>
    <row r="90" spans="2:6" s="1" customFormat="1" x14ac:dyDescent="0.25">
      <c r="B90" s="462" t="s">
        <v>188</v>
      </c>
      <c r="C90" s="463"/>
      <c r="D90" s="464"/>
      <c r="E90" s="465"/>
      <c r="F90" s="464"/>
    </row>
    <row r="91" spans="2:6" x14ac:dyDescent="0.25">
      <c r="B91" s="462" t="s">
        <v>1</v>
      </c>
      <c r="C91" s="463"/>
      <c r="D91" s="464"/>
      <c r="E91" s="465"/>
      <c r="F91" s="464"/>
    </row>
    <row r="92" spans="2:6" x14ac:dyDescent="0.25">
      <c r="B92" s="462" t="s">
        <v>0</v>
      </c>
      <c r="C92" s="463"/>
      <c r="D92" s="464"/>
      <c r="E92" s="465"/>
      <c r="F92" s="464"/>
    </row>
    <row r="93" spans="2:6" x14ac:dyDescent="0.25">
      <c r="B93" s="462" t="s">
        <v>136</v>
      </c>
      <c r="C93" s="463"/>
      <c r="D93" s="464"/>
      <c r="E93" s="465"/>
      <c r="F93" s="464"/>
    </row>
    <row r="94" spans="2:6" x14ac:dyDescent="0.25">
      <c r="B94" s="462" t="s">
        <v>235</v>
      </c>
      <c r="C94" s="463"/>
      <c r="D94" s="464"/>
      <c r="E94" s="465"/>
      <c r="F94" s="464"/>
    </row>
    <row r="95" spans="2:6" x14ac:dyDescent="0.25">
      <c r="B95" s="462" t="s">
        <v>239</v>
      </c>
      <c r="C95" s="463"/>
      <c r="D95" s="464"/>
      <c r="E95" s="465"/>
      <c r="F95" s="464"/>
    </row>
    <row r="96" spans="2:6" x14ac:dyDescent="0.25">
      <c r="B96" s="462" t="s">
        <v>300</v>
      </c>
      <c r="C96" s="463"/>
      <c r="D96" s="464"/>
      <c r="E96" s="465"/>
      <c r="F96" s="464"/>
    </row>
    <row r="97" spans="2:6" x14ac:dyDescent="0.25">
      <c r="B97" s="462" t="s">
        <v>249</v>
      </c>
      <c r="C97" s="463"/>
      <c r="D97" s="464"/>
      <c r="E97" s="465">
        <v>0.71597222222222223</v>
      </c>
      <c r="F97" s="464">
        <v>1.0374999999999999</v>
      </c>
    </row>
    <row r="98" spans="2:6" x14ac:dyDescent="0.25">
      <c r="B98" s="462" t="s">
        <v>125</v>
      </c>
      <c r="C98" s="463"/>
      <c r="D98" s="464"/>
      <c r="E98" s="465">
        <v>0.62986111111111109</v>
      </c>
      <c r="F98" s="464">
        <v>0.94374999999999998</v>
      </c>
    </row>
    <row r="99" spans="2:6" x14ac:dyDescent="0.25">
      <c r="B99" s="462" t="s">
        <v>149</v>
      </c>
      <c r="C99" s="463"/>
      <c r="D99" s="464"/>
      <c r="E99" s="465">
        <v>0.59305555555555556</v>
      </c>
      <c r="F99" s="464">
        <v>0.92361111111111116</v>
      </c>
    </row>
    <row r="100" spans="2:6" x14ac:dyDescent="0.25">
      <c r="B100" s="462" t="s">
        <v>232</v>
      </c>
      <c r="C100" s="462"/>
      <c r="D100" s="464"/>
      <c r="E100" s="463">
        <v>0.60486111111111118</v>
      </c>
      <c r="F100" s="464">
        <v>0.93680555555555556</v>
      </c>
    </row>
    <row r="101" spans="2:6" x14ac:dyDescent="0.25">
      <c r="B101" s="466" t="s">
        <v>147</v>
      </c>
      <c r="C101" s="467">
        <v>0.27916666666666667</v>
      </c>
      <c r="D101" s="468">
        <v>0.52569444444444446</v>
      </c>
      <c r="E101" s="469">
        <v>0.69513888888888886</v>
      </c>
      <c r="F101" s="468">
        <v>0.8027777777777777</v>
      </c>
    </row>
    <row r="102" spans="2:6" x14ac:dyDescent="0.25">
      <c r="B102" s="462" t="s">
        <v>245</v>
      </c>
      <c r="C102" s="463"/>
      <c r="D102" s="464"/>
      <c r="E102" s="465">
        <v>0.54305555555555551</v>
      </c>
      <c r="F102" s="464">
        <v>0.86597222222222225</v>
      </c>
    </row>
    <row r="103" spans="2:6" x14ac:dyDescent="0.25">
      <c r="B103" s="462" t="s">
        <v>148</v>
      </c>
      <c r="C103" s="463">
        <v>0.22361111111111109</v>
      </c>
      <c r="D103" s="464">
        <v>0.5541666666666667</v>
      </c>
      <c r="E103" s="465"/>
      <c r="F103" s="464"/>
    </row>
    <row r="104" spans="2:6" x14ac:dyDescent="0.25">
      <c r="B104" s="438"/>
      <c r="C104" s="439"/>
      <c r="D104" s="440"/>
      <c r="E104" s="441"/>
      <c r="F104" s="440"/>
    </row>
    <row r="105" spans="2:6" x14ac:dyDescent="0.25">
      <c r="B105" s="438"/>
      <c r="C105" s="439"/>
      <c r="D105" s="440"/>
      <c r="E105" s="441"/>
      <c r="F105" s="440"/>
    </row>
    <row r="106" spans="2:6" x14ac:dyDescent="0.25">
      <c r="B106" s="438"/>
      <c r="C106" s="439"/>
      <c r="D106" s="440"/>
      <c r="E106" s="441"/>
      <c r="F106" s="440"/>
    </row>
    <row r="107" spans="2:6" x14ac:dyDescent="0.25">
      <c r="B107" s="438"/>
      <c r="C107" s="439"/>
      <c r="D107" s="440"/>
      <c r="E107" s="441"/>
      <c r="F107" s="440"/>
    </row>
    <row r="108" spans="2:6" x14ac:dyDescent="0.25">
      <c r="B108" s="438"/>
      <c r="C108" s="439"/>
      <c r="D108" s="440"/>
      <c r="E108" s="441"/>
      <c r="F108" s="440"/>
    </row>
    <row r="109" spans="2:6" x14ac:dyDescent="0.25">
      <c r="B109" s="438"/>
      <c r="C109" s="439"/>
      <c r="D109" s="440"/>
      <c r="E109" s="441"/>
      <c r="F109" s="440"/>
    </row>
    <row r="110" spans="2:6" x14ac:dyDescent="0.25">
      <c r="B110" s="438"/>
      <c r="C110" s="439"/>
      <c r="D110" s="440"/>
      <c r="E110" s="441"/>
      <c r="F110" s="440"/>
    </row>
    <row r="111" spans="2:6" x14ac:dyDescent="0.25">
      <c r="B111" s="438"/>
      <c r="C111" s="439"/>
      <c r="D111" s="440"/>
      <c r="E111" s="441"/>
      <c r="F111" s="440"/>
    </row>
    <row r="112" spans="2:6" x14ac:dyDescent="0.25">
      <c r="B112" s="438"/>
      <c r="C112" s="439"/>
      <c r="D112" s="440"/>
      <c r="E112" s="441"/>
      <c r="F112" s="440"/>
    </row>
    <row r="113" spans="2:6" x14ac:dyDescent="0.25">
      <c r="B113" s="438"/>
      <c r="C113" s="439"/>
      <c r="D113" s="440"/>
      <c r="E113" s="441"/>
      <c r="F113" s="440"/>
    </row>
    <row r="114" spans="2:6" x14ac:dyDescent="0.25">
      <c r="B114" s="438"/>
      <c r="C114" s="439"/>
      <c r="D114" s="440"/>
      <c r="E114" s="441"/>
      <c r="F114" s="440"/>
    </row>
    <row r="115" spans="2:6" x14ac:dyDescent="0.25">
      <c r="B115" s="438"/>
      <c r="C115" s="439"/>
      <c r="D115" s="440"/>
      <c r="E115" s="441"/>
      <c r="F115" s="440"/>
    </row>
    <row r="116" spans="2:6" x14ac:dyDescent="0.25">
      <c r="B116" s="438"/>
      <c r="C116" s="439"/>
      <c r="D116" s="440"/>
      <c r="E116" s="441"/>
      <c r="F116" s="440"/>
    </row>
    <row r="117" spans="2:6" x14ac:dyDescent="0.25">
      <c r="B117" s="438"/>
      <c r="C117" s="439"/>
      <c r="D117" s="440"/>
      <c r="E117" s="441"/>
      <c r="F117" s="440"/>
    </row>
    <row r="118" spans="2:6" x14ac:dyDescent="0.25">
      <c r="B118" s="438"/>
      <c r="C118" s="439"/>
      <c r="D118" s="440"/>
      <c r="E118" s="441"/>
      <c r="F118" s="440"/>
    </row>
    <row r="119" spans="2:6" x14ac:dyDescent="0.25">
      <c r="B119" s="438"/>
      <c r="C119" s="439"/>
      <c r="D119" s="440"/>
      <c r="E119" s="441"/>
      <c r="F119" s="440"/>
    </row>
    <row r="120" spans="2:6" x14ac:dyDescent="0.25">
      <c r="B120" s="438"/>
      <c r="C120" s="439"/>
      <c r="D120" s="440"/>
      <c r="E120" s="441"/>
      <c r="F120" s="440"/>
    </row>
    <row r="121" spans="2:6" x14ac:dyDescent="0.25">
      <c r="B121" s="438"/>
      <c r="C121" s="439"/>
      <c r="D121" s="440"/>
      <c r="E121" s="441"/>
      <c r="F121" s="440"/>
    </row>
    <row r="122" spans="2:6" x14ac:dyDescent="0.25">
      <c r="B122" s="438"/>
      <c r="C122" s="439"/>
      <c r="D122" s="440"/>
      <c r="E122" s="441"/>
      <c r="F122" s="440"/>
    </row>
    <row r="123" spans="2:6" x14ac:dyDescent="0.25">
      <c r="B123" s="438"/>
      <c r="C123" s="439"/>
      <c r="D123" s="440"/>
      <c r="E123" s="441"/>
      <c r="F123" s="440"/>
    </row>
    <row r="124" spans="2:6" x14ac:dyDescent="0.25">
      <c r="B124" s="438"/>
      <c r="C124" s="439"/>
      <c r="D124" s="440"/>
      <c r="E124" s="441"/>
      <c r="F124" s="440"/>
    </row>
    <row r="125" spans="2:6" x14ac:dyDescent="0.25">
      <c r="B125" s="438"/>
      <c r="C125" s="439"/>
      <c r="D125" s="440"/>
      <c r="E125" s="441"/>
      <c r="F125" s="440"/>
    </row>
    <row r="126" spans="2:6" x14ac:dyDescent="0.25">
      <c r="B126" s="438"/>
      <c r="C126" s="439"/>
      <c r="D126" s="440"/>
      <c r="E126" s="441"/>
      <c r="F126" s="440"/>
    </row>
    <row r="127" spans="2:6" x14ac:dyDescent="0.25">
      <c r="B127" s="438"/>
      <c r="C127" s="439"/>
      <c r="D127" s="440"/>
      <c r="E127" s="441"/>
      <c r="F127" s="440"/>
    </row>
    <row r="128" spans="2:6" x14ac:dyDescent="0.25">
      <c r="B128" s="438"/>
      <c r="C128" s="439"/>
      <c r="D128" s="440"/>
      <c r="E128" s="441"/>
      <c r="F128" s="440"/>
    </row>
    <row r="129" spans="2:6" x14ac:dyDescent="0.25">
      <c r="B129" s="438"/>
      <c r="C129" s="439"/>
      <c r="D129" s="440"/>
      <c r="E129" s="441"/>
      <c r="F129" s="440"/>
    </row>
    <row r="130" spans="2:6" x14ac:dyDescent="0.25">
      <c r="B130" s="438"/>
      <c r="C130" s="439"/>
      <c r="D130" s="440"/>
      <c r="E130" s="441"/>
      <c r="F130" s="440"/>
    </row>
    <row r="131" spans="2:6" x14ac:dyDescent="0.25">
      <c r="B131" s="438"/>
      <c r="C131" s="439"/>
      <c r="D131" s="440"/>
      <c r="E131" s="441"/>
      <c r="F131" s="440"/>
    </row>
    <row r="132" spans="2:6" x14ac:dyDescent="0.25">
      <c r="B132" s="438"/>
      <c r="C132" s="439"/>
      <c r="D132" s="440"/>
      <c r="E132" s="441"/>
      <c r="F132" s="440"/>
    </row>
    <row r="133" spans="2:6" x14ac:dyDescent="0.25">
      <c r="B133" s="438"/>
      <c r="C133" s="439"/>
      <c r="D133" s="440"/>
      <c r="E133" s="441"/>
      <c r="F133" s="440"/>
    </row>
    <row r="134" spans="2:6" x14ac:dyDescent="0.25">
      <c r="B134" s="438"/>
      <c r="C134" s="439"/>
      <c r="D134" s="440"/>
      <c r="E134" s="441"/>
      <c r="F134" s="440"/>
    </row>
    <row r="135" spans="2:6" x14ac:dyDescent="0.25">
      <c r="B135" s="438"/>
      <c r="C135" s="439"/>
      <c r="D135" s="440"/>
      <c r="E135" s="441"/>
      <c r="F135" s="440"/>
    </row>
    <row r="136" spans="2:6" x14ac:dyDescent="0.25">
      <c r="B136" s="438"/>
      <c r="C136" s="439"/>
      <c r="D136" s="440"/>
      <c r="E136" s="441"/>
      <c r="F136" s="440"/>
    </row>
    <row r="137" spans="2:6" x14ac:dyDescent="0.25">
      <c r="B137" s="438"/>
      <c r="C137" s="439"/>
      <c r="D137" s="440"/>
      <c r="E137" s="441"/>
      <c r="F137" s="440"/>
    </row>
    <row r="138" spans="2:6" x14ac:dyDescent="0.25">
      <c r="B138" s="438"/>
      <c r="C138" s="439"/>
      <c r="D138" s="440"/>
      <c r="E138" s="441"/>
      <c r="F138" s="440"/>
    </row>
    <row r="139" spans="2:6" x14ac:dyDescent="0.25">
      <c r="B139" s="438"/>
      <c r="C139" s="439"/>
      <c r="D139" s="440"/>
      <c r="E139" s="441"/>
      <c r="F139" s="440"/>
    </row>
    <row r="140" spans="2:6" x14ac:dyDescent="0.25">
      <c r="B140" s="438"/>
      <c r="C140" s="439"/>
      <c r="D140" s="440"/>
      <c r="E140" s="441"/>
      <c r="F140" s="440"/>
    </row>
    <row r="141" spans="2:6" x14ac:dyDescent="0.25">
      <c r="B141" s="438"/>
      <c r="C141" s="439"/>
      <c r="D141" s="440"/>
      <c r="E141" s="441"/>
      <c r="F141" s="440"/>
    </row>
    <row r="142" spans="2:6" x14ac:dyDescent="0.25">
      <c r="B142" s="438"/>
      <c r="C142" s="439"/>
      <c r="D142" s="440"/>
      <c r="E142" s="441"/>
      <c r="F142" s="440"/>
    </row>
    <row r="143" spans="2:6" x14ac:dyDescent="0.25">
      <c r="B143" s="438"/>
      <c r="C143" s="439"/>
      <c r="D143" s="440"/>
      <c r="E143" s="441"/>
      <c r="F143" s="440"/>
    </row>
    <row r="144" spans="2:6" x14ac:dyDescent="0.25">
      <c r="B144" s="438"/>
      <c r="C144" s="439"/>
      <c r="D144" s="440"/>
      <c r="E144" s="441"/>
      <c r="F144" s="440"/>
    </row>
    <row r="145" spans="2:6" x14ac:dyDescent="0.25">
      <c r="B145" s="438"/>
      <c r="C145" s="439"/>
      <c r="D145" s="440"/>
      <c r="E145" s="441"/>
      <c r="F145" s="440"/>
    </row>
    <row r="146" spans="2:6" x14ac:dyDescent="0.25">
      <c r="B146" s="438"/>
      <c r="C146" s="439"/>
      <c r="D146" s="440"/>
      <c r="E146" s="441"/>
      <c r="F146" s="440"/>
    </row>
    <row r="147" spans="2:6" x14ac:dyDescent="0.25">
      <c r="B147" s="438"/>
      <c r="C147" s="439"/>
      <c r="D147" s="440"/>
      <c r="E147" s="441"/>
      <c r="F147" s="440"/>
    </row>
    <row r="148" spans="2:6" x14ac:dyDescent="0.25">
      <c r="B148" s="438"/>
      <c r="C148" s="439"/>
      <c r="D148" s="440"/>
      <c r="E148" s="441"/>
      <c r="F148" s="440"/>
    </row>
    <row r="149" spans="2:6" x14ac:dyDescent="0.25">
      <c r="B149" s="438"/>
      <c r="C149" s="439"/>
      <c r="D149" s="440"/>
      <c r="E149" s="441"/>
      <c r="F149" s="440"/>
    </row>
    <row r="150" spans="2:6" x14ac:dyDescent="0.25">
      <c r="B150" s="438"/>
      <c r="C150" s="439"/>
      <c r="D150" s="440"/>
      <c r="E150" s="441"/>
      <c r="F150" s="440"/>
    </row>
    <row r="151" spans="2:6" x14ac:dyDescent="0.25">
      <c r="B151" s="438"/>
      <c r="C151" s="439"/>
      <c r="D151" s="440"/>
      <c r="E151" s="441"/>
      <c r="F151" s="440"/>
    </row>
    <row r="152" spans="2:6" x14ac:dyDescent="0.25">
      <c r="B152" s="438"/>
      <c r="C152" s="439"/>
      <c r="D152" s="440"/>
      <c r="E152" s="441"/>
      <c r="F152" s="440"/>
    </row>
    <row r="153" spans="2:6" x14ac:dyDescent="0.25">
      <c r="B153" s="438"/>
      <c r="C153" s="439"/>
      <c r="D153" s="440"/>
      <c r="E153" s="441"/>
      <c r="F153" s="440"/>
    </row>
    <row r="154" spans="2:6" x14ac:dyDescent="0.25">
      <c r="B154" s="438"/>
      <c r="C154" s="439"/>
      <c r="D154" s="440"/>
      <c r="E154" s="441"/>
      <c r="F154" s="440"/>
    </row>
    <row r="155" spans="2:6" x14ac:dyDescent="0.25">
      <c r="B155" s="438"/>
      <c r="C155" s="439"/>
      <c r="D155" s="440"/>
      <c r="E155" s="441"/>
      <c r="F155" s="440"/>
    </row>
    <row r="156" spans="2:6" x14ac:dyDescent="0.25">
      <c r="B156" s="438"/>
      <c r="C156" s="439"/>
      <c r="D156" s="440"/>
      <c r="E156" s="441"/>
      <c r="F156" s="440"/>
    </row>
    <row r="157" spans="2:6" x14ac:dyDescent="0.25">
      <c r="B157" s="438"/>
      <c r="C157" s="439"/>
      <c r="D157" s="440"/>
      <c r="E157" s="441"/>
      <c r="F157" s="440"/>
    </row>
    <row r="158" spans="2:6" x14ac:dyDescent="0.25">
      <c r="B158" s="438"/>
      <c r="C158" s="439"/>
      <c r="D158" s="440"/>
      <c r="E158" s="441"/>
      <c r="F158" s="440"/>
    </row>
    <row r="159" spans="2:6" x14ac:dyDescent="0.25">
      <c r="B159" s="438"/>
      <c r="C159" s="439"/>
      <c r="D159" s="440"/>
      <c r="E159" s="441"/>
      <c r="F159" s="440"/>
    </row>
    <row r="160" spans="2:6" x14ac:dyDescent="0.25">
      <c r="B160" s="438"/>
      <c r="C160" s="439"/>
      <c r="D160" s="440"/>
      <c r="E160" s="441"/>
      <c r="F160" s="440"/>
    </row>
    <row r="161" spans="2:6" x14ac:dyDescent="0.25">
      <c r="B161" s="438"/>
      <c r="C161" s="439"/>
      <c r="D161" s="440"/>
      <c r="E161" s="441"/>
      <c r="F161" s="440"/>
    </row>
    <row r="162" spans="2:6" x14ac:dyDescent="0.25">
      <c r="B162" s="438"/>
      <c r="C162" s="439"/>
      <c r="D162" s="440"/>
      <c r="E162" s="441"/>
      <c r="F162" s="440"/>
    </row>
    <row r="163" spans="2:6" x14ac:dyDescent="0.25">
      <c r="B163" s="438"/>
      <c r="C163" s="439"/>
      <c r="D163" s="440"/>
      <c r="E163" s="441"/>
      <c r="F163" s="440"/>
    </row>
    <row r="164" spans="2:6" x14ac:dyDescent="0.25">
      <c r="B164" s="438"/>
      <c r="C164" s="439"/>
      <c r="D164" s="440"/>
      <c r="E164" s="441"/>
      <c r="F164" s="440"/>
    </row>
    <row r="165" spans="2:6" x14ac:dyDescent="0.25">
      <c r="B165" s="438"/>
      <c r="C165" s="439"/>
      <c r="D165" s="440"/>
      <c r="E165" s="441"/>
      <c r="F165" s="440"/>
    </row>
    <row r="166" spans="2:6" x14ac:dyDescent="0.25">
      <c r="B166" s="438"/>
      <c r="C166" s="439"/>
      <c r="D166" s="440"/>
      <c r="E166" s="441"/>
      <c r="F166" s="440"/>
    </row>
    <row r="167" spans="2:6" x14ac:dyDescent="0.25">
      <c r="B167" s="438"/>
      <c r="C167" s="439"/>
      <c r="D167" s="440"/>
      <c r="E167" s="441"/>
      <c r="F167" s="440"/>
    </row>
    <row r="168" spans="2:6" x14ac:dyDescent="0.25">
      <c r="B168" s="438"/>
      <c r="C168" s="439"/>
      <c r="D168" s="440"/>
      <c r="E168" s="441"/>
      <c r="F168" s="440"/>
    </row>
    <row r="169" spans="2:6" x14ac:dyDescent="0.25">
      <c r="B169" s="438"/>
      <c r="C169" s="439"/>
      <c r="D169" s="440"/>
      <c r="E169" s="441"/>
      <c r="F169" s="440"/>
    </row>
    <row r="170" spans="2:6" x14ac:dyDescent="0.25">
      <c r="B170" s="438"/>
      <c r="C170" s="439"/>
      <c r="D170" s="440"/>
      <c r="E170" s="441"/>
      <c r="F170" s="440"/>
    </row>
    <row r="171" spans="2:6" x14ac:dyDescent="0.25">
      <c r="B171" s="438"/>
      <c r="C171" s="439"/>
      <c r="D171" s="440"/>
      <c r="E171" s="441"/>
      <c r="F171" s="440"/>
    </row>
    <row r="172" spans="2:6" x14ac:dyDescent="0.25">
      <c r="B172" s="438"/>
      <c r="C172" s="439"/>
      <c r="D172" s="440"/>
      <c r="E172" s="441"/>
      <c r="F172" s="440"/>
    </row>
    <row r="173" spans="2:6" x14ac:dyDescent="0.25">
      <c r="B173" s="438"/>
      <c r="C173" s="439"/>
      <c r="D173" s="440"/>
      <c r="E173" s="441"/>
      <c r="F173" s="440"/>
    </row>
    <row r="174" spans="2:6" x14ac:dyDescent="0.25">
      <c r="B174" s="438"/>
      <c r="C174" s="439"/>
      <c r="D174" s="440"/>
      <c r="E174" s="441"/>
      <c r="F174" s="440"/>
    </row>
    <row r="175" spans="2:6" x14ac:dyDescent="0.25">
      <c r="B175" s="438"/>
      <c r="C175" s="439"/>
      <c r="D175" s="440"/>
      <c r="E175" s="441"/>
      <c r="F175" s="440"/>
    </row>
    <row r="176" spans="2:6" x14ac:dyDescent="0.25">
      <c r="B176" s="438"/>
      <c r="C176" s="439"/>
      <c r="D176" s="440"/>
      <c r="E176" s="441"/>
      <c r="F176" s="440"/>
    </row>
    <row r="177" spans="2:6" x14ac:dyDescent="0.25">
      <c r="B177" s="438"/>
      <c r="C177" s="439"/>
      <c r="D177" s="440"/>
      <c r="E177" s="441"/>
      <c r="F177" s="440"/>
    </row>
    <row r="178" spans="2:6" x14ac:dyDescent="0.25">
      <c r="B178" s="438"/>
      <c r="C178" s="439"/>
      <c r="D178" s="440"/>
      <c r="E178" s="441"/>
      <c r="F178" s="440"/>
    </row>
    <row r="179" spans="2:6" x14ac:dyDescent="0.25">
      <c r="B179" s="438"/>
      <c r="C179" s="439"/>
      <c r="D179" s="440"/>
      <c r="E179" s="441"/>
      <c r="F179" s="440"/>
    </row>
    <row r="180" spans="2:6" x14ac:dyDescent="0.25">
      <c r="B180" s="438"/>
      <c r="C180" s="439"/>
      <c r="D180" s="440"/>
      <c r="E180" s="441"/>
      <c r="F180" s="440"/>
    </row>
    <row r="181" spans="2:6" x14ac:dyDescent="0.25">
      <c r="B181" s="438"/>
      <c r="C181" s="439"/>
      <c r="D181" s="440"/>
      <c r="E181" s="441"/>
      <c r="F181" s="440"/>
    </row>
    <row r="182" spans="2:6" x14ac:dyDescent="0.25">
      <c r="B182" s="438"/>
      <c r="C182" s="439"/>
      <c r="D182" s="440"/>
      <c r="E182" s="441"/>
      <c r="F182" s="440"/>
    </row>
    <row r="183" spans="2:6" x14ac:dyDescent="0.25">
      <c r="B183" s="438"/>
      <c r="C183" s="439"/>
      <c r="D183" s="440"/>
      <c r="E183" s="441"/>
      <c r="F183" s="440"/>
    </row>
    <row r="184" spans="2:6" x14ac:dyDescent="0.25">
      <c r="B184" s="438"/>
      <c r="C184" s="439"/>
      <c r="D184" s="440"/>
      <c r="E184" s="441"/>
      <c r="F184" s="440"/>
    </row>
    <row r="185" spans="2:6" x14ac:dyDescent="0.25">
      <c r="B185" s="438"/>
      <c r="C185" s="439"/>
      <c r="D185" s="440"/>
      <c r="E185" s="441"/>
      <c r="F185" s="440"/>
    </row>
    <row r="186" spans="2:6" x14ac:dyDescent="0.25">
      <c r="B186" s="438"/>
      <c r="C186" s="439"/>
      <c r="D186" s="440"/>
      <c r="E186" s="441"/>
      <c r="F186" s="440"/>
    </row>
    <row r="187" spans="2:6" x14ac:dyDescent="0.25">
      <c r="B187" s="438"/>
      <c r="C187" s="439"/>
      <c r="D187" s="440"/>
      <c r="E187" s="441"/>
      <c r="F187" s="440"/>
    </row>
    <row r="188" spans="2:6" x14ac:dyDescent="0.25">
      <c r="B188" s="438"/>
      <c r="C188" s="439"/>
      <c r="D188" s="440"/>
      <c r="E188" s="441"/>
      <c r="F188" s="440"/>
    </row>
    <row r="189" spans="2:6" x14ac:dyDescent="0.25">
      <c r="B189" s="438"/>
      <c r="C189" s="439"/>
      <c r="D189" s="440"/>
      <c r="E189" s="441"/>
      <c r="F189" s="440"/>
    </row>
    <row r="190" spans="2:6" x14ac:dyDescent="0.25">
      <c r="B190" s="438"/>
      <c r="C190" s="439"/>
      <c r="D190" s="440"/>
      <c r="E190" s="441"/>
      <c r="F190" s="440"/>
    </row>
    <row r="191" spans="2:6" x14ac:dyDescent="0.25">
      <c r="B191" s="438"/>
      <c r="C191" s="439"/>
      <c r="D191" s="440"/>
      <c r="E191" s="441"/>
      <c r="F191" s="440"/>
    </row>
    <row r="192" spans="2:6" x14ac:dyDescent="0.25">
      <c r="B192" s="438"/>
      <c r="C192" s="439"/>
      <c r="D192" s="440"/>
      <c r="E192" s="441"/>
      <c r="F192" s="440"/>
    </row>
    <row r="193" spans="2:6" x14ac:dyDescent="0.25">
      <c r="B193" s="438"/>
      <c r="C193" s="439"/>
      <c r="D193" s="440"/>
      <c r="E193" s="441"/>
      <c r="F193" s="440"/>
    </row>
    <row r="194" spans="2:6" x14ac:dyDescent="0.25">
      <c r="B194" s="438"/>
      <c r="C194" s="439"/>
      <c r="D194" s="440"/>
      <c r="E194" s="441"/>
      <c r="F194" s="440"/>
    </row>
    <row r="195" spans="2:6" x14ac:dyDescent="0.25">
      <c r="B195" s="438"/>
      <c r="C195" s="439"/>
      <c r="D195" s="440"/>
      <c r="E195" s="441"/>
      <c r="F195" s="440"/>
    </row>
    <row r="196" spans="2:6" x14ac:dyDescent="0.25">
      <c r="B196" s="438"/>
      <c r="C196" s="439"/>
      <c r="D196" s="440"/>
      <c r="E196" s="441"/>
      <c r="F196" s="440"/>
    </row>
    <row r="197" spans="2:6" x14ac:dyDescent="0.25">
      <c r="B197" s="438"/>
      <c r="C197" s="439"/>
      <c r="D197" s="440"/>
      <c r="E197" s="441"/>
      <c r="F197" s="440"/>
    </row>
    <row r="198" spans="2:6" x14ac:dyDescent="0.25">
      <c r="B198" s="438"/>
      <c r="C198" s="439"/>
      <c r="D198" s="440"/>
      <c r="E198" s="441"/>
      <c r="F198" s="440"/>
    </row>
    <row r="199" spans="2:6" x14ac:dyDescent="0.25">
      <c r="B199" s="438"/>
      <c r="C199" s="439"/>
      <c r="D199" s="440"/>
      <c r="E199" s="441"/>
      <c r="F199" s="440"/>
    </row>
    <row r="200" spans="2:6" x14ac:dyDescent="0.25">
      <c r="B200" s="438"/>
      <c r="C200" s="439"/>
      <c r="D200" s="440"/>
      <c r="E200" s="441"/>
      <c r="F200" s="440"/>
    </row>
    <row r="201" spans="2:6" x14ac:dyDescent="0.25">
      <c r="B201" s="438"/>
      <c r="C201" s="439"/>
      <c r="D201" s="440"/>
      <c r="E201" s="441"/>
      <c r="F201" s="440"/>
    </row>
    <row r="202" spans="2:6" x14ac:dyDescent="0.25">
      <c r="B202" s="438"/>
      <c r="C202" s="439"/>
      <c r="D202" s="440"/>
      <c r="E202" s="441"/>
      <c r="F202" s="440"/>
    </row>
    <row r="203" spans="2:6" x14ac:dyDescent="0.25">
      <c r="B203" s="438"/>
      <c r="C203" s="439"/>
      <c r="D203" s="440"/>
      <c r="E203" s="441"/>
      <c r="F203" s="440"/>
    </row>
    <row r="204" spans="2:6" x14ac:dyDescent="0.25">
      <c r="B204" s="438"/>
      <c r="C204" s="439"/>
      <c r="D204" s="440"/>
      <c r="E204" s="441"/>
      <c r="F204" s="440"/>
    </row>
    <row r="205" spans="2:6" x14ac:dyDescent="0.25">
      <c r="B205" s="438"/>
      <c r="C205" s="439"/>
      <c r="D205" s="440"/>
      <c r="E205" s="441"/>
      <c r="F205" s="440"/>
    </row>
    <row r="206" spans="2:6" x14ac:dyDescent="0.25">
      <c r="B206" s="438"/>
      <c r="C206" s="439"/>
      <c r="D206" s="440"/>
      <c r="E206" s="441"/>
      <c r="F206" s="440"/>
    </row>
    <row r="207" spans="2:6" x14ac:dyDescent="0.25">
      <c r="B207" s="438"/>
      <c r="C207" s="439"/>
      <c r="D207" s="440"/>
      <c r="E207" s="441"/>
      <c r="F207" s="440"/>
    </row>
    <row r="208" spans="2:6" x14ac:dyDescent="0.25">
      <c r="B208" s="438"/>
      <c r="C208" s="439"/>
      <c r="D208" s="440"/>
      <c r="E208" s="441"/>
      <c r="F208" s="440"/>
    </row>
    <row r="209" spans="2:6" x14ac:dyDescent="0.25">
      <c r="B209" s="438"/>
      <c r="C209" s="439"/>
      <c r="D209" s="440"/>
      <c r="E209" s="441"/>
      <c r="F209" s="440"/>
    </row>
    <row r="210" spans="2:6" x14ac:dyDescent="0.25">
      <c r="B210" s="438"/>
      <c r="C210" s="439"/>
      <c r="D210" s="440"/>
      <c r="E210" s="441"/>
      <c r="F210" s="440"/>
    </row>
    <row r="211" spans="2:6" x14ac:dyDescent="0.25">
      <c r="B211" s="438"/>
      <c r="C211" s="439"/>
      <c r="D211" s="440"/>
      <c r="E211" s="441"/>
      <c r="F211" s="440"/>
    </row>
    <row r="212" spans="2:6" x14ac:dyDescent="0.25">
      <c r="B212" s="438"/>
      <c r="C212" s="439"/>
      <c r="D212" s="440"/>
      <c r="E212" s="441"/>
      <c r="F212" s="440"/>
    </row>
    <row r="213" spans="2:6" x14ac:dyDescent="0.25">
      <c r="B213" s="438"/>
      <c r="C213" s="439"/>
      <c r="D213" s="440"/>
      <c r="E213" s="441"/>
      <c r="F213" s="440"/>
    </row>
    <row r="214" spans="2:6" x14ac:dyDescent="0.25">
      <c r="B214" s="438"/>
      <c r="C214" s="439"/>
      <c r="D214" s="440"/>
      <c r="E214" s="441"/>
      <c r="F214" s="440"/>
    </row>
    <row r="215" spans="2:6" x14ac:dyDescent="0.25">
      <c r="B215" s="438"/>
      <c r="C215" s="439"/>
      <c r="D215" s="440"/>
      <c r="E215" s="441"/>
      <c r="F215" s="440"/>
    </row>
    <row r="216" spans="2:6" x14ac:dyDescent="0.25">
      <c r="B216" s="438"/>
      <c r="C216" s="439"/>
      <c r="D216" s="440"/>
      <c r="E216" s="441"/>
      <c r="F216" s="440"/>
    </row>
    <row r="217" spans="2:6" x14ac:dyDescent="0.25">
      <c r="B217" s="438"/>
      <c r="C217" s="439"/>
      <c r="D217" s="440"/>
      <c r="E217" s="441"/>
      <c r="F217" s="440"/>
    </row>
    <row r="218" spans="2:6" x14ac:dyDescent="0.25">
      <c r="B218" s="438"/>
      <c r="C218" s="439"/>
      <c r="D218" s="440"/>
      <c r="E218" s="441"/>
      <c r="F218" s="440"/>
    </row>
    <row r="219" spans="2:6" x14ac:dyDescent="0.25">
      <c r="B219" s="438"/>
      <c r="C219" s="439"/>
      <c r="D219" s="440"/>
      <c r="E219" s="441"/>
      <c r="F219" s="440"/>
    </row>
    <row r="220" spans="2:6" x14ac:dyDescent="0.25">
      <c r="B220" s="438"/>
      <c r="C220" s="439"/>
      <c r="D220" s="440"/>
      <c r="E220" s="441"/>
      <c r="F220" s="440"/>
    </row>
    <row r="221" spans="2:6" x14ac:dyDescent="0.25">
      <c r="B221" s="438"/>
      <c r="C221" s="439"/>
      <c r="D221" s="440"/>
      <c r="E221" s="441"/>
      <c r="F221" s="440"/>
    </row>
    <row r="222" spans="2:6" x14ac:dyDescent="0.25">
      <c r="B222" s="438"/>
      <c r="C222" s="439"/>
      <c r="D222" s="440"/>
      <c r="E222" s="441"/>
      <c r="F222" s="440"/>
    </row>
    <row r="223" spans="2:6" x14ac:dyDescent="0.25">
      <c r="B223" s="438"/>
      <c r="C223" s="439"/>
      <c r="D223" s="440"/>
      <c r="E223" s="441"/>
      <c r="F223" s="440"/>
    </row>
    <row r="224" spans="2:6" x14ac:dyDescent="0.25">
      <c r="B224" s="438"/>
      <c r="C224" s="439"/>
      <c r="D224" s="440"/>
      <c r="E224" s="441"/>
      <c r="F224" s="440"/>
    </row>
    <row r="225" spans="2:6" x14ac:dyDescent="0.25">
      <c r="B225" s="438"/>
      <c r="C225" s="439"/>
      <c r="D225" s="440"/>
      <c r="E225" s="441"/>
      <c r="F225" s="440"/>
    </row>
    <row r="226" spans="2:6" x14ac:dyDescent="0.25">
      <c r="B226" s="438"/>
      <c r="C226" s="439"/>
      <c r="D226" s="440"/>
      <c r="E226" s="441"/>
      <c r="F226" s="440"/>
    </row>
    <row r="227" spans="2:6" x14ac:dyDescent="0.25">
      <c r="B227" s="438"/>
      <c r="C227" s="439"/>
      <c r="D227" s="440"/>
      <c r="E227" s="441"/>
      <c r="F227" s="440"/>
    </row>
    <row r="228" spans="2:6" x14ac:dyDescent="0.25">
      <c r="B228" s="438"/>
      <c r="C228" s="439"/>
      <c r="D228" s="440"/>
      <c r="E228" s="441"/>
      <c r="F228" s="440"/>
    </row>
    <row r="229" spans="2:6" x14ac:dyDescent="0.25">
      <c r="B229" s="438"/>
      <c r="C229" s="439"/>
      <c r="D229" s="440"/>
      <c r="E229" s="441"/>
      <c r="F229" s="440"/>
    </row>
    <row r="230" spans="2:6" x14ac:dyDescent="0.25">
      <c r="B230" s="438"/>
      <c r="C230" s="439"/>
      <c r="D230" s="440"/>
      <c r="E230" s="441"/>
      <c r="F230" s="440"/>
    </row>
    <row r="231" spans="2:6" x14ac:dyDescent="0.25">
      <c r="B231" s="438"/>
      <c r="C231" s="439"/>
      <c r="D231" s="440"/>
      <c r="E231" s="441"/>
      <c r="F231" s="440"/>
    </row>
    <row r="232" spans="2:6" x14ac:dyDescent="0.25">
      <c r="B232" s="438"/>
      <c r="C232" s="439"/>
      <c r="D232" s="440"/>
      <c r="E232" s="441"/>
      <c r="F232" s="440"/>
    </row>
    <row r="233" spans="2:6" x14ac:dyDescent="0.25">
      <c r="B233" s="438"/>
      <c r="C233" s="439"/>
      <c r="D233" s="440"/>
      <c r="E233" s="441"/>
      <c r="F233" s="440"/>
    </row>
    <row r="234" spans="2:6" x14ac:dyDescent="0.25">
      <c r="B234" s="438"/>
      <c r="C234" s="439"/>
      <c r="D234" s="440"/>
      <c r="E234" s="441"/>
      <c r="F234" s="440"/>
    </row>
    <row r="235" spans="2:6" x14ac:dyDescent="0.25">
      <c r="B235" s="438"/>
      <c r="C235" s="439"/>
      <c r="D235" s="440"/>
      <c r="E235" s="441"/>
      <c r="F235" s="440"/>
    </row>
    <row r="236" spans="2:6" x14ac:dyDescent="0.25">
      <c r="B236" s="438"/>
      <c r="C236" s="439"/>
      <c r="D236" s="440"/>
      <c r="E236" s="441"/>
      <c r="F236" s="440"/>
    </row>
    <row r="237" spans="2:6" x14ac:dyDescent="0.25">
      <c r="B237" s="438"/>
      <c r="C237" s="439"/>
      <c r="D237" s="440"/>
      <c r="E237" s="441"/>
      <c r="F237" s="440"/>
    </row>
    <row r="238" spans="2:6" x14ac:dyDescent="0.25">
      <c r="B238" s="438"/>
      <c r="C238" s="439"/>
      <c r="D238" s="440"/>
      <c r="E238" s="441"/>
      <c r="F238" s="440"/>
    </row>
    <row r="239" spans="2:6" x14ac:dyDescent="0.25">
      <c r="B239" s="438"/>
      <c r="C239" s="439"/>
      <c r="D239" s="440"/>
      <c r="E239" s="441"/>
      <c r="F239" s="440"/>
    </row>
    <row r="240" spans="2:6" x14ac:dyDescent="0.25">
      <c r="B240" s="438"/>
      <c r="C240" s="439"/>
      <c r="D240" s="440"/>
      <c r="E240" s="441"/>
      <c r="F240" s="440"/>
    </row>
    <row r="241" spans="2:6" x14ac:dyDescent="0.25">
      <c r="B241" s="438"/>
      <c r="C241" s="439"/>
      <c r="D241" s="440"/>
      <c r="E241" s="441"/>
      <c r="F241" s="440"/>
    </row>
    <row r="242" spans="2:6" x14ac:dyDescent="0.25">
      <c r="B242" s="438"/>
      <c r="C242" s="439"/>
      <c r="D242" s="440"/>
      <c r="E242" s="441"/>
      <c r="F242" s="440"/>
    </row>
    <row r="243" spans="2:6" x14ac:dyDescent="0.25">
      <c r="B243" s="438"/>
      <c r="C243" s="439"/>
      <c r="D243" s="440"/>
      <c r="E243" s="441"/>
      <c r="F243" s="440"/>
    </row>
    <row r="244" spans="2:6" x14ac:dyDescent="0.25">
      <c r="B244" s="438"/>
      <c r="C244" s="439"/>
      <c r="D244" s="440"/>
      <c r="E244" s="441"/>
      <c r="F244" s="440"/>
    </row>
    <row r="245" spans="2:6" x14ac:dyDescent="0.25">
      <c r="B245" s="438"/>
      <c r="C245" s="439"/>
      <c r="D245" s="440"/>
      <c r="E245" s="441"/>
      <c r="F245" s="440"/>
    </row>
    <row r="246" spans="2:6" x14ac:dyDescent="0.25">
      <c r="B246" s="438"/>
      <c r="C246" s="439"/>
      <c r="D246" s="440"/>
      <c r="E246" s="441"/>
      <c r="F246" s="440"/>
    </row>
    <row r="247" spans="2:6" x14ac:dyDescent="0.25">
      <c r="B247" s="438"/>
      <c r="C247" s="439"/>
      <c r="D247" s="440"/>
      <c r="E247" s="441"/>
      <c r="F247" s="440"/>
    </row>
    <row r="248" spans="2:6" x14ac:dyDescent="0.25">
      <c r="B248" s="438"/>
      <c r="C248" s="439"/>
      <c r="D248" s="440"/>
      <c r="E248" s="441"/>
      <c r="F248" s="440"/>
    </row>
    <row r="249" spans="2:6" x14ac:dyDescent="0.25">
      <c r="B249" s="438"/>
      <c r="C249" s="439"/>
      <c r="D249" s="440"/>
      <c r="E249" s="441"/>
      <c r="F249" s="440"/>
    </row>
    <row r="250" spans="2:6" x14ac:dyDescent="0.25">
      <c r="B250" s="438"/>
      <c r="C250" s="439"/>
      <c r="D250" s="440"/>
      <c r="E250" s="441"/>
      <c r="F250" s="440"/>
    </row>
    <row r="251" spans="2:6" x14ac:dyDescent="0.25">
      <c r="B251" s="438"/>
      <c r="C251" s="439"/>
      <c r="D251" s="440"/>
      <c r="E251" s="441"/>
      <c r="F251" s="440"/>
    </row>
    <row r="252" spans="2:6" x14ac:dyDescent="0.25">
      <c r="B252" s="438"/>
      <c r="C252" s="439"/>
      <c r="D252" s="440"/>
      <c r="E252" s="441"/>
      <c r="F252" s="440"/>
    </row>
    <row r="253" spans="2:6" x14ac:dyDescent="0.25">
      <c r="B253" s="438"/>
      <c r="C253" s="439"/>
      <c r="D253" s="440"/>
      <c r="E253" s="441"/>
      <c r="F253" s="440"/>
    </row>
    <row r="254" spans="2:6" x14ac:dyDescent="0.25">
      <c r="B254" s="438"/>
      <c r="C254" s="439"/>
      <c r="D254" s="440"/>
      <c r="E254" s="441"/>
      <c r="F254" s="440"/>
    </row>
    <row r="255" spans="2:6" x14ac:dyDescent="0.25">
      <c r="B255" s="438"/>
      <c r="C255" s="439"/>
      <c r="D255" s="440"/>
      <c r="E255" s="441"/>
      <c r="F255" s="440"/>
    </row>
    <row r="256" spans="2:6" x14ac:dyDescent="0.25">
      <c r="B256" s="438"/>
      <c r="C256" s="439"/>
      <c r="D256" s="440"/>
      <c r="E256" s="441"/>
      <c r="F256" s="440"/>
    </row>
    <row r="257" spans="2:6" x14ac:dyDescent="0.25">
      <c r="B257" s="438"/>
      <c r="C257" s="439"/>
      <c r="D257" s="440"/>
      <c r="E257" s="441"/>
      <c r="F257" s="440"/>
    </row>
    <row r="258" spans="2:6" x14ac:dyDescent="0.25">
      <c r="B258" s="438"/>
      <c r="C258" s="439"/>
      <c r="D258" s="440"/>
      <c r="E258" s="441"/>
      <c r="F258" s="440"/>
    </row>
    <row r="259" spans="2:6" x14ac:dyDescent="0.25">
      <c r="B259" s="438"/>
      <c r="C259" s="439"/>
      <c r="D259" s="440"/>
      <c r="E259" s="441"/>
      <c r="F259" s="440"/>
    </row>
    <row r="260" spans="2:6" x14ac:dyDescent="0.25">
      <c r="B260" s="438"/>
      <c r="C260" s="439"/>
      <c r="D260" s="440"/>
      <c r="E260" s="441"/>
      <c r="F260" s="440"/>
    </row>
    <row r="261" spans="2:6" x14ac:dyDescent="0.25">
      <c r="B261" s="438"/>
      <c r="C261" s="439"/>
      <c r="D261" s="440"/>
      <c r="E261" s="441"/>
      <c r="F261" s="440"/>
    </row>
    <row r="262" spans="2:6" x14ac:dyDescent="0.25">
      <c r="B262" s="438"/>
      <c r="C262" s="439"/>
      <c r="D262" s="440"/>
      <c r="E262" s="441"/>
      <c r="F262" s="440"/>
    </row>
    <row r="263" spans="2:6" x14ac:dyDescent="0.25">
      <c r="B263" s="438"/>
      <c r="C263" s="439"/>
      <c r="D263" s="440"/>
      <c r="E263" s="441"/>
      <c r="F263" s="440"/>
    </row>
    <row r="264" spans="2:6" x14ac:dyDescent="0.25">
      <c r="B264" s="438"/>
      <c r="C264" s="439"/>
      <c r="D264" s="440"/>
      <c r="E264" s="441"/>
      <c r="F264" s="440"/>
    </row>
    <row r="265" spans="2:6" x14ac:dyDescent="0.25">
      <c r="B265" s="438"/>
      <c r="C265" s="439"/>
      <c r="D265" s="440"/>
      <c r="E265" s="441"/>
      <c r="F265" s="440"/>
    </row>
    <row r="266" spans="2:6" x14ac:dyDescent="0.25">
      <c r="B266" s="438"/>
      <c r="C266" s="439"/>
      <c r="D266" s="440"/>
      <c r="E266" s="441"/>
      <c r="F266" s="440"/>
    </row>
    <row r="267" spans="2:6" x14ac:dyDescent="0.25">
      <c r="B267" s="438"/>
      <c r="C267" s="439"/>
      <c r="D267" s="440"/>
      <c r="E267" s="441"/>
      <c r="F267" s="440"/>
    </row>
    <row r="268" spans="2:6" x14ac:dyDescent="0.25">
      <c r="B268" s="438"/>
      <c r="C268" s="439"/>
      <c r="D268" s="440"/>
      <c r="E268" s="441"/>
      <c r="F268" s="440"/>
    </row>
    <row r="269" spans="2:6" x14ac:dyDescent="0.25">
      <c r="B269" s="438"/>
      <c r="C269" s="439"/>
      <c r="D269" s="440"/>
      <c r="E269" s="441"/>
      <c r="F269" s="440"/>
    </row>
    <row r="270" spans="2:6" x14ac:dyDescent="0.25">
      <c r="B270" s="438"/>
      <c r="C270" s="439"/>
      <c r="D270" s="440"/>
      <c r="E270" s="441"/>
      <c r="F270" s="440"/>
    </row>
    <row r="271" spans="2:6" x14ac:dyDescent="0.25">
      <c r="B271" s="438"/>
      <c r="C271" s="439"/>
      <c r="D271" s="440"/>
      <c r="E271" s="441"/>
      <c r="F271" s="440"/>
    </row>
    <row r="272" spans="2:6" x14ac:dyDescent="0.25">
      <c r="B272" s="438"/>
      <c r="C272" s="439"/>
      <c r="D272" s="440"/>
      <c r="E272" s="441"/>
      <c r="F272" s="440"/>
    </row>
    <row r="273" spans="2:6" x14ac:dyDescent="0.25">
      <c r="B273" s="438"/>
      <c r="C273" s="439"/>
      <c r="D273" s="440"/>
      <c r="E273" s="441"/>
      <c r="F273" s="440"/>
    </row>
    <row r="274" spans="2:6" x14ac:dyDescent="0.25">
      <c r="B274" s="438"/>
      <c r="C274" s="439"/>
      <c r="D274" s="440"/>
      <c r="E274" s="441"/>
      <c r="F274" s="440"/>
    </row>
    <row r="275" spans="2:6" x14ac:dyDescent="0.25">
      <c r="B275" s="438"/>
      <c r="C275" s="439"/>
      <c r="D275" s="440"/>
      <c r="E275" s="441"/>
      <c r="F275" s="440"/>
    </row>
    <row r="276" spans="2:6" x14ac:dyDescent="0.25">
      <c r="B276" s="438"/>
      <c r="C276" s="439"/>
      <c r="D276" s="440"/>
      <c r="E276" s="441"/>
      <c r="F276" s="440"/>
    </row>
    <row r="277" spans="2:6" x14ac:dyDescent="0.25">
      <c r="B277" s="438"/>
      <c r="C277" s="439"/>
      <c r="D277" s="440"/>
      <c r="E277" s="441"/>
      <c r="F277" s="440"/>
    </row>
    <row r="278" spans="2:6" x14ac:dyDescent="0.25">
      <c r="B278" s="438"/>
      <c r="C278" s="439"/>
      <c r="D278" s="440"/>
      <c r="E278" s="441"/>
      <c r="F278" s="440"/>
    </row>
    <row r="279" spans="2:6" x14ac:dyDescent="0.25">
      <c r="B279" s="438"/>
      <c r="C279" s="439"/>
      <c r="D279" s="440"/>
      <c r="E279" s="441"/>
      <c r="F279" s="440"/>
    </row>
    <row r="280" spans="2:6" x14ac:dyDescent="0.25">
      <c r="B280" s="438"/>
      <c r="C280" s="439"/>
      <c r="D280" s="440"/>
      <c r="E280" s="441"/>
      <c r="F280" s="440"/>
    </row>
    <row r="281" spans="2:6" x14ac:dyDescent="0.25">
      <c r="B281" s="438"/>
      <c r="C281" s="439"/>
      <c r="D281" s="440"/>
      <c r="E281" s="441"/>
      <c r="F281" s="440"/>
    </row>
    <row r="282" spans="2:6" x14ac:dyDescent="0.25">
      <c r="B282" s="438"/>
      <c r="C282" s="439"/>
      <c r="D282" s="440"/>
      <c r="E282" s="441"/>
      <c r="F282" s="440"/>
    </row>
    <row r="283" spans="2:6" x14ac:dyDescent="0.25">
      <c r="B283" s="438"/>
      <c r="C283" s="439"/>
      <c r="D283" s="440"/>
      <c r="E283" s="441"/>
      <c r="F283" s="440"/>
    </row>
    <row r="284" spans="2:6" x14ac:dyDescent="0.25">
      <c r="B284" s="438"/>
      <c r="C284" s="439"/>
      <c r="D284" s="440"/>
      <c r="E284" s="441"/>
      <c r="F284" s="440"/>
    </row>
    <row r="285" spans="2:6" x14ac:dyDescent="0.25">
      <c r="B285" s="438"/>
      <c r="C285" s="439"/>
      <c r="D285" s="440"/>
      <c r="E285" s="441"/>
      <c r="F285" s="440"/>
    </row>
    <row r="286" spans="2:6" x14ac:dyDescent="0.25">
      <c r="B286" s="438"/>
      <c r="C286" s="439"/>
      <c r="D286" s="440"/>
      <c r="E286" s="441"/>
      <c r="F286" s="440"/>
    </row>
    <row r="287" spans="2:6" x14ac:dyDescent="0.25">
      <c r="B287" s="438"/>
      <c r="C287" s="439"/>
      <c r="D287" s="440"/>
      <c r="E287" s="441"/>
      <c r="F287" s="440"/>
    </row>
    <row r="288" spans="2:6" x14ac:dyDescent="0.25">
      <c r="B288" s="438"/>
      <c r="C288" s="439"/>
      <c r="D288" s="440"/>
      <c r="E288" s="441"/>
      <c r="F288" s="440"/>
    </row>
    <row r="289" spans="2:6" x14ac:dyDescent="0.25">
      <c r="B289" s="438"/>
      <c r="C289" s="439"/>
      <c r="D289" s="440"/>
      <c r="E289" s="441"/>
      <c r="F289" s="440"/>
    </row>
    <row r="290" spans="2:6" x14ac:dyDescent="0.25">
      <c r="B290" s="438"/>
      <c r="C290" s="439"/>
      <c r="D290" s="440"/>
      <c r="E290" s="441"/>
      <c r="F290" s="440"/>
    </row>
    <row r="291" spans="2:6" x14ac:dyDescent="0.25">
      <c r="B291" s="438"/>
      <c r="C291" s="439"/>
      <c r="D291" s="440"/>
      <c r="E291" s="441"/>
      <c r="F291" s="440"/>
    </row>
    <row r="292" spans="2:6" x14ac:dyDescent="0.25">
      <c r="B292" s="438"/>
      <c r="C292" s="439"/>
      <c r="D292" s="440"/>
      <c r="E292" s="441"/>
      <c r="F292" s="440"/>
    </row>
    <row r="293" spans="2:6" x14ac:dyDescent="0.25">
      <c r="B293" s="438"/>
      <c r="C293" s="439"/>
      <c r="D293" s="440"/>
      <c r="E293" s="441"/>
      <c r="F293" s="440"/>
    </row>
    <row r="294" spans="2:6" x14ac:dyDescent="0.25">
      <c r="B294" s="438"/>
      <c r="C294" s="439"/>
      <c r="D294" s="440"/>
      <c r="E294" s="441"/>
      <c r="F294" s="440"/>
    </row>
    <row r="295" spans="2:6" x14ac:dyDescent="0.25">
      <c r="B295" s="438"/>
      <c r="C295" s="439"/>
      <c r="D295" s="440"/>
      <c r="E295" s="441"/>
      <c r="F295" s="440"/>
    </row>
    <row r="296" spans="2:6" x14ac:dyDescent="0.25">
      <c r="B296" s="438"/>
      <c r="C296" s="439"/>
      <c r="D296" s="440"/>
      <c r="E296" s="441"/>
      <c r="F296" s="440"/>
    </row>
    <row r="297" spans="2:6" x14ac:dyDescent="0.25">
      <c r="B297" s="438"/>
      <c r="C297" s="439"/>
      <c r="D297" s="440"/>
      <c r="E297" s="441"/>
      <c r="F297" s="440"/>
    </row>
    <row r="298" spans="2:6" x14ac:dyDescent="0.25">
      <c r="B298" s="438"/>
      <c r="C298" s="439"/>
      <c r="D298" s="440"/>
      <c r="E298" s="441"/>
      <c r="F298" s="440"/>
    </row>
    <row r="299" spans="2:6" x14ac:dyDescent="0.25">
      <c r="B299" s="438"/>
      <c r="C299" s="439"/>
      <c r="D299" s="440"/>
      <c r="E299" s="441"/>
      <c r="F299" s="440"/>
    </row>
    <row r="300" spans="2:6" x14ac:dyDescent="0.25">
      <c r="B300" s="438"/>
      <c r="C300" s="439"/>
      <c r="D300" s="440"/>
      <c r="E300" s="441"/>
      <c r="F300" s="440"/>
    </row>
    <row r="301" spans="2:6" x14ac:dyDescent="0.25">
      <c r="B301" s="438"/>
      <c r="C301" s="439"/>
      <c r="D301" s="440"/>
      <c r="E301" s="441"/>
      <c r="F301" s="440"/>
    </row>
    <row r="302" spans="2:6" x14ac:dyDescent="0.25">
      <c r="B302" s="438"/>
      <c r="C302" s="439"/>
      <c r="D302" s="440"/>
      <c r="E302" s="441"/>
      <c r="F302" s="440"/>
    </row>
    <row r="303" spans="2:6" x14ac:dyDescent="0.25">
      <c r="B303" s="438"/>
      <c r="C303" s="439"/>
      <c r="D303" s="440"/>
      <c r="E303" s="441"/>
      <c r="F303" s="440"/>
    </row>
    <row r="304" spans="2:6" x14ac:dyDescent="0.25">
      <c r="B304" s="438"/>
      <c r="C304" s="439"/>
      <c r="D304" s="440"/>
      <c r="E304" s="441"/>
      <c r="F304" s="440"/>
    </row>
    <row r="305" spans="2:6" x14ac:dyDescent="0.25">
      <c r="B305" s="438"/>
      <c r="C305" s="439"/>
      <c r="D305" s="440"/>
      <c r="E305" s="441"/>
      <c r="F305" s="440"/>
    </row>
    <row r="306" spans="2:6" x14ac:dyDescent="0.25">
      <c r="B306" s="438"/>
      <c r="C306" s="439"/>
      <c r="D306" s="440"/>
      <c r="E306" s="441"/>
      <c r="F306" s="440"/>
    </row>
    <row r="307" spans="2:6" x14ac:dyDescent="0.25">
      <c r="B307" s="438"/>
      <c r="C307" s="439"/>
      <c r="D307" s="440"/>
      <c r="E307" s="441"/>
      <c r="F307" s="440"/>
    </row>
    <row r="308" spans="2:6" x14ac:dyDescent="0.25">
      <c r="B308" s="438"/>
      <c r="C308" s="439"/>
      <c r="D308" s="440"/>
      <c r="E308" s="441"/>
      <c r="F308" s="440"/>
    </row>
    <row r="309" spans="2:6" x14ac:dyDescent="0.25">
      <c r="B309" s="438"/>
      <c r="C309" s="439"/>
      <c r="D309" s="440"/>
      <c r="E309" s="441"/>
      <c r="F309" s="440"/>
    </row>
    <row r="310" spans="2:6" x14ac:dyDescent="0.25">
      <c r="B310" s="438"/>
      <c r="C310" s="439"/>
      <c r="D310" s="440"/>
      <c r="E310" s="441"/>
      <c r="F310" s="440"/>
    </row>
    <row r="311" spans="2:6" x14ac:dyDescent="0.25">
      <c r="B311" s="438"/>
      <c r="C311" s="439"/>
      <c r="D311" s="440"/>
      <c r="E311" s="441"/>
      <c r="F311" s="440"/>
    </row>
    <row r="312" spans="2:6" x14ac:dyDescent="0.25">
      <c r="B312" s="438"/>
      <c r="C312" s="439"/>
      <c r="D312" s="440"/>
      <c r="E312" s="441"/>
      <c r="F312" s="440"/>
    </row>
    <row r="313" spans="2:6" x14ac:dyDescent="0.25">
      <c r="B313" s="438"/>
      <c r="C313" s="439"/>
      <c r="D313" s="440"/>
      <c r="E313" s="441"/>
      <c r="F313" s="440"/>
    </row>
    <row r="314" spans="2:6" x14ac:dyDescent="0.25">
      <c r="B314" s="438"/>
      <c r="C314" s="439"/>
      <c r="D314" s="440"/>
      <c r="E314" s="441"/>
      <c r="F314" s="440"/>
    </row>
    <row r="315" spans="2:6" x14ac:dyDescent="0.25">
      <c r="B315" s="438"/>
      <c r="C315" s="439"/>
      <c r="D315" s="440"/>
      <c r="E315" s="441"/>
      <c r="F315" s="440"/>
    </row>
    <row r="316" spans="2:6" x14ac:dyDescent="0.25">
      <c r="B316" s="438"/>
      <c r="C316" s="439"/>
      <c r="D316" s="440"/>
      <c r="E316" s="441"/>
      <c r="F316" s="440"/>
    </row>
    <row r="317" spans="2:6" x14ac:dyDescent="0.25">
      <c r="B317" s="438"/>
      <c r="C317" s="439"/>
      <c r="D317" s="440"/>
      <c r="E317" s="441"/>
      <c r="F317" s="440"/>
    </row>
    <row r="318" spans="2:6" x14ac:dyDescent="0.25">
      <c r="B318" s="438"/>
      <c r="C318" s="439"/>
      <c r="D318" s="440"/>
      <c r="E318" s="441"/>
      <c r="F318" s="440"/>
    </row>
    <row r="319" spans="2:6" x14ac:dyDescent="0.25">
      <c r="B319" s="438"/>
      <c r="C319" s="439"/>
      <c r="D319" s="440"/>
      <c r="E319" s="441"/>
      <c r="F319" s="440"/>
    </row>
    <row r="320" spans="2:6" x14ac:dyDescent="0.25">
      <c r="B320" s="438"/>
      <c r="C320" s="439"/>
      <c r="D320" s="440"/>
      <c r="E320" s="441"/>
      <c r="F320" s="440"/>
    </row>
    <row r="321" spans="2:6" x14ac:dyDescent="0.25">
      <c r="B321" s="438"/>
      <c r="C321" s="439"/>
      <c r="D321" s="440"/>
      <c r="E321" s="441"/>
      <c r="F321" s="440"/>
    </row>
    <row r="322" spans="2:6" x14ac:dyDescent="0.25">
      <c r="B322" s="438"/>
      <c r="C322" s="439"/>
      <c r="D322" s="440"/>
      <c r="E322" s="441"/>
      <c r="F322" s="440"/>
    </row>
    <row r="323" spans="2:6" x14ac:dyDescent="0.25">
      <c r="B323" s="438"/>
      <c r="C323" s="439"/>
      <c r="D323" s="440"/>
      <c r="E323" s="441"/>
      <c r="F323" s="440"/>
    </row>
    <row r="324" spans="2:6" x14ac:dyDescent="0.25">
      <c r="B324" s="438"/>
      <c r="C324" s="439"/>
      <c r="D324" s="440"/>
      <c r="E324" s="441"/>
      <c r="F324" s="440"/>
    </row>
    <row r="325" spans="2:6" x14ac:dyDescent="0.25">
      <c r="B325" s="438"/>
      <c r="C325" s="439"/>
      <c r="D325" s="440"/>
      <c r="E325" s="441"/>
      <c r="F325" s="440"/>
    </row>
    <row r="326" spans="2:6" x14ac:dyDescent="0.25">
      <c r="B326" s="438"/>
      <c r="C326" s="439"/>
      <c r="D326" s="440"/>
      <c r="E326" s="441"/>
      <c r="F326" s="440"/>
    </row>
    <row r="327" spans="2:6" x14ac:dyDescent="0.25">
      <c r="B327" s="438"/>
      <c r="C327" s="439"/>
      <c r="D327" s="440"/>
      <c r="E327" s="441"/>
      <c r="F327" s="440"/>
    </row>
    <row r="328" spans="2:6" x14ac:dyDescent="0.25">
      <c r="B328" s="438"/>
      <c r="C328" s="439"/>
      <c r="D328" s="440"/>
      <c r="E328" s="441"/>
      <c r="F328" s="440"/>
    </row>
    <row r="329" spans="2:6" x14ac:dyDescent="0.25">
      <c r="B329" s="438"/>
      <c r="C329" s="439"/>
      <c r="D329" s="440"/>
      <c r="E329" s="441"/>
      <c r="F329" s="440"/>
    </row>
    <row r="330" spans="2:6" x14ac:dyDescent="0.25">
      <c r="B330" s="438"/>
      <c r="C330" s="439"/>
      <c r="D330" s="440"/>
      <c r="E330" s="441"/>
      <c r="F330" s="440"/>
    </row>
    <row r="331" spans="2:6" x14ac:dyDescent="0.25">
      <c r="B331" s="438"/>
      <c r="C331" s="439"/>
      <c r="D331" s="440"/>
      <c r="E331" s="441"/>
      <c r="F331" s="440"/>
    </row>
    <row r="332" spans="2:6" x14ac:dyDescent="0.25">
      <c r="B332" s="438"/>
      <c r="C332" s="439"/>
      <c r="D332" s="440"/>
      <c r="E332" s="441"/>
      <c r="F332" s="440"/>
    </row>
    <row r="333" spans="2:6" x14ac:dyDescent="0.25">
      <c r="B333" s="438"/>
      <c r="C333" s="439"/>
      <c r="D333" s="440"/>
      <c r="E333" s="441"/>
      <c r="F333" s="440"/>
    </row>
    <row r="334" spans="2:6" x14ac:dyDescent="0.25">
      <c r="B334" s="438"/>
      <c r="C334" s="439"/>
      <c r="D334" s="440"/>
      <c r="E334" s="441"/>
      <c r="F334" s="440"/>
    </row>
    <row r="335" spans="2:6" x14ac:dyDescent="0.25">
      <c r="B335" s="438"/>
      <c r="C335" s="439"/>
      <c r="D335" s="440"/>
      <c r="E335" s="441"/>
      <c r="F335" s="440"/>
    </row>
    <row r="336" spans="2:6" x14ac:dyDescent="0.25">
      <c r="B336" s="438"/>
      <c r="C336" s="439"/>
      <c r="D336" s="440"/>
      <c r="E336" s="441"/>
      <c r="F336" s="440"/>
    </row>
    <row r="337" spans="2:6" x14ac:dyDescent="0.25">
      <c r="B337" s="438"/>
      <c r="C337" s="439"/>
      <c r="D337" s="440"/>
      <c r="E337" s="441"/>
      <c r="F337" s="440"/>
    </row>
    <row r="338" spans="2:6" x14ac:dyDescent="0.25">
      <c r="B338" s="438"/>
      <c r="C338" s="439"/>
      <c r="D338" s="440"/>
      <c r="E338" s="441"/>
      <c r="F338" s="440"/>
    </row>
    <row r="339" spans="2:6" x14ac:dyDescent="0.25">
      <c r="B339" s="438"/>
      <c r="C339" s="439"/>
      <c r="D339" s="440"/>
      <c r="E339" s="441"/>
      <c r="F339" s="440"/>
    </row>
    <row r="340" spans="2:6" x14ac:dyDescent="0.25">
      <c r="B340" s="438"/>
      <c r="C340" s="439"/>
      <c r="D340" s="440"/>
      <c r="E340" s="441"/>
      <c r="F340" s="440"/>
    </row>
    <row r="341" spans="2:6" x14ac:dyDescent="0.25">
      <c r="B341" s="438"/>
      <c r="C341" s="439"/>
      <c r="D341" s="440"/>
      <c r="E341" s="441"/>
      <c r="F341" s="440"/>
    </row>
    <row r="342" spans="2:6" x14ac:dyDescent="0.25">
      <c r="B342" s="438"/>
      <c r="C342" s="439"/>
      <c r="D342" s="440"/>
      <c r="E342" s="441"/>
      <c r="F342" s="440"/>
    </row>
    <row r="343" spans="2:6" x14ac:dyDescent="0.25">
      <c r="B343" s="438"/>
      <c r="C343" s="439"/>
      <c r="D343" s="440"/>
      <c r="E343" s="441"/>
      <c r="F343" s="440"/>
    </row>
    <row r="344" spans="2:6" x14ac:dyDescent="0.25">
      <c r="B344" s="438"/>
      <c r="C344" s="439"/>
      <c r="D344" s="440"/>
      <c r="E344" s="441"/>
      <c r="F344" s="440"/>
    </row>
    <row r="345" spans="2:6" x14ac:dyDescent="0.25">
      <c r="B345" s="438"/>
      <c r="C345" s="439"/>
      <c r="D345" s="440"/>
      <c r="E345" s="441"/>
      <c r="F345" s="440"/>
    </row>
    <row r="346" spans="2:6" x14ac:dyDescent="0.25">
      <c r="B346" s="438"/>
      <c r="C346" s="439"/>
      <c r="D346" s="440"/>
      <c r="E346" s="441"/>
      <c r="F346" s="440"/>
    </row>
    <row r="347" spans="2:6" x14ac:dyDescent="0.25">
      <c r="B347" s="438"/>
      <c r="C347" s="439"/>
      <c r="D347" s="440"/>
      <c r="E347" s="441"/>
      <c r="F347" s="440"/>
    </row>
    <row r="348" spans="2:6" x14ac:dyDescent="0.25">
      <c r="B348" s="438"/>
      <c r="C348" s="439"/>
      <c r="D348" s="440"/>
      <c r="E348" s="441"/>
      <c r="F348" s="440"/>
    </row>
    <row r="349" spans="2:6" x14ac:dyDescent="0.25">
      <c r="B349" s="438"/>
      <c r="C349" s="439"/>
      <c r="D349" s="440"/>
      <c r="E349" s="441"/>
      <c r="F349" s="440"/>
    </row>
    <row r="350" spans="2:6" x14ac:dyDescent="0.25">
      <c r="B350" s="438"/>
      <c r="C350" s="439"/>
      <c r="D350" s="440"/>
      <c r="E350" s="441"/>
      <c r="F350" s="440"/>
    </row>
    <row r="351" spans="2:6" x14ac:dyDescent="0.25">
      <c r="B351" s="438"/>
      <c r="C351" s="439"/>
      <c r="D351" s="440"/>
      <c r="E351" s="441"/>
      <c r="F351" s="440"/>
    </row>
    <row r="352" spans="2:6" x14ac:dyDescent="0.25">
      <c r="B352" s="438"/>
      <c r="C352" s="439"/>
      <c r="D352" s="440"/>
      <c r="E352" s="441"/>
      <c r="F352" s="440"/>
    </row>
    <row r="353" spans="2:6" x14ac:dyDescent="0.25">
      <c r="B353" s="438"/>
      <c r="C353" s="439"/>
      <c r="D353" s="440"/>
      <c r="E353" s="441"/>
      <c r="F353" s="440"/>
    </row>
    <row r="354" spans="2:6" x14ac:dyDescent="0.25">
      <c r="B354" s="438"/>
      <c r="C354" s="439"/>
      <c r="D354" s="440"/>
      <c r="E354" s="441"/>
      <c r="F354" s="440"/>
    </row>
    <row r="355" spans="2:6" x14ac:dyDescent="0.25">
      <c r="B355" s="438"/>
      <c r="C355" s="439"/>
      <c r="D355" s="440"/>
      <c r="E355" s="441"/>
      <c r="F355" s="440"/>
    </row>
    <row r="356" spans="2:6" x14ac:dyDescent="0.25">
      <c r="B356" s="438"/>
      <c r="C356" s="439"/>
      <c r="D356" s="440"/>
      <c r="E356" s="441"/>
      <c r="F356" s="440"/>
    </row>
    <row r="357" spans="2:6" x14ac:dyDescent="0.25">
      <c r="B357" s="438"/>
      <c r="C357" s="439"/>
      <c r="D357" s="440"/>
      <c r="E357" s="441"/>
      <c r="F357" s="440"/>
    </row>
    <row r="358" spans="2:6" x14ac:dyDescent="0.25">
      <c r="B358" s="438"/>
      <c r="C358" s="439"/>
      <c r="D358" s="440"/>
      <c r="E358" s="441"/>
      <c r="F358" s="440"/>
    </row>
    <row r="359" spans="2:6" x14ac:dyDescent="0.25">
      <c r="B359" s="438"/>
      <c r="C359" s="439"/>
      <c r="D359" s="440"/>
      <c r="E359" s="441"/>
      <c r="F359" s="440"/>
    </row>
    <row r="360" spans="2:6" x14ac:dyDescent="0.25">
      <c r="B360" s="438"/>
      <c r="C360" s="439"/>
      <c r="D360" s="440"/>
      <c r="E360" s="441"/>
      <c r="F360" s="440"/>
    </row>
    <row r="361" spans="2:6" x14ac:dyDescent="0.25">
      <c r="B361" s="438"/>
      <c r="C361" s="439"/>
      <c r="D361" s="440"/>
      <c r="E361" s="441"/>
      <c r="F361" s="440"/>
    </row>
    <row r="362" spans="2:6" x14ac:dyDescent="0.25">
      <c r="B362" s="438"/>
      <c r="C362" s="439"/>
      <c r="D362" s="440"/>
      <c r="E362" s="441"/>
      <c r="F362" s="440"/>
    </row>
    <row r="363" spans="2:6" x14ac:dyDescent="0.25">
      <c r="B363" s="438"/>
      <c r="C363" s="439"/>
      <c r="D363" s="440"/>
      <c r="E363" s="441"/>
      <c r="F363" s="440"/>
    </row>
    <row r="364" spans="2:6" x14ac:dyDescent="0.25">
      <c r="B364" s="438"/>
      <c r="C364" s="439"/>
      <c r="D364" s="440"/>
      <c r="E364" s="441"/>
      <c r="F364" s="440"/>
    </row>
    <row r="365" spans="2:6" x14ac:dyDescent="0.25">
      <c r="B365" s="438"/>
      <c r="C365" s="439"/>
      <c r="D365" s="440"/>
      <c r="E365" s="441"/>
      <c r="F365" s="440"/>
    </row>
    <row r="366" spans="2:6" x14ac:dyDescent="0.25">
      <c r="B366" s="438"/>
      <c r="C366" s="439"/>
      <c r="D366" s="440"/>
      <c r="E366" s="441"/>
      <c r="F366" s="440"/>
    </row>
    <row r="367" spans="2:6" x14ac:dyDescent="0.25">
      <c r="B367" s="438"/>
      <c r="C367" s="439"/>
      <c r="D367" s="440"/>
      <c r="E367" s="441"/>
      <c r="F367" s="440"/>
    </row>
    <row r="368" spans="2:6" x14ac:dyDescent="0.25">
      <c r="B368" s="438"/>
      <c r="C368" s="439"/>
      <c r="D368" s="440"/>
      <c r="E368" s="441"/>
      <c r="F368" s="440"/>
    </row>
    <row r="369" spans="2:6" x14ac:dyDescent="0.25">
      <c r="B369" s="438"/>
      <c r="C369" s="439"/>
      <c r="D369" s="440"/>
      <c r="E369" s="441"/>
      <c r="F369" s="440"/>
    </row>
    <row r="370" spans="2:6" x14ac:dyDescent="0.25">
      <c r="B370" s="438"/>
      <c r="C370" s="439"/>
      <c r="D370" s="440"/>
      <c r="E370" s="441"/>
      <c r="F370" s="440"/>
    </row>
    <row r="371" spans="2:6" x14ac:dyDescent="0.25">
      <c r="B371" s="438"/>
      <c r="C371" s="439"/>
      <c r="D371" s="440"/>
      <c r="E371" s="441"/>
      <c r="F371" s="440"/>
    </row>
    <row r="372" spans="2:6" x14ac:dyDescent="0.25">
      <c r="B372" s="438"/>
      <c r="C372" s="439"/>
      <c r="D372" s="440"/>
      <c r="E372" s="441"/>
      <c r="F372" s="440"/>
    </row>
    <row r="373" spans="2:6" x14ac:dyDescent="0.25">
      <c r="B373" s="438"/>
      <c r="C373" s="439"/>
      <c r="D373" s="440"/>
      <c r="E373" s="441"/>
      <c r="F373" s="440"/>
    </row>
    <row r="374" spans="2:6" x14ac:dyDescent="0.25">
      <c r="B374" s="438"/>
      <c r="C374" s="439"/>
      <c r="D374" s="440"/>
      <c r="E374" s="441"/>
      <c r="F374" s="440"/>
    </row>
    <row r="375" spans="2:6" x14ac:dyDescent="0.25">
      <c r="B375" s="438"/>
      <c r="C375" s="439"/>
      <c r="D375" s="440"/>
      <c r="E375" s="441"/>
      <c r="F375" s="440"/>
    </row>
    <row r="376" spans="2:6" x14ac:dyDescent="0.25">
      <c r="B376" s="438"/>
      <c r="C376" s="439"/>
      <c r="D376" s="440"/>
      <c r="E376" s="441"/>
      <c r="F376" s="440"/>
    </row>
    <row r="377" spans="2:6" x14ac:dyDescent="0.25">
      <c r="B377" s="438"/>
      <c r="C377" s="439"/>
      <c r="D377" s="440"/>
      <c r="E377" s="441"/>
      <c r="F377" s="440"/>
    </row>
    <row r="378" spans="2:6" x14ac:dyDescent="0.25">
      <c r="B378" s="438"/>
      <c r="C378" s="439"/>
      <c r="D378" s="440"/>
      <c r="E378" s="441"/>
      <c r="F378" s="440"/>
    </row>
    <row r="379" spans="2:6" x14ac:dyDescent="0.25">
      <c r="B379" s="438"/>
      <c r="C379" s="439"/>
      <c r="D379" s="440"/>
      <c r="E379" s="441"/>
      <c r="F379" s="440"/>
    </row>
    <row r="380" spans="2:6" x14ac:dyDescent="0.25">
      <c r="B380" s="438"/>
      <c r="C380" s="439"/>
      <c r="D380" s="440"/>
      <c r="E380" s="441"/>
      <c r="F380" s="440"/>
    </row>
    <row r="381" spans="2:6" x14ac:dyDescent="0.25">
      <c r="B381" s="438"/>
      <c r="C381" s="439"/>
      <c r="D381" s="440"/>
      <c r="E381" s="441"/>
      <c r="F381" s="440"/>
    </row>
    <row r="382" spans="2:6" x14ac:dyDescent="0.25">
      <c r="B382" s="438"/>
      <c r="C382" s="439"/>
      <c r="D382" s="440"/>
      <c r="E382" s="441"/>
      <c r="F382" s="440"/>
    </row>
    <row r="383" spans="2:6" x14ac:dyDescent="0.25">
      <c r="B383" s="438"/>
      <c r="C383" s="439"/>
      <c r="D383" s="440"/>
      <c r="E383" s="441"/>
      <c r="F383" s="440"/>
    </row>
    <row r="384" spans="2:6" x14ac:dyDescent="0.25">
      <c r="B384" s="438"/>
      <c r="C384" s="439"/>
      <c r="D384" s="440"/>
      <c r="E384" s="441"/>
      <c r="F384" s="440"/>
    </row>
    <row r="385" spans="2:6" x14ac:dyDescent="0.25">
      <c r="B385" s="438"/>
      <c r="C385" s="439"/>
      <c r="D385" s="440"/>
      <c r="E385" s="441"/>
      <c r="F385" s="440"/>
    </row>
    <row r="386" spans="2:6" x14ac:dyDescent="0.25">
      <c r="B386" s="438"/>
      <c r="C386" s="439"/>
      <c r="D386" s="440"/>
      <c r="E386" s="441"/>
      <c r="F386" s="440"/>
    </row>
    <row r="387" spans="2:6" x14ac:dyDescent="0.25">
      <c r="B387" s="438"/>
      <c r="C387" s="439"/>
      <c r="D387" s="440"/>
      <c r="E387" s="441"/>
      <c r="F387" s="440"/>
    </row>
    <row r="388" spans="2:6" x14ac:dyDescent="0.25">
      <c r="B388" s="438"/>
      <c r="C388" s="439"/>
      <c r="D388" s="440"/>
      <c r="E388" s="441"/>
      <c r="F388" s="440"/>
    </row>
    <row r="389" spans="2:6" x14ac:dyDescent="0.25">
      <c r="B389" s="438"/>
      <c r="C389" s="439"/>
      <c r="D389" s="440"/>
      <c r="E389" s="441"/>
      <c r="F389" s="440"/>
    </row>
    <row r="390" spans="2:6" x14ac:dyDescent="0.25">
      <c r="B390" s="438"/>
      <c r="C390" s="439"/>
      <c r="D390" s="440"/>
      <c r="E390" s="441"/>
      <c r="F390" s="440"/>
    </row>
    <row r="391" spans="2:6" x14ac:dyDescent="0.25">
      <c r="B391" s="438"/>
      <c r="C391" s="439"/>
      <c r="D391" s="440"/>
      <c r="E391" s="441"/>
      <c r="F391" s="440"/>
    </row>
    <row r="392" spans="2:6" x14ac:dyDescent="0.25">
      <c r="B392" s="438"/>
      <c r="C392" s="439"/>
      <c r="D392" s="440"/>
      <c r="E392" s="441"/>
      <c r="F392" s="440"/>
    </row>
    <row r="393" spans="2:6" x14ac:dyDescent="0.25">
      <c r="B393" s="438"/>
      <c r="C393" s="439"/>
      <c r="D393" s="440"/>
      <c r="E393" s="441"/>
      <c r="F393" s="440"/>
    </row>
    <row r="394" spans="2:6" x14ac:dyDescent="0.25">
      <c r="B394" s="438"/>
      <c r="C394" s="439"/>
      <c r="D394" s="440"/>
      <c r="E394" s="441"/>
      <c r="F394" s="440"/>
    </row>
    <row r="395" spans="2:6" x14ac:dyDescent="0.25">
      <c r="B395" s="438"/>
      <c r="C395" s="439"/>
      <c r="D395" s="440"/>
      <c r="E395" s="441"/>
      <c r="F395" s="440"/>
    </row>
    <row r="396" spans="2:6" x14ac:dyDescent="0.25">
      <c r="B396" s="438"/>
      <c r="C396" s="439"/>
      <c r="D396" s="440"/>
      <c r="E396" s="441"/>
      <c r="F396" s="440"/>
    </row>
    <row r="397" spans="2:6" ht="15.75" thickBot="1" x14ac:dyDescent="0.3">
      <c r="B397" s="442"/>
      <c r="C397" s="443"/>
      <c r="D397" s="444"/>
      <c r="E397" s="445"/>
      <c r="F397" s="444"/>
    </row>
    <row r="398" spans="2:6" x14ac:dyDescent="0.25">
      <c r="B398" s="124"/>
      <c r="C398" s="124"/>
      <c r="D398" s="124"/>
      <c r="E398" s="124"/>
      <c r="F398" s="124"/>
    </row>
    <row r="399" spans="2:6" x14ac:dyDescent="0.25">
      <c r="B399" s="124"/>
      <c r="C399" s="124"/>
      <c r="D399" s="124"/>
      <c r="E399" s="124"/>
      <c r="F399" s="124"/>
    </row>
    <row r="400" spans="2:6" x14ac:dyDescent="0.25">
      <c r="B400" s="124"/>
      <c r="C400" s="124"/>
      <c r="D400" s="124"/>
      <c r="E400" s="124"/>
      <c r="F400" s="124"/>
    </row>
    <row r="401" spans="2:6" x14ac:dyDescent="0.25">
      <c r="B401" s="124"/>
      <c r="C401" s="124"/>
      <c r="D401" s="124"/>
      <c r="E401" s="124"/>
      <c r="F401" s="124"/>
    </row>
    <row r="402" spans="2:6" x14ac:dyDescent="0.25">
      <c r="B402" s="124"/>
      <c r="C402" s="124"/>
      <c r="D402" s="124"/>
      <c r="E402" s="124"/>
      <c r="F402" s="124"/>
    </row>
    <row r="403" spans="2:6" x14ac:dyDescent="0.25">
      <c r="B403" s="124"/>
      <c r="C403" s="124"/>
      <c r="D403" s="124"/>
      <c r="E403" s="124"/>
      <c r="F403" s="124"/>
    </row>
    <row r="404" spans="2:6" x14ac:dyDescent="0.25">
      <c r="B404" s="124"/>
      <c r="C404" s="124"/>
      <c r="D404" s="124"/>
      <c r="E404" s="124"/>
      <c r="F404" s="124"/>
    </row>
    <row r="405" spans="2:6" x14ac:dyDescent="0.25">
      <c r="B405" s="124"/>
      <c r="C405" s="124"/>
      <c r="D405" s="124"/>
      <c r="E405" s="124"/>
      <c r="F405" s="124"/>
    </row>
    <row r="406" spans="2:6" x14ac:dyDescent="0.25">
      <c r="B406" s="124"/>
      <c r="C406" s="124"/>
      <c r="D406" s="124"/>
      <c r="E406" s="124"/>
      <c r="F406" s="124"/>
    </row>
    <row r="407" spans="2:6" x14ac:dyDescent="0.25">
      <c r="B407" s="124"/>
      <c r="C407" s="124"/>
      <c r="D407" s="124"/>
      <c r="E407" s="124"/>
      <c r="F407" s="124"/>
    </row>
    <row r="408" spans="2:6" x14ac:dyDescent="0.25">
      <c r="B408" s="124"/>
      <c r="C408" s="124"/>
      <c r="D408" s="124"/>
      <c r="E408" s="124"/>
      <c r="F408" s="124"/>
    </row>
    <row r="409" spans="2:6" x14ac:dyDescent="0.25">
      <c r="B409" s="124"/>
      <c r="C409" s="124"/>
      <c r="D409" s="124"/>
      <c r="E409" s="124"/>
      <c r="F409" s="124"/>
    </row>
    <row r="410" spans="2:6" x14ac:dyDescent="0.25">
      <c r="B410" s="124"/>
      <c r="C410" s="124"/>
      <c r="D410" s="124"/>
      <c r="E410" s="124"/>
      <c r="F410" s="124"/>
    </row>
    <row r="411" spans="2:6" x14ac:dyDescent="0.25">
      <c r="B411" s="124"/>
      <c r="C411" s="124"/>
      <c r="D411" s="124"/>
      <c r="E411" s="124"/>
      <c r="F411" s="124"/>
    </row>
    <row r="412" spans="2:6" x14ac:dyDescent="0.25">
      <c r="B412" s="124"/>
      <c r="C412" s="124"/>
      <c r="D412" s="124"/>
      <c r="E412" s="124"/>
      <c r="F412" s="124"/>
    </row>
    <row r="413" spans="2:6" x14ac:dyDescent="0.25">
      <c r="B413" s="124"/>
      <c r="C413" s="124"/>
      <c r="D413" s="124"/>
      <c r="E413" s="124"/>
      <c r="F413" s="124"/>
    </row>
    <row r="414" spans="2:6" x14ac:dyDescent="0.25">
      <c r="B414" s="124"/>
      <c r="C414" s="124"/>
      <c r="D414" s="124"/>
      <c r="E414" s="124"/>
      <c r="F414" s="124"/>
    </row>
    <row r="415" spans="2:6" x14ac:dyDescent="0.25">
      <c r="B415" s="124"/>
      <c r="C415" s="124"/>
      <c r="D415" s="124"/>
      <c r="E415" s="124"/>
      <c r="F415" s="124"/>
    </row>
    <row r="416" spans="2:6" x14ac:dyDescent="0.25">
      <c r="B416" s="124"/>
      <c r="C416" s="124"/>
      <c r="D416" s="124"/>
      <c r="E416" s="124"/>
      <c r="F416" s="124"/>
    </row>
    <row r="417" spans="2:6" x14ac:dyDescent="0.25">
      <c r="B417" s="124"/>
      <c r="C417" s="124"/>
      <c r="D417" s="124"/>
      <c r="E417" s="124"/>
      <c r="F417" s="124"/>
    </row>
    <row r="418" spans="2:6" x14ac:dyDescent="0.25">
      <c r="B418" s="124"/>
      <c r="C418" s="124"/>
      <c r="D418" s="124"/>
      <c r="E418" s="124"/>
      <c r="F418" s="124"/>
    </row>
    <row r="419" spans="2:6" x14ac:dyDescent="0.25">
      <c r="B419" s="124"/>
      <c r="C419" s="124"/>
      <c r="D419" s="124"/>
      <c r="E419" s="124"/>
      <c r="F419" s="124"/>
    </row>
    <row r="420" spans="2:6" x14ac:dyDescent="0.25">
      <c r="B420" s="124"/>
      <c r="C420" s="124"/>
      <c r="D420" s="124"/>
      <c r="E420" s="124"/>
      <c r="F420" s="124"/>
    </row>
    <row r="421" spans="2:6" x14ac:dyDescent="0.25">
      <c r="B421" s="124"/>
      <c r="C421" s="124"/>
      <c r="D421" s="124"/>
      <c r="E421" s="124"/>
      <c r="F421" s="124"/>
    </row>
    <row r="422" spans="2:6" x14ac:dyDescent="0.25">
      <c r="B422" s="124"/>
      <c r="C422" s="124"/>
      <c r="D422" s="124"/>
      <c r="E422" s="124"/>
      <c r="F422" s="124"/>
    </row>
    <row r="423" spans="2:6" x14ac:dyDescent="0.25">
      <c r="B423" s="124"/>
      <c r="C423" s="124"/>
      <c r="D423" s="124"/>
      <c r="E423" s="124"/>
      <c r="F423" s="124"/>
    </row>
    <row r="424" spans="2:6" x14ac:dyDescent="0.25">
      <c r="B424" s="124"/>
      <c r="C424" s="124"/>
      <c r="D424" s="124"/>
      <c r="E424" s="124"/>
      <c r="F424" s="124"/>
    </row>
    <row r="425" spans="2:6" x14ac:dyDescent="0.25">
      <c r="B425" s="124"/>
      <c r="C425" s="124"/>
      <c r="D425" s="124"/>
      <c r="E425" s="124"/>
      <c r="F425" s="124"/>
    </row>
    <row r="426" spans="2:6" x14ac:dyDescent="0.25">
      <c r="B426" s="124"/>
      <c r="C426" s="124"/>
      <c r="D426" s="124"/>
      <c r="E426" s="124"/>
      <c r="F426" s="124"/>
    </row>
    <row r="427" spans="2:6" x14ac:dyDescent="0.25">
      <c r="B427" s="124"/>
      <c r="C427" s="124"/>
      <c r="D427" s="124"/>
      <c r="E427" s="124"/>
      <c r="F427" s="124"/>
    </row>
    <row r="428" spans="2:6" x14ac:dyDescent="0.25">
      <c r="B428" s="124"/>
      <c r="C428" s="124"/>
      <c r="D428" s="124"/>
      <c r="E428" s="124"/>
      <c r="F428" s="124"/>
    </row>
    <row r="429" spans="2:6" x14ac:dyDescent="0.25">
      <c r="B429" s="124"/>
      <c r="C429" s="124"/>
      <c r="D429" s="124"/>
      <c r="E429" s="124"/>
      <c r="F429" s="124"/>
    </row>
    <row r="430" spans="2:6" x14ac:dyDescent="0.25">
      <c r="B430" s="124"/>
      <c r="C430" s="124"/>
      <c r="D430" s="124"/>
      <c r="E430" s="124"/>
      <c r="F430" s="124"/>
    </row>
    <row r="431" spans="2:6" x14ac:dyDescent="0.25">
      <c r="B431" s="124"/>
      <c r="C431" s="124"/>
      <c r="D431" s="124"/>
      <c r="E431" s="124"/>
      <c r="F431" s="124"/>
    </row>
    <row r="432" spans="2:6" x14ac:dyDescent="0.25">
      <c r="B432" s="124"/>
      <c r="C432" s="124"/>
      <c r="D432" s="124"/>
      <c r="E432" s="124"/>
      <c r="F432" s="124"/>
    </row>
    <row r="433" spans="2:6" x14ac:dyDescent="0.25">
      <c r="B433" s="124"/>
      <c r="C433" s="124"/>
      <c r="D433" s="124"/>
      <c r="E433" s="124"/>
      <c r="F433" s="124"/>
    </row>
    <row r="434" spans="2:6" x14ac:dyDescent="0.25">
      <c r="B434" s="124"/>
      <c r="C434" s="124"/>
      <c r="D434" s="124"/>
      <c r="E434" s="124"/>
      <c r="F434" s="124"/>
    </row>
    <row r="435" spans="2:6" x14ac:dyDescent="0.25">
      <c r="B435" s="124"/>
      <c r="C435" s="124"/>
      <c r="D435" s="124"/>
      <c r="E435" s="124"/>
      <c r="F435" s="124"/>
    </row>
    <row r="436" spans="2:6" x14ac:dyDescent="0.25">
      <c r="B436" s="124"/>
      <c r="C436" s="124"/>
      <c r="D436" s="124"/>
      <c r="E436" s="124"/>
      <c r="F436" s="124"/>
    </row>
    <row r="437" spans="2:6" x14ac:dyDescent="0.25">
      <c r="B437" s="124"/>
      <c r="C437" s="124"/>
      <c r="D437" s="124"/>
      <c r="E437" s="124"/>
      <c r="F437" s="124"/>
    </row>
    <row r="438" spans="2:6" x14ac:dyDescent="0.25">
      <c r="B438" s="124"/>
      <c r="C438" s="124"/>
      <c r="D438" s="124"/>
      <c r="E438" s="124"/>
      <c r="F438" s="124"/>
    </row>
    <row r="439" spans="2:6" x14ac:dyDescent="0.25">
      <c r="B439" s="124"/>
      <c r="C439" s="124"/>
      <c r="D439" s="124"/>
      <c r="E439" s="124"/>
      <c r="F439" s="124"/>
    </row>
    <row r="440" spans="2:6" x14ac:dyDescent="0.25">
      <c r="B440" s="124"/>
      <c r="C440" s="124"/>
      <c r="D440" s="124"/>
      <c r="E440" s="124"/>
      <c r="F440" s="124"/>
    </row>
    <row r="441" spans="2:6" x14ac:dyDescent="0.25">
      <c r="B441" s="124"/>
      <c r="C441" s="124"/>
      <c r="D441" s="124"/>
      <c r="E441" s="124"/>
      <c r="F441" s="124"/>
    </row>
    <row r="442" spans="2:6" x14ac:dyDescent="0.25">
      <c r="B442" s="124"/>
      <c r="C442" s="124"/>
      <c r="D442" s="124"/>
      <c r="E442" s="124"/>
      <c r="F442" s="124"/>
    </row>
    <row r="443" spans="2:6" x14ac:dyDescent="0.25">
      <c r="B443" s="124"/>
      <c r="C443" s="124"/>
      <c r="D443" s="124"/>
      <c r="E443" s="124"/>
      <c r="F443" s="124"/>
    </row>
    <row r="444" spans="2:6" x14ac:dyDescent="0.25">
      <c r="B444" s="124"/>
      <c r="C444" s="124"/>
      <c r="D444" s="124"/>
      <c r="E444" s="124"/>
      <c r="F444" s="124"/>
    </row>
    <row r="445" spans="2:6" x14ac:dyDescent="0.25">
      <c r="B445" s="124"/>
      <c r="C445" s="124"/>
      <c r="D445" s="124"/>
      <c r="E445" s="124"/>
      <c r="F445" s="124"/>
    </row>
    <row r="446" spans="2:6" x14ac:dyDescent="0.25">
      <c r="B446" s="124"/>
      <c r="C446" s="124"/>
      <c r="D446" s="124"/>
      <c r="E446" s="124"/>
      <c r="F446" s="124"/>
    </row>
    <row r="447" spans="2:6" x14ac:dyDescent="0.25">
      <c r="B447" s="124"/>
      <c r="C447" s="124"/>
      <c r="D447" s="124"/>
      <c r="E447" s="124"/>
      <c r="F447" s="124"/>
    </row>
    <row r="448" spans="2:6" x14ac:dyDescent="0.25">
      <c r="B448" s="124"/>
      <c r="C448" s="124"/>
      <c r="D448" s="124"/>
      <c r="E448" s="124"/>
      <c r="F448" s="124"/>
    </row>
    <row r="449" spans="2:6" x14ac:dyDescent="0.25">
      <c r="B449" s="124"/>
      <c r="C449" s="124"/>
      <c r="D449" s="124"/>
      <c r="E449" s="124"/>
      <c r="F449" s="124"/>
    </row>
    <row r="450" spans="2:6" x14ac:dyDescent="0.25">
      <c r="B450" s="124"/>
      <c r="C450" s="124"/>
      <c r="D450" s="124"/>
      <c r="E450" s="124"/>
      <c r="F450" s="124"/>
    </row>
    <row r="451" spans="2:6" x14ac:dyDescent="0.25">
      <c r="B451" s="124"/>
      <c r="C451" s="124"/>
      <c r="D451" s="124"/>
      <c r="E451" s="124"/>
      <c r="F451" s="124"/>
    </row>
    <row r="452" spans="2:6" x14ac:dyDescent="0.25">
      <c r="B452" s="124"/>
      <c r="C452" s="124"/>
      <c r="D452" s="124"/>
      <c r="E452" s="124"/>
      <c r="F452" s="124"/>
    </row>
    <row r="453" spans="2:6" x14ac:dyDescent="0.25">
      <c r="B453" s="124"/>
      <c r="C453" s="124"/>
      <c r="D453" s="124"/>
      <c r="E453" s="124"/>
      <c r="F453" s="124"/>
    </row>
    <row r="454" spans="2:6" x14ac:dyDescent="0.25">
      <c r="B454" s="124"/>
      <c r="C454" s="124"/>
      <c r="D454" s="124"/>
      <c r="E454" s="124"/>
      <c r="F454" s="124"/>
    </row>
    <row r="455" spans="2:6" x14ac:dyDescent="0.25">
      <c r="B455" s="124"/>
      <c r="C455" s="124"/>
      <c r="D455" s="124"/>
      <c r="E455" s="124"/>
      <c r="F455" s="124"/>
    </row>
    <row r="456" spans="2:6" x14ac:dyDescent="0.25">
      <c r="B456" s="124"/>
      <c r="C456" s="124"/>
      <c r="D456" s="124"/>
      <c r="E456" s="124"/>
      <c r="F456" s="124"/>
    </row>
    <row r="457" spans="2:6" x14ac:dyDescent="0.25">
      <c r="B457" s="124"/>
      <c r="C457" s="124"/>
      <c r="D457" s="124"/>
      <c r="E457" s="124"/>
      <c r="F457" s="124"/>
    </row>
    <row r="458" spans="2:6" x14ac:dyDescent="0.25">
      <c r="B458" s="124"/>
      <c r="C458" s="124"/>
      <c r="D458" s="124"/>
      <c r="E458" s="124"/>
      <c r="F458" s="124"/>
    </row>
    <row r="459" spans="2:6" x14ac:dyDescent="0.25">
      <c r="B459" s="124"/>
      <c r="C459" s="124"/>
      <c r="D459" s="124"/>
      <c r="E459" s="124"/>
      <c r="F459" s="124"/>
    </row>
    <row r="460" spans="2:6" x14ac:dyDescent="0.25">
      <c r="B460" s="124"/>
      <c r="C460" s="124"/>
      <c r="D460" s="124"/>
      <c r="E460" s="124"/>
      <c r="F460" s="124"/>
    </row>
    <row r="461" spans="2:6" x14ac:dyDescent="0.25">
      <c r="B461" s="124"/>
      <c r="C461" s="124"/>
      <c r="D461" s="124"/>
      <c r="E461" s="124"/>
      <c r="F461" s="124"/>
    </row>
    <row r="462" spans="2:6" x14ac:dyDescent="0.25">
      <c r="B462" s="124"/>
      <c r="C462" s="124"/>
      <c r="D462" s="124"/>
      <c r="E462" s="124"/>
      <c r="F462" s="124"/>
    </row>
    <row r="463" spans="2:6" x14ac:dyDescent="0.25">
      <c r="B463" s="124"/>
      <c r="C463" s="124"/>
      <c r="D463" s="124"/>
      <c r="E463" s="124"/>
      <c r="F463" s="124"/>
    </row>
    <row r="464" spans="2:6" x14ac:dyDescent="0.25">
      <c r="B464" s="124"/>
      <c r="C464" s="124"/>
      <c r="D464" s="124"/>
      <c r="E464" s="124"/>
      <c r="F464" s="124"/>
    </row>
    <row r="465" spans="2:6" x14ac:dyDescent="0.25">
      <c r="B465" s="124"/>
      <c r="C465" s="124"/>
      <c r="D465" s="124"/>
      <c r="E465" s="124"/>
      <c r="F465" s="124"/>
    </row>
    <row r="466" spans="2:6" x14ac:dyDescent="0.25">
      <c r="B466" s="124"/>
      <c r="C466" s="124"/>
      <c r="D466" s="124"/>
      <c r="E466" s="124"/>
      <c r="F466" s="124"/>
    </row>
    <row r="467" spans="2:6" x14ac:dyDescent="0.25">
      <c r="B467" s="124"/>
      <c r="C467" s="124"/>
      <c r="D467" s="124"/>
      <c r="E467" s="124"/>
      <c r="F467" s="124"/>
    </row>
    <row r="468" spans="2:6" x14ac:dyDescent="0.25">
      <c r="B468" s="124"/>
      <c r="C468" s="124"/>
      <c r="D468" s="124"/>
      <c r="E468" s="124"/>
      <c r="F468" s="124"/>
    </row>
    <row r="469" spans="2:6" x14ac:dyDescent="0.25">
      <c r="B469" s="124"/>
      <c r="C469" s="124"/>
      <c r="D469" s="124"/>
      <c r="E469" s="124"/>
      <c r="F469" s="124"/>
    </row>
    <row r="470" spans="2:6" x14ac:dyDescent="0.25">
      <c r="B470" s="124"/>
      <c r="C470" s="124"/>
      <c r="D470" s="124"/>
      <c r="E470" s="124"/>
      <c r="F470" s="124"/>
    </row>
    <row r="471" spans="2:6" x14ac:dyDescent="0.25">
      <c r="B471" s="124"/>
      <c r="C471" s="124"/>
      <c r="D471" s="124"/>
      <c r="E471" s="124"/>
      <c r="F471" s="124"/>
    </row>
    <row r="472" spans="2:6" x14ac:dyDescent="0.25">
      <c r="B472" s="124"/>
      <c r="C472" s="124"/>
      <c r="D472" s="124"/>
      <c r="E472" s="124"/>
      <c r="F472" s="124"/>
    </row>
    <row r="473" spans="2:6" x14ac:dyDescent="0.25">
      <c r="B473" s="124"/>
      <c r="C473" s="124"/>
      <c r="D473" s="124"/>
      <c r="E473" s="124"/>
      <c r="F473" s="124"/>
    </row>
    <row r="474" spans="2:6" x14ac:dyDescent="0.25">
      <c r="B474" s="124"/>
      <c r="C474" s="124"/>
      <c r="D474" s="124"/>
      <c r="E474" s="124"/>
      <c r="F474" s="124"/>
    </row>
    <row r="475" spans="2:6" x14ac:dyDescent="0.25">
      <c r="B475" s="124"/>
      <c r="C475" s="124"/>
      <c r="D475" s="124"/>
      <c r="E475" s="124"/>
      <c r="F475" s="124"/>
    </row>
    <row r="476" spans="2:6" x14ac:dyDescent="0.25">
      <c r="B476" s="124"/>
      <c r="C476" s="124"/>
      <c r="D476" s="124"/>
      <c r="E476" s="124"/>
      <c r="F476" s="124"/>
    </row>
    <row r="477" spans="2:6" x14ac:dyDescent="0.25">
      <c r="B477" s="124"/>
      <c r="C477" s="124"/>
      <c r="D477" s="124"/>
      <c r="E477" s="124"/>
      <c r="F477" s="124"/>
    </row>
    <row r="478" spans="2:6" x14ac:dyDescent="0.25">
      <c r="B478" s="124"/>
      <c r="C478" s="124"/>
      <c r="D478" s="124"/>
      <c r="E478" s="124"/>
      <c r="F478" s="124"/>
    </row>
    <row r="479" spans="2:6" x14ac:dyDescent="0.25">
      <c r="B479" s="124"/>
      <c r="C479" s="124"/>
      <c r="D479" s="124"/>
      <c r="E479" s="124"/>
      <c r="F479" s="124"/>
    </row>
    <row r="480" spans="2:6" x14ac:dyDescent="0.25">
      <c r="B480" s="124"/>
      <c r="C480" s="124"/>
      <c r="D480" s="124"/>
      <c r="E480" s="124"/>
      <c r="F480" s="124"/>
    </row>
    <row r="481" spans="2:6" x14ac:dyDescent="0.25">
      <c r="B481" s="124"/>
      <c r="C481" s="124"/>
      <c r="D481" s="124"/>
      <c r="E481" s="124"/>
      <c r="F481" s="124"/>
    </row>
    <row r="482" spans="2:6" x14ac:dyDescent="0.25">
      <c r="B482" s="124"/>
      <c r="C482" s="124"/>
      <c r="D482" s="124"/>
      <c r="E482" s="124"/>
      <c r="F482" s="124"/>
    </row>
    <row r="483" spans="2:6" x14ac:dyDescent="0.25">
      <c r="B483" s="124"/>
      <c r="C483" s="124"/>
      <c r="D483" s="124"/>
      <c r="E483" s="124"/>
      <c r="F483" s="124"/>
    </row>
    <row r="484" spans="2:6" x14ac:dyDescent="0.25">
      <c r="B484" s="124"/>
      <c r="C484" s="124"/>
      <c r="D484" s="124"/>
      <c r="E484" s="124"/>
      <c r="F484" s="124"/>
    </row>
    <row r="485" spans="2:6" x14ac:dyDescent="0.25">
      <c r="B485" s="124"/>
      <c r="C485" s="124"/>
      <c r="D485" s="124"/>
      <c r="E485" s="124"/>
      <c r="F485" s="124"/>
    </row>
    <row r="486" spans="2:6" x14ac:dyDescent="0.25">
      <c r="B486" s="124"/>
      <c r="C486" s="124"/>
      <c r="D486" s="124"/>
      <c r="E486" s="124"/>
      <c r="F486" s="124"/>
    </row>
    <row r="487" spans="2:6" x14ac:dyDescent="0.25">
      <c r="B487" s="124"/>
      <c r="C487" s="124"/>
      <c r="D487" s="124"/>
      <c r="E487" s="124"/>
      <c r="F487" s="124"/>
    </row>
    <row r="488" spans="2:6" x14ac:dyDescent="0.25">
      <c r="B488" s="124"/>
      <c r="C488" s="124"/>
      <c r="D488" s="124"/>
      <c r="E488" s="124"/>
      <c r="F488" s="124"/>
    </row>
    <row r="489" spans="2:6" x14ac:dyDescent="0.25">
      <c r="B489" s="124"/>
      <c r="C489" s="124"/>
      <c r="D489" s="124"/>
      <c r="E489" s="124"/>
      <c r="F489" s="124"/>
    </row>
    <row r="490" spans="2:6" x14ac:dyDescent="0.25">
      <c r="B490" s="124"/>
      <c r="C490" s="124"/>
      <c r="D490" s="124"/>
      <c r="E490" s="124"/>
      <c r="F490" s="124"/>
    </row>
    <row r="491" spans="2:6" x14ac:dyDescent="0.25">
      <c r="B491" s="124"/>
      <c r="C491" s="124"/>
      <c r="D491" s="124"/>
      <c r="E491" s="124"/>
      <c r="F491" s="124"/>
    </row>
    <row r="492" spans="2:6" x14ac:dyDescent="0.25">
      <c r="B492" s="124"/>
      <c r="C492" s="124"/>
      <c r="D492" s="124"/>
      <c r="E492" s="124"/>
      <c r="F492" s="124"/>
    </row>
    <row r="493" spans="2:6" x14ac:dyDescent="0.25">
      <c r="B493" s="124"/>
      <c r="C493" s="124"/>
      <c r="D493" s="124"/>
      <c r="E493" s="124"/>
      <c r="F493" s="124"/>
    </row>
    <row r="494" spans="2:6" x14ac:dyDescent="0.25">
      <c r="B494" s="124"/>
      <c r="C494" s="124"/>
      <c r="D494" s="124"/>
      <c r="E494" s="124"/>
      <c r="F494" s="124"/>
    </row>
    <row r="495" spans="2:6" x14ac:dyDescent="0.25">
      <c r="B495" s="124"/>
      <c r="C495" s="124"/>
      <c r="D495" s="124"/>
      <c r="E495" s="124"/>
      <c r="F495" s="124"/>
    </row>
    <row r="496" spans="2:6" x14ac:dyDescent="0.25">
      <c r="B496" s="124"/>
      <c r="C496" s="124"/>
      <c r="D496" s="124"/>
      <c r="E496" s="124"/>
      <c r="F496" s="124"/>
    </row>
    <row r="497" spans="2:6" x14ac:dyDescent="0.25">
      <c r="B497" s="124"/>
      <c r="C497" s="124"/>
      <c r="D497" s="124"/>
      <c r="E497" s="124"/>
      <c r="F497" s="124"/>
    </row>
    <row r="498" spans="2:6" x14ac:dyDescent="0.25">
      <c r="B498" s="124"/>
      <c r="C498" s="124"/>
      <c r="D498" s="124"/>
      <c r="E498" s="124"/>
      <c r="F498" s="124"/>
    </row>
    <row r="499" spans="2:6" x14ac:dyDescent="0.25">
      <c r="B499" s="124"/>
      <c r="C499" s="124"/>
      <c r="D499" s="124"/>
      <c r="E499" s="124"/>
      <c r="F499" s="124"/>
    </row>
    <row r="500" spans="2:6" x14ac:dyDescent="0.25">
      <c r="B500" s="124"/>
      <c r="C500" s="124"/>
      <c r="D500" s="124"/>
      <c r="E500" s="124"/>
      <c r="F500" s="124"/>
    </row>
    <row r="501" spans="2:6" x14ac:dyDescent="0.25">
      <c r="B501" s="124"/>
      <c r="C501" s="124"/>
      <c r="D501" s="124"/>
      <c r="E501" s="124"/>
      <c r="F501" s="124"/>
    </row>
    <row r="502" spans="2:6" x14ac:dyDescent="0.25">
      <c r="B502" s="124"/>
      <c r="C502" s="124"/>
      <c r="D502" s="124"/>
      <c r="E502" s="124"/>
      <c r="F502" s="124"/>
    </row>
    <row r="503" spans="2:6" x14ac:dyDescent="0.25">
      <c r="B503" s="124"/>
      <c r="C503" s="124"/>
      <c r="D503" s="124"/>
      <c r="E503" s="124"/>
      <c r="F503" s="124"/>
    </row>
    <row r="504" spans="2:6" x14ac:dyDescent="0.25">
      <c r="B504" s="124"/>
      <c r="C504" s="124"/>
      <c r="D504" s="124"/>
      <c r="E504" s="124"/>
      <c r="F504" s="124"/>
    </row>
    <row r="505" spans="2:6" x14ac:dyDescent="0.25">
      <c r="B505" s="124"/>
      <c r="C505" s="124"/>
      <c r="D505" s="124"/>
      <c r="E505" s="124"/>
      <c r="F505" s="124"/>
    </row>
    <row r="506" spans="2:6" x14ac:dyDescent="0.25">
      <c r="B506" s="124"/>
      <c r="C506" s="124"/>
      <c r="D506" s="124"/>
      <c r="E506" s="124"/>
      <c r="F506" s="124"/>
    </row>
    <row r="507" spans="2:6" x14ac:dyDescent="0.25">
      <c r="B507" s="124"/>
      <c r="C507" s="124"/>
      <c r="D507" s="124"/>
      <c r="E507" s="124"/>
      <c r="F507" s="124"/>
    </row>
    <row r="508" spans="2:6" x14ac:dyDescent="0.25">
      <c r="B508" s="124"/>
      <c r="C508" s="124"/>
      <c r="D508" s="124"/>
      <c r="E508" s="124"/>
      <c r="F508" s="124"/>
    </row>
    <row r="509" spans="2:6" x14ac:dyDescent="0.25">
      <c r="B509" s="124"/>
      <c r="C509" s="124"/>
      <c r="D509" s="124"/>
      <c r="E509" s="124"/>
      <c r="F509" s="124"/>
    </row>
    <row r="510" spans="2:6" x14ac:dyDescent="0.25">
      <c r="B510" s="124"/>
      <c r="C510" s="124"/>
      <c r="D510" s="124"/>
      <c r="E510" s="124"/>
      <c r="F510" s="124"/>
    </row>
    <row r="511" spans="2:6" x14ac:dyDescent="0.25">
      <c r="B511" s="124"/>
      <c r="C511" s="124"/>
      <c r="D511" s="124"/>
      <c r="E511" s="124"/>
      <c r="F511" s="124"/>
    </row>
    <row r="512" spans="2:6" x14ac:dyDescent="0.25">
      <c r="B512" s="124"/>
      <c r="C512" s="124"/>
      <c r="D512" s="124"/>
      <c r="E512" s="124"/>
      <c r="F512" s="124"/>
    </row>
    <row r="513" spans="2:6" x14ac:dyDescent="0.25">
      <c r="B513" s="124"/>
      <c r="C513" s="124"/>
      <c r="D513" s="124"/>
      <c r="E513" s="124"/>
      <c r="F513" s="124"/>
    </row>
    <row r="514" spans="2:6" x14ac:dyDescent="0.25">
      <c r="B514" s="124"/>
      <c r="C514" s="124"/>
      <c r="D514" s="124"/>
      <c r="E514" s="124"/>
      <c r="F514" s="124"/>
    </row>
    <row r="515" spans="2:6" x14ac:dyDescent="0.25">
      <c r="B515" s="124"/>
      <c r="C515" s="124"/>
      <c r="D515" s="124"/>
      <c r="E515" s="124"/>
      <c r="F515" s="124"/>
    </row>
    <row r="516" spans="2:6" x14ac:dyDescent="0.25">
      <c r="B516" s="124"/>
      <c r="C516" s="124"/>
      <c r="D516" s="124"/>
      <c r="E516" s="124"/>
      <c r="F516" s="124"/>
    </row>
    <row r="517" spans="2:6" x14ac:dyDescent="0.25">
      <c r="B517" s="124"/>
      <c r="C517" s="124"/>
      <c r="D517" s="124"/>
      <c r="E517" s="124"/>
      <c r="F517" s="124"/>
    </row>
    <row r="518" spans="2:6" x14ac:dyDescent="0.25">
      <c r="B518" s="124"/>
      <c r="C518" s="124"/>
      <c r="D518" s="124"/>
      <c r="E518" s="124"/>
      <c r="F518" s="124"/>
    </row>
    <row r="519" spans="2:6" x14ac:dyDescent="0.25">
      <c r="B519" s="124"/>
      <c r="C519" s="124"/>
      <c r="D519" s="124"/>
      <c r="E519" s="124"/>
      <c r="F519" s="124"/>
    </row>
    <row r="520" spans="2:6" x14ac:dyDescent="0.25">
      <c r="B520" s="124"/>
      <c r="C520" s="124"/>
      <c r="D520" s="124"/>
      <c r="E520" s="124"/>
      <c r="F520" s="124"/>
    </row>
    <row r="521" spans="2:6" x14ac:dyDescent="0.25">
      <c r="B521" s="124"/>
      <c r="C521" s="124"/>
      <c r="D521" s="124"/>
      <c r="E521" s="124"/>
      <c r="F521" s="124"/>
    </row>
    <row r="522" spans="2:6" x14ac:dyDescent="0.25">
      <c r="B522" s="124"/>
      <c r="C522" s="124"/>
      <c r="D522" s="124"/>
      <c r="E522" s="124"/>
      <c r="F522" s="124"/>
    </row>
    <row r="523" spans="2:6" x14ac:dyDescent="0.25">
      <c r="B523" s="124"/>
      <c r="C523" s="124"/>
      <c r="D523" s="124"/>
      <c r="E523" s="124"/>
      <c r="F523" s="124"/>
    </row>
    <row r="524" spans="2:6" x14ac:dyDescent="0.25">
      <c r="B524" s="124"/>
      <c r="C524" s="124"/>
      <c r="D524" s="124"/>
      <c r="E524" s="124"/>
      <c r="F524" s="124"/>
    </row>
    <row r="525" spans="2:6" x14ac:dyDescent="0.25">
      <c r="B525" s="124"/>
      <c r="C525" s="124"/>
      <c r="D525" s="124"/>
      <c r="E525" s="124"/>
      <c r="F525" s="124"/>
    </row>
    <row r="526" spans="2:6" x14ac:dyDescent="0.25">
      <c r="B526" s="124"/>
      <c r="C526" s="124"/>
      <c r="D526" s="124"/>
      <c r="E526" s="124"/>
      <c r="F526" s="124"/>
    </row>
    <row r="527" spans="2:6" x14ac:dyDescent="0.25">
      <c r="B527" s="124"/>
      <c r="C527" s="124"/>
      <c r="D527" s="124"/>
      <c r="E527" s="124"/>
      <c r="F527" s="124"/>
    </row>
    <row r="528" spans="2:6" x14ac:dyDescent="0.25">
      <c r="B528" s="124"/>
      <c r="C528" s="124"/>
      <c r="D528" s="124"/>
      <c r="E528" s="124"/>
      <c r="F528" s="124"/>
    </row>
    <row r="529" spans="2:6" x14ac:dyDescent="0.25">
      <c r="B529" s="124"/>
      <c r="C529" s="124"/>
      <c r="D529" s="124"/>
      <c r="E529" s="124"/>
      <c r="F529" s="124"/>
    </row>
    <row r="530" spans="2:6" x14ac:dyDescent="0.25">
      <c r="B530" s="124"/>
      <c r="C530" s="124"/>
      <c r="D530" s="124"/>
      <c r="E530" s="124"/>
      <c r="F530" s="124"/>
    </row>
    <row r="531" spans="2:6" x14ac:dyDescent="0.25">
      <c r="B531" s="124"/>
      <c r="C531" s="124"/>
      <c r="D531" s="124"/>
      <c r="E531" s="124"/>
      <c r="F531" s="124"/>
    </row>
    <row r="532" spans="2:6" x14ac:dyDescent="0.25">
      <c r="B532" s="124"/>
      <c r="C532" s="124"/>
      <c r="D532" s="124"/>
      <c r="E532" s="124"/>
      <c r="F532" s="124"/>
    </row>
    <row r="533" spans="2:6" x14ac:dyDescent="0.25">
      <c r="B533" s="124"/>
      <c r="C533" s="124"/>
      <c r="D533" s="124"/>
      <c r="E533" s="124"/>
      <c r="F533" s="124"/>
    </row>
    <row r="534" spans="2:6" x14ac:dyDescent="0.25">
      <c r="B534" s="124"/>
      <c r="C534" s="124"/>
      <c r="D534" s="124"/>
      <c r="E534" s="124"/>
      <c r="F534" s="124"/>
    </row>
    <row r="535" spans="2:6" x14ac:dyDescent="0.25">
      <c r="B535" s="124"/>
      <c r="C535" s="124"/>
      <c r="D535" s="124"/>
      <c r="E535" s="124"/>
      <c r="F535" s="124"/>
    </row>
    <row r="536" spans="2:6" x14ac:dyDescent="0.25">
      <c r="B536" s="124"/>
      <c r="C536" s="124"/>
      <c r="D536" s="124"/>
      <c r="E536" s="124"/>
      <c r="F536" s="124"/>
    </row>
    <row r="537" spans="2:6" x14ac:dyDescent="0.25">
      <c r="B537" s="124"/>
      <c r="C537" s="124"/>
      <c r="D537" s="124"/>
      <c r="E537" s="124"/>
      <c r="F537" s="124"/>
    </row>
    <row r="538" spans="2:6" x14ac:dyDescent="0.25">
      <c r="B538" s="124"/>
      <c r="C538" s="124"/>
      <c r="D538" s="124"/>
      <c r="E538" s="124"/>
      <c r="F538" s="124"/>
    </row>
    <row r="539" spans="2:6" x14ac:dyDescent="0.25">
      <c r="B539" s="124"/>
      <c r="C539" s="124"/>
      <c r="D539" s="124"/>
      <c r="E539" s="124"/>
      <c r="F539" s="124"/>
    </row>
    <row r="540" spans="2:6" x14ac:dyDescent="0.25">
      <c r="B540" s="124"/>
      <c r="C540" s="124"/>
      <c r="D540" s="124"/>
      <c r="E540" s="124"/>
      <c r="F540" s="124"/>
    </row>
    <row r="541" spans="2:6" x14ac:dyDescent="0.25">
      <c r="B541" s="124"/>
      <c r="C541" s="124"/>
      <c r="D541" s="124"/>
      <c r="E541" s="124"/>
      <c r="F541" s="124"/>
    </row>
    <row r="542" spans="2:6" x14ac:dyDescent="0.25">
      <c r="B542" s="124"/>
      <c r="C542" s="124"/>
      <c r="D542" s="124"/>
      <c r="E542" s="124"/>
      <c r="F542" s="124"/>
    </row>
    <row r="543" spans="2:6" x14ac:dyDescent="0.25">
      <c r="B543" s="124"/>
      <c r="C543" s="124"/>
      <c r="D543" s="124"/>
      <c r="E543" s="124"/>
      <c r="F543" s="124"/>
    </row>
    <row r="544" spans="2:6" x14ac:dyDescent="0.25">
      <c r="B544" s="124"/>
      <c r="C544" s="124"/>
      <c r="D544" s="124"/>
      <c r="E544" s="124"/>
      <c r="F544" s="124"/>
    </row>
    <row r="545" spans="2:6" x14ac:dyDescent="0.25">
      <c r="B545" s="124"/>
      <c r="C545" s="124"/>
      <c r="D545" s="124"/>
      <c r="E545" s="124"/>
      <c r="F545" s="124"/>
    </row>
    <row r="546" spans="2:6" x14ac:dyDescent="0.25">
      <c r="B546" s="124"/>
      <c r="C546" s="124"/>
      <c r="D546" s="124"/>
      <c r="E546" s="124"/>
      <c r="F546" s="124"/>
    </row>
    <row r="547" spans="2:6" x14ac:dyDescent="0.25">
      <c r="B547" s="124"/>
      <c r="C547" s="124"/>
      <c r="D547" s="124"/>
      <c r="E547" s="124"/>
      <c r="F547" s="124"/>
    </row>
    <row r="548" spans="2:6" x14ac:dyDescent="0.25">
      <c r="B548" s="124"/>
      <c r="C548" s="124"/>
      <c r="D548" s="124"/>
      <c r="E548" s="124"/>
      <c r="F548" s="124"/>
    </row>
    <row r="549" spans="2:6" x14ac:dyDescent="0.25">
      <c r="B549" s="124"/>
      <c r="C549" s="124"/>
      <c r="D549" s="124"/>
      <c r="E549" s="124"/>
      <c r="F549" s="124"/>
    </row>
    <row r="550" spans="2:6" x14ac:dyDescent="0.25">
      <c r="B550" s="124"/>
      <c r="C550" s="124"/>
      <c r="D550" s="124"/>
      <c r="E550" s="124"/>
      <c r="F550" s="124"/>
    </row>
    <row r="551" spans="2:6" x14ac:dyDescent="0.25">
      <c r="B551" s="124"/>
      <c r="C551" s="124"/>
      <c r="D551" s="124"/>
      <c r="E551" s="124"/>
      <c r="F551" s="124"/>
    </row>
    <row r="552" spans="2:6" x14ac:dyDescent="0.25">
      <c r="B552" s="124"/>
      <c r="C552" s="124"/>
      <c r="D552" s="124"/>
      <c r="E552" s="124"/>
      <c r="F552" s="124"/>
    </row>
    <row r="553" spans="2:6" x14ac:dyDescent="0.25">
      <c r="B553" s="124"/>
      <c r="C553" s="124"/>
      <c r="D553" s="124"/>
      <c r="E553" s="124"/>
      <c r="F553" s="124"/>
    </row>
    <row r="554" spans="2:6" x14ac:dyDescent="0.25">
      <c r="B554" s="124"/>
      <c r="C554" s="124"/>
      <c r="D554" s="124"/>
      <c r="E554" s="124"/>
      <c r="F554" s="124"/>
    </row>
    <row r="555" spans="2:6" x14ac:dyDescent="0.25">
      <c r="B555" s="124"/>
      <c r="C555" s="124"/>
      <c r="D555" s="124"/>
      <c r="E555" s="124"/>
      <c r="F555" s="124"/>
    </row>
    <row r="556" spans="2:6" x14ac:dyDescent="0.25">
      <c r="B556" s="124"/>
      <c r="C556" s="124"/>
      <c r="D556" s="124"/>
      <c r="E556" s="124"/>
      <c r="F556" s="124"/>
    </row>
    <row r="557" spans="2:6" x14ac:dyDescent="0.25">
      <c r="B557" s="124"/>
      <c r="C557" s="124"/>
      <c r="D557" s="124"/>
      <c r="E557" s="124"/>
      <c r="F557" s="124"/>
    </row>
    <row r="558" spans="2:6" x14ac:dyDescent="0.25">
      <c r="B558" s="124"/>
      <c r="C558" s="124"/>
      <c r="D558" s="124"/>
      <c r="E558" s="124"/>
      <c r="F558" s="124"/>
    </row>
    <row r="559" spans="2:6" x14ac:dyDescent="0.25">
      <c r="B559" s="124"/>
      <c r="C559" s="124"/>
      <c r="D559" s="124"/>
      <c r="E559" s="124"/>
      <c r="F559" s="124"/>
    </row>
    <row r="560" spans="2:6" x14ac:dyDescent="0.25">
      <c r="B560" s="124"/>
      <c r="C560" s="124"/>
      <c r="D560" s="124"/>
      <c r="E560" s="124"/>
      <c r="F560" s="124"/>
    </row>
    <row r="561" spans="2:6" x14ac:dyDescent="0.25">
      <c r="B561" s="124"/>
      <c r="C561" s="124"/>
      <c r="D561" s="124"/>
      <c r="E561" s="124"/>
      <c r="F561" s="124"/>
    </row>
    <row r="562" spans="2:6" x14ac:dyDescent="0.25">
      <c r="B562" s="124"/>
      <c r="C562" s="124"/>
      <c r="D562" s="124"/>
      <c r="E562" s="124"/>
      <c r="F562" s="124"/>
    </row>
    <row r="563" spans="2:6" x14ac:dyDescent="0.25">
      <c r="B563" s="124"/>
      <c r="C563" s="124"/>
      <c r="D563" s="124"/>
      <c r="E563" s="124"/>
      <c r="F563" s="124"/>
    </row>
    <row r="564" spans="2:6" x14ac:dyDescent="0.25">
      <c r="B564" s="124"/>
      <c r="C564" s="124"/>
      <c r="D564" s="124"/>
      <c r="E564" s="124"/>
      <c r="F564" s="124"/>
    </row>
    <row r="565" spans="2:6" x14ac:dyDescent="0.25">
      <c r="B565" s="124"/>
      <c r="C565" s="124"/>
      <c r="D565" s="124"/>
      <c r="E565" s="124"/>
      <c r="F565" s="124"/>
    </row>
    <row r="566" spans="2:6" x14ac:dyDescent="0.25">
      <c r="B566" s="124"/>
      <c r="C566" s="124"/>
      <c r="D566" s="124"/>
      <c r="E566" s="124"/>
      <c r="F566" s="124"/>
    </row>
    <row r="567" spans="2:6" x14ac:dyDescent="0.25">
      <c r="B567" s="124"/>
      <c r="C567" s="124"/>
      <c r="D567" s="124"/>
      <c r="E567" s="124"/>
      <c r="F567" s="124"/>
    </row>
    <row r="568" spans="2:6" x14ac:dyDescent="0.25">
      <c r="B568" s="124"/>
      <c r="C568" s="124"/>
      <c r="D568" s="124"/>
      <c r="E568" s="124"/>
      <c r="F568" s="124"/>
    </row>
    <row r="569" spans="2:6" x14ac:dyDescent="0.25">
      <c r="B569" s="124"/>
      <c r="C569" s="124"/>
      <c r="D569" s="124"/>
      <c r="E569" s="124"/>
      <c r="F569" s="124"/>
    </row>
    <row r="570" spans="2:6" x14ac:dyDescent="0.25">
      <c r="B570" s="124"/>
      <c r="C570" s="124"/>
      <c r="D570" s="124"/>
      <c r="E570" s="124"/>
      <c r="F570" s="124"/>
    </row>
    <row r="571" spans="2:6" x14ac:dyDescent="0.25">
      <c r="B571" s="124"/>
      <c r="C571" s="124"/>
      <c r="D571" s="124"/>
      <c r="E571" s="124"/>
      <c r="F571" s="124"/>
    </row>
    <row r="572" spans="2:6" x14ac:dyDescent="0.25">
      <c r="B572" s="124"/>
      <c r="C572" s="124"/>
      <c r="D572" s="124"/>
      <c r="E572" s="124"/>
      <c r="F572" s="124"/>
    </row>
    <row r="573" spans="2:6" x14ac:dyDescent="0.25">
      <c r="B573" s="124"/>
      <c r="C573" s="124"/>
      <c r="D573" s="124"/>
      <c r="E573" s="124"/>
      <c r="F573" s="124"/>
    </row>
    <row r="574" spans="2:6" x14ac:dyDescent="0.25">
      <c r="B574" s="124"/>
      <c r="C574" s="124"/>
      <c r="D574" s="124"/>
      <c r="E574" s="124"/>
      <c r="F574" s="124"/>
    </row>
    <row r="575" spans="2:6" x14ac:dyDescent="0.25">
      <c r="B575" s="124"/>
      <c r="C575" s="124"/>
      <c r="D575" s="124"/>
      <c r="E575" s="124"/>
      <c r="F575" s="124"/>
    </row>
    <row r="576" spans="2:6" x14ac:dyDescent="0.25">
      <c r="B576" s="124"/>
      <c r="C576" s="124"/>
      <c r="D576" s="124"/>
      <c r="E576" s="124"/>
      <c r="F576" s="124"/>
    </row>
    <row r="577" spans="2:6" x14ac:dyDescent="0.25">
      <c r="B577" s="124"/>
      <c r="C577" s="124"/>
      <c r="D577" s="124"/>
      <c r="E577" s="124"/>
      <c r="F577" s="124"/>
    </row>
    <row r="578" spans="2:6" x14ac:dyDescent="0.25">
      <c r="B578" s="124"/>
      <c r="C578" s="124"/>
      <c r="D578" s="124"/>
      <c r="E578" s="124"/>
      <c r="F578" s="124"/>
    </row>
    <row r="579" spans="2:6" x14ac:dyDescent="0.25">
      <c r="B579" s="124"/>
      <c r="C579" s="124"/>
      <c r="D579" s="124"/>
      <c r="E579" s="124"/>
      <c r="F579" s="124"/>
    </row>
    <row r="580" spans="2:6" x14ac:dyDescent="0.25">
      <c r="B580" s="124"/>
      <c r="C580" s="124"/>
      <c r="D580" s="124"/>
      <c r="E580" s="124"/>
      <c r="F580" s="124"/>
    </row>
    <row r="581" spans="2:6" x14ac:dyDescent="0.25">
      <c r="B581" s="124"/>
      <c r="C581" s="124"/>
      <c r="D581" s="124"/>
      <c r="E581" s="124"/>
      <c r="F581" s="124"/>
    </row>
    <row r="582" spans="2:6" x14ac:dyDescent="0.25">
      <c r="B582" s="124"/>
      <c r="C582" s="124"/>
      <c r="D582" s="124"/>
      <c r="E582" s="124"/>
      <c r="F582" s="124"/>
    </row>
    <row r="583" spans="2:6" x14ac:dyDescent="0.25">
      <c r="B583" s="124"/>
      <c r="C583" s="124"/>
      <c r="D583" s="124"/>
      <c r="E583" s="124"/>
      <c r="F583" s="124"/>
    </row>
    <row r="584" spans="2:6" x14ac:dyDescent="0.25">
      <c r="B584" s="124"/>
      <c r="C584" s="124"/>
      <c r="D584" s="124"/>
      <c r="E584" s="124"/>
      <c r="F584" s="124"/>
    </row>
    <row r="585" spans="2:6" x14ac:dyDescent="0.25">
      <c r="B585" s="124"/>
      <c r="C585" s="124"/>
      <c r="D585" s="124"/>
      <c r="E585" s="124"/>
      <c r="F585" s="124"/>
    </row>
    <row r="586" spans="2:6" x14ac:dyDescent="0.25">
      <c r="B586" s="124"/>
      <c r="C586" s="124"/>
      <c r="D586" s="124"/>
      <c r="E586" s="124"/>
      <c r="F586" s="124"/>
    </row>
    <row r="587" spans="2:6" x14ac:dyDescent="0.25">
      <c r="B587" s="124"/>
      <c r="C587" s="124"/>
      <c r="D587" s="124"/>
      <c r="E587" s="124"/>
      <c r="F587" s="124"/>
    </row>
    <row r="588" spans="2:6" x14ac:dyDescent="0.25">
      <c r="B588" s="124"/>
      <c r="C588" s="124"/>
      <c r="D588" s="124"/>
      <c r="E588" s="124"/>
      <c r="F588" s="124"/>
    </row>
    <row r="589" spans="2:6" x14ac:dyDescent="0.25">
      <c r="B589" s="124"/>
      <c r="C589" s="124"/>
      <c r="D589" s="124"/>
      <c r="E589" s="124"/>
      <c r="F589" s="124"/>
    </row>
    <row r="590" spans="2:6" x14ac:dyDescent="0.25">
      <c r="B590" s="124"/>
      <c r="C590" s="124"/>
      <c r="D590" s="124"/>
      <c r="E590" s="124"/>
      <c r="F590" s="124"/>
    </row>
    <row r="591" spans="2:6" x14ac:dyDescent="0.25">
      <c r="B591" s="124"/>
      <c r="C591" s="124"/>
      <c r="D591" s="124"/>
      <c r="E591" s="124"/>
      <c r="F591" s="124"/>
    </row>
    <row r="592" spans="2:6" x14ac:dyDescent="0.25">
      <c r="B592" s="124"/>
      <c r="C592" s="124"/>
      <c r="D592" s="124"/>
      <c r="E592" s="124"/>
      <c r="F592" s="124"/>
    </row>
    <row r="593" spans="2:6" x14ac:dyDescent="0.25">
      <c r="B593" s="124"/>
      <c r="C593" s="124"/>
      <c r="D593" s="124"/>
      <c r="E593" s="124"/>
      <c r="F593" s="124"/>
    </row>
    <row r="594" spans="2:6" x14ac:dyDescent="0.25">
      <c r="B594" s="124"/>
      <c r="C594" s="124"/>
      <c r="D594" s="124"/>
      <c r="E594" s="124"/>
      <c r="F594" s="124"/>
    </row>
    <row r="595" spans="2:6" x14ac:dyDescent="0.25">
      <c r="B595" s="124"/>
      <c r="C595" s="124"/>
      <c r="D595" s="124"/>
      <c r="E595" s="124"/>
      <c r="F595" s="124"/>
    </row>
    <row r="596" spans="2:6" x14ac:dyDescent="0.25">
      <c r="B596" s="124"/>
      <c r="C596" s="124"/>
      <c r="D596" s="124"/>
      <c r="E596" s="124"/>
      <c r="F596" s="124"/>
    </row>
    <row r="597" spans="2:6" x14ac:dyDescent="0.25">
      <c r="B597" s="124"/>
      <c r="C597" s="124"/>
      <c r="D597" s="124"/>
      <c r="E597" s="124"/>
      <c r="F597" s="124"/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U41"/>
  <sheetViews>
    <sheetView workbookViewId="0">
      <selection activeCell="B4" sqref="B4:B34"/>
    </sheetView>
  </sheetViews>
  <sheetFormatPr baseColWidth="10" defaultRowHeight="15" x14ac:dyDescent="0.25"/>
  <cols>
    <col min="1" max="1" width="2.7109375" customWidth="1"/>
    <col min="2" max="2" width="15.7109375" style="447" customWidth="1"/>
    <col min="3" max="3" width="14.7109375" style="1" customWidth="1"/>
    <col min="4" max="9" width="14.7109375" customWidth="1"/>
    <col min="10" max="10" width="14.7109375" style="1" customWidth="1"/>
    <col min="11" max="13" width="14.7109375" customWidth="1"/>
    <col min="14" max="14" width="14.7109375" style="1" customWidth="1"/>
    <col min="15" max="16" width="14.7109375" style="22" customWidth="1"/>
  </cols>
  <sheetData>
    <row r="1" spans="1:21" s="1" customFormat="1" ht="16.5" thickBot="1" x14ac:dyDescent="0.3">
      <c r="A1" s="3"/>
      <c r="B1" s="524" t="s">
        <v>8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446" t="s">
        <v>135</v>
      </c>
      <c r="C3" s="5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ht="15.75" x14ac:dyDescent="0.25">
      <c r="A4" s="3"/>
      <c r="B4" s="492">
        <v>41486</v>
      </c>
      <c r="C4" s="6" t="s">
        <v>40</v>
      </c>
      <c r="D4" s="7">
        <v>0.25</v>
      </c>
      <c r="E4" s="8">
        <v>0.57152777777777775</v>
      </c>
      <c r="F4" s="277">
        <f t="shared" ref="F4:F34" si="0">E4-D4</f>
        <v>0.32152777777777775</v>
      </c>
      <c r="G4" s="280"/>
      <c r="H4" s="8"/>
      <c r="I4" s="15">
        <f t="shared" ref="I4:I34" si="1">H4-G4</f>
        <v>0</v>
      </c>
      <c r="J4" s="268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285" t="str">
        <f>IF(AND(LEFT(C4,1)="d",OR(D4&gt;="7:00"*1,H4&gt;"22:00"*1)),Prime!$G$4,"")&amp;IF(AND(LEFT(C4,1)="s",H4&gt;="24:00"*1),Prime!$G$4,"")</f>
        <v/>
      </c>
      <c r="N4" s="318" t="str">
        <f>IF(ISNUMBER(FIND("F",C4)),Prime!$I$4,IF(ISNUMBER(FIND("CDS",C4)),Prime!$I$4,""))</f>
        <v/>
      </c>
      <c r="O4" s="237"/>
      <c r="P4" s="238" t="str">
        <f t="shared" ref="P4:P17" si="2">IF(ISBLANK(O4),"",O4*24)</f>
        <v/>
      </c>
      <c r="Q4" s="138">
        <f t="shared" ref="Q4:Q34" si="3">(E4-D4)+(H4-G4)</f>
        <v>0.32152777777777775</v>
      </c>
      <c r="R4" s="139">
        <f>Q4*24</f>
        <v>7.7166666666666659</v>
      </c>
      <c r="S4" s="140">
        <v>7.72</v>
      </c>
      <c r="T4" s="141">
        <f>IF(R4-S4=0,"0,000",R4-S4)</f>
        <v>-3.3333333333338544E-3</v>
      </c>
      <c r="U4" s="126"/>
    </row>
    <row r="5" spans="1:21" s="1" customFormat="1" ht="15.75" x14ac:dyDescent="0.25">
      <c r="A5" s="3"/>
      <c r="B5" s="493">
        <v>41487</v>
      </c>
      <c r="C5" s="6" t="s">
        <v>25</v>
      </c>
      <c r="D5" s="7">
        <v>0.22083333333333333</v>
      </c>
      <c r="E5" s="8">
        <v>0.54375000000000007</v>
      </c>
      <c r="F5" s="278">
        <f t="shared" si="0"/>
        <v>0.32291666666666674</v>
      </c>
      <c r="G5" s="281"/>
      <c r="H5" s="10"/>
      <c r="I5" s="16">
        <f t="shared" si="1"/>
        <v>0</v>
      </c>
      <c r="J5" s="269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287" t="str">
        <f>IF(AND(LEFT(C5,1)="d",OR(D5&gt;="7:00"*1,H5&gt;"22:00"*1)),Prime!$G$4,"")&amp;IF(AND(LEFT(C5,1)="s",H5&gt;="24:00"*1),Prime!$G$4,"")</f>
        <v/>
      </c>
      <c r="N5" s="31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0.32291666666666674</v>
      </c>
      <c r="R5" s="143">
        <f>Q5*24</f>
        <v>7.7500000000000018</v>
      </c>
      <c r="S5" s="144">
        <v>7.75</v>
      </c>
      <c r="T5" s="141">
        <f t="shared" ref="T5:T34" si="4">IF(R5-S5=0,"0,000",R5-S5)</f>
        <v>1.7763568394002505E-15</v>
      </c>
      <c r="U5" s="126"/>
    </row>
    <row r="6" spans="1:21" s="1" customFormat="1" ht="15.75" x14ac:dyDescent="0.25">
      <c r="A6" s="3"/>
      <c r="B6" s="493">
        <v>41488</v>
      </c>
      <c r="C6" s="6" t="s">
        <v>41</v>
      </c>
      <c r="D6" s="7">
        <v>0.21805555555555556</v>
      </c>
      <c r="E6" s="8">
        <v>0.54166666666666663</v>
      </c>
      <c r="F6" s="278">
        <f t="shared" si="0"/>
        <v>0.32361111111111107</v>
      </c>
      <c r="G6" s="281"/>
      <c r="H6" s="10"/>
      <c r="I6" s="16">
        <f t="shared" si="1"/>
        <v>0</v>
      </c>
      <c r="J6" s="269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IF(H6&gt;"21:30"*1,Prime!$F$4,"")</f>
        <v/>
      </c>
      <c r="M6" s="287" t="str">
        <f>IF(AND(LEFT(C6,1)="d",OR(D6&gt;="7:00"*1,H6&gt;"22:00"*1)),Prime!$G$4,"")&amp;IF(AND(LEFT(C6,1)="s",H6&gt;="24:00"*1),Prime!$G$4,"")</f>
        <v/>
      </c>
      <c r="N6" s="319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0.32361111111111107</v>
      </c>
      <c r="R6" s="143">
        <f>Q6*24</f>
        <v>7.7666666666666657</v>
      </c>
      <c r="S6" s="144">
        <v>7.82</v>
      </c>
      <c r="T6" s="141">
        <f t="shared" si="4"/>
        <v>-5.3333333333334565E-2</v>
      </c>
      <c r="U6" s="126"/>
    </row>
    <row r="7" spans="1:21" s="1" customFormat="1" ht="15.75" x14ac:dyDescent="0.25">
      <c r="A7" s="3"/>
      <c r="B7" s="493">
        <v>41489</v>
      </c>
      <c r="C7" s="6" t="s">
        <v>1</v>
      </c>
      <c r="D7" s="7">
        <v>0</v>
      </c>
      <c r="E7" s="8">
        <v>0</v>
      </c>
      <c r="F7" s="278">
        <f t="shared" si="0"/>
        <v>0</v>
      </c>
      <c r="G7" s="281"/>
      <c r="H7" s="10"/>
      <c r="I7" s="16">
        <f t="shared" si="1"/>
        <v>0</v>
      </c>
      <c r="J7" s="269" t="str">
        <f>IF(COUNTA(D7:E7,G7:H7)=5,Prime!$E$4,IF(AND(D7&lt;="5:01"*1,D7&gt;"2:00"*1),Prime!$E$4,IF(AND(H7&gt;="22:00"*1,H7&lt;="26:01"*1),Prime!$E$4,"")))</f>
        <v/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287" t="str">
        <f>IF(AND(LEFT(C7,1)="d",OR(D7&gt;="7:00"*1,H7&gt;"22:00"*1)),Prime!$G$4,"")&amp;IF(AND(LEFT(C7,1)="s",H7&gt;="24:00"*1),Prime!$G$4,"")</f>
        <v/>
      </c>
      <c r="N7" s="319" t="str">
        <f>IF(ISNUMBER(FIND("F",C7)),Prime!$I$4,IF(ISNUMBER(FIND("CDS",C7)),Prime!$I$4,""))</f>
        <v/>
      </c>
      <c r="O7" s="241"/>
      <c r="P7" s="242" t="str">
        <f t="shared" si="2"/>
        <v/>
      </c>
      <c r="Q7" s="142">
        <f t="shared" si="3"/>
        <v>0</v>
      </c>
      <c r="R7" s="143">
        <f t="shared" ref="R7:R34" si="5">Q7*24</f>
        <v>0</v>
      </c>
      <c r="S7" s="144">
        <v>0</v>
      </c>
      <c r="T7" s="141" t="str">
        <f t="shared" si="4"/>
        <v>0,000</v>
      </c>
      <c r="U7" s="126"/>
    </row>
    <row r="8" spans="1:21" s="1" customFormat="1" ht="15.75" x14ac:dyDescent="0.25">
      <c r="A8" s="3"/>
      <c r="B8" s="493">
        <v>41490</v>
      </c>
      <c r="C8" s="6" t="s">
        <v>220</v>
      </c>
      <c r="D8" s="7"/>
      <c r="E8" s="8"/>
      <c r="F8" s="278">
        <f t="shared" si="0"/>
        <v>0</v>
      </c>
      <c r="G8" s="282">
        <v>0.58263888888888882</v>
      </c>
      <c r="H8" s="8">
        <v>0.83611111111111114</v>
      </c>
      <c r="I8" s="16">
        <f t="shared" si="1"/>
        <v>0.25347222222222232</v>
      </c>
      <c r="J8" s="269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287" t="str">
        <f>IF(AND(LEFT(C8,1)="d",OR(D8&gt;="7:00"*1,H8&gt;"22:00"*1)),Prime!$G$4,"")&amp;IF(AND(LEFT(C8,1)="s",H8&gt;="24:00"*1),Prime!$G$4,"")</f>
        <v/>
      </c>
      <c r="N8" s="319" t="str">
        <f>IF(ISNUMBER(FIND("F",C8)),Prime!$I$4,IF(ISNUMBER(FIND("CDS",C8)),Prime!$I$4,""))</f>
        <v/>
      </c>
      <c r="O8" s="241"/>
      <c r="P8" s="242" t="str">
        <f t="shared" si="2"/>
        <v/>
      </c>
      <c r="Q8" s="142">
        <f t="shared" si="3"/>
        <v>0.25347222222222232</v>
      </c>
      <c r="R8" s="143">
        <f t="shared" si="5"/>
        <v>6.0833333333333357</v>
      </c>
      <c r="S8" s="144">
        <v>6.08</v>
      </c>
      <c r="T8" s="141">
        <f t="shared" si="4"/>
        <v>3.3333333333356308E-3</v>
      </c>
      <c r="U8" s="126"/>
    </row>
    <row r="9" spans="1:21" s="1" customFormat="1" ht="15.75" x14ac:dyDescent="0.25">
      <c r="A9" s="3"/>
      <c r="B9" s="493">
        <v>41491</v>
      </c>
      <c r="C9" s="6" t="s">
        <v>198</v>
      </c>
      <c r="D9" s="7">
        <v>0</v>
      </c>
      <c r="E9" s="8">
        <v>0</v>
      </c>
      <c r="F9" s="278">
        <f t="shared" si="0"/>
        <v>0</v>
      </c>
      <c r="G9" s="281"/>
      <c r="H9" s="10"/>
      <c r="I9" s="16">
        <f t="shared" si="1"/>
        <v>0</v>
      </c>
      <c r="J9" s="269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287" t="str">
        <f>IF(AND(LEFT(C9,1)="d",OR(D9&gt;="7:00"*1,H9&gt;"22:00"*1)),Prime!$G$4,"")&amp;IF(AND(LEFT(C9,1)="s",H9&gt;="24:00"*1),Prime!$G$4,"")</f>
        <v/>
      </c>
      <c r="N9" s="31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</v>
      </c>
      <c r="R9" s="143">
        <f t="shared" si="5"/>
        <v>0</v>
      </c>
      <c r="S9" s="144">
        <v>0</v>
      </c>
      <c r="T9" s="141" t="str">
        <f t="shared" si="4"/>
        <v>0,000</v>
      </c>
      <c r="U9" s="126"/>
    </row>
    <row r="10" spans="1:21" s="1" customFormat="1" ht="15.75" x14ac:dyDescent="0.25">
      <c r="A10" s="3"/>
      <c r="B10" s="493">
        <v>41492</v>
      </c>
      <c r="C10" s="6" t="s">
        <v>1</v>
      </c>
      <c r="D10" s="7">
        <v>0</v>
      </c>
      <c r="E10" s="8">
        <v>0</v>
      </c>
      <c r="F10" s="278">
        <f t="shared" si="0"/>
        <v>0</v>
      </c>
      <c r="G10" s="281"/>
      <c r="H10" s="10"/>
      <c r="I10" s="16">
        <f t="shared" si="1"/>
        <v>0</v>
      </c>
      <c r="J10" s="269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287" t="str">
        <f>IF(AND(LEFT(C10,1)="d",OR(D10&gt;="7:00"*1,H10&gt;"22:00"*1)),Prime!$G$4,"")&amp;IF(AND(LEFT(C10,1)="s",H10&gt;="24:00"*1),Prime!$G$4,"")</f>
        <v/>
      </c>
      <c r="N10" s="319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</v>
      </c>
      <c r="R10" s="143">
        <f t="shared" si="5"/>
        <v>0</v>
      </c>
      <c r="S10" s="144">
        <v>0</v>
      </c>
      <c r="T10" s="141" t="str">
        <f t="shared" si="4"/>
        <v>0,000</v>
      </c>
      <c r="U10" s="126"/>
    </row>
    <row r="11" spans="1:21" s="1" customFormat="1" ht="15.75" x14ac:dyDescent="0.25">
      <c r="A11" s="3"/>
      <c r="B11" s="493">
        <v>41493</v>
      </c>
      <c r="C11" s="6" t="s">
        <v>43</v>
      </c>
      <c r="D11" s="7">
        <v>0.36041666666666666</v>
      </c>
      <c r="E11" s="8">
        <v>0.56874999999999998</v>
      </c>
      <c r="F11" s="278">
        <f t="shared" si="0"/>
        <v>0.20833333333333331</v>
      </c>
      <c r="G11" s="281">
        <v>0.73541666666666661</v>
      </c>
      <c r="H11" s="10">
        <v>0.87638888888888899</v>
      </c>
      <c r="I11" s="16">
        <f t="shared" si="1"/>
        <v>0.14097222222222239</v>
      </c>
      <c r="J11" s="269" t="str">
        <f>IF(COUNTA(D11:E11,G11:H11)=5,Prime!$E$4,IF(AND(D11&lt;="5:01"*1,D11&gt;"2:00"*1),Prime!$E$4,IF(AND(H11&gt;="22:00"*1,H11&lt;="26:01"*1),Prime!$E$4,"")))</f>
        <v/>
      </c>
      <c r="K11" s="231">
        <f>IF(COUNTA(D11:E11,G11:H11)=5,Prime!$E$4,IF(AND(E11&gt;="13:15"*1,G11&lt;""),Prime!$E$4,IF(AND(G11&gt;="11:00"*1,G11&lt;="12:15"*1),Prime!$E$4,"")))</f>
        <v>17.7056</v>
      </c>
      <c r="L11" s="286" t="str">
        <f>IF(H11&gt;"21:30"*1,Prime!$F$4,"")</f>
        <v/>
      </c>
      <c r="M11" s="287" t="str">
        <f>IF(AND(LEFT(C11,1)="d",OR(D11&gt;="7:00"*1,H11&gt;"22:00"*1)),Prime!$G$4,"")&amp;IF(AND(LEFT(C11,1)="s",H11&gt;="24:00"*1),Prime!$G$4,"")</f>
        <v/>
      </c>
      <c r="N11" s="319" t="str">
        <f>IF(ISNUMBER(FIND("F",C11)),Prime!$I$4,IF(ISNUMBER(FIND("CDS",C11)),Prime!$I$4,""))</f>
        <v/>
      </c>
      <c r="O11" s="241"/>
      <c r="P11" s="242" t="str">
        <f t="shared" si="2"/>
        <v/>
      </c>
      <c r="Q11" s="142">
        <f t="shared" si="3"/>
        <v>0.3493055555555557</v>
      </c>
      <c r="R11" s="143">
        <f t="shared" si="5"/>
        <v>8.3833333333333364</v>
      </c>
      <c r="S11" s="144">
        <v>8.3800000000000008</v>
      </c>
      <c r="T11" s="141">
        <f t="shared" si="4"/>
        <v>3.3333333333356308E-3</v>
      </c>
      <c r="U11" s="126"/>
    </row>
    <row r="12" spans="1:21" s="1" customFormat="1" ht="15.75" x14ac:dyDescent="0.25">
      <c r="A12" s="3"/>
      <c r="B12" s="493">
        <v>41494</v>
      </c>
      <c r="C12" s="6" t="s">
        <v>44</v>
      </c>
      <c r="D12" s="7"/>
      <c r="E12" s="8"/>
      <c r="F12" s="278">
        <f t="shared" si="0"/>
        <v>0</v>
      </c>
      <c r="G12" s="282">
        <v>0.56874999999999998</v>
      </c>
      <c r="H12" s="8">
        <v>0.86041666666666661</v>
      </c>
      <c r="I12" s="16">
        <f t="shared" si="1"/>
        <v>0.29166666666666663</v>
      </c>
      <c r="J12" s="269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287" t="str">
        <f>IF(AND(LEFT(C12,1)="d",OR(D12&gt;="7:00"*1,H12&gt;"22:00"*1)),Prime!$G$4,"")&amp;IF(AND(LEFT(C12,1)="s",H12&gt;="24:00"*1),Prime!$G$4,"")</f>
        <v/>
      </c>
      <c r="N12" s="31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0.29166666666666663</v>
      </c>
      <c r="R12" s="143">
        <f t="shared" si="5"/>
        <v>6.9999999999999991</v>
      </c>
      <c r="S12" s="144">
        <v>8</v>
      </c>
      <c r="T12" s="141">
        <f t="shared" si="4"/>
        <v>-1.0000000000000009</v>
      </c>
      <c r="U12" s="126"/>
    </row>
    <row r="13" spans="1:21" s="1" customFormat="1" ht="15.75" x14ac:dyDescent="0.25">
      <c r="A13" s="3"/>
      <c r="B13" s="493">
        <v>41495</v>
      </c>
      <c r="C13" s="6" t="s">
        <v>45</v>
      </c>
      <c r="D13" s="7"/>
      <c r="E13" s="8"/>
      <c r="F13" s="278">
        <f t="shared" si="0"/>
        <v>0</v>
      </c>
      <c r="G13" s="282">
        <v>0.5131944444444444</v>
      </c>
      <c r="H13" s="8">
        <v>0.84444444444444444</v>
      </c>
      <c r="I13" s="16">
        <f t="shared" si="1"/>
        <v>0.33125000000000004</v>
      </c>
      <c r="J13" s="269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287" t="str">
        <f>IF(AND(LEFT(C13,1)="d",OR(D13&gt;="7:00"*1,H13&gt;"22:00"*1)),Prime!$G$4,"")&amp;IF(AND(LEFT(C13,1)="s",H13&gt;="24:00"*1),Prime!$G$4,"")</f>
        <v/>
      </c>
      <c r="N13" s="31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0.33125000000000004</v>
      </c>
      <c r="R13" s="143">
        <f t="shared" si="5"/>
        <v>7.9500000000000011</v>
      </c>
      <c r="S13" s="144">
        <v>7.95</v>
      </c>
      <c r="T13" s="141">
        <f t="shared" si="4"/>
        <v>8.8817841970012523E-16</v>
      </c>
      <c r="U13" s="126"/>
    </row>
    <row r="14" spans="1:21" s="1" customFormat="1" ht="15.75" x14ac:dyDescent="0.25">
      <c r="A14" s="3"/>
      <c r="B14" s="493">
        <v>41496</v>
      </c>
      <c r="C14" s="6" t="s">
        <v>46</v>
      </c>
      <c r="D14" s="7"/>
      <c r="E14" s="8"/>
      <c r="F14" s="278">
        <f t="shared" si="0"/>
        <v>0</v>
      </c>
      <c r="G14" s="282">
        <v>0.61736111111111114</v>
      </c>
      <c r="H14" s="8">
        <v>0.86736111111111114</v>
      </c>
      <c r="I14" s="16">
        <f t="shared" si="1"/>
        <v>0.25</v>
      </c>
      <c r="J14" s="269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287" t="str">
        <f>IF(AND(LEFT(C14,1)="d",OR(D14&gt;="7:00"*1,H14&gt;"22:00"*1)),Prime!$G$4,"")&amp;IF(AND(LEFT(C14,1)="s",H14&gt;="24:00"*1),Prime!$G$4,"")</f>
        <v/>
      </c>
      <c r="N14" s="31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0.25</v>
      </c>
      <c r="R14" s="143">
        <f t="shared" si="5"/>
        <v>6</v>
      </c>
      <c r="S14" s="144">
        <v>6</v>
      </c>
      <c r="T14" s="141" t="str">
        <f t="shared" si="4"/>
        <v>0,000</v>
      </c>
      <c r="U14" s="126"/>
    </row>
    <row r="15" spans="1:21" s="1" customFormat="1" ht="15.75" x14ac:dyDescent="0.25">
      <c r="A15" s="3"/>
      <c r="B15" s="493">
        <v>41497</v>
      </c>
      <c r="C15" s="6" t="s">
        <v>221</v>
      </c>
      <c r="D15" s="7"/>
      <c r="E15" s="8"/>
      <c r="F15" s="278">
        <f t="shared" si="0"/>
        <v>0</v>
      </c>
      <c r="G15" s="282">
        <v>0.49652777777777773</v>
      </c>
      <c r="H15" s="8">
        <v>0.82916666666666661</v>
      </c>
      <c r="I15" s="16">
        <f t="shared" si="1"/>
        <v>0.33263888888888887</v>
      </c>
      <c r="J15" s="269" t="str">
        <f>IF(COUNTA(D15:E15,G15:H15)=5,Prime!$E$4,IF(AND(D15&lt;="5:01"*1,D15&gt;"2:00"*1),Prime!$E$4,IF(AND(H15&gt;="22:00"*1,H15&lt;="26:01"*1),Prime!$E$4,"")))</f>
        <v/>
      </c>
      <c r="K15" s="231">
        <f>IF(COUNTA(D15:E15,G15:H15)=5,Prime!$E$4,IF(AND(E15&gt;="13:15"*1,G15&lt;""),Prime!$E$4,IF(AND(G15&gt;="11:00"*1,G15&lt;="12:15"*1),Prime!$E$4,"")))</f>
        <v>17.7056</v>
      </c>
      <c r="L15" s="286" t="str">
        <f>IF(H15&gt;"21:30"*1,Prime!$F$4,"")</f>
        <v/>
      </c>
      <c r="M15" s="287" t="str">
        <f>IF(AND(LEFT(C15,1)="d",OR(D15&gt;="7:00"*1,H15&gt;"22:00"*1)),Prime!$G$4,"")&amp;IF(AND(LEFT(C15,1)="s",H15&gt;="24:00"*1),Prime!$G$4,"")</f>
        <v/>
      </c>
      <c r="N15" s="319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0.33263888888888887</v>
      </c>
      <c r="R15" s="143">
        <f t="shared" si="5"/>
        <v>7.9833333333333325</v>
      </c>
      <c r="S15" s="144">
        <v>7.98</v>
      </c>
      <c r="T15" s="141">
        <f t="shared" si="4"/>
        <v>3.333333333332078E-3</v>
      </c>
      <c r="U15" s="126"/>
    </row>
    <row r="16" spans="1:21" s="1" customFormat="1" ht="15.75" x14ac:dyDescent="0.25">
      <c r="A16" s="3"/>
      <c r="B16" s="493">
        <v>41498</v>
      </c>
      <c r="C16" s="6" t="s">
        <v>198</v>
      </c>
      <c r="D16" s="7">
        <v>0</v>
      </c>
      <c r="E16" s="8">
        <v>0</v>
      </c>
      <c r="F16" s="278">
        <f t="shared" si="0"/>
        <v>0</v>
      </c>
      <c r="G16" s="281"/>
      <c r="H16" s="10"/>
      <c r="I16" s="16">
        <f t="shared" si="1"/>
        <v>0</v>
      </c>
      <c r="J16" s="269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287" t="str">
        <f>IF(AND(LEFT(C16,1)="d",OR(D16&gt;="7:00"*1,H16&gt;"22:00"*1)),Prime!$G$4,"")&amp;IF(AND(LEFT(C16,1)="s",H16&gt;="24:00"*1),Prime!$G$4,"")</f>
        <v/>
      </c>
      <c r="N16" s="31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</v>
      </c>
      <c r="R16" s="143">
        <f t="shared" si="5"/>
        <v>0</v>
      </c>
      <c r="S16" s="144">
        <v>0</v>
      </c>
      <c r="T16" s="141" t="str">
        <f t="shared" si="4"/>
        <v>0,000</v>
      </c>
      <c r="U16" s="126"/>
    </row>
    <row r="17" spans="1:21" s="1" customFormat="1" ht="15.75" x14ac:dyDescent="0.25">
      <c r="A17" s="3"/>
      <c r="B17" s="493">
        <v>41499</v>
      </c>
      <c r="C17" s="6" t="s">
        <v>47</v>
      </c>
      <c r="D17" s="7">
        <v>0.28125</v>
      </c>
      <c r="E17" s="8">
        <v>0.38750000000000001</v>
      </c>
      <c r="F17" s="278">
        <f t="shared" si="0"/>
        <v>0.10625000000000001</v>
      </c>
      <c r="G17" s="281">
        <v>0.54513888888888895</v>
      </c>
      <c r="H17" s="10">
        <v>0.78402777777777777</v>
      </c>
      <c r="I17" s="16">
        <f t="shared" si="1"/>
        <v>0.23888888888888882</v>
      </c>
      <c r="J17" s="269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86" t="str">
        <f>IF(H17&gt;"21:30"*1,Prime!$F$4,"")</f>
        <v/>
      </c>
      <c r="M17" s="287" t="str">
        <f>IF(AND(LEFT(C17,1)="d",OR(D17&gt;="7:00"*1,H17&gt;"22:00"*1)),Prime!$G$4,"")&amp;IF(AND(LEFT(C17,1)="s",H17&gt;="24:00"*1),Prime!$G$4,"")</f>
        <v/>
      </c>
      <c r="N17" s="31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0.34513888888888883</v>
      </c>
      <c r="R17" s="143">
        <f t="shared" si="5"/>
        <v>8.2833333333333314</v>
      </c>
      <c r="S17" s="144">
        <v>8.33</v>
      </c>
      <c r="T17" s="141">
        <f t="shared" si="4"/>
        <v>-4.6666666666668633E-2</v>
      </c>
      <c r="U17" s="126"/>
    </row>
    <row r="18" spans="1:21" s="1" customFormat="1" ht="15.75" x14ac:dyDescent="0.25">
      <c r="A18" s="3"/>
      <c r="B18" s="493">
        <v>41500</v>
      </c>
      <c r="C18" s="6" t="s">
        <v>84</v>
      </c>
      <c r="D18" s="7">
        <v>0.52708333333333335</v>
      </c>
      <c r="E18" s="8">
        <v>0.84375</v>
      </c>
      <c r="F18" s="278">
        <f t="shared" si="0"/>
        <v>0.31666666666666665</v>
      </c>
      <c r="G18" s="281"/>
      <c r="H18" s="10"/>
      <c r="I18" s="16">
        <f t="shared" si="1"/>
        <v>0</v>
      </c>
      <c r="J18" s="269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287" t="str">
        <f>IF(AND(LEFT(C18,1)="d",OR(D18&gt;="7:00"*1,H18&gt;"22:00"*1)),Prime!$G$4,"")&amp;IF(AND(LEFT(C18,1)="s",H18&gt;="24:00"*1),Prime!$G$4,"")</f>
        <v/>
      </c>
      <c r="N18" s="319">
        <f>IF(ISNUMBER(FIND("F",C18)),Prime!$I$4,IF(ISNUMBER(FIND("CDS",C18)),Prime!$I$4,""))</f>
        <v>104.9325</v>
      </c>
      <c r="O18" s="241"/>
      <c r="P18" s="242" t="str">
        <f>IF(ISBLANK(O18),"",O18*24)</f>
        <v/>
      </c>
      <c r="Q18" s="142">
        <f t="shared" si="3"/>
        <v>0.31666666666666665</v>
      </c>
      <c r="R18" s="143">
        <f t="shared" si="5"/>
        <v>7.6</v>
      </c>
      <c r="S18" s="144">
        <v>0</v>
      </c>
      <c r="T18" s="141">
        <f t="shared" si="4"/>
        <v>7.6</v>
      </c>
      <c r="U18" s="126"/>
    </row>
    <row r="19" spans="1:21" s="1" customFormat="1" ht="15.75" x14ac:dyDescent="0.25">
      <c r="A19" s="3"/>
      <c r="B19" s="493">
        <v>41501</v>
      </c>
      <c r="C19" s="6" t="s">
        <v>48</v>
      </c>
      <c r="D19" s="7">
        <v>0.27430555555555552</v>
      </c>
      <c r="E19" s="8">
        <v>0.57430555555555551</v>
      </c>
      <c r="F19" s="278">
        <f t="shared" si="0"/>
        <v>0.3</v>
      </c>
      <c r="G19" s="281"/>
      <c r="H19" s="10"/>
      <c r="I19" s="16">
        <f t="shared" si="1"/>
        <v>0</v>
      </c>
      <c r="J19" s="269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287" t="str">
        <f>IF(AND(LEFT(C19,1)="d",OR(D19&gt;="7:00"*1,H19&gt;"22:00"*1)),Prime!$G$4,"")&amp;IF(AND(LEFT(C19,1)="s",H19&gt;="24:00"*1),Prime!$G$4,"")</f>
        <v/>
      </c>
      <c r="N19" s="319" t="str">
        <f>IF(ISNUMBER(FIND("F",C19)),Prime!$I$4,IF(ISNUMBER(FIND("CDS",C19)),Prime!$I$4,""))</f>
        <v/>
      </c>
      <c r="O19" s="241"/>
      <c r="P19" s="242" t="str">
        <f t="shared" ref="P19:P32" si="6">IF(ISBLANK(O19),"",O19*24)</f>
        <v/>
      </c>
      <c r="Q19" s="142">
        <f t="shared" si="3"/>
        <v>0.3</v>
      </c>
      <c r="R19" s="143">
        <f t="shared" si="5"/>
        <v>7.1999999999999993</v>
      </c>
      <c r="S19" s="144">
        <v>7.2</v>
      </c>
      <c r="T19" s="141">
        <f t="shared" si="4"/>
        <v>-8.8817841970012523E-16</v>
      </c>
      <c r="U19" s="126"/>
    </row>
    <row r="20" spans="1:21" s="1" customFormat="1" ht="15.75" x14ac:dyDescent="0.25">
      <c r="A20" s="3"/>
      <c r="B20" s="493">
        <v>41502</v>
      </c>
      <c r="C20" s="6" t="s">
        <v>49</v>
      </c>
      <c r="D20" s="7">
        <v>0.24583333333333335</v>
      </c>
      <c r="E20" s="8">
        <v>0.55972222222222223</v>
      </c>
      <c r="F20" s="278">
        <f t="shared" si="0"/>
        <v>0.31388888888888888</v>
      </c>
      <c r="G20" s="281"/>
      <c r="H20" s="10"/>
      <c r="I20" s="16">
        <f t="shared" si="1"/>
        <v>0</v>
      </c>
      <c r="J20" s="269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287" t="str">
        <f>IF(AND(LEFT(C20,1)="d",OR(D20&gt;="7:00"*1,H20&gt;"22:00"*1)),Prime!$G$4,"")&amp;IF(AND(LEFT(C20,1)="s",H20&gt;="24:00"*1),Prime!$G$4,"")</f>
        <v/>
      </c>
      <c r="N20" s="319" t="str">
        <f>IF(ISNUMBER(FIND("F",C20)),Prime!$I$4,IF(ISNUMBER(FIND("CDS",C20)),Prime!$I$4,""))</f>
        <v/>
      </c>
      <c r="O20" s="241"/>
      <c r="P20" s="242" t="str">
        <f t="shared" si="6"/>
        <v/>
      </c>
      <c r="Q20" s="142">
        <f t="shared" si="3"/>
        <v>0.31388888888888888</v>
      </c>
      <c r="R20" s="143">
        <f t="shared" si="5"/>
        <v>7.5333333333333332</v>
      </c>
      <c r="S20" s="144">
        <v>7.53</v>
      </c>
      <c r="T20" s="141">
        <f t="shared" si="4"/>
        <v>3.3333333333329662E-3</v>
      </c>
      <c r="U20" s="126"/>
    </row>
    <row r="21" spans="1:21" s="1" customFormat="1" ht="15.75" x14ac:dyDescent="0.25">
      <c r="A21" s="3"/>
      <c r="B21" s="493">
        <v>41503</v>
      </c>
      <c r="C21" s="6" t="s">
        <v>19</v>
      </c>
      <c r="D21" s="7">
        <v>0</v>
      </c>
      <c r="E21" s="8">
        <v>0</v>
      </c>
      <c r="F21" s="278">
        <f t="shared" si="0"/>
        <v>0</v>
      </c>
      <c r="G21" s="281"/>
      <c r="H21" s="10"/>
      <c r="I21" s="16">
        <f t="shared" si="1"/>
        <v>0</v>
      </c>
      <c r="J21" s="269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287" t="str">
        <f>IF(AND(LEFT(C21,1)="d",OR(D21&gt;="7:00"*1,H21&gt;"22:00"*1)),Prime!$G$4,"")&amp;IF(AND(LEFT(C21,1)="s",H21&gt;="24:00"*1),Prime!$G$4,"")</f>
        <v/>
      </c>
      <c r="N21" s="319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</v>
      </c>
      <c r="R21" s="143">
        <f t="shared" si="5"/>
        <v>0</v>
      </c>
      <c r="S21" s="144">
        <v>0</v>
      </c>
      <c r="T21" s="141" t="str">
        <f t="shared" si="4"/>
        <v>0,000</v>
      </c>
      <c r="U21" s="126"/>
    </row>
    <row r="22" spans="1:21" s="1" customFormat="1" ht="15.75" x14ac:dyDescent="0.25">
      <c r="A22" s="3"/>
      <c r="B22" s="493">
        <v>41504</v>
      </c>
      <c r="C22" s="6" t="s">
        <v>199</v>
      </c>
      <c r="D22" s="7">
        <v>0</v>
      </c>
      <c r="E22" s="8">
        <v>0</v>
      </c>
      <c r="F22" s="278">
        <f t="shared" si="0"/>
        <v>0</v>
      </c>
      <c r="G22" s="281"/>
      <c r="H22" s="10"/>
      <c r="I22" s="16">
        <f t="shared" si="1"/>
        <v>0</v>
      </c>
      <c r="J22" s="269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287" t="str">
        <f>IF(AND(LEFT(C22,1)="d",OR(D22&gt;="7:00"*1,H22&gt;"22:00"*1)),Prime!$G$4,"")&amp;IF(AND(LEFT(C22,1)="s",H22&gt;="24:00"*1),Prime!$G$4,"")</f>
        <v/>
      </c>
      <c r="N22" s="319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</v>
      </c>
      <c r="R22" s="143">
        <f t="shared" si="5"/>
        <v>0</v>
      </c>
      <c r="S22" s="144">
        <v>0</v>
      </c>
      <c r="T22" s="141" t="str">
        <f t="shared" si="4"/>
        <v>0,000</v>
      </c>
      <c r="U22" s="126"/>
    </row>
    <row r="23" spans="1:21" s="1" customFormat="1" ht="15.75" x14ac:dyDescent="0.25">
      <c r="A23" s="3"/>
      <c r="B23" s="493">
        <v>41505</v>
      </c>
      <c r="C23" s="6" t="s">
        <v>198</v>
      </c>
      <c r="D23" s="7">
        <v>0</v>
      </c>
      <c r="E23" s="8">
        <v>0</v>
      </c>
      <c r="F23" s="278">
        <f t="shared" si="0"/>
        <v>0</v>
      </c>
      <c r="G23" s="281"/>
      <c r="H23" s="10"/>
      <c r="I23" s="16">
        <f t="shared" si="1"/>
        <v>0</v>
      </c>
      <c r="J23" s="269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287" t="str">
        <f>IF(AND(LEFT(C23,1)="d",OR(D23&gt;="7:00"*1,H23&gt;"22:00"*1)),Prime!$G$4,"")&amp;IF(AND(LEFT(C23,1)="s",H23&gt;="24:00"*1),Prime!$G$4,"")</f>
        <v/>
      </c>
      <c r="N23" s="319" t="str">
        <f>IF(ISNUMBER(FIND("F",C23)),Prime!$I$4,IF(ISNUMBER(FIND("CDS",C23)),Prime!$I$4,""))</f>
        <v/>
      </c>
      <c r="O23" s="241"/>
      <c r="P23" s="242" t="str">
        <f t="shared" si="6"/>
        <v/>
      </c>
      <c r="Q23" s="142">
        <f t="shared" si="3"/>
        <v>0</v>
      </c>
      <c r="R23" s="143">
        <f t="shared" si="5"/>
        <v>0</v>
      </c>
      <c r="S23" s="144">
        <v>0</v>
      </c>
      <c r="T23" s="141" t="str">
        <f t="shared" si="4"/>
        <v>0,000</v>
      </c>
      <c r="U23" s="126"/>
    </row>
    <row r="24" spans="1:21" s="1" customFormat="1" ht="15.75" x14ac:dyDescent="0.25">
      <c r="A24" s="3"/>
      <c r="B24" s="493">
        <v>41506</v>
      </c>
      <c r="C24" s="6" t="s">
        <v>50</v>
      </c>
      <c r="D24" s="7">
        <v>0.27847222222222223</v>
      </c>
      <c r="E24" s="8">
        <v>0.4513888888888889</v>
      </c>
      <c r="F24" s="278">
        <f t="shared" si="0"/>
        <v>0.17291666666666666</v>
      </c>
      <c r="G24" s="281">
        <v>0.49305555555555558</v>
      </c>
      <c r="H24" s="10">
        <v>0.67361111111111116</v>
      </c>
      <c r="I24" s="16">
        <f t="shared" si="1"/>
        <v>0.18055555555555558</v>
      </c>
      <c r="J24" s="269" t="str">
        <f>IF(COUNTA(D24:E24,G24:H24)=5,Prime!$E$4,IF(AND(D24&lt;="5:01"*1,D24&gt;"2:00"*1),Prime!$E$4,IF(AND(H24&gt;="22:00"*1,H24&lt;="26:01"*1),Prime!$E$4,"")))</f>
        <v/>
      </c>
      <c r="K24" s="231">
        <f>IF(COUNTA(D24:E24,G24:H24)=5,Prime!$E$4,IF(AND(E24&gt;="13:15"*1,G24&lt;""),Prime!$E$4,IF(AND(G24&gt;="11:00"*1,G24&lt;="12:15"*1),Prime!$E$4,"")))</f>
        <v>17.7056</v>
      </c>
      <c r="L24" s="286" t="str">
        <f>IF(H24&gt;"21:30"*1,Prime!$F$4,"")</f>
        <v/>
      </c>
      <c r="M24" s="287" t="str">
        <f>IF(AND(LEFT(C24,1)="d",OR(D24&gt;="7:00"*1,H24&gt;"22:00"*1)),Prime!$G$4,"")&amp;IF(AND(LEFT(C24,1)="s",H24&gt;="24:00"*1),Prime!$G$4,"")</f>
        <v/>
      </c>
      <c r="N24" s="319" t="str">
        <f>IF(ISNUMBER(FIND("F",C24)),Prime!$I$4,IF(ISNUMBER(FIND("CDS",C24)),Prime!$I$4,""))</f>
        <v/>
      </c>
      <c r="O24" s="241"/>
      <c r="P24" s="242" t="str">
        <f t="shared" si="6"/>
        <v/>
      </c>
      <c r="Q24" s="142">
        <f t="shared" si="3"/>
        <v>0.35347222222222224</v>
      </c>
      <c r="R24" s="143">
        <f t="shared" si="5"/>
        <v>8.4833333333333343</v>
      </c>
      <c r="S24" s="144">
        <v>8.48</v>
      </c>
      <c r="T24" s="141">
        <f t="shared" si="4"/>
        <v>3.3333333333338544E-3</v>
      </c>
      <c r="U24" s="126"/>
    </row>
    <row r="25" spans="1:21" s="1" customFormat="1" ht="15.75" x14ac:dyDescent="0.25">
      <c r="A25" s="3"/>
      <c r="B25" s="493">
        <v>41507</v>
      </c>
      <c r="C25" s="6" t="s">
        <v>51</v>
      </c>
      <c r="D25" s="7">
        <v>0.23194444444444443</v>
      </c>
      <c r="E25" s="8">
        <v>0.41666666666666669</v>
      </c>
      <c r="F25" s="278">
        <f t="shared" si="0"/>
        <v>0.18472222222222226</v>
      </c>
      <c r="G25" s="281">
        <v>0.50624999999999998</v>
      </c>
      <c r="H25" s="10">
        <v>0.66875000000000007</v>
      </c>
      <c r="I25" s="16">
        <f t="shared" si="1"/>
        <v>0.16250000000000009</v>
      </c>
      <c r="J25" s="269" t="str">
        <f>IF(COUNTA(D25:E25,G25:H25)=5,Prime!$E$4,IF(AND(D25&lt;="5:01"*1,D25&gt;"2:00"*1),Prime!$E$4,IF(AND(H25&gt;="22:00"*1,H25&lt;="26:01"*1),Prime!$E$4,"")))</f>
        <v/>
      </c>
      <c r="K25" s="231">
        <f>IF(COUNTA(D25:E25,G25:H25)=5,Prime!$E$4,IF(AND(E25&gt;="13:15"*1,G25&lt;""),Prime!$E$4,IF(AND(G25&gt;="11:00"*1,G25&lt;="12:15"*1),Prime!$E$4,"")))</f>
        <v>17.7056</v>
      </c>
      <c r="L25" s="286" t="str">
        <f>IF(H25&gt;"21:30"*1,Prime!$F$4,"")</f>
        <v/>
      </c>
      <c r="M25" s="287" t="str">
        <f>IF(AND(LEFT(C25,1)="d",OR(D25&gt;="7:00"*1,H25&gt;"22:00"*1)),Prime!$G$4,"")&amp;IF(AND(LEFT(C25,1)="s",H25&gt;="24:00"*1),Prime!$G$4,"")</f>
        <v/>
      </c>
      <c r="N25" s="319" t="str">
        <f>IF(ISNUMBER(FIND("F",C25)),Prime!$I$4,IF(ISNUMBER(FIND("CDS",C25)),Prime!$I$4,""))</f>
        <v/>
      </c>
      <c r="O25" s="241"/>
      <c r="P25" s="242" t="str">
        <f t="shared" si="6"/>
        <v/>
      </c>
      <c r="Q25" s="142">
        <f t="shared" si="3"/>
        <v>0.34722222222222232</v>
      </c>
      <c r="R25" s="143">
        <f t="shared" si="5"/>
        <v>8.3333333333333357</v>
      </c>
      <c r="S25" s="144">
        <v>8.33</v>
      </c>
      <c r="T25" s="141">
        <f t="shared" si="4"/>
        <v>3.3333333333356308E-3</v>
      </c>
      <c r="U25" s="126"/>
    </row>
    <row r="26" spans="1:21" s="1" customFormat="1" ht="15.75" x14ac:dyDescent="0.25">
      <c r="A26" s="3"/>
      <c r="B26" s="493">
        <v>41508</v>
      </c>
      <c r="C26" s="6" t="s">
        <v>46</v>
      </c>
      <c r="D26" s="7"/>
      <c r="E26" s="8"/>
      <c r="F26" s="278">
        <f t="shared" si="0"/>
        <v>0</v>
      </c>
      <c r="G26" s="282">
        <v>0.61736111111111114</v>
      </c>
      <c r="H26" s="8">
        <v>0.86736111111111114</v>
      </c>
      <c r="I26" s="16">
        <f t="shared" si="1"/>
        <v>0.25</v>
      </c>
      <c r="J26" s="269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287" t="str">
        <f>IF(AND(LEFT(C26,1)="d",OR(D26&gt;="7:00"*1,H26&gt;"22:00"*1)),Prime!$G$4,"")&amp;IF(AND(LEFT(C26,1)="s",H26&gt;="24:00"*1),Prime!$G$4,"")</f>
        <v/>
      </c>
      <c r="N26" s="319" t="str">
        <f>IF(ISNUMBER(FIND("F",C26)),Prime!$I$4,IF(ISNUMBER(FIND("CDS",C26)),Prime!$I$4,""))</f>
        <v/>
      </c>
      <c r="O26" s="241"/>
      <c r="P26" s="242" t="str">
        <f t="shared" si="6"/>
        <v/>
      </c>
      <c r="Q26" s="142">
        <f t="shared" si="3"/>
        <v>0.25</v>
      </c>
      <c r="R26" s="143">
        <f t="shared" si="5"/>
        <v>6</v>
      </c>
      <c r="S26" s="144">
        <v>6</v>
      </c>
      <c r="T26" s="141" t="str">
        <f t="shared" si="4"/>
        <v>0,000</v>
      </c>
      <c r="U26" s="126"/>
    </row>
    <row r="27" spans="1:21" s="1" customFormat="1" ht="15.75" x14ac:dyDescent="0.25">
      <c r="A27" s="3"/>
      <c r="B27" s="493">
        <v>41509</v>
      </c>
      <c r="C27" s="9" t="s">
        <v>155</v>
      </c>
      <c r="D27" s="7">
        <v>0.25</v>
      </c>
      <c r="E27" s="8">
        <v>0.56666666666666665</v>
      </c>
      <c r="F27" s="278">
        <f t="shared" si="0"/>
        <v>0.31666666666666665</v>
      </c>
      <c r="G27" s="281"/>
      <c r="H27" s="10"/>
      <c r="I27" s="16">
        <f t="shared" si="1"/>
        <v>0</v>
      </c>
      <c r="J27" s="269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287" t="str">
        <f>IF(AND(LEFT(C27,1)="d",OR(D27&gt;="7:00"*1,H27&gt;"22:00"*1)),Prime!$G$4,"")&amp;IF(AND(LEFT(C27,1)="s",H27&gt;="24:00"*1),Prime!$G$4,"")</f>
        <v/>
      </c>
      <c r="N27" s="319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0.31666666666666665</v>
      </c>
      <c r="R27" s="143">
        <f t="shared" si="5"/>
        <v>7.6</v>
      </c>
      <c r="S27" s="144">
        <v>7.6</v>
      </c>
      <c r="T27" s="141" t="str">
        <f t="shared" si="4"/>
        <v>0,000</v>
      </c>
      <c r="U27" s="126"/>
    </row>
    <row r="28" spans="1:21" s="1" customFormat="1" ht="15.75" x14ac:dyDescent="0.25">
      <c r="A28" s="3"/>
      <c r="B28" s="493">
        <v>41510</v>
      </c>
      <c r="C28" s="9" t="s">
        <v>154</v>
      </c>
      <c r="D28" s="7">
        <v>0.25</v>
      </c>
      <c r="E28" s="8">
        <v>0.56666666666666665</v>
      </c>
      <c r="F28" s="278">
        <f t="shared" si="0"/>
        <v>0.31666666666666665</v>
      </c>
      <c r="G28" s="281"/>
      <c r="H28" s="10"/>
      <c r="I28" s="16">
        <f t="shared" si="1"/>
        <v>0</v>
      </c>
      <c r="J28" s="269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287" t="str">
        <f>IF(AND(LEFT(C28,1)="d",OR(D28&gt;="7:00"*1,H28&gt;"22:00"*1)),Prime!$G$4,"")&amp;IF(AND(LEFT(C28,1)="s",H28&gt;="24:00"*1),Prime!$G$4,"")</f>
        <v/>
      </c>
      <c r="N28" s="319" t="str">
        <f>IF(ISNUMBER(FIND("F",C28)),Prime!$I$4,IF(ISNUMBER(FIND("CDS",C28)),Prime!$I$4,""))</f>
        <v/>
      </c>
      <c r="O28" s="241"/>
      <c r="P28" s="242" t="str">
        <f t="shared" si="6"/>
        <v/>
      </c>
      <c r="Q28" s="142">
        <f t="shared" si="3"/>
        <v>0.31666666666666665</v>
      </c>
      <c r="R28" s="143">
        <f t="shared" si="5"/>
        <v>7.6</v>
      </c>
      <c r="S28" s="144">
        <v>7.6</v>
      </c>
      <c r="T28" s="141" t="str">
        <f t="shared" si="4"/>
        <v>0,000</v>
      </c>
      <c r="U28" s="126"/>
    </row>
    <row r="29" spans="1:21" s="1" customFormat="1" ht="15.75" x14ac:dyDescent="0.25">
      <c r="A29" s="3"/>
      <c r="B29" s="493">
        <v>41511</v>
      </c>
      <c r="C29" s="9" t="s">
        <v>222</v>
      </c>
      <c r="D29" s="7">
        <v>0.25</v>
      </c>
      <c r="E29" s="8">
        <v>0.56666666666666665</v>
      </c>
      <c r="F29" s="278">
        <f t="shared" si="0"/>
        <v>0.31666666666666665</v>
      </c>
      <c r="G29" s="281"/>
      <c r="H29" s="10"/>
      <c r="I29" s="16">
        <f t="shared" si="1"/>
        <v>0</v>
      </c>
      <c r="J29" s="269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287" t="str">
        <f>IF(AND(LEFT(C29,1)="d",OR(D29&gt;="7:00"*1,H29&gt;"22:00"*1)),Prime!$G$4,"")&amp;IF(AND(LEFT(C29,1)="s",H29&gt;="24:00"*1),Prime!$G$4,"")</f>
        <v/>
      </c>
      <c r="N29" s="319" t="str">
        <f>IF(ISNUMBER(FIND("F",C29)),Prime!$I$4,IF(ISNUMBER(FIND("CDS",C29)),Prime!$I$4,""))</f>
        <v/>
      </c>
      <c r="O29" s="241"/>
      <c r="P29" s="242" t="str">
        <f t="shared" si="6"/>
        <v/>
      </c>
      <c r="Q29" s="142">
        <f t="shared" si="3"/>
        <v>0.31666666666666665</v>
      </c>
      <c r="R29" s="143">
        <f t="shared" si="5"/>
        <v>7.6</v>
      </c>
      <c r="S29" s="144">
        <v>7.6</v>
      </c>
      <c r="T29" s="141" t="str">
        <f t="shared" si="4"/>
        <v>0,000</v>
      </c>
      <c r="U29" s="126"/>
    </row>
    <row r="30" spans="1:21" s="1" customFormat="1" ht="15.75" x14ac:dyDescent="0.25">
      <c r="A30" s="3"/>
      <c r="B30" s="493">
        <v>41512</v>
      </c>
      <c r="C30" s="9" t="s">
        <v>223</v>
      </c>
      <c r="D30" s="7">
        <v>0.28194444444444444</v>
      </c>
      <c r="E30" s="8">
        <v>0.53194444444444444</v>
      </c>
      <c r="F30" s="278">
        <f t="shared" si="0"/>
        <v>0.25</v>
      </c>
      <c r="G30" s="281"/>
      <c r="H30" s="10"/>
      <c r="I30" s="16">
        <f t="shared" si="1"/>
        <v>0</v>
      </c>
      <c r="J30" s="269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287" t="str">
        <f>IF(AND(LEFT(C30,1)="d",OR(D30&gt;="7:00"*1,H30&gt;"22:00"*1)),Prime!$G$4,"")&amp;IF(AND(LEFT(C30,1)="s",H30&gt;="24:00"*1),Prime!$G$4,"")</f>
        <v/>
      </c>
      <c r="N30" s="319" t="str">
        <f>IF(ISNUMBER(FIND("F",C30)),Prime!$I$4,IF(ISNUMBER(FIND("CDS",C30)),Prime!$I$4,""))</f>
        <v/>
      </c>
      <c r="O30" s="241"/>
      <c r="P30" s="242" t="str">
        <f t="shared" si="6"/>
        <v/>
      </c>
      <c r="Q30" s="142">
        <f t="shared" si="3"/>
        <v>0.25</v>
      </c>
      <c r="R30" s="143">
        <f t="shared" si="5"/>
        <v>6</v>
      </c>
      <c r="S30" s="144">
        <v>7.3</v>
      </c>
      <c r="T30" s="141">
        <f t="shared" si="4"/>
        <v>-1.2999999999999998</v>
      </c>
      <c r="U30" s="126"/>
    </row>
    <row r="31" spans="1:21" s="1" customFormat="1" ht="15.75" x14ac:dyDescent="0.25">
      <c r="A31" s="3"/>
      <c r="B31" s="493">
        <v>41513</v>
      </c>
      <c r="C31" s="9" t="s">
        <v>168</v>
      </c>
      <c r="D31" s="7"/>
      <c r="E31" s="8"/>
      <c r="F31" s="278">
        <f t="shared" si="0"/>
        <v>0</v>
      </c>
      <c r="G31" s="282">
        <v>0.51111111111111118</v>
      </c>
      <c r="H31" s="8">
        <v>0.83124999999999993</v>
      </c>
      <c r="I31" s="16">
        <f t="shared" si="1"/>
        <v>0.32013888888888875</v>
      </c>
      <c r="J31" s="269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287" t="str">
        <f>IF(AND(LEFT(C31,1)="d",OR(D31&gt;="7:00"*1,H31&gt;"22:00"*1)),Prime!$G$4,"")&amp;IF(AND(LEFT(C31,1)="s",H31&gt;="24:00"*1),Prime!$G$4,"")</f>
        <v/>
      </c>
      <c r="N31" s="319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0.32013888888888875</v>
      </c>
      <c r="R31" s="143">
        <f t="shared" si="5"/>
        <v>7.68333333333333</v>
      </c>
      <c r="S31" s="144">
        <v>7.68</v>
      </c>
      <c r="T31" s="141">
        <f t="shared" si="4"/>
        <v>3.3333333333303017E-3</v>
      </c>
      <c r="U31" s="126"/>
    </row>
    <row r="32" spans="1:21" s="1" customFormat="1" ht="15.75" x14ac:dyDescent="0.25">
      <c r="A32" s="3"/>
      <c r="B32" s="493">
        <v>41514</v>
      </c>
      <c r="C32" s="9" t="s">
        <v>169</v>
      </c>
      <c r="D32" s="7">
        <v>0.25</v>
      </c>
      <c r="E32" s="8">
        <v>0.5625</v>
      </c>
      <c r="F32" s="278">
        <f t="shared" si="0"/>
        <v>0.3125</v>
      </c>
      <c r="G32" s="281"/>
      <c r="H32" s="10"/>
      <c r="I32" s="16">
        <f t="shared" si="1"/>
        <v>0</v>
      </c>
      <c r="J32" s="269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287" t="str">
        <f>IF(AND(LEFT(C32,1)="d",OR(D32&gt;="7:00"*1,H32&gt;"22:00"*1)),Prime!$G$4,"")&amp;IF(AND(LEFT(C32,1)="s",H32&gt;="24:00"*1),Prime!$G$4,"")</f>
        <v/>
      </c>
      <c r="N32" s="319" t="str">
        <f>IF(ISNUMBER(FIND("F",C32)),Prime!$I$4,IF(ISNUMBER(FIND("CDS",C32)),Prime!$I$4,""))</f>
        <v/>
      </c>
      <c r="O32" s="241"/>
      <c r="P32" s="242" t="str">
        <f t="shared" si="6"/>
        <v/>
      </c>
      <c r="Q32" s="142">
        <f t="shared" si="3"/>
        <v>0.3125</v>
      </c>
      <c r="R32" s="143">
        <f t="shared" si="5"/>
        <v>7.5</v>
      </c>
      <c r="S32" s="144">
        <v>7.6</v>
      </c>
      <c r="T32" s="141">
        <f t="shared" si="4"/>
        <v>-9.9999999999999645E-2</v>
      </c>
      <c r="U32" s="126"/>
    </row>
    <row r="33" spans="1:21" s="1" customFormat="1" ht="15.75" x14ac:dyDescent="0.25">
      <c r="A33" s="3"/>
      <c r="B33" s="493">
        <v>41515</v>
      </c>
      <c r="C33" s="9" t="s">
        <v>170</v>
      </c>
      <c r="D33" s="7"/>
      <c r="E33" s="8"/>
      <c r="F33" s="278">
        <f t="shared" si="0"/>
        <v>0</v>
      </c>
      <c r="G33" s="282">
        <v>0.59583333333333333</v>
      </c>
      <c r="H33" s="8">
        <v>0.92569444444444438</v>
      </c>
      <c r="I33" s="16">
        <f t="shared" si="1"/>
        <v>0.32986111111111105</v>
      </c>
      <c r="J33" s="269">
        <f>IF(COUNTA(D33:E33,G33:H33)=5,Prime!$E$4,IF(AND(D33&lt;="5:01"*1,D33&gt;"2:00"*1),Prime!$E$4,IF(AND(H33&gt;="22:00"*1,H33&lt;="26:01"*1),Prime!$E$4,"")))</f>
        <v>17.7056</v>
      </c>
      <c r="K33" s="231" t="str">
        <f>IF(COUNTA(D33:E33,G33:H33)=5,Prime!$E$4,IF(AND(E33&gt;="13:15"*1,G33&lt;""),Prime!$E$4,IF(AND(G33&gt;="11:00"*1,G33&lt;="12:15"*1),Prime!$E$4,"")))</f>
        <v/>
      </c>
      <c r="L33" s="286">
        <f>IF(H33&gt;"21:30"*1,Prime!$F$4,"")</f>
        <v>17.7056</v>
      </c>
      <c r="M33" s="287" t="str">
        <f>IF(AND(LEFT(C33,1)="d",OR(D33&gt;="7:00"*1,H33&gt;"22:00"*1)),Prime!$G$4,"")&amp;IF(AND(LEFT(C33,1)="s",H33&gt;="24:00"*1),Prime!$G$4,"")</f>
        <v/>
      </c>
      <c r="N33" s="319" t="str">
        <f>IF(ISNUMBER(FIND("F",C33)),Prime!$I$4,IF(ISNUMBER(FIND("CDS",C33)),Prime!$I$4,""))</f>
        <v/>
      </c>
      <c r="O33" s="241"/>
      <c r="P33" s="242" t="str">
        <f>IF(ISBLANK(O33),"",O33/24)</f>
        <v/>
      </c>
      <c r="Q33" s="142">
        <f t="shared" si="3"/>
        <v>0.32986111111111105</v>
      </c>
      <c r="R33" s="143">
        <f t="shared" si="5"/>
        <v>7.9166666666666652</v>
      </c>
      <c r="S33" s="144">
        <v>7.58</v>
      </c>
      <c r="T33" s="141">
        <f t="shared" si="4"/>
        <v>0.33666666666666512</v>
      </c>
      <c r="U33" s="126"/>
    </row>
    <row r="34" spans="1:21" s="1" customFormat="1" ht="16.5" thickBot="1" x14ac:dyDescent="0.3">
      <c r="A34" s="3"/>
      <c r="B34" s="501">
        <v>41516</v>
      </c>
      <c r="C34" s="11" t="s">
        <v>170</v>
      </c>
      <c r="D34" s="12"/>
      <c r="E34" s="13"/>
      <c r="F34" s="279">
        <f t="shared" si="0"/>
        <v>0</v>
      </c>
      <c r="G34" s="283">
        <v>0.59583333333333333</v>
      </c>
      <c r="H34" s="13">
        <v>0.92569444444444438</v>
      </c>
      <c r="I34" s="17">
        <f t="shared" si="1"/>
        <v>0.32986111111111105</v>
      </c>
      <c r="J34" s="270">
        <f>IF(COUNTA(D34:E34,G34:H34)=5,Prime!$E$4,IF(AND(D34&lt;="5:01"*1,D34&gt;"2:00"*1),Prime!$E$4,IF(AND(H34&gt;="22:00"*1,H34&lt;="26:01"*1),Prime!$E$4,"")))</f>
        <v>17.7056</v>
      </c>
      <c r="K34" s="232" t="str">
        <f>IF(COUNTA(D34:E34,G34:H34)=5,Prime!$E$4,IF(AND(E34&gt;="13:15"*1,G34&lt;""),Prime!$E$4,IF(AND(G34&gt;="11:00"*1,G34&lt;="12:15"*1),Prime!$E$4,"")))</f>
        <v/>
      </c>
      <c r="L34" s="288">
        <f>IF(H34&gt;"21:30"*1,Prime!$F$4,"")</f>
        <v>17.7056</v>
      </c>
      <c r="M34" s="289" t="str">
        <f>IF(AND(LEFT(C34,1)="d",OR(D34&gt;="7:00"*1,H34&gt;"22:00"*1)),Prime!$G$4,"")&amp;IF(AND(LEFT(C34,1)="s",H34&gt;="24:00"*1),Prime!$G$4,"")</f>
        <v/>
      </c>
      <c r="N34" s="320" t="str">
        <f>IF(ISNUMBER(FIND("F",C34)),Prime!$I$4,IF(ISNUMBER(FIND("CDS",C34)),Prime!$I$4,""))</f>
        <v/>
      </c>
      <c r="O34" s="245"/>
      <c r="P34" s="247"/>
      <c r="Q34" s="145">
        <f t="shared" si="3"/>
        <v>0.32986111111111105</v>
      </c>
      <c r="R34" s="146">
        <f t="shared" si="5"/>
        <v>7.9166666666666652</v>
      </c>
      <c r="S34" s="147">
        <v>7.58</v>
      </c>
      <c r="T34" s="148">
        <f t="shared" si="4"/>
        <v>0.33666666666666512</v>
      </c>
      <c r="U34" s="126"/>
    </row>
    <row r="35" spans="1:21" s="1" customFormat="1" ht="15.75" x14ac:dyDescent="0.25">
      <c r="A35" s="3"/>
      <c r="B35" s="4"/>
      <c r="C35" s="4"/>
      <c r="D35" s="4"/>
      <c r="E35" s="3"/>
      <c r="F35" s="3"/>
      <c r="G35" s="3"/>
      <c r="H35" s="3"/>
      <c r="I35" s="3"/>
      <c r="J35" s="181"/>
      <c r="K35" s="183"/>
      <c r="L35" s="186"/>
      <c r="M35" s="150"/>
      <c r="N35" s="150"/>
      <c r="O35" s="126"/>
      <c r="P35" s="126"/>
      <c r="Q35" s="124"/>
      <c r="R35" s="20"/>
      <c r="S35" s="21"/>
      <c r="T35" s="151"/>
      <c r="U35" s="126"/>
    </row>
    <row r="36" spans="1:21" s="1" customFormat="1" ht="15.75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24</v>
      </c>
      <c r="D36" s="4"/>
      <c r="E36" s="3"/>
      <c r="F36" s="3"/>
      <c r="G36" s="3"/>
      <c r="H36" s="3"/>
      <c r="I36" s="3"/>
      <c r="J36" s="182">
        <f>SUM(J4:J34)</f>
        <v>35.411200000000001</v>
      </c>
      <c r="K36" s="183"/>
      <c r="L36" s="184">
        <f>SUM(L4:L34)</f>
        <v>35.411200000000001</v>
      </c>
      <c r="M36" s="313">
        <f>SUM(M4:M34)</f>
        <v>0</v>
      </c>
      <c r="N36" s="317">
        <f>SUM(N4:N34)</f>
        <v>104.9325</v>
      </c>
      <c r="O36" s="153">
        <f>SUM(O4:O34)</f>
        <v>0</v>
      </c>
      <c r="P36" s="194">
        <f>SUM(P4:P32)</f>
        <v>0</v>
      </c>
      <c r="Q36" s="154">
        <f>SUM(Q4:Q34)</f>
        <v>7.4951388888888877</v>
      </c>
      <c r="R36" s="334">
        <f>SUM(R4:R34)</f>
        <v>179.8833333333333</v>
      </c>
      <c r="S36" s="21">
        <f>SUM(S3:S34)</f>
        <v>174.09000000000003</v>
      </c>
      <c r="T36" s="151">
        <f>R36-S36</f>
        <v>5.7933333333332655</v>
      </c>
      <c r="U36" s="155"/>
    </row>
    <row r="37" spans="1:21" s="1" customFormat="1" ht="15.75" x14ac:dyDescent="0.25">
      <c r="A37" s="3"/>
      <c r="B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</row>
    <row r="38" spans="1:21" s="1" customFormat="1" ht="15.75" x14ac:dyDescent="0.25">
      <c r="B38" s="447"/>
      <c r="M38" s="525" t="s">
        <v>100</v>
      </c>
      <c r="N38" s="525"/>
      <c r="O38" s="525"/>
      <c r="P38" s="178"/>
      <c r="Q38" s="156">
        <v>6.1895833333333341</v>
      </c>
      <c r="R38" s="65">
        <v>148.19999999999999</v>
      </c>
    </row>
    <row r="39" spans="1:21" s="1" customFormat="1" x14ac:dyDescent="0.25">
      <c r="B39" s="447"/>
    </row>
    <row r="40" spans="1:21" ht="15.75" x14ac:dyDescent="0.25">
      <c r="M40" s="521" t="s">
        <v>39</v>
      </c>
      <c r="N40" s="521"/>
      <c r="O40" s="521"/>
      <c r="P40" s="177"/>
      <c r="Q40" s="68">
        <f>(Q36-Q38)</f>
        <v>1.3055555555555536</v>
      </c>
      <c r="R40" s="69">
        <f>Q40*24</f>
        <v>31.333333333333286</v>
      </c>
    </row>
    <row r="41" spans="1:21" x14ac:dyDescent="0.25">
      <c r="M41" s="1"/>
      <c r="O41"/>
      <c r="P41" s="1"/>
    </row>
  </sheetData>
  <mergeCells count="6">
    <mergeCell ref="Q2:T2"/>
    <mergeCell ref="M40:O40"/>
    <mergeCell ref="D3:E3"/>
    <mergeCell ref="G3:H3"/>
    <mergeCell ref="B1:L1"/>
    <mergeCell ref="M38:O38"/>
  </mergeCells>
  <conditionalFormatting sqref="Q40">
    <cfRule type="cellIs" dxfId="26" priority="5" operator="lessThan">
      <formula>0</formula>
    </cfRule>
  </conditionalFormatting>
  <conditionalFormatting sqref="T4:T34">
    <cfRule type="cellIs" dxfId="25" priority="3" operator="greaterThanOrEqual">
      <formula>0.001</formula>
    </cfRule>
    <cfRule type="cellIs" dxfId="24" priority="4" operator="lessThan">
      <formula>0</formula>
    </cfRule>
  </conditionalFormatting>
  <conditionalFormatting sqref="T35:T36">
    <cfRule type="cellIs" dxfId="23" priority="1" operator="greaterThanOrEqual">
      <formula>0.001</formula>
    </cfRule>
    <cfRule type="cellIs" dxfId="22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U39"/>
  <sheetViews>
    <sheetView topLeftCell="B1" workbookViewId="0">
      <selection activeCell="B4" sqref="B4:B33"/>
    </sheetView>
  </sheetViews>
  <sheetFormatPr baseColWidth="10" defaultRowHeight="15" x14ac:dyDescent="0.25"/>
  <cols>
    <col min="1" max="1" width="2.7109375" customWidth="1"/>
    <col min="2" max="2" width="15.7109375" style="123" customWidth="1"/>
    <col min="3" max="3" width="14.7109375" style="1" customWidth="1"/>
    <col min="4" max="9" width="14.7109375" customWidth="1"/>
    <col min="10" max="10" width="14.7109375" style="1" customWidth="1"/>
    <col min="11" max="13" width="14.7109375" customWidth="1"/>
    <col min="14" max="14" width="14.7109375" style="1" customWidth="1"/>
    <col min="15" max="16" width="14.7109375" style="22" customWidth="1"/>
  </cols>
  <sheetData>
    <row r="1" spans="1:21" s="1" customFormat="1" ht="16.5" thickBot="1" x14ac:dyDescent="0.3">
      <c r="A1" s="3"/>
      <c r="B1" s="524" t="s">
        <v>9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121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116" t="s">
        <v>135</v>
      </c>
      <c r="C3" s="5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ht="15.75" x14ac:dyDescent="0.25">
      <c r="A4" s="3"/>
      <c r="B4" s="492">
        <v>41517</v>
      </c>
      <c r="C4" s="258" t="s">
        <v>170</v>
      </c>
      <c r="D4" s="250"/>
      <c r="E4" s="234"/>
      <c r="F4" s="235">
        <f t="shared" ref="F4:F33" si="0">E4-D4</f>
        <v>0</v>
      </c>
      <c r="G4" s="234">
        <v>0.52083333333333337</v>
      </c>
      <c r="H4" s="251">
        <v>0.85416666666666663</v>
      </c>
      <c r="I4" s="338">
        <f t="shared" ref="I4:I33" si="1">H4-G4</f>
        <v>0.33333333333333326</v>
      </c>
      <c r="J4" s="236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310" t="str">
        <f>IF(AND(LEFT(C4,1)="d",OR(D4&gt;="7:00"*1,H4&gt;"22:00"*1)),Prime!$G$4,"")&amp;IF(AND(LEFT(C4,1)="s",H4&gt;="24:00"*1),Prime!$G$4,"")</f>
        <v/>
      </c>
      <c r="N4" s="325" t="str">
        <f>IF(ISNUMBER(FIND("F",C4)),Prime!$I$4,IF(ISNUMBER(FIND("CDS",C4)),Prime!$I$4,""))</f>
        <v/>
      </c>
      <c r="O4" s="341"/>
      <c r="P4" s="238" t="str">
        <f t="shared" ref="P4:P17" si="2">IF(ISBLANK(O4),"",O4*24)</f>
        <v/>
      </c>
      <c r="Q4" s="138">
        <f t="shared" ref="Q4:Q33" si="3">(E4-D4)+(H4-G4)</f>
        <v>0.33333333333333326</v>
      </c>
      <c r="R4" s="139">
        <f>Q4*24</f>
        <v>7.9999999999999982</v>
      </c>
      <c r="S4" s="140">
        <v>8</v>
      </c>
      <c r="T4" s="141">
        <f>IF(R4-S4=0,"0,000",R4-S4)</f>
        <v>-1.7763568394002505E-15</v>
      </c>
      <c r="U4" s="126"/>
    </row>
    <row r="5" spans="1:21" s="1" customFormat="1" ht="15.75" x14ac:dyDescent="0.25">
      <c r="A5" s="3"/>
      <c r="B5" s="493">
        <v>41518</v>
      </c>
      <c r="C5" s="6" t="s">
        <v>224</v>
      </c>
      <c r="D5" s="254"/>
      <c r="E5" s="239"/>
      <c r="F5" s="240">
        <f t="shared" si="0"/>
        <v>0</v>
      </c>
      <c r="G5" s="239">
        <v>0.5395833333333333</v>
      </c>
      <c r="H5" s="255">
        <v>0.84166666666666667</v>
      </c>
      <c r="I5" s="339">
        <f t="shared" si="1"/>
        <v>0.30208333333333337</v>
      </c>
      <c r="J5" s="271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311" t="str">
        <f>IF(AND(LEFT(C5,1)="d",OR(D5&gt;="7:00"*1,H5&gt;"22:00"*1)),Prime!$G$4,"")&amp;IF(AND(LEFT(C5,1)="s",H5&gt;="24:00"*1),Prime!$G$4,"")</f>
        <v/>
      </c>
      <c r="N5" s="326" t="str">
        <f>IF(ISNUMBER(FIND("F",C5)),Prime!$I$4,IF(ISNUMBER(FIND("CDS",C5)),Prime!$I$4,""))</f>
        <v/>
      </c>
      <c r="O5" s="342"/>
      <c r="P5" s="242" t="str">
        <f t="shared" si="2"/>
        <v/>
      </c>
      <c r="Q5" s="142">
        <f t="shared" si="3"/>
        <v>0.30208333333333337</v>
      </c>
      <c r="R5" s="143">
        <f>Q5*24</f>
        <v>7.2500000000000009</v>
      </c>
      <c r="S5" s="144">
        <v>7.25</v>
      </c>
      <c r="T5" s="141">
        <f t="shared" ref="T5:T33" si="4">IF(R5-S5=0,"0,000",R5-S5)</f>
        <v>8.8817841970012523E-16</v>
      </c>
      <c r="U5" s="126"/>
    </row>
    <row r="6" spans="1:21" s="1" customFormat="1" ht="15.75" x14ac:dyDescent="0.25">
      <c r="A6" s="3"/>
      <c r="B6" s="493">
        <v>41519</v>
      </c>
      <c r="C6" s="6" t="s">
        <v>225</v>
      </c>
      <c r="D6" s="254">
        <v>0.25</v>
      </c>
      <c r="E6" s="239">
        <v>0.56666666666666665</v>
      </c>
      <c r="F6" s="240">
        <f t="shared" si="0"/>
        <v>0.31666666666666665</v>
      </c>
      <c r="G6" s="239"/>
      <c r="H6" s="255"/>
      <c r="I6" s="339">
        <f t="shared" si="1"/>
        <v>0</v>
      </c>
      <c r="J6" s="271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IF(H6&gt;"21:30"*1,Prime!$F$4,"")</f>
        <v/>
      </c>
      <c r="M6" s="311" t="str">
        <f>IF(AND(LEFT(C6,1)="d",OR(D6&gt;="7:00"*1,H6&gt;"22:00"*1)),Prime!$G$4,"")&amp;IF(AND(LEFT(C6,1)="s",H6&gt;="24:00"*1),Prime!$G$4,"")</f>
        <v/>
      </c>
      <c r="N6" s="326" t="str">
        <f>IF(ISNUMBER(FIND("F",C6)),Prime!$I$4,IF(ISNUMBER(FIND("CDS",C6)),Prime!$I$4,""))</f>
        <v/>
      </c>
      <c r="O6" s="342"/>
      <c r="P6" s="242" t="str">
        <f t="shared" si="2"/>
        <v/>
      </c>
      <c r="Q6" s="142">
        <f t="shared" si="3"/>
        <v>0.31666666666666665</v>
      </c>
      <c r="R6" s="143">
        <f>Q6*24</f>
        <v>7.6</v>
      </c>
      <c r="S6" s="144">
        <v>7.6</v>
      </c>
      <c r="T6" s="141" t="str">
        <f t="shared" si="4"/>
        <v>0,000</v>
      </c>
      <c r="U6" s="126"/>
    </row>
    <row r="7" spans="1:21" s="1" customFormat="1" ht="15.75" x14ac:dyDescent="0.25">
      <c r="A7" s="3"/>
      <c r="B7" s="493">
        <v>41520</v>
      </c>
      <c r="C7" s="6" t="s">
        <v>171</v>
      </c>
      <c r="D7" s="254">
        <v>0.20486111111111113</v>
      </c>
      <c r="E7" s="239">
        <v>0.52777777777777779</v>
      </c>
      <c r="F7" s="240">
        <f t="shared" si="0"/>
        <v>0.32291666666666663</v>
      </c>
      <c r="G7" s="239"/>
      <c r="H7" s="255"/>
      <c r="I7" s="339">
        <f t="shared" si="1"/>
        <v>0</v>
      </c>
      <c r="J7" s="271">
        <f>IF(COUNTA(D7:E7,G7:H7)=5,Prime!$E$4,IF(AND(D7&lt;="5:01"*1,D7&gt;"2:00"*1),Prime!$E$4,IF(AND(H7&gt;="22:00"*1,H7&lt;="26:01"*1),Prime!$E$4,"")))</f>
        <v>17.7056</v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311" t="str">
        <f>IF(AND(LEFT(C7,1)="d",OR(D7&gt;="7:00"*1,H7&gt;"22:00"*1)),Prime!$G$4,"")&amp;IF(AND(LEFT(C7,1)="s",H7&gt;="24:00"*1),Prime!$G$4,"")</f>
        <v/>
      </c>
      <c r="N7" s="326" t="str">
        <f>IF(ISNUMBER(FIND("F",C7)),Prime!$I$4,IF(ISNUMBER(FIND("CDS",C7)),Prime!$I$4,""))</f>
        <v/>
      </c>
      <c r="O7" s="342"/>
      <c r="P7" s="242" t="str">
        <f t="shared" si="2"/>
        <v/>
      </c>
      <c r="Q7" s="142">
        <f t="shared" si="3"/>
        <v>0.32291666666666663</v>
      </c>
      <c r="R7" s="143">
        <f t="shared" ref="R7:R33" si="5">Q7*24</f>
        <v>7.7499999999999991</v>
      </c>
      <c r="S7" s="144">
        <v>7.93</v>
      </c>
      <c r="T7" s="141">
        <f t="shared" si="4"/>
        <v>-0.1800000000000006</v>
      </c>
      <c r="U7" s="126"/>
    </row>
    <row r="8" spans="1:21" s="1" customFormat="1" ht="15.75" x14ac:dyDescent="0.25">
      <c r="A8" s="3"/>
      <c r="B8" s="493">
        <v>41521</v>
      </c>
      <c r="C8" s="6" t="s">
        <v>172</v>
      </c>
      <c r="D8" s="254">
        <v>0.20277777777777781</v>
      </c>
      <c r="E8" s="239">
        <v>0.53263888888888888</v>
      </c>
      <c r="F8" s="240">
        <f t="shared" si="0"/>
        <v>0.32986111111111105</v>
      </c>
      <c r="G8" s="239"/>
      <c r="H8" s="255"/>
      <c r="I8" s="339">
        <f t="shared" si="1"/>
        <v>0</v>
      </c>
      <c r="J8" s="271">
        <f>IF(COUNTA(D8:E8,G8:H8)=5,Prime!$E$4,IF(AND(D8&lt;="5:01"*1,D8&gt;"2:00"*1),Prime!$E$4,IF(AND(H8&gt;="22:00"*1,H8&lt;="26:01"*1),Prime!$E$4,"")))</f>
        <v>17.7056</v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311" t="str">
        <f>IF(AND(LEFT(C8,1)="d",OR(D8&gt;="7:00"*1,H8&gt;"22:00"*1)),Prime!$G$4,"")&amp;IF(AND(LEFT(C8,1)="s",H8&gt;="24:00"*1),Prime!$G$4,"")</f>
        <v/>
      </c>
      <c r="N8" s="326" t="str">
        <f>IF(ISNUMBER(FIND("F",C8)),Prime!$I$4,IF(ISNUMBER(FIND("CDS",C8)),Prime!$I$4,""))</f>
        <v/>
      </c>
      <c r="O8" s="342"/>
      <c r="P8" s="242" t="str">
        <f t="shared" si="2"/>
        <v/>
      </c>
      <c r="Q8" s="142">
        <f t="shared" si="3"/>
        <v>0.32986111111111105</v>
      </c>
      <c r="R8" s="143">
        <f t="shared" si="5"/>
        <v>7.9166666666666652</v>
      </c>
      <c r="S8" s="144">
        <v>7.92</v>
      </c>
      <c r="T8" s="141">
        <f t="shared" si="4"/>
        <v>-3.3333333333347426E-3</v>
      </c>
      <c r="U8" s="126"/>
    </row>
    <row r="9" spans="1:21" s="1" customFormat="1" ht="15.75" x14ac:dyDescent="0.25">
      <c r="A9" s="3"/>
      <c r="B9" s="493">
        <v>41522</v>
      </c>
      <c r="C9" s="6" t="s">
        <v>173</v>
      </c>
      <c r="D9" s="254">
        <v>0.20277777777777781</v>
      </c>
      <c r="E9" s="239">
        <v>0.53263888888888888</v>
      </c>
      <c r="F9" s="240">
        <f t="shared" si="0"/>
        <v>0.32986111111111105</v>
      </c>
      <c r="G9" s="239"/>
      <c r="H9" s="255"/>
      <c r="I9" s="339">
        <f t="shared" si="1"/>
        <v>0</v>
      </c>
      <c r="J9" s="271">
        <f>IF(COUNTA(D9:E9,G9:H9)=5,Prime!$E$4,IF(AND(D9&lt;="5:01"*1,D9&gt;"2:00"*1),Prime!$E$4,IF(AND(H9&gt;="22:00"*1,H9&lt;="26:01"*1),Prime!$E$4,"")))</f>
        <v>17.7056</v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311" t="str">
        <f>IF(AND(LEFT(C9,1)="d",OR(D9&gt;="7:00"*1,H9&gt;"22:00"*1)),Prime!$G$4,"")&amp;IF(AND(LEFT(C9,1)="s",H9&gt;="24:00"*1),Prime!$G$4,"")</f>
        <v/>
      </c>
      <c r="N9" s="326" t="str">
        <f>IF(ISNUMBER(FIND("F",C9)),Prime!$I$4,IF(ISNUMBER(FIND("CDS",C9)),Prime!$I$4,""))</f>
        <v/>
      </c>
      <c r="O9" s="342"/>
      <c r="P9" s="242" t="str">
        <f t="shared" si="2"/>
        <v/>
      </c>
      <c r="Q9" s="142">
        <f t="shared" si="3"/>
        <v>0.32986111111111105</v>
      </c>
      <c r="R9" s="143">
        <f t="shared" si="5"/>
        <v>7.9166666666666652</v>
      </c>
      <c r="S9" s="144">
        <v>7.27</v>
      </c>
      <c r="T9" s="141">
        <f t="shared" si="4"/>
        <v>0.64666666666666561</v>
      </c>
      <c r="U9" s="126"/>
    </row>
    <row r="10" spans="1:21" s="1" customFormat="1" ht="15.75" x14ac:dyDescent="0.25">
      <c r="A10" s="3"/>
      <c r="B10" s="493">
        <v>41523</v>
      </c>
      <c r="C10" s="6" t="s">
        <v>173</v>
      </c>
      <c r="D10" s="254">
        <v>0.20277777777777781</v>
      </c>
      <c r="E10" s="239">
        <v>0.53263888888888888</v>
      </c>
      <c r="F10" s="240">
        <f t="shared" si="0"/>
        <v>0.32986111111111105</v>
      </c>
      <c r="G10" s="239"/>
      <c r="H10" s="255"/>
      <c r="I10" s="339">
        <f t="shared" si="1"/>
        <v>0</v>
      </c>
      <c r="J10" s="271">
        <f>IF(COUNTA(D10:E10,G10:H10)=5,Prime!$E$4,IF(AND(D10&lt;="5:01"*1,D10&gt;"2:00"*1),Prime!$E$4,IF(AND(H10&gt;="22:00"*1,H10&lt;="26:01"*1),Prime!$E$4,"")))</f>
        <v>17.7056</v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311" t="str">
        <f>IF(AND(LEFT(C10,1)="d",OR(D10&gt;="7:00"*1,H10&gt;"22:00"*1)),Prime!$G$4,"")&amp;IF(AND(LEFT(C10,1)="s",H10&gt;="24:00"*1),Prime!$G$4,"")</f>
        <v/>
      </c>
      <c r="N10" s="326" t="str">
        <f>IF(ISNUMBER(FIND("F",C10)),Prime!$I$4,IF(ISNUMBER(FIND("CDS",C10)),Prime!$I$4,""))</f>
        <v/>
      </c>
      <c r="O10" s="342"/>
      <c r="P10" s="242" t="str">
        <f t="shared" si="2"/>
        <v/>
      </c>
      <c r="Q10" s="142">
        <f t="shared" si="3"/>
        <v>0.32986111111111105</v>
      </c>
      <c r="R10" s="143">
        <f t="shared" si="5"/>
        <v>7.9166666666666652</v>
      </c>
      <c r="S10" s="144">
        <v>7.27</v>
      </c>
      <c r="T10" s="141">
        <f t="shared" si="4"/>
        <v>0.64666666666666561</v>
      </c>
      <c r="U10" s="126"/>
    </row>
    <row r="11" spans="1:21" s="1" customFormat="1" ht="15.75" x14ac:dyDescent="0.25">
      <c r="A11" s="3"/>
      <c r="B11" s="493">
        <v>41524</v>
      </c>
      <c r="C11" s="6" t="s">
        <v>174</v>
      </c>
      <c r="D11" s="254">
        <v>0.23611111111111113</v>
      </c>
      <c r="E11" s="239">
        <v>0.50694444444444442</v>
      </c>
      <c r="F11" s="240">
        <f t="shared" si="0"/>
        <v>0.27083333333333326</v>
      </c>
      <c r="G11" s="239"/>
      <c r="H11" s="255"/>
      <c r="I11" s="339">
        <f t="shared" si="1"/>
        <v>0</v>
      </c>
      <c r="J11" s="271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86" t="str">
        <f>IF(H11&gt;"21:30"*1,Prime!$F$4,"")</f>
        <v/>
      </c>
      <c r="M11" s="311" t="str">
        <f>IF(AND(LEFT(C11,1)="d",OR(D11&gt;="7:00"*1,H11&gt;"22:00"*1)),Prime!$G$4,"")&amp;IF(AND(LEFT(C11,1)="s",H11&gt;="24:00"*1),Prime!$G$4,"")</f>
        <v/>
      </c>
      <c r="N11" s="326" t="str">
        <f>IF(ISNUMBER(FIND("F",C11)),Prime!$I$4,IF(ISNUMBER(FIND("CDS",C11)),Prime!$I$4,""))</f>
        <v/>
      </c>
      <c r="O11" s="342"/>
      <c r="P11" s="242" t="str">
        <f t="shared" si="2"/>
        <v/>
      </c>
      <c r="Q11" s="142">
        <f t="shared" si="3"/>
        <v>0.27083333333333326</v>
      </c>
      <c r="R11" s="143">
        <f t="shared" si="5"/>
        <v>6.4999999999999982</v>
      </c>
      <c r="S11" s="144">
        <v>6.5</v>
      </c>
      <c r="T11" s="141">
        <f t="shared" si="4"/>
        <v>-1.7763568394002505E-15</v>
      </c>
      <c r="U11" s="126"/>
    </row>
    <row r="12" spans="1:21" s="1" customFormat="1" ht="15.75" x14ac:dyDescent="0.25">
      <c r="A12" s="3"/>
      <c r="B12" s="493">
        <v>41525</v>
      </c>
      <c r="C12" s="6" t="s">
        <v>226</v>
      </c>
      <c r="D12" s="254">
        <v>0.25</v>
      </c>
      <c r="E12" s="239">
        <v>0.56666666666666665</v>
      </c>
      <c r="F12" s="240">
        <f t="shared" si="0"/>
        <v>0.31666666666666665</v>
      </c>
      <c r="G12" s="239"/>
      <c r="H12" s="255"/>
      <c r="I12" s="339">
        <f t="shared" si="1"/>
        <v>0</v>
      </c>
      <c r="J12" s="271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311" t="str">
        <f>IF(AND(LEFT(C12,1)="d",OR(D12&gt;="7:00"*1,H12&gt;"22:00"*1)),Prime!$G$4,"")&amp;IF(AND(LEFT(C12,1)="s",H12&gt;="24:00"*1),Prime!$G$4,"")</f>
        <v/>
      </c>
      <c r="N12" s="326" t="str">
        <f>IF(ISNUMBER(FIND("F",C12)),Prime!$I$4,IF(ISNUMBER(FIND("CDS",C12)),Prime!$I$4,""))</f>
        <v/>
      </c>
      <c r="O12" s="342"/>
      <c r="P12" s="242" t="str">
        <f t="shared" si="2"/>
        <v/>
      </c>
      <c r="Q12" s="142">
        <f t="shared" si="3"/>
        <v>0.31666666666666665</v>
      </c>
      <c r="R12" s="143">
        <f t="shared" si="5"/>
        <v>7.6</v>
      </c>
      <c r="S12" s="144">
        <v>7.6</v>
      </c>
      <c r="T12" s="141" t="str">
        <f t="shared" si="4"/>
        <v>0,000</v>
      </c>
      <c r="U12" s="126"/>
    </row>
    <row r="13" spans="1:21" s="1" customFormat="1" ht="15.75" x14ac:dyDescent="0.25">
      <c r="A13" s="3"/>
      <c r="B13" s="493">
        <v>41526</v>
      </c>
      <c r="C13" s="6" t="s">
        <v>225</v>
      </c>
      <c r="D13" s="254">
        <v>0.25</v>
      </c>
      <c r="E13" s="239">
        <v>0.56666666666666665</v>
      </c>
      <c r="F13" s="240">
        <f t="shared" si="0"/>
        <v>0.31666666666666665</v>
      </c>
      <c r="G13" s="239"/>
      <c r="H13" s="255"/>
      <c r="I13" s="339">
        <f t="shared" si="1"/>
        <v>0</v>
      </c>
      <c r="J13" s="271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311" t="str">
        <f>IF(AND(LEFT(C13,1)="d",OR(D13&gt;="7:00"*1,H13&gt;"22:00"*1)),Prime!$G$4,"")&amp;IF(AND(LEFT(C13,1)="s",H13&gt;="24:00"*1),Prime!$G$4,"")</f>
        <v/>
      </c>
      <c r="N13" s="326" t="str">
        <f>IF(ISNUMBER(FIND("F",C13)),Prime!$I$4,IF(ISNUMBER(FIND("CDS",C13)),Prime!$I$4,""))</f>
        <v/>
      </c>
      <c r="O13" s="342"/>
      <c r="P13" s="242" t="str">
        <f t="shared" si="2"/>
        <v/>
      </c>
      <c r="Q13" s="142">
        <f t="shared" si="3"/>
        <v>0.31666666666666665</v>
      </c>
      <c r="R13" s="143">
        <f t="shared" si="5"/>
        <v>7.6</v>
      </c>
      <c r="S13" s="144">
        <v>7.6</v>
      </c>
      <c r="T13" s="141" t="str">
        <f t="shared" si="4"/>
        <v>0,000</v>
      </c>
      <c r="U13" s="126"/>
    </row>
    <row r="14" spans="1:21" s="1" customFormat="1" ht="15.75" x14ac:dyDescent="0.25">
      <c r="A14" s="3"/>
      <c r="B14" s="493">
        <v>41527</v>
      </c>
      <c r="C14" s="6" t="s">
        <v>1</v>
      </c>
      <c r="D14" s="254">
        <v>0.25</v>
      </c>
      <c r="E14" s="239">
        <v>0.56666666666666665</v>
      </c>
      <c r="F14" s="240">
        <f t="shared" si="0"/>
        <v>0.31666666666666665</v>
      </c>
      <c r="G14" s="239"/>
      <c r="H14" s="255"/>
      <c r="I14" s="339">
        <f t="shared" si="1"/>
        <v>0</v>
      </c>
      <c r="J14" s="271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311" t="str">
        <f>IF(AND(LEFT(C14,1)="d",OR(D14&gt;="7:00"*1,H14&gt;"22:00"*1)),Prime!$G$4,"")&amp;IF(AND(LEFT(C14,1)="s",H14&gt;="24:00"*1),Prime!$G$4,"")</f>
        <v/>
      </c>
      <c r="N14" s="326" t="str">
        <f>IF(ISNUMBER(FIND("F",C14)),Prime!$I$4,IF(ISNUMBER(FIND("CDS",C14)),Prime!$I$4,""))</f>
        <v/>
      </c>
      <c r="O14" s="342"/>
      <c r="P14" s="242" t="str">
        <f t="shared" si="2"/>
        <v/>
      </c>
      <c r="Q14" s="142">
        <f t="shared" si="3"/>
        <v>0.31666666666666665</v>
      </c>
      <c r="R14" s="143">
        <f t="shared" si="5"/>
        <v>7.6</v>
      </c>
      <c r="S14" s="144">
        <v>7.6</v>
      </c>
      <c r="T14" s="141" t="str">
        <f t="shared" si="4"/>
        <v>0,000</v>
      </c>
      <c r="U14" s="126"/>
    </row>
    <row r="15" spans="1:21" s="1" customFormat="1" ht="15.75" x14ac:dyDescent="0.25">
      <c r="A15" s="3"/>
      <c r="B15" s="493">
        <v>41528</v>
      </c>
      <c r="C15" s="6" t="s">
        <v>19</v>
      </c>
      <c r="D15" s="254">
        <v>0.25</v>
      </c>
      <c r="E15" s="239">
        <v>0.56666666666666665</v>
      </c>
      <c r="F15" s="240">
        <f t="shared" si="0"/>
        <v>0.31666666666666665</v>
      </c>
      <c r="G15" s="239"/>
      <c r="H15" s="255"/>
      <c r="I15" s="339">
        <f t="shared" si="1"/>
        <v>0</v>
      </c>
      <c r="J15" s="271" t="str">
        <f>IF(COUNTA(D15:E15,G15:H15)=5,Prime!$E$4,IF(AND(D15&lt;="5:01"*1,D15&gt;"2:00"*1),Prime!$E$4,IF(AND(H15&gt;="22:00"*1,H15&lt;="26:01"*1),Prime!$E$4,"")))</f>
        <v/>
      </c>
      <c r="K15" s="231" t="str">
        <f>IF(COUNTA(D15:E15,G15:H15)=5,Prime!$E$4,IF(AND(E15&gt;="13:15"*1,G15&lt;""),Prime!$E$4,IF(AND(G15&gt;="11:00"*1,G15&lt;="12:15"*1),Prime!$E$4,"")))</f>
        <v/>
      </c>
      <c r="L15" s="286" t="str">
        <f>IF(H15&gt;"21:30"*1,Prime!$F$4,"")</f>
        <v/>
      </c>
      <c r="M15" s="311" t="str">
        <f>IF(AND(LEFT(C15,1)="d",OR(D15&gt;="7:00"*1,H15&gt;"22:00"*1)),Prime!$G$4,"")&amp;IF(AND(LEFT(C15,1)="s",H15&gt;="24:00"*1),Prime!$G$4,"")</f>
        <v/>
      </c>
      <c r="N15" s="326" t="str">
        <f>IF(ISNUMBER(FIND("F",C15)),Prime!$I$4,IF(ISNUMBER(FIND("CDS",C15)),Prime!$I$4,""))</f>
        <v/>
      </c>
      <c r="O15" s="342"/>
      <c r="P15" s="242" t="str">
        <f t="shared" si="2"/>
        <v/>
      </c>
      <c r="Q15" s="142">
        <f t="shared" si="3"/>
        <v>0.31666666666666665</v>
      </c>
      <c r="R15" s="143">
        <f t="shared" si="5"/>
        <v>7.6</v>
      </c>
      <c r="S15" s="144">
        <v>7.6</v>
      </c>
      <c r="T15" s="141" t="str">
        <f t="shared" si="4"/>
        <v>0,000</v>
      </c>
      <c r="U15" s="126"/>
    </row>
    <row r="16" spans="1:21" s="1" customFormat="1" ht="15.75" x14ac:dyDescent="0.25">
      <c r="A16" s="3"/>
      <c r="B16" s="493">
        <v>41529</v>
      </c>
      <c r="C16" s="6" t="s">
        <v>175</v>
      </c>
      <c r="D16" s="254">
        <v>0.22291666666666665</v>
      </c>
      <c r="E16" s="239">
        <v>0.55347222222222225</v>
      </c>
      <c r="F16" s="240">
        <f t="shared" si="0"/>
        <v>0.3305555555555556</v>
      </c>
      <c r="G16" s="239"/>
      <c r="H16" s="255"/>
      <c r="I16" s="339">
        <f t="shared" si="1"/>
        <v>0</v>
      </c>
      <c r="J16" s="271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311" t="str">
        <f>IF(AND(LEFT(C16,1)="d",OR(D16&gt;="7:00"*1,H16&gt;"22:00"*1)),Prime!$G$4,"")&amp;IF(AND(LEFT(C16,1)="s",H16&gt;="24:00"*1),Prime!$G$4,"")</f>
        <v/>
      </c>
      <c r="N16" s="326" t="str">
        <f>IF(ISNUMBER(FIND("F",C16)),Prime!$I$4,IF(ISNUMBER(FIND("CDS",C16)),Prime!$I$4,""))</f>
        <v/>
      </c>
      <c r="O16" s="342"/>
      <c r="P16" s="242" t="str">
        <f t="shared" si="2"/>
        <v/>
      </c>
      <c r="Q16" s="142">
        <f t="shared" si="3"/>
        <v>0.3305555555555556</v>
      </c>
      <c r="R16" s="143">
        <f t="shared" si="5"/>
        <v>7.9333333333333345</v>
      </c>
      <c r="S16" s="144">
        <v>7.93</v>
      </c>
      <c r="T16" s="141">
        <f t="shared" si="4"/>
        <v>3.3333333333347426E-3</v>
      </c>
      <c r="U16" s="126"/>
    </row>
    <row r="17" spans="1:21" s="1" customFormat="1" ht="15.75" x14ac:dyDescent="0.25">
      <c r="A17" s="3"/>
      <c r="B17" s="493">
        <v>41530</v>
      </c>
      <c r="C17" s="6" t="s">
        <v>176</v>
      </c>
      <c r="D17" s="254">
        <v>0.25</v>
      </c>
      <c r="E17" s="239">
        <v>0.3888888888888889</v>
      </c>
      <c r="F17" s="240">
        <f t="shared" si="0"/>
        <v>0.1388888888888889</v>
      </c>
      <c r="G17" s="239">
        <v>0.49861111111111112</v>
      </c>
      <c r="H17" s="255">
        <v>0.68194444444444446</v>
      </c>
      <c r="I17" s="339">
        <f t="shared" si="1"/>
        <v>0.18333333333333335</v>
      </c>
      <c r="J17" s="271" t="str">
        <f>IF(COUNTA(D17:E17,G17:H17)=5,Prime!$E$4,IF(AND(D17&lt;="5:01"*1,D17&gt;"2:00"*1),Prime!$E$4,IF(AND(H17&gt;="22:00"*1,H17&lt;="26:01"*1),Prime!$E$4,"")))</f>
        <v/>
      </c>
      <c r="K17" s="231">
        <f>IF(COUNTA(D17:E17,G17:H17)=5,Prime!$E$4,IF(AND(E17&gt;="13:15"*1,G17&lt;""),Prime!$E$4,IF(AND(G17&gt;="11:00"*1,G17&lt;="12:15"*1),Prime!$E$4,"")))</f>
        <v>17.7056</v>
      </c>
      <c r="L17" s="286" t="str">
        <f>IF(H17&gt;"21:30"*1,Prime!$F$4,"")</f>
        <v/>
      </c>
      <c r="M17" s="311" t="str">
        <f>IF(AND(LEFT(C17,1)="d",OR(D17&gt;="7:00"*1,H17&gt;"22:00"*1)),Prime!$G$4,"")&amp;IF(AND(LEFT(C17,1)="s",H17&gt;="24:00"*1),Prime!$G$4,"")</f>
        <v/>
      </c>
      <c r="N17" s="326" t="str">
        <f>IF(ISNUMBER(FIND("F",C17)),Prime!$I$4,IF(ISNUMBER(FIND("CDS",C17)),Prime!$I$4,""))</f>
        <v/>
      </c>
      <c r="O17" s="342"/>
      <c r="P17" s="242" t="str">
        <f t="shared" si="2"/>
        <v/>
      </c>
      <c r="Q17" s="142">
        <f t="shared" si="3"/>
        <v>0.32222222222222224</v>
      </c>
      <c r="R17" s="143">
        <f t="shared" si="5"/>
        <v>7.7333333333333343</v>
      </c>
      <c r="S17" s="144">
        <v>7.73</v>
      </c>
      <c r="T17" s="141">
        <f t="shared" si="4"/>
        <v>3.3333333333338544E-3</v>
      </c>
      <c r="U17" s="126"/>
    </row>
    <row r="18" spans="1:21" s="1" customFormat="1" ht="15.75" x14ac:dyDescent="0.25">
      <c r="A18" s="3"/>
      <c r="B18" s="493">
        <v>41531</v>
      </c>
      <c r="C18" s="6" t="s">
        <v>177</v>
      </c>
      <c r="D18" s="254">
        <v>0.26041666666666669</v>
      </c>
      <c r="E18" s="239">
        <v>0.39097222222222222</v>
      </c>
      <c r="F18" s="240">
        <f t="shared" si="0"/>
        <v>0.13055555555555554</v>
      </c>
      <c r="G18" s="239">
        <v>0.56180555555555556</v>
      </c>
      <c r="H18" s="255">
        <v>0.76458333333333339</v>
      </c>
      <c r="I18" s="339">
        <f t="shared" si="1"/>
        <v>0.20277777777777783</v>
      </c>
      <c r="J18" s="271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311" t="str">
        <f>IF(AND(LEFT(C18,1)="d",OR(D18&gt;="7:00"*1,H18&gt;"22:00"*1)),Prime!$G$4,"")&amp;IF(AND(LEFT(C18,1)="s",H18&gt;="24:00"*1),Prime!$G$4,"")</f>
        <v/>
      </c>
      <c r="N18" s="326" t="str">
        <f>IF(ISNUMBER(FIND("F",C18)),Prime!$I$4,IF(ISNUMBER(FIND("CDS",C18)),Prime!$I$4,""))</f>
        <v/>
      </c>
      <c r="O18" s="342"/>
      <c r="P18" s="242" t="str">
        <f>IF(ISBLANK(O18),"",O18*24)</f>
        <v/>
      </c>
      <c r="Q18" s="142">
        <f t="shared" si="3"/>
        <v>0.33333333333333337</v>
      </c>
      <c r="R18" s="143">
        <f t="shared" si="5"/>
        <v>8</v>
      </c>
      <c r="S18" s="144">
        <v>8</v>
      </c>
      <c r="T18" s="141" t="str">
        <f t="shared" si="4"/>
        <v>0,000</v>
      </c>
      <c r="U18" s="126"/>
    </row>
    <row r="19" spans="1:21" s="1" customFormat="1" ht="15.75" x14ac:dyDescent="0.25">
      <c r="A19" s="3"/>
      <c r="B19" s="493">
        <v>41532</v>
      </c>
      <c r="C19" s="6" t="s">
        <v>227</v>
      </c>
      <c r="D19" s="254">
        <v>0.26666666666666666</v>
      </c>
      <c r="E19" s="239">
        <v>0.4604166666666667</v>
      </c>
      <c r="F19" s="240">
        <f t="shared" si="0"/>
        <v>0.19375000000000003</v>
      </c>
      <c r="G19" s="239">
        <v>0.50694444444444442</v>
      </c>
      <c r="H19" s="255">
        <v>0.65555555555555556</v>
      </c>
      <c r="I19" s="339">
        <f t="shared" si="1"/>
        <v>0.14861111111111114</v>
      </c>
      <c r="J19" s="271" t="str">
        <f>IF(COUNTA(D19:E19,G19:H19)=5,Prime!$E$4,IF(AND(D19&lt;="5:01"*1,D19&gt;"2:00"*1),Prime!$E$4,IF(AND(H19&gt;="22:00"*1,H19&lt;="26:01"*1),Prime!$E$4,"")))</f>
        <v/>
      </c>
      <c r="K19" s="231">
        <f>IF(COUNTA(D19:E19,G19:H19)=5,Prime!$E$4,IF(AND(E19&gt;="13:15"*1,G19&lt;""),Prime!$E$4,IF(AND(G19&gt;="11:00"*1,G19&lt;="12:15"*1),Prime!$E$4,"")))</f>
        <v>17.7056</v>
      </c>
      <c r="L19" s="286" t="str">
        <f>IF(H19&gt;"21:30"*1,Prime!$F$4,"")</f>
        <v/>
      </c>
      <c r="M19" s="311" t="str">
        <f>IF(AND(LEFT(C19,1)="d",OR(D19&gt;="7:00"*1,H19&gt;"22:00"*1)),Prime!$G$4,"")&amp;IF(AND(LEFT(C19,1)="s",H19&gt;="24:00"*1),Prime!$G$4,"")</f>
        <v/>
      </c>
      <c r="N19" s="326" t="str">
        <f>IF(ISNUMBER(FIND("F",C19)),Prime!$I$4,IF(ISNUMBER(FIND("CDS",C19)),Prime!$I$4,""))</f>
        <v/>
      </c>
      <c r="O19" s="342"/>
      <c r="P19" s="242" t="str">
        <f t="shared" ref="P19:P32" si="6">IF(ISBLANK(O19),"",O19*24)</f>
        <v/>
      </c>
      <c r="Q19" s="142">
        <f t="shared" si="3"/>
        <v>0.34236111111111117</v>
      </c>
      <c r="R19" s="143">
        <f t="shared" si="5"/>
        <v>8.2166666666666686</v>
      </c>
      <c r="S19" s="144">
        <v>8.2200000000000006</v>
      </c>
      <c r="T19" s="141">
        <f t="shared" si="4"/>
        <v>-3.333333333332078E-3</v>
      </c>
      <c r="U19" s="126"/>
    </row>
    <row r="20" spans="1:21" s="1" customFormat="1" ht="15.75" x14ac:dyDescent="0.25">
      <c r="A20" s="3"/>
      <c r="B20" s="493">
        <v>41533</v>
      </c>
      <c r="C20" s="6" t="s">
        <v>198</v>
      </c>
      <c r="D20" s="254">
        <v>0.25</v>
      </c>
      <c r="E20" s="239">
        <v>0.56666666666666665</v>
      </c>
      <c r="F20" s="240">
        <f t="shared" si="0"/>
        <v>0.31666666666666665</v>
      </c>
      <c r="G20" s="239"/>
      <c r="H20" s="255"/>
      <c r="I20" s="339">
        <f t="shared" si="1"/>
        <v>0</v>
      </c>
      <c r="J20" s="271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311" t="str">
        <f>IF(AND(LEFT(C20,1)="d",OR(D20&gt;="7:00"*1,H20&gt;"22:00"*1)),Prime!$G$4,"")&amp;IF(AND(LEFT(C20,1)="s",H20&gt;="24:00"*1),Prime!$G$4,"")</f>
        <v/>
      </c>
      <c r="N20" s="326" t="str">
        <f>IF(ISNUMBER(FIND("F",C20)),Prime!$I$4,IF(ISNUMBER(FIND("CDS",C20)),Prime!$I$4,""))</f>
        <v/>
      </c>
      <c r="O20" s="342"/>
      <c r="P20" s="242" t="str">
        <f t="shared" si="6"/>
        <v/>
      </c>
      <c r="Q20" s="142">
        <f t="shared" si="3"/>
        <v>0.31666666666666665</v>
      </c>
      <c r="R20" s="143">
        <f t="shared" si="5"/>
        <v>7.6</v>
      </c>
      <c r="S20" s="144">
        <v>7.6</v>
      </c>
      <c r="T20" s="141" t="str">
        <f t="shared" si="4"/>
        <v>0,000</v>
      </c>
      <c r="U20" s="126"/>
    </row>
    <row r="21" spans="1:21" s="1" customFormat="1" ht="15.75" x14ac:dyDescent="0.25">
      <c r="A21" s="3"/>
      <c r="B21" s="493">
        <v>41534</v>
      </c>
      <c r="C21" s="6" t="s">
        <v>124</v>
      </c>
      <c r="D21" s="254">
        <v>0.51666666666666672</v>
      </c>
      <c r="E21" s="239">
        <v>0.8354166666666667</v>
      </c>
      <c r="F21" s="240">
        <f t="shared" si="0"/>
        <v>0.31874999999999998</v>
      </c>
      <c r="G21" s="239"/>
      <c r="H21" s="255"/>
      <c r="I21" s="339">
        <f t="shared" si="1"/>
        <v>0</v>
      </c>
      <c r="J21" s="271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311" t="str">
        <f>IF(AND(LEFT(C21,1)="d",OR(D21&gt;="7:00"*1,H21&gt;"22:00"*1)),Prime!$G$4,"")&amp;IF(AND(LEFT(C21,1)="s",H21&gt;="24:00"*1),Prime!$G$4,"")</f>
        <v/>
      </c>
      <c r="N21" s="326" t="str">
        <f>IF(ISNUMBER(FIND("F",C21)),Prime!$I$4,IF(ISNUMBER(FIND("CDS",C21)),Prime!$I$4,""))</f>
        <v/>
      </c>
      <c r="O21" s="342"/>
      <c r="P21" s="242" t="str">
        <f t="shared" si="6"/>
        <v/>
      </c>
      <c r="Q21" s="142">
        <f t="shared" si="3"/>
        <v>0.31874999999999998</v>
      </c>
      <c r="R21" s="143">
        <f t="shared" si="5"/>
        <v>7.6499999999999995</v>
      </c>
      <c r="S21" s="144">
        <v>7.65</v>
      </c>
      <c r="T21" s="141">
        <f t="shared" si="4"/>
        <v>-8.8817841970012523E-16</v>
      </c>
      <c r="U21" s="126"/>
    </row>
    <row r="22" spans="1:21" s="1" customFormat="1" ht="15.75" x14ac:dyDescent="0.25">
      <c r="A22" s="3"/>
      <c r="B22" s="493">
        <v>41535</v>
      </c>
      <c r="C22" s="6" t="s">
        <v>124</v>
      </c>
      <c r="D22" s="254">
        <v>0.51666666666666672</v>
      </c>
      <c r="E22" s="239">
        <v>0.8354166666666667</v>
      </c>
      <c r="F22" s="240">
        <f t="shared" si="0"/>
        <v>0.31874999999999998</v>
      </c>
      <c r="G22" s="239"/>
      <c r="H22" s="255"/>
      <c r="I22" s="339">
        <f t="shared" si="1"/>
        <v>0</v>
      </c>
      <c r="J22" s="271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311" t="str">
        <f>IF(AND(LEFT(C22,1)="d",OR(D22&gt;="7:00"*1,H22&gt;"22:00"*1)),Prime!$G$4,"")&amp;IF(AND(LEFT(C22,1)="s",H22&gt;="24:00"*1),Prime!$G$4,"")</f>
        <v/>
      </c>
      <c r="N22" s="326" t="str">
        <f>IF(ISNUMBER(FIND("F",C22)),Prime!$I$4,IF(ISNUMBER(FIND("CDS",C22)),Prime!$I$4,""))</f>
        <v/>
      </c>
      <c r="O22" s="342"/>
      <c r="P22" s="242" t="str">
        <f t="shared" si="6"/>
        <v/>
      </c>
      <c r="Q22" s="142">
        <f t="shared" si="3"/>
        <v>0.31874999999999998</v>
      </c>
      <c r="R22" s="143">
        <f t="shared" si="5"/>
        <v>7.6499999999999995</v>
      </c>
      <c r="S22" s="144">
        <v>7.65</v>
      </c>
      <c r="T22" s="141">
        <f t="shared" si="4"/>
        <v>-8.8817841970012523E-16</v>
      </c>
      <c r="U22" s="126"/>
    </row>
    <row r="23" spans="1:21" s="1" customFormat="1" ht="15.75" x14ac:dyDescent="0.25">
      <c r="A23" s="3"/>
      <c r="B23" s="493">
        <v>41536</v>
      </c>
      <c r="C23" s="6" t="s">
        <v>1</v>
      </c>
      <c r="D23" s="254">
        <v>0.25</v>
      </c>
      <c r="E23" s="239">
        <v>0.56666666666666665</v>
      </c>
      <c r="F23" s="240">
        <f t="shared" si="0"/>
        <v>0.31666666666666665</v>
      </c>
      <c r="G23" s="239"/>
      <c r="H23" s="255"/>
      <c r="I23" s="339">
        <f t="shared" si="1"/>
        <v>0</v>
      </c>
      <c r="J23" s="271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311" t="str">
        <f>IF(AND(LEFT(C23,1)="d",OR(D23&gt;="7:00"*1,H23&gt;"22:00"*1)),Prime!$G$4,"")&amp;IF(AND(LEFT(C23,1)="s",H23&gt;="24:00"*1),Prime!$G$4,"")</f>
        <v/>
      </c>
      <c r="N23" s="326" t="str">
        <f>IF(ISNUMBER(FIND("F",C23)),Prime!$I$4,IF(ISNUMBER(FIND("CDS",C23)),Prime!$I$4,""))</f>
        <v/>
      </c>
      <c r="O23" s="342"/>
      <c r="P23" s="242" t="str">
        <f t="shared" si="6"/>
        <v/>
      </c>
      <c r="Q23" s="142">
        <f t="shared" si="3"/>
        <v>0.31666666666666665</v>
      </c>
      <c r="R23" s="143">
        <f t="shared" si="5"/>
        <v>7.6</v>
      </c>
      <c r="S23" s="144">
        <v>7.6</v>
      </c>
      <c r="T23" s="141" t="str">
        <f t="shared" si="4"/>
        <v>0,000</v>
      </c>
      <c r="U23" s="126"/>
    </row>
    <row r="24" spans="1:21" s="1" customFormat="1" ht="15.75" x14ac:dyDescent="0.25">
      <c r="A24" s="3"/>
      <c r="B24" s="493">
        <v>41537</v>
      </c>
      <c r="C24" s="6" t="s">
        <v>125</v>
      </c>
      <c r="D24" s="254">
        <v>0.62986111111111109</v>
      </c>
      <c r="E24" s="239">
        <v>0.94374999999999998</v>
      </c>
      <c r="F24" s="240">
        <f t="shared" si="0"/>
        <v>0.31388888888888888</v>
      </c>
      <c r="G24" s="239"/>
      <c r="H24" s="255"/>
      <c r="I24" s="339">
        <f t="shared" si="1"/>
        <v>0</v>
      </c>
      <c r="J24" s="271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311" t="str">
        <f>IF(AND(LEFT(C24,1)="d",OR(D24&gt;="7:00"*1,H24&gt;"22:00"*1)),Prime!$G$4,"")&amp;IF(AND(LEFT(C24,1)="s",H24&gt;="24:00"*1),Prime!$G$4,"")</f>
        <v/>
      </c>
      <c r="N24" s="326" t="str">
        <f>IF(ISNUMBER(FIND("F",C24)),Prime!$I$4,IF(ISNUMBER(FIND("CDS",C24)),Prime!$I$4,""))</f>
        <v/>
      </c>
      <c r="O24" s="342"/>
      <c r="P24" s="242" t="str">
        <f t="shared" si="6"/>
        <v/>
      </c>
      <c r="Q24" s="142">
        <f t="shared" si="3"/>
        <v>0.31388888888888888</v>
      </c>
      <c r="R24" s="143">
        <f t="shared" si="5"/>
        <v>7.5333333333333332</v>
      </c>
      <c r="S24" s="144">
        <v>7.53</v>
      </c>
      <c r="T24" s="141">
        <f t="shared" si="4"/>
        <v>3.3333333333329662E-3</v>
      </c>
      <c r="U24" s="126"/>
    </row>
    <row r="25" spans="1:21" s="1" customFormat="1" ht="15.75" x14ac:dyDescent="0.25">
      <c r="A25" s="3"/>
      <c r="B25" s="493">
        <v>41538</v>
      </c>
      <c r="C25" s="6" t="s">
        <v>125</v>
      </c>
      <c r="D25" s="254">
        <v>0.62986111111111109</v>
      </c>
      <c r="E25" s="239">
        <v>0.94374999999999998</v>
      </c>
      <c r="F25" s="240">
        <f t="shared" si="0"/>
        <v>0.31388888888888888</v>
      </c>
      <c r="G25" s="239"/>
      <c r="H25" s="255"/>
      <c r="I25" s="339">
        <f t="shared" si="1"/>
        <v>0</v>
      </c>
      <c r="J25" s="271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311" t="str">
        <f>IF(AND(LEFT(C25,1)="d",OR(D25&gt;="7:00"*1,H25&gt;"22:00"*1)),Prime!$G$4,"")&amp;IF(AND(LEFT(C25,1)="s",H25&gt;="24:00"*1),Prime!$G$4,"")</f>
        <v/>
      </c>
      <c r="N25" s="326" t="str">
        <f>IF(ISNUMBER(FIND("F",C25)),Prime!$I$4,IF(ISNUMBER(FIND("CDS",C25)),Prime!$I$4,""))</f>
        <v/>
      </c>
      <c r="O25" s="342"/>
      <c r="P25" s="242" t="str">
        <f t="shared" si="6"/>
        <v/>
      </c>
      <c r="Q25" s="142">
        <f t="shared" si="3"/>
        <v>0.31388888888888888</v>
      </c>
      <c r="R25" s="143">
        <f t="shared" si="5"/>
        <v>7.5333333333333332</v>
      </c>
      <c r="S25" s="144">
        <v>7.72</v>
      </c>
      <c r="T25" s="141">
        <f t="shared" si="4"/>
        <v>-0.18666666666666654</v>
      </c>
      <c r="U25" s="126"/>
    </row>
    <row r="26" spans="1:21" s="1" customFormat="1" ht="15.75" x14ac:dyDescent="0.25">
      <c r="A26" s="3"/>
      <c r="B26" s="493">
        <v>41539</v>
      </c>
      <c r="C26" s="6" t="s">
        <v>201</v>
      </c>
      <c r="D26" s="254">
        <v>0.53194444444444444</v>
      </c>
      <c r="E26" s="239">
        <v>0.86111111111111116</v>
      </c>
      <c r="F26" s="240">
        <f t="shared" si="0"/>
        <v>0.32916666666666672</v>
      </c>
      <c r="G26" s="239"/>
      <c r="H26" s="255"/>
      <c r="I26" s="339">
        <f t="shared" si="1"/>
        <v>0</v>
      </c>
      <c r="J26" s="271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311" t="str">
        <f>IF(AND(LEFT(C26,1)="d",OR(D26&gt;="7:00"*1,H26&gt;"22:00"*1)),Prime!$G$4,"")&amp;IF(AND(LEFT(C26,1)="s",H26&gt;="24:00"*1),Prime!$G$4,"")</f>
        <v/>
      </c>
      <c r="N26" s="326" t="str">
        <f>IF(ISNUMBER(FIND("F",C26)),Prime!$I$4,IF(ISNUMBER(FIND("CDS",C26)),Prime!$I$4,""))</f>
        <v/>
      </c>
      <c r="O26" s="342"/>
      <c r="P26" s="242" t="str">
        <f t="shared" si="6"/>
        <v/>
      </c>
      <c r="Q26" s="142">
        <f t="shared" si="3"/>
        <v>0.32916666666666672</v>
      </c>
      <c r="R26" s="143">
        <f t="shared" si="5"/>
        <v>7.9000000000000012</v>
      </c>
      <c r="S26" s="144">
        <v>7.9</v>
      </c>
      <c r="T26" s="141">
        <f t="shared" si="4"/>
        <v>8.8817841970012523E-16</v>
      </c>
      <c r="U26" s="126"/>
    </row>
    <row r="27" spans="1:21" s="1" customFormat="1" ht="15.75" x14ac:dyDescent="0.25">
      <c r="A27" s="3"/>
      <c r="B27" s="493">
        <v>41540</v>
      </c>
      <c r="C27" s="6" t="s">
        <v>228</v>
      </c>
      <c r="D27" s="254">
        <v>0.25</v>
      </c>
      <c r="E27" s="239">
        <v>0.56666666666666665</v>
      </c>
      <c r="F27" s="240">
        <f t="shared" si="0"/>
        <v>0.31666666666666665</v>
      </c>
      <c r="G27" s="239"/>
      <c r="H27" s="255"/>
      <c r="I27" s="339">
        <f t="shared" si="1"/>
        <v>0</v>
      </c>
      <c r="J27" s="271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311" t="str">
        <f>IF(AND(LEFT(C27,1)="d",OR(D27&gt;="7:00"*1,H27&gt;"22:00"*1)),Prime!$G$4,"")&amp;IF(AND(LEFT(C27,1)="s",H27&gt;="24:00"*1),Prime!$G$4,"")</f>
        <v/>
      </c>
      <c r="N27" s="326" t="str">
        <f>IF(ISNUMBER(FIND("F",C27)),Prime!$I$4,IF(ISNUMBER(FIND("CDS",C27)),Prime!$I$4,""))</f>
        <v/>
      </c>
      <c r="O27" s="342"/>
      <c r="P27" s="242" t="str">
        <f t="shared" si="6"/>
        <v/>
      </c>
      <c r="Q27" s="142">
        <f t="shared" si="3"/>
        <v>0.31666666666666665</v>
      </c>
      <c r="R27" s="143">
        <f t="shared" si="5"/>
        <v>7.6</v>
      </c>
      <c r="S27" s="144">
        <v>7.6</v>
      </c>
      <c r="T27" s="141" t="str">
        <f t="shared" si="4"/>
        <v>0,000</v>
      </c>
      <c r="U27" s="126"/>
    </row>
    <row r="28" spans="1:21" s="1" customFormat="1" ht="15.75" x14ac:dyDescent="0.25">
      <c r="A28" s="3"/>
      <c r="B28" s="493">
        <v>41541</v>
      </c>
      <c r="C28" s="6" t="s">
        <v>126</v>
      </c>
      <c r="D28" s="254">
        <v>0.26041666666666669</v>
      </c>
      <c r="E28" s="239">
        <v>0.5854166666666667</v>
      </c>
      <c r="F28" s="240">
        <f t="shared" si="0"/>
        <v>0.32500000000000001</v>
      </c>
      <c r="G28" s="239"/>
      <c r="H28" s="255"/>
      <c r="I28" s="339">
        <f t="shared" si="1"/>
        <v>0</v>
      </c>
      <c r="J28" s="271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311" t="str">
        <f>IF(AND(LEFT(C28,1)="d",OR(D28&gt;="7:00"*1,H28&gt;"22:00"*1)),Prime!$G$4,"")&amp;IF(AND(LEFT(C28,1)="s",H28&gt;="24:00"*1),Prime!$G$4,"")</f>
        <v/>
      </c>
      <c r="N28" s="326" t="str">
        <f>IF(ISNUMBER(FIND("F",C28)),Prime!$I$4,IF(ISNUMBER(FIND("CDS",C28)),Prime!$I$4,""))</f>
        <v/>
      </c>
      <c r="O28" s="342"/>
      <c r="P28" s="242" t="str">
        <f t="shared" si="6"/>
        <v/>
      </c>
      <c r="Q28" s="142">
        <f t="shared" si="3"/>
        <v>0.32500000000000001</v>
      </c>
      <c r="R28" s="143">
        <f t="shared" si="5"/>
        <v>7.8000000000000007</v>
      </c>
      <c r="S28" s="144">
        <v>7.8</v>
      </c>
      <c r="T28" s="141">
        <f t="shared" si="4"/>
        <v>8.8817841970012523E-16</v>
      </c>
      <c r="U28" s="126"/>
    </row>
    <row r="29" spans="1:21" s="1" customFormat="1" ht="15.75" x14ac:dyDescent="0.25">
      <c r="A29" s="3"/>
      <c r="B29" s="493">
        <v>41542</v>
      </c>
      <c r="C29" s="6" t="s">
        <v>126</v>
      </c>
      <c r="D29" s="254">
        <v>0.26041666666666669</v>
      </c>
      <c r="E29" s="239">
        <v>0.5854166666666667</v>
      </c>
      <c r="F29" s="240">
        <f t="shared" si="0"/>
        <v>0.32500000000000001</v>
      </c>
      <c r="G29" s="239"/>
      <c r="H29" s="255"/>
      <c r="I29" s="339">
        <f t="shared" si="1"/>
        <v>0</v>
      </c>
      <c r="J29" s="271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311" t="str">
        <f>IF(AND(LEFT(C29,1)="d",OR(D29&gt;="7:00"*1,H29&gt;"22:00"*1)),Prime!$G$4,"")&amp;IF(AND(LEFT(C29,1)="s",H29&gt;="24:00"*1),Prime!$G$4,"")</f>
        <v/>
      </c>
      <c r="N29" s="326" t="str">
        <f>IF(ISNUMBER(FIND("F",C29)),Prime!$I$4,IF(ISNUMBER(FIND("CDS",C29)),Prime!$I$4,""))</f>
        <v/>
      </c>
      <c r="O29" s="342"/>
      <c r="P29" s="242" t="str">
        <f t="shared" si="6"/>
        <v/>
      </c>
      <c r="Q29" s="142">
        <f t="shared" si="3"/>
        <v>0.32500000000000001</v>
      </c>
      <c r="R29" s="143">
        <f t="shared" si="5"/>
        <v>7.8000000000000007</v>
      </c>
      <c r="S29" s="144">
        <v>7.8</v>
      </c>
      <c r="T29" s="141">
        <f t="shared" si="4"/>
        <v>8.8817841970012523E-16</v>
      </c>
      <c r="U29" s="126"/>
    </row>
    <row r="30" spans="1:21" s="1" customFormat="1" ht="15.75" x14ac:dyDescent="0.25">
      <c r="A30" s="3"/>
      <c r="B30" s="493">
        <v>41543</v>
      </c>
      <c r="C30" s="9" t="s">
        <v>127</v>
      </c>
      <c r="D30" s="254">
        <v>0.21249999999999999</v>
      </c>
      <c r="E30" s="239">
        <v>0.51874999999999993</v>
      </c>
      <c r="F30" s="240">
        <f t="shared" si="0"/>
        <v>0.30624999999999991</v>
      </c>
      <c r="G30" s="239"/>
      <c r="H30" s="255"/>
      <c r="I30" s="339">
        <f t="shared" si="1"/>
        <v>0</v>
      </c>
      <c r="J30" s="271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311" t="str">
        <f>IF(AND(LEFT(C30,1)="d",OR(D30&gt;="7:00"*1,H30&gt;"22:00"*1)),Prime!$G$4,"")&amp;IF(AND(LEFT(C30,1)="s",H30&gt;="24:00"*1),Prime!$G$4,"")</f>
        <v/>
      </c>
      <c r="N30" s="326" t="str">
        <f>IF(ISNUMBER(FIND("F",C30)),Prime!$I$4,IF(ISNUMBER(FIND("CDS",C30)),Prime!$I$4,""))</f>
        <v/>
      </c>
      <c r="O30" s="342"/>
      <c r="P30" s="242" t="str">
        <f t="shared" si="6"/>
        <v/>
      </c>
      <c r="Q30" s="142">
        <f t="shared" si="3"/>
        <v>0.30624999999999991</v>
      </c>
      <c r="R30" s="143">
        <f t="shared" si="5"/>
        <v>7.3499999999999979</v>
      </c>
      <c r="S30" s="144">
        <v>7.35</v>
      </c>
      <c r="T30" s="141">
        <f t="shared" si="4"/>
        <v>-1.7763568394002505E-15</v>
      </c>
      <c r="U30" s="126"/>
    </row>
    <row r="31" spans="1:21" s="1" customFormat="1" ht="15.75" x14ac:dyDescent="0.25">
      <c r="A31" s="3"/>
      <c r="B31" s="493">
        <v>41544</v>
      </c>
      <c r="C31" s="9" t="s">
        <v>127</v>
      </c>
      <c r="D31" s="254">
        <v>0.21249999999999999</v>
      </c>
      <c r="E31" s="239">
        <v>0.51874999999999993</v>
      </c>
      <c r="F31" s="240">
        <f t="shared" si="0"/>
        <v>0.30624999999999991</v>
      </c>
      <c r="G31" s="239"/>
      <c r="H31" s="255"/>
      <c r="I31" s="339">
        <f t="shared" si="1"/>
        <v>0</v>
      </c>
      <c r="J31" s="271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311" t="str">
        <f>IF(AND(LEFT(C31,1)="d",OR(D31&gt;="7:00"*1,H31&gt;"22:00"*1)),Prime!$G$4,"")&amp;IF(AND(LEFT(C31,1)="s",H31&gt;="24:00"*1),Prime!$G$4,"")</f>
        <v/>
      </c>
      <c r="N31" s="326" t="str">
        <f>IF(ISNUMBER(FIND("F",C31)),Prime!$I$4,IF(ISNUMBER(FIND("CDS",C31)),Prime!$I$4,""))</f>
        <v/>
      </c>
      <c r="O31" s="342"/>
      <c r="P31" s="242" t="str">
        <f t="shared" si="6"/>
        <v/>
      </c>
      <c r="Q31" s="142">
        <f t="shared" si="3"/>
        <v>0.30624999999999991</v>
      </c>
      <c r="R31" s="143">
        <f t="shared" si="5"/>
        <v>7.3499999999999979</v>
      </c>
      <c r="S31" s="144">
        <v>7.35</v>
      </c>
      <c r="T31" s="141">
        <f t="shared" si="4"/>
        <v>-1.7763568394002505E-15</v>
      </c>
      <c r="U31" s="126"/>
    </row>
    <row r="32" spans="1:21" s="1" customFormat="1" ht="15.75" x14ac:dyDescent="0.25">
      <c r="A32" s="3"/>
      <c r="B32" s="493">
        <v>41545</v>
      </c>
      <c r="C32" s="9" t="s">
        <v>128</v>
      </c>
      <c r="D32" s="252">
        <v>0.26250000000000001</v>
      </c>
      <c r="E32" s="256">
        <v>0.57708333333333328</v>
      </c>
      <c r="F32" s="257">
        <f t="shared" si="0"/>
        <v>0.31458333333333327</v>
      </c>
      <c r="G32" s="256"/>
      <c r="H32" s="253"/>
      <c r="I32" s="339">
        <f t="shared" si="1"/>
        <v>0</v>
      </c>
      <c r="J32" s="271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311" t="str">
        <f>IF(AND(LEFT(C32,1)="d",OR(D32&gt;="7:00"*1,H32&gt;"22:00"*1)),Prime!$G$4,"")&amp;IF(AND(LEFT(C32,1)="s",H32&gt;="24:00"*1),Prime!$G$4,"")</f>
        <v/>
      </c>
      <c r="N32" s="326" t="str">
        <f>IF(ISNUMBER(FIND("F",C32)),Prime!$I$4,IF(ISNUMBER(FIND("CDS",C32)),Prime!$I$4,""))</f>
        <v/>
      </c>
      <c r="O32" s="342"/>
      <c r="P32" s="242" t="str">
        <f t="shared" si="6"/>
        <v/>
      </c>
      <c r="Q32" s="142">
        <f t="shared" si="3"/>
        <v>0.31458333333333327</v>
      </c>
      <c r="R32" s="143">
        <f t="shared" si="5"/>
        <v>7.5499999999999989</v>
      </c>
      <c r="S32" s="144">
        <v>7.75</v>
      </c>
      <c r="T32" s="141">
        <f t="shared" si="4"/>
        <v>-0.20000000000000107</v>
      </c>
      <c r="U32" s="126"/>
    </row>
    <row r="33" spans="1:21" s="1" customFormat="1" ht="16.5" thickBot="1" x14ac:dyDescent="0.3">
      <c r="A33" s="3"/>
      <c r="B33" s="501">
        <v>41546</v>
      </c>
      <c r="C33" s="11" t="s">
        <v>199</v>
      </c>
      <c r="D33" s="259">
        <v>0.25</v>
      </c>
      <c r="E33" s="243">
        <v>0.56666666666666665</v>
      </c>
      <c r="F33" s="17">
        <f t="shared" si="0"/>
        <v>0.31666666666666665</v>
      </c>
      <c r="G33" s="13"/>
      <c r="H33" s="13"/>
      <c r="I33" s="340">
        <f t="shared" si="1"/>
        <v>0</v>
      </c>
      <c r="J33" s="272" t="str">
        <f>IF(COUNTA(D33:E33,G33:H33)=5,Prime!$E$4,IF(AND(D33&lt;="5:01"*1,D33&gt;"2:00"*1),Prime!$E$4,IF(AND(H33&gt;="22:00"*1,H33&lt;="26:01"*1),Prime!$E$4,"")))</f>
        <v/>
      </c>
      <c r="K33" s="232" t="str">
        <f>IF(COUNTA(D33:E33,G33:H33)=5,Prime!$E$4,IF(AND(E33&gt;="13:15"*1,G33&lt;""),Prime!$E$4,IF(AND(G33&gt;="11:00"*1,G33&lt;="12:15"*1),Prime!$E$4,"")))</f>
        <v/>
      </c>
      <c r="L33" s="288" t="str">
        <f>IF(H33&gt;"21:30"*1,Prime!$F$4,"")</f>
        <v/>
      </c>
      <c r="M33" s="312" t="str">
        <f>IF(AND(LEFT(C33,1)="d",OR(D33&gt;="7:00"*1,H33&gt;"22:00"*1)),Prime!$G$4,"")&amp;IF(AND(LEFT(C33,1)="s",H33&gt;="24:00"*1),Prime!$G$4,"")</f>
        <v/>
      </c>
      <c r="N33" s="327" t="str">
        <f>IF(ISNUMBER(FIND("F",C33)),Prime!$I$4,IF(ISNUMBER(FIND("CDS",C33)),Prime!$I$4,""))</f>
        <v/>
      </c>
      <c r="O33" s="343"/>
      <c r="P33" s="246" t="str">
        <f>IF(ISBLANK(O33),"",O33/24)</f>
        <v/>
      </c>
      <c r="Q33" s="145">
        <f t="shared" si="3"/>
        <v>0.31666666666666665</v>
      </c>
      <c r="R33" s="146">
        <f t="shared" si="5"/>
        <v>7.6</v>
      </c>
      <c r="S33" s="147">
        <v>7.6</v>
      </c>
      <c r="T33" s="148" t="str">
        <f t="shared" si="4"/>
        <v>0,000</v>
      </c>
      <c r="U33" s="126"/>
    </row>
    <row r="34" spans="1:21" s="1" customFormat="1" ht="15.75" x14ac:dyDescent="0.25">
      <c r="A34" s="3"/>
      <c r="J34" s="181"/>
      <c r="K34" s="181"/>
      <c r="L34" s="181"/>
      <c r="U34" s="155"/>
    </row>
    <row r="35" spans="1:21" s="1" customFormat="1" ht="15.75" x14ac:dyDescent="0.25">
      <c r="A35" s="3"/>
      <c r="B35" s="122" t="s">
        <v>156</v>
      </c>
      <c r="C35" s="197">
        <f>COUNTIF(C4:C33,"&lt;&gt;")-(COUNTIF(C4:C33,"CH*")+COUNTIF(C4:C33,"RTT*")+COUNTIF(C4:C33,"CC*")+COUNTIF(C4:C33,"FERIÉ*")+COUNTIF(C4:C33,"CP*"))</f>
        <v>27</v>
      </c>
      <c r="D35" s="4"/>
      <c r="E35" s="3"/>
      <c r="F35" s="3"/>
      <c r="G35" s="3"/>
      <c r="H35" s="3"/>
      <c r="I35" s="3"/>
      <c r="J35" s="182">
        <f>SUM(J4:J33)</f>
        <v>70.822400000000002</v>
      </c>
      <c r="K35" s="183"/>
      <c r="L35" s="184">
        <f>SUM(L4:L33)</f>
        <v>0</v>
      </c>
      <c r="M35" s="313">
        <f>SUM(M4:M33)</f>
        <v>0</v>
      </c>
      <c r="N35" s="317">
        <f>SUM(N4:N34)</f>
        <v>0</v>
      </c>
      <c r="O35" s="153">
        <f>SUM(O4:O33)</f>
        <v>0</v>
      </c>
      <c r="P35" s="194">
        <f>SUM(P4:P32)</f>
        <v>0</v>
      </c>
      <c r="Q35" s="154">
        <f>SUM(Q4:Q33)</f>
        <v>9.5687499999999979</v>
      </c>
      <c r="R35" s="335">
        <f>SUM(R4:R33)</f>
        <v>229.65</v>
      </c>
      <c r="S35" s="336">
        <f>SUM(S3:S33)</f>
        <v>228.92</v>
      </c>
      <c r="T35" s="337">
        <f>R35-S35</f>
        <v>0.73000000000001819</v>
      </c>
    </row>
    <row r="36" spans="1:21" s="1" customFormat="1" x14ac:dyDescent="0.25">
      <c r="B36" s="123"/>
    </row>
    <row r="37" spans="1:21" s="1" customFormat="1" ht="15.75" x14ac:dyDescent="0.25">
      <c r="B37" s="123"/>
      <c r="M37" s="525" t="s">
        <v>100</v>
      </c>
      <c r="N37" s="525"/>
      <c r="O37" s="525"/>
      <c r="P37" s="178"/>
      <c r="Q37" s="156">
        <v>6.1895833333333341</v>
      </c>
      <c r="R37" s="65">
        <v>148.19999999999999</v>
      </c>
    </row>
    <row r="38" spans="1:21" x14ac:dyDescent="0.25">
      <c r="M38" s="1"/>
      <c r="O38" s="1"/>
      <c r="P38" s="1"/>
      <c r="Q38" s="1"/>
      <c r="R38" s="1"/>
    </row>
    <row r="39" spans="1:21" ht="15.75" x14ac:dyDescent="0.25">
      <c r="M39" s="521" t="s">
        <v>39</v>
      </c>
      <c r="N39" s="521"/>
      <c r="O39" s="521"/>
      <c r="P39" s="177"/>
      <c r="Q39" s="68">
        <f>(Q35-Q37)</f>
        <v>3.3791666666666638</v>
      </c>
      <c r="R39" s="69">
        <f>Q39*24</f>
        <v>81.099999999999937</v>
      </c>
    </row>
  </sheetData>
  <mergeCells count="6">
    <mergeCell ref="Q2:T2"/>
    <mergeCell ref="M39:O39"/>
    <mergeCell ref="D3:E3"/>
    <mergeCell ref="G3:H3"/>
    <mergeCell ref="B1:L1"/>
    <mergeCell ref="M37:O37"/>
  </mergeCells>
  <conditionalFormatting sqref="T4:T33 T35">
    <cfRule type="cellIs" dxfId="21" priority="4" operator="greaterThanOrEqual">
      <formula>0.001</formula>
    </cfRule>
    <cfRule type="cellIs" dxfId="20" priority="5" operator="lessThan">
      <formula>0</formula>
    </cfRule>
  </conditionalFormatting>
  <conditionalFormatting sqref="Q39">
    <cfRule type="cellIs" dxfId="1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U40"/>
  <sheetViews>
    <sheetView workbookViewId="0">
      <selection activeCell="B2" sqref="B1:B1048576"/>
    </sheetView>
  </sheetViews>
  <sheetFormatPr baseColWidth="10" defaultRowHeight="15" x14ac:dyDescent="0.25"/>
  <cols>
    <col min="1" max="1" width="2.7109375" customWidth="1"/>
    <col min="2" max="2" width="15.7109375" customWidth="1"/>
    <col min="3" max="3" width="14.7109375" style="1" customWidth="1"/>
    <col min="4" max="9" width="14.7109375" customWidth="1"/>
    <col min="10" max="10" width="14.7109375" style="1" customWidth="1"/>
    <col min="11" max="13" width="14.7109375" customWidth="1"/>
    <col min="14" max="14" width="14.7109375" style="1" customWidth="1"/>
    <col min="15" max="16" width="14.7109375" style="22" customWidth="1"/>
  </cols>
  <sheetData>
    <row r="1" spans="1:21" s="1" customFormat="1" ht="16.5" thickBot="1" x14ac:dyDescent="0.3">
      <c r="A1" s="3"/>
      <c r="B1" s="524" t="s">
        <v>12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5" t="s">
        <v>135</v>
      </c>
      <c r="C3" s="5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ht="15.75" x14ac:dyDescent="0.25">
      <c r="A4" s="3"/>
      <c r="B4" s="492">
        <v>41547</v>
      </c>
      <c r="C4" s="6" t="s">
        <v>198</v>
      </c>
      <c r="D4" s="250"/>
      <c r="E4" s="234"/>
      <c r="F4" s="235">
        <f t="shared" ref="F4:F34" si="0">E4-D4</f>
        <v>0</v>
      </c>
      <c r="G4" s="234"/>
      <c r="H4" s="234"/>
      <c r="I4" s="235">
        <f t="shared" ref="I4:I34" si="1">H4-G4</f>
        <v>0</v>
      </c>
      <c r="J4" s="265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314" t="str">
        <f>IF(AND(LEFT(C4,1)="d",OR(D4&gt;="7:00"*1,H4&gt;"22:00"*1)),Prime!$G$4,"")&amp;IF(AND(LEFT(C4,1)="s",H4&gt;="24:00"*1),Prime!$G$4,"")</f>
        <v/>
      </c>
      <c r="N4" s="328" t="str">
        <f>IF(ISNUMBER(FIND("F",C4)),Prime!$I$4,IF(ISNUMBER(FIND("CDS",C4)),Prime!$I$4,""))</f>
        <v/>
      </c>
      <c r="O4" s="237"/>
      <c r="P4" s="238" t="str">
        <f t="shared" ref="P4:P32" si="2">IF(ISBLANK(O4),"",O4*24)</f>
        <v/>
      </c>
      <c r="Q4" s="138">
        <f t="shared" ref="Q4:Q34" si="3">(E4-D4)+(H4-G4)</f>
        <v>0</v>
      </c>
      <c r="R4" s="139">
        <f>Q4*24</f>
        <v>0</v>
      </c>
      <c r="S4" s="140">
        <v>0</v>
      </c>
      <c r="T4" s="141" t="str">
        <f>IF(R4-S4=0,"0,000",R4-S4)</f>
        <v>0,000</v>
      </c>
      <c r="U4" s="126"/>
    </row>
    <row r="5" spans="1:21" s="1" customFormat="1" ht="15.75" x14ac:dyDescent="0.25">
      <c r="A5" s="3"/>
      <c r="B5" s="493">
        <v>41548</v>
      </c>
      <c r="C5" s="6" t="s">
        <v>75</v>
      </c>
      <c r="D5" s="254">
        <v>0.20972222222222223</v>
      </c>
      <c r="E5" s="239">
        <v>0.53402777777777777</v>
      </c>
      <c r="F5" s="240">
        <f t="shared" si="0"/>
        <v>0.32430555555555551</v>
      </c>
      <c r="G5" s="239"/>
      <c r="H5" s="239"/>
      <c r="I5" s="240">
        <f t="shared" si="1"/>
        <v>0</v>
      </c>
      <c r="J5" s="266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315" t="str">
        <f>IF(AND(LEFT(C5,1)="d",OR(D5&gt;="7:00"*1,H5&gt;"22:00"*1)),Prime!$G$4,"")&amp;IF(AND(LEFT(C5,1)="s",H5&gt;="24:00"*1),Prime!$G$4,"")</f>
        <v/>
      </c>
      <c r="N5" s="32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0.32430555555555551</v>
      </c>
      <c r="R5" s="143">
        <f>Q5*24</f>
        <v>7.7833333333333323</v>
      </c>
      <c r="S5" s="144">
        <v>8</v>
      </c>
      <c r="T5" s="141">
        <f t="shared" ref="T5:T34" si="4">IF(R5-S5=0,"0,000",R5-S5)</f>
        <v>-0.21666666666666767</v>
      </c>
      <c r="U5" s="126"/>
    </row>
    <row r="6" spans="1:21" s="1" customFormat="1" ht="15.75" x14ac:dyDescent="0.25">
      <c r="A6" s="3"/>
      <c r="B6" s="493">
        <v>41549</v>
      </c>
      <c r="C6" s="25" t="s">
        <v>137</v>
      </c>
      <c r="D6" s="254">
        <v>0.22569444444444445</v>
      </c>
      <c r="E6" s="239">
        <v>0.53194444444444444</v>
      </c>
      <c r="F6" s="240">
        <f t="shared" si="0"/>
        <v>0.30625000000000002</v>
      </c>
      <c r="G6" s="239"/>
      <c r="H6" s="239"/>
      <c r="I6" s="240">
        <f t="shared" si="1"/>
        <v>0</v>
      </c>
      <c r="J6" s="266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IF(H6&gt;"21:30"*1,Prime!$F$4,"")</f>
        <v/>
      </c>
      <c r="M6" s="315" t="str">
        <f>IF(AND(LEFT(C6,1)="d",OR(D6&gt;="7:00"*1,H6&gt;"22:00"*1)),Prime!$G$4,"")&amp;IF(AND(LEFT(C6,1)="s",H6&gt;="24:00"*1),Prime!$G$4,"")</f>
        <v/>
      </c>
      <c r="N6" s="329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0.30625000000000002</v>
      </c>
      <c r="R6" s="143">
        <f>Q6*24</f>
        <v>7.3500000000000005</v>
      </c>
      <c r="S6" s="144">
        <v>7.82</v>
      </c>
      <c r="T6" s="141">
        <f t="shared" si="4"/>
        <v>-0.46999999999999975</v>
      </c>
      <c r="U6" s="126"/>
    </row>
    <row r="7" spans="1:21" s="1" customFormat="1" ht="15.75" x14ac:dyDescent="0.25">
      <c r="A7" s="3"/>
      <c r="B7" s="493">
        <v>41550</v>
      </c>
      <c r="C7" s="6" t="s">
        <v>136</v>
      </c>
      <c r="D7" s="254">
        <v>0.25</v>
      </c>
      <c r="E7" s="239">
        <v>0.56666666666666665</v>
      </c>
      <c r="F7" s="240">
        <f t="shared" si="0"/>
        <v>0.31666666666666665</v>
      </c>
      <c r="G7" s="239"/>
      <c r="H7" s="239"/>
      <c r="I7" s="240">
        <f t="shared" si="1"/>
        <v>0</v>
      </c>
      <c r="J7" s="266" t="str">
        <f>IF(COUNTA(D7:E7,G7:H7)=5,Prime!$E$4,IF(AND(D7&lt;="5:01"*1,D7&gt;"2:00"*1),Prime!$E$4,IF(AND(H7&gt;="22:00"*1,H7&lt;="26:01"*1),Prime!$E$4,"")))</f>
        <v/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315" t="str">
        <f>IF(AND(LEFT(C7,1)="d",OR(D7&gt;="7:00"*1,H7&gt;"22:00"*1)),Prime!$G$4,"")&amp;IF(AND(LEFT(C7,1)="s",H7&gt;="24:00"*1),Prime!$G$4,"")</f>
        <v/>
      </c>
      <c r="N7" s="329" t="str">
        <f>IF(ISNUMBER(FIND("F",C7)),Prime!$I$4,IF(ISNUMBER(FIND("CDS",C7)),Prime!$I$4,""))</f>
        <v/>
      </c>
      <c r="O7" s="241"/>
      <c r="P7" s="242" t="str">
        <f t="shared" si="2"/>
        <v/>
      </c>
      <c r="Q7" s="142">
        <f t="shared" si="3"/>
        <v>0.31666666666666665</v>
      </c>
      <c r="R7" s="143">
        <f t="shared" ref="R7:R34" si="5">Q7*24</f>
        <v>7.6</v>
      </c>
      <c r="S7" s="144">
        <v>7.97</v>
      </c>
      <c r="T7" s="141">
        <f t="shared" si="4"/>
        <v>-0.37000000000000011</v>
      </c>
      <c r="U7" s="126"/>
    </row>
    <row r="8" spans="1:21" s="1" customFormat="1" ht="15.75" x14ac:dyDescent="0.25">
      <c r="A8" s="3"/>
      <c r="B8" s="493">
        <v>41551</v>
      </c>
      <c r="C8" s="6" t="s">
        <v>1</v>
      </c>
      <c r="D8" s="254">
        <v>0.25</v>
      </c>
      <c r="E8" s="239">
        <v>0.56666666666666665</v>
      </c>
      <c r="F8" s="240">
        <f t="shared" si="0"/>
        <v>0.31666666666666665</v>
      </c>
      <c r="G8" s="239"/>
      <c r="H8" s="239"/>
      <c r="I8" s="240">
        <f t="shared" si="1"/>
        <v>0</v>
      </c>
      <c r="J8" s="266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315" t="str">
        <f>IF(AND(LEFT(C8,1)="d",OR(D8&gt;="7:00"*1,H8&gt;"22:00"*1)),Prime!$G$4,"")&amp;IF(AND(LEFT(C8,1)="s",H8&gt;="24:00"*1),Prime!$G$4,"")</f>
        <v/>
      </c>
      <c r="N8" s="329" t="str">
        <f>IF(ISNUMBER(FIND("F",C8)),Prime!$I$4,IF(ISNUMBER(FIND("CDS",C8)),Prime!$I$4,""))</f>
        <v/>
      </c>
      <c r="O8" s="241"/>
      <c r="P8" s="242" t="str">
        <f t="shared" si="2"/>
        <v/>
      </c>
      <c r="Q8" s="142">
        <f t="shared" si="3"/>
        <v>0.31666666666666665</v>
      </c>
      <c r="R8" s="143">
        <f t="shared" si="5"/>
        <v>7.6</v>
      </c>
      <c r="S8" s="144">
        <v>7.97</v>
      </c>
      <c r="T8" s="141">
        <f t="shared" si="4"/>
        <v>-0.37000000000000011</v>
      </c>
      <c r="U8" s="126"/>
    </row>
    <row r="9" spans="1:21" s="1" customFormat="1" ht="15.75" x14ac:dyDescent="0.25">
      <c r="A9" s="3"/>
      <c r="B9" s="493">
        <v>41552</v>
      </c>
      <c r="C9" s="6" t="s">
        <v>0</v>
      </c>
      <c r="D9" s="254">
        <v>0.25</v>
      </c>
      <c r="E9" s="239">
        <v>0.56666666666666665</v>
      </c>
      <c r="F9" s="240">
        <f t="shared" si="0"/>
        <v>0.31666666666666665</v>
      </c>
      <c r="G9" s="239"/>
      <c r="H9" s="239"/>
      <c r="I9" s="240">
        <f t="shared" si="1"/>
        <v>0</v>
      </c>
      <c r="J9" s="266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315" t="str">
        <f>IF(AND(LEFT(C9,1)="d",OR(D9&gt;="7:00"*1,H9&gt;"22:00"*1)),Prime!$G$4,"")&amp;IF(AND(LEFT(C9,1)="s",H9&gt;="24:00"*1),Prime!$G$4,"")</f>
        <v/>
      </c>
      <c r="N9" s="32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0.31666666666666665</v>
      </c>
      <c r="R9" s="143">
        <f t="shared" si="5"/>
        <v>7.6</v>
      </c>
      <c r="S9" s="144">
        <v>0</v>
      </c>
      <c r="T9" s="141">
        <f t="shared" si="4"/>
        <v>7.6</v>
      </c>
      <c r="U9" s="126"/>
    </row>
    <row r="10" spans="1:21" s="1" customFormat="1" ht="15.75" x14ac:dyDescent="0.25">
      <c r="A10" s="3"/>
      <c r="B10" s="493">
        <v>41553</v>
      </c>
      <c r="C10" s="6" t="s">
        <v>229</v>
      </c>
      <c r="D10" s="254"/>
      <c r="E10" s="239"/>
      <c r="F10" s="240">
        <f t="shared" si="0"/>
        <v>0</v>
      </c>
      <c r="G10" s="239">
        <v>0.5131944444444444</v>
      </c>
      <c r="H10" s="239">
        <v>0.84583333333333333</v>
      </c>
      <c r="I10" s="240">
        <f t="shared" si="1"/>
        <v>0.33263888888888893</v>
      </c>
      <c r="J10" s="266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315" t="str">
        <f>IF(AND(LEFT(C10,1)="d",OR(D10&gt;="7:00"*1,H10&gt;"22:00"*1)),Prime!$G$4,"")&amp;IF(AND(LEFT(C10,1)="s",H10&gt;="24:00"*1),Prime!$G$4,"")</f>
        <v/>
      </c>
      <c r="N10" s="329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0.33263888888888893</v>
      </c>
      <c r="R10" s="143">
        <f t="shared" si="5"/>
        <v>7.9833333333333343</v>
      </c>
      <c r="S10" s="144">
        <v>0</v>
      </c>
      <c r="T10" s="141">
        <f t="shared" si="4"/>
        <v>7.9833333333333343</v>
      </c>
      <c r="U10" s="126"/>
    </row>
    <row r="11" spans="1:21" s="1" customFormat="1" ht="15.75" x14ac:dyDescent="0.25">
      <c r="A11" s="3"/>
      <c r="B11" s="493">
        <v>41554</v>
      </c>
      <c r="C11" s="6" t="s">
        <v>230</v>
      </c>
      <c r="D11" s="254"/>
      <c r="E11" s="239"/>
      <c r="F11" s="240">
        <f t="shared" si="0"/>
        <v>0</v>
      </c>
      <c r="G11" s="239">
        <v>0.71250000000000002</v>
      </c>
      <c r="H11" s="239">
        <v>0.96805555555555556</v>
      </c>
      <c r="I11" s="240">
        <f t="shared" si="1"/>
        <v>0.25555555555555554</v>
      </c>
      <c r="J11" s="266">
        <f>IF(COUNTA(D11:E11,G11:H11)=5,Prime!$E$4,IF(AND(D11&lt;="5:01"*1,D11&gt;"2:00"*1),Prime!$E$4,IF(AND(H11&gt;="22:00"*1,H11&lt;="26:01"*1),Prime!$E$4,"")))</f>
        <v>17.7056</v>
      </c>
      <c r="K11" s="231" t="str">
        <f>IF(COUNTA(D11:E11,G11:H11)=5,Prime!$E$4,IF(AND(E11&gt;="13:15"*1,G11&lt;""),Prime!$E$4,IF(AND(G11&gt;="11:00"*1,G11&lt;="12:15"*1),Prime!$E$4,"")))</f>
        <v/>
      </c>
      <c r="L11" s="286">
        <f>IF(H11&gt;"21:30"*1,Prime!$F$4,"")</f>
        <v>17.7056</v>
      </c>
      <c r="M11" s="315" t="str">
        <f>IF(AND(LEFT(C11,1)="d",OR(D11&gt;="7:00"*1,H11&gt;"22:00"*1)),Prime!$G$4,"")&amp;IF(AND(LEFT(C11,1)="s",H11&gt;="24:00"*1),Prime!$G$4,"")</f>
        <v>44,264</v>
      </c>
      <c r="N11" s="329" t="str">
        <f>IF(ISNUMBER(FIND("F",C11)),Prime!$I$4,IF(ISNUMBER(FIND("CDS",C11)),Prime!$I$4,""))</f>
        <v/>
      </c>
      <c r="O11" s="241"/>
      <c r="P11" s="242" t="str">
        <f t="shared" si="2"/>
        <v/>
      </c>
      <c r="Q11" s="142">
        <f t="shared" si="3"/>
        <v>0.25555555555555554</v>
      </c>
      <c r="R11" s="143">
        <f t="shared" si="5"/>
        <v>6.1333333333333329</v>
      </c>
      <c r="S11" s="144">
        <v>0</v>
      </c>
      <c r="T11" s="141">
        <f t="shared" si="4"/>
        <v>6.1333333333333329</v>
      </c>
      <c r="U11" s="126"/>
    </row>
    <row r="12" spans="1:21" s="1" customFormat="1" ht="15.75" x14ac:dyDescent="0.25">
      <c r="A12" s="3"/>
      <c r="B12" s="493">
        <v>41555</v>
      </c>
      <c r="C12" s="6" t="s">
        <v>138</v>
      </c>
      <c r="D12" s="254"/>
      <c r="E12" s="239"/>
      <c r="F12" s="344">
        <f t="shared" si="0"/>
        <v>0</v>
      </c>
      <c r="G12" s="239">
        <v>0.25</v>
      </c>
      <c r="H12" s="239">
        <v>0.56666666666666665</v>
      </c>
      <c r="I12" s="240">
        <f t="shared" si="1"/>
        <v>0.31666666666666665</v>
      </c>
      <c r="J12" s="266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315" t="str">
        <f>IF(AND(LEFT(C12,1)="d",OR(D12&gt;="7:00"*1,H12&gt;"22:00"*1)),Prime!$G$4,"")&amp;IF(AND(LEFT(C12,1)="s",H12&gt;="24:00"*1),Prime!$G$4,"")</f>
        <v/>
      </c>
      <c r="N12" s="32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0.31666666666666665</v>
      </c>
      <c r="R12" s="143">
        <f t="shared" si="5"/>
        <v>7.6</v>
      </c>
      <c r="S12" s="144">
        <v>0</v>
      </c>
      <c r="T12" s="141">
        <f t="shared" si="4"/>
        <v>7.6</v>
      </c>
      <c r="U12" s="126"/>
    </row>
    <row r="13" spans="1:21" s="1" customFormat="1" ht="15.75" x14ac:dyDescent="0.25">
      <c r="A13" s="3"/>
      <c r="B13" s="493">
        <v>41556</v>
      </c>
      <c r="C13" s="6" t="s">
        <v>1</v>
      </c>
      <c r="D13" s="254">
        <v>0.25</v>
      </c>
      <c r="E13" s="239">
        <v>0.56666666666666665</v>
      </c>
      <c r="F13" s="240">
        <f t="shared" si="0"/>
        <v>0.31666666666666665</v>
      </c>
      <c r="G13" s="239"/>
      <c r="H13" s="239"/>
      <c r="I13" s="240">
        <f t="shared" si="1"/>
        <v>0</v>
      </c>
      <c r="J13" s="266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315" t="str">
        <f>IF(AND(LEFT(C13,1)="d",OR(D13&gt;="7:00"*1,H13&gt;"22:00"*1)),Prime!$G$4,"")&amp;IF(AND(LEFT(C13,1)="s",H13&gt;="24:00"*1),Prime!$G$4,"")</f>
        <v/>
      </c>
      <c r="N13" s="32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0.31666666666666665</v>
      </c>
      <c r="R13" s="143">
        <f t="shared" si="5"/>
        <v>7.6</v>
      </c>
      <c r="S13" s="144">
        <v>8.4499999999999993</v>
      </c>
      <c r="T13" s="141">
        <f t="shared" si="4"/>
        <v>-0.84999999999999964</v>
      </c>
      <c r="U13" s="126"/>
    </row>
    <row r="14" spans="1:21" s="1" customFormat="1" ht="15.75" x14ac:dyDescent="0.25">
      <c r="A14" s="3"/>
      <c r="B14" s="493">
        <v>41557</v>
      </c>
      <c r="C14" s="6" t="s">
        <v>139</v>
      </c>
      <c r="D14" s="254">
        <v>0.2638888888888889</v>
      </c>
      <c r="E14" s="239">
        <v>0.55763888888888891</v>
      </c>
      <c r="F14" s="240">
        <f t="shared" si="0"/>
        <v>0.29375000000000001</v>
      </c>
      <c r="G14" s="239"/>
      <c r="H14" s="239"/>
      <c r="I14" s="240">
        <f t="shared" si="1"/>
        <v>0</v>
      </c>
      <c r="J14" s="266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315" t="str">
        <f>IF(AND(LEFT(C14,1)="d",OR(D14&gt;="7:00"*1,H14&gt;"22:00"*1)),Prime!$G$4,"")&amp;IF(AND(LEFT(C14,1)="s",H14&gt;="24:00"*1),Prime!$G$4,"")</f>
        <v/>
      </c>
      <c r="N14" s="32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0.29375000000000001</v>
      </c>
      <c r="R14" s="143">
        <f t="shared" si="5"/>
        <v>7.0500000000000007</v>
      </c>
      <c r="S14" s="144">
        <v>8.4499999999999993</v>
      </c>
      <c r="T14" s="141">
        <f t="shared" si="4"/>
        <v>-1.3999999999999986</v>
      </c>
      <c r="U14" s="126"/>
    </row>
    <row r="15" spans="1:21" s="1" customFormat="1" ht="15.75" x14ac:dyDescent="0.25">
      <c r="A15" s="3"/>
      <c r="B15" s="493">
        <v>41558</v>
      </c>
      <c r="C15" s="6" t="s">
        <v>140</v>
      </c>
      <c r="D15" s="254">
        <v>0.29930555555555555</v>
      </c>
      <c r="E15" s="239">
        <v>0.58472222222222225</v>
      </c>
      <c r="F15" s="240">
        <f t="shared" si="0"/>
        <v>0.28541666666666671</v>
      </c>
      <c r="G15" s="239"/>
      <c r="H15" s="239"/>
      <c r="I15" s="240">
        <f t="shared" si="1"/>
        <v>0</v>
      </c>
      <c r="J15" s="266" t="str">
        <f>IF(COUNTA(D15:E15,G15:H15)=5,Prime!$E$4,IF(AND(D15&lt;="5:01"*1,D15&gt;"2:00"*1),Prime!$E$4,IF(AND(H15&gt;="22:00"*1,H15&lt;="26:01"*1),Prime!$E$4,"")))</f>
        <v/>
      </c>
      <c r="K15" s="231" t="str">
        <f>IF(COUNTA(D15:E15,G15:H15)=5,Prime!$E$4,IF(AND(E15&gt;="13:15"*1,G15&lt;""),Prime!$E$4,IF(AND(G15&gt;="11:00"*1,G15&lt;="12:15"*1),Prime!$E$4,"")))</f>
        <v/>
      </c>
      <c r="L15" s="286" t="str">
        <f>IF(H15&gt;"21:30"*1,Prime!$F$4,"")</f>
        <v/>
      </c>
      <c r="M15" s="315" t="str">
        <f>IF(AND(LEFT(C15,1)="d",OR(D15&gt;="7:00"*1,H15&gt;"22:00"*1)),Prime!$G$4,"")&amp;IF(AND(LEFT(C15,1)="s",H15&gt;="24:00"*1),Prime!$G$4,"")</f>
        <v/>
      </c>
      <c r="N15" s="329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0.28541666666666671</v>
      </c>
      <c r="R15" s="143">
        <f t="shared" si="5"/>
        <v>6.8500000000000014</v>
      </c>
      <c r="S15" s="144">
        <v>8.4499999999999993</v>
      </c>
      <c r="T15" s="141">
        <f t="shared" si="4"/>
        <v>-1.5999999999999979</v>
      </c>
      <c r="U15" s="126"/>
    </row>
    <row r="16" spans="1:21" s="1" customFormat="1" ht="15.75" x14ac:dyDescent="0.25">
      <c r="A16" s="3"/>
      <c r="B16" s="493">
        <v>41559</v>
      </c>
      <c r="C16" s="6" t="s">
        <v>141</v>
      </c>
      <c r="D16" s="254">
        <v>0.27430555555555552</v>
      </c>
      <c r="E16" s="239">
        <v>0.375</v>
      </c>
      <c r="F16" s="240">
        <f t="shared" si="0"/>
        <v>0.10069444444444448</v>
      </c>
      <c r="G16" s="239">
        <v>0.49444444444444446</v>
      </c>
      <c r="H16" s="239">
        <v>0.73749999999999993</v>
      </c>
      <c r="I16" s="240">
        <f t="shared" si="1"/>
        <v>0.24305555555555547</v>
      </c>
      <c r="J16" s="266" t="str">
        <f>IF(COUNTA(D16:E16,G16:H16)=5,Prime!$E$4,IF(AND(D16&lt;="5:01"*1,D16&gt;"2:00"*1),Prime!$E$4,IF(AND(H16&gt;="22:00"*1,H16&lt;="26:01"*1),Prime!$E$4,"")))</f>
        <v/>
      </c>
      <c r="K16" s="231">
        <f>IF(COUNTA(D16:E16,G16:H16)=5,Prime!$E$4,IF(AND(E16&gt;="13:15"*1,G16&lt;""),Prime!$E$4,IF(AND(G16&gt;="11:00"*1,G16&lt;="12:15"*1),Prime!$E$4,"")))</f>
        <v>17.7056</v>
      </c>
      <c r="L16" s="286" t="str">
        <f>IF(H16&gt;"21:30"*1,Prime!$F$4,"")</f>
        <v/>
      </c>
      <c r="M16" s="315" t="str">
        <f>IF(AND(LEFT(C16,1)="d",OR(D16&gt;="7:00"*1,H16&gt;"22:00"*1)),Prime!$G$4,"")&amp;IF(AND(LEFT(C16,1)="s",H16&gt;="24:00"*1),Prime!$G$4,"")</f>
        <v/>
      </c>
      <c r="N16" s="32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0.34374999999999994</v>
      </c>
      <c r="R16" s="143">
        <f t="shared" si="5"/>
        <v>8.2499999999999982</v>
      </c>
      <c r="S16" s="144">
        <v>7.6</v>
      </c>
      <c r="T16" s="141">
        <f t="shared" si="4"/>
        <v>0.64999999999999858</v>
      </c>
      <c r="U16" s="126"/>
    </row>
    <row r="17" spans="1:21" s="1" customFormat="1" ht="15.75" x14ac:dyDescent="0.25">
      <c r="A17" s="3"/>
      <c r="B17" s="493">
        <v>41560</v>
      </c>
      <c r="C17" s="6" t="s">
        <v>231</v>
      </c>
      <c r="D17" s="254">
        <v>0.25</v>
      </c>
      <c r="E17" s="239">
        <v>0.56180555555555556</v>
      </c>
      <c r="F17" s="240">
        <f t="shared" si="0"/>
        <v>0.31180555555555556</v>
      </c>
      <c r="G17" s="239"/>
      <c r="H17" s="239"/>
      <c r="I17" s="240">
        <f t="shared" si="1"/>
        <v>0</v>
      </c>
      <c r="J17" s="266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86" t="str">
        <f>IF(H17&gt;"21:30"*1,Prime!$F$4,"")</f>
        <v/>
      </c>
      <c r="M17" s="315" t="str">
        <f>IF(AND(LEFT(C17,1)="d",OR(D17&gt;="7:00"*1,H17&gt;"22:00"*1)),Prime!$G$4,"")&amp;IF(AND(LEFT(C17,1)="s",H17&gt;="24:00"*1),Prime!$G$4,"")</f>
        <v/>
      </c>
      <c r="N17" s="32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0.31180555555555556</v>
      </c>
      <c r="R17" s="143">
        <f t="shared" si="5"/>
        <v>7.4833333333333334</v>
      </c>
      <c r="S17" s="144">
        <v>7.3</v>
      </c>
      <c r="T17" s="141">
        <f t="shared" si="4"/>
        <v>0.18333333333333357</v>
      </c>
      <c r="U17" s="126"/>
    </row>
    <row r="18" spans="1:21" s="1" customFormat="1" ht="15.75" x14ac:dyDescent="0.25">
      <c r="A18" s="3"/>
      <c r="B18" s="493">
        <v>41561</v>
      </c>
      <c r="C18" s="6" t="s">
        <v>198</v>
      </c>
      <c r="D18" s="254">
        <v>0.25</v>
      </c>
      <c r="E18" s="239">
        <v>0.56666666666666665</v>
      </c>
      <c r="F18" s="240">
        <f t="shared" si="0"/>
        <v>0.31666666666666665</v>
      </c>
      <c r="G18" s="239"/>
      <c r="H18" s="239"/>
      <c r="I18" s="240">
        <f t="shared" si="1"/>
        <v>0</v>
      </c>
      <c r="J18" s="266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315" t="str">
        <f>IF(AND(LEFT(C18,1)="d",OR(D18&gt;="7:00"*1,H18&gt;"22:00"*1)),Prime!$G$4,"")&amp;IF(AND(LEFT(C18,1)="s",H18&gt;="24:00"*1),Prime!$G$4,"")</f>
        <v/>
      </c>
      <c r="N18" s="329" t="str">
        <f>IF(ISNUMBER(FIND("F",C18)),Prime!$I$4,IF(ISNUMBER(FIND("CDS",C18)),Prime!$I$4,""))</f>
        <v/>
      </c>
      <c r="O18" s="241"/>
      <c r="P18" s="242" t="str">
        <f t="shared" si="2"/>
        <v/>
      </c>
      <c r="Q18" s="142">
        <f t="shared" si="3"/>
        <v>0.31666666666666665</v>
      </c>
      <c r="R18" s="143">
        <f t="shared" si="5"/>
        <v>7.6</v>
      </c>
      <c r="S18" s="144">
        <v>0</v>
      </c>
      <c r="T18" s="141">
        <f t="shared" si="4"/>
        <v>7.6</v>
      </c>
      <c r="U18" s="126"/>
    </row>
    <row r="19" spans="1:21" s="1" customFormat="1" ht="15.75" x14ac:dyDescent="0.25">
      <c r="A19" s="3"/>
      <c r="B19" s="493">
        <v>41562</v>
      </c>
      <c r="C19" s="6" t="s">
        <v>142</v>
      </c>
      <c r="D19" s="254"/>
      <c r="E19" s="239"/>
      <c r="F19" s="240">
        <f t="shared" si="0"/>
        <v>0</v>
      </c>
      <c r="G19" s="239">
        <v>0.52152777777777781</v>
      </c>
      <c r="H19" s="239">
        <v>0.84791666666666676</v>
      </c>
      <c r="I19" s="240">
        <f t="shared" si="1"/>
        <v>0.32638888888888895</v>
      </c>
      <c r="J19" s="266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315" t="str">
        <f>IF(AND(LEFT(C19,1)="d",OR(D19&gt;="7:00"*1,H19&gt;"22:00"*1)),Prime!$G$4,"")&amp;IF(AND(LEFT(C19,1)="s",H19&gt;="24:00"*1),Prime!$G$4,"")</f>
        <v/>
      </c>
      <c r="N19" s="329" t="str">
        <f>IF(ISNUMBER(FIND("F",C19)),Prime!$I$4,IF(ISNUMBER(FIND("CDS",C19)),Prime!$I$4,""))</f>
        <v/>
      </c>
      <c r="O19" s="241"/>
      <c r="P19" s="242" t="str">
        <f t="shared" si="2"/>
        <v/>
      </c>
      <c r="Q19" s="142">
        <f t="shared" si="3"/>
        <v>0.32638888888888895</v>
      </c>
      <c r="R19" s="143">
        <f t="shared" si="5"/>
        <v>7.8333333333333348</v>
      </c>
      <c r="S19" s="144">
        <v>8.27</v>
      </c>
      <c r="T19" s="141">
        <f t="shared" si="4"/>
        <v>-0.43666666666666476</v>
      </c>
      <c r="U19" s="126"/>
    </row>
    <row r="20" spans="1:21" s="1" customFormat="1" ht="15.75" x14ac:dyDescent="0.25">
      <c r="A20" s="3"/>
      <c r="B20" s="493">
        <v>41563</v>
      </c>
      <c r="C20" s="6" t="s">
        <v>143</v>
      </c>
      <c r="D20" s="254"/>
      <c r="E20" s="239"/>
      <c r="F20" s="240">
        <f t="shared" si="0"/>
        <v>0</v>
      </c>
      <c r="G20" s="239">
        <v>0.50416666666666665</v>
      </c>
      <c r="H20" s="239">
        <v>0.82500000000000007</v>
      </c>
      <c r="I20" s="240">
        <f t="shared" si="1"/>
        <v>0.32083333333333341</v>
      </c>
      <c r="J20" s="266" t="str">
        <f>IF(COUNTA(D20:E20,G20:H20)=5,Prime!$E$4,IF(AND(D20&lt;="5:01"*1,D20&gt;"2:00"*1),Prime!$E$4,IF(AND(H20&gt;="22:00"*1,H20&lt;="26:01"*1),Prime!$E$4,"")))</f>
        <v/>
      </c>
      <c r="K20" s="231">
        <f>IF(COUNTA(D20:E20,G20:H20)=5,Prime!$E$4,IF(AND(E20&gt;="13:15"*1,G20&lt;""),Prime!$E$4,IF(AND(G20&gt;="11:00"*1,G20&lt;="12:15"*1),Prime!$E$4,"")))</f>
        <v>17.7056</v>
      </c>
      <c r="L20" s="286" t="str">
        <f>IF(H20&gt;"21:30"*1,Prime!$F$4,"")</f>
        <v/>
      </c>
      <c r="M20" s="315" t="str">
        <f>IF(AND(LEFT(C20,1)="d",OR(D20&gt;="7:00"*1,H20&gt;"22:00"*1)),Prime!$G$4,"")&amp;IF(AND(LEFT(C20,1)="s",H20&gt;="24:00"*1),Prime!$G$4,"")</f>
        <v/>
      </c>
      <c r="N20" s="329" t="str">
        <f>IF(ISNUMBER(FIND("F",C20)),Prime!$I$4,IF(ISNUMBER(FIND("CDS",C20)),Prime!$I$4,""))</f>
        <v/>
      </c>
      <c r="O20" s="241"/>
      <c r="P20" s="242" t="str">
        <f t="shared" si="2"/>
        <v/>
      </c>
      <c r="Q20" s="142">
        <f t="shared" si="3"/>
        <v>0.32083333333333341</v>
      </c>
      <c r="R20" s="143">
        <f t="shared" si="5"/>
        <v>7.700000000000002</v>
      </c>
      <c r="S20" s="144">
        <v>7.6</v>
      </c>
      <c r="T20" s="141">
        <f t="shared" si="4"/>
        <v>0.10000000000000231</v>
      </c>
      <c r="U20" s="126"/>
    </row>
    <row r="21" spans="1:21" s="1" customFormat="1" ht="15.75" x14ac:dyDescent="0.25">
      <c r="A21" s="3"/>
      <c r="B21" s="493">
        <v>41564</v>
      </c>
      <c r="C21" s="6" t="s">
        <v>78</v>
      </c>
      <c r="D21" s="254"/>
      <c r="E21" s="239"/>
      <c r="F21" s="240">
        <f t="shared" si="0"/>
        <v>0</v>
      </c>
      <c r="G21" s="239">
        <v>0.51458333333333328</v>
      </c>
      <c r="H21" s="239">
        <v>0.8340277777777777</v>
      </c>
      <c r="I21" s="240">
        <f t="shared" si="1"/>
        <v>0.31944444444444442</v>
      </c>
      <c r="J21" s="266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315" t="str">
        <f>IF(AND(LEFT(C21,1)="d",OR(D21&gt;="7:00"*1,H21&gt;"22:00"*1)),Prime!$G$4,"")&amp;IF(AND(LEFT(C21,1)="s",H21&gt;="24:00"*1),Prime!$G$4,"")</f>
        <v/>
      </c>
      <c r="N21" s="329" t="str">
        <f>IF(ISNUMBER(FIND("F",C21)),Prime!$I$4,IF(ISNUMBER(FIND("CDS",C21)),Prime!$I$4,""))</f>
        <v/>
      </c>
      <c r="O21" s="241"/>
      <c r="P21" s="242" t="str">
        <f t="shared" si="2"/>
        <v/>
      </c>
      <c r="Q21" s="142">
        <f t="shared" si="3"/>
        <v>0.31944444444444442</v>
      </c>
      <c r="R21" s="143">
        <f t="shared" si="5"/>
        <v>7.6666666666666661</v>
      </c>
      <c r="S21" s="144">
        <v>7.6</v>
      </c>
      <c r="T21" s="141">
        <f t="shared" si="4"/>
        <v>6.666666666666643E-2</v>
      </c>
      <c r="U21" s="126"/>
    </row>
    <row r="22" spans="1:21" s="1" customFormat="1" ht="15.75" x14ac:dyDescent="0.25">
      <c r="A22" s="3"/>
      <c r="B22" s="493">
        <v>41565</v>
      </c>
      <c r="C22" s="6" t="s">
        <v>144</v>
      </c>
      <c r="D22" s="254"/>
      <c r="E22" s="239"/>
      <c r="F22" s="240">
        <f t="shared" si="0"/>
        <v>0</v>
      </c>
      <c r="G22" s="239">
        <v>0.49444444444444446</v>
      </c>
      <c r="H22" s="239">
        <v>0.80902777777777779</v>
      </c>
      <c r="I22" s="240">
        <f t="shared" si="1"/>
        <v>0.31458333333333333</v>
      </c>
      <c r="J22" s="266" t="str">
        <f>IF(COUNTA(D22:E22,G22:H22)=5,Prime!$E$4,IF(AND(D22&lt;="5:01"*1,D22&gt;"2:00"*1),Prime!$E$4,IF(AND(H22&gt;="22:00"*1,H22&lt;="26:01"*1),Prime!$E$4,"")))</f>
        <v/>
      </c>
      <c r="K22" s="231">
        <f>IF(COUNTA(D22:E22,G22:H22)=5,Prime!$E$4,IF(AND(E22&gt;="13:15"*1,G22&lt;""),Prime!$E$4,IF(AND(G22&gt;="11:00"*1,G22&lt;="12:15"*1),Prime!$E$4,"")))</f>
        <v>17.7056</v>
      </c>
      <c r="L22" s="286" t="str">
        <f>IF(H22&gt;"21:30"*1,Prime!$F$4,"")</f>
        <v/>
      </c>
      <c r="M22" s="315" t="str">
        <f>IF(AND(LEFT(C22,1)="d",OR(D22&gt;="7:00"*1,H22&gt;"22:00"*1)),Prime!$G$4,"")&amp;IF(AND(LEFT(C22,1)="s",H22&gt;="24:00"*1),Prime!$G$4,"")</f>
        <v/>
      </c>
      <c r="N22" s="329" t="str">
        <f>IF(ISNUMBER(FIND("F",C22)),Prime!$I$4,IF(ISNUMBER(FIND("CDS",C22)),Prime!$I$4,""))</f>
        <v/>
      </c>
      <c r="O22" s="241"/>
      <c r="P22" s="242" t="str">
        <f t="shared" si="2"/>
        <v/>
      </c>
      <c r="Q22" s="142">
        <f t="shared" si="3"/>
        <v>0.31458333333333333</v>
      </c>
      <c r="R22" s="143">
        <f t="shared" si="5"/>
        <v>7.55</v>
      </c>
      <c r="S22" s="144">
        <v>7.6</v>
      </c>
      <c r="T22" s="141">
        <f t="shared" si="4"/>
        <v>-4.9999999999999822E-2</v>
      </c>
      <c r="U22" s="126"/>
    </row>
    <row r="23" spans="1:21" s="1" customFormat="1" ht="15.75" x14ac:dyDescent="0.25">
      <c r="A23" s="3"/>
      <c r="B23" s="493">
        <v>41566</v>
      </c>
      <c r="C23" s="6" t="s">
        <v>145</v>
      </c>
      <c r="D23" s="254">
        <v>0.27083333333333331</v>
      </c>
      <c r="E23" s="239">
        <v>0.40416666666666662</v>
      </c>
      <c r="F23" s="240">
        <f t="shared" si="0"/>
        <v>0.1333333333333333</v>
      </c>
      <c r="G23" s="239">
        <v>0.58888888888888891</v>
      </c>
      <c r="H23" s="239">
        <v>0.80763888888888891</v>
      </c>
      <c r="I23" s="240">
        <f t="shared" si="1"/>
        <v>0.21875</v>
      </c>
      <c r="J23" s="266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315" t="str">
        <f>IF(AND(LEFT(C23,1)="d",OR(D23&gt;="7:00"*1,H23&gt;"22:00"*1)),Prime!$G$4,"")&amp;IF(AND(LEFT(C23,1)="s",H23&gt;="24:00"*1),Prime!$G$4,"")</f>
        <v/>
      </c>
      <c r="N23" s="329" t="str">
        <f>IF(ISNUMBER(FIND("F",C23)),Prime!$I$4,IF(ISNUMBER(FIND("CDS",C23)),Prime!$I$4,""))</f>
        <v/>
      </c>
      <c r="O23" s="241"/>
      <c r="P23" s="242" t="str">
        <f t="shared" si="2"/>
        <v/>
      </c>
      <c r="Q23" s="142">
        <f t="shared" si="3"/>
        <v>0.3520833333333333</v>
      </c>
      <c r="R23" s="143">
        <f t="shared" si="5"/>
        <v>8.4499999999999993</v>
      </c>
      <c r="S23" s="144">
        <v>7.6</v>
      </c>
      <c r="T23" s="141">
        <f t="shared" si="4"/>
        <v>0.84999999999999964</v>
      </c>
      <c r="U23" s="126"/>
    </row>
    <row r="24" spans="1:21" s="1" customFormat="1" ht="15.75" x14ac:dyDescent="0.25">
      <c r="A24" s="3"/>
      <c r="B24" s="493">
        <v>41567</v>
      </c>
      <c r="C24" s="6" t="s">
        <v>199</v>
      </c>
      <c r="D24" s="254">
        <v>0.25</v>
      </c>
      <c r="E24" s="239">
        <v>0.56666666666666665</v>
      </c>
      <c r="F24" s="240">
        <f t="shared" si="0"/>
        <v>0.31666666666666665</v>
      </c>
      <c r="G24" s="239"/>
      <c r="H24" s="239"/>
      <c r="I24" s="240">
        <f t="shared" si="1"/>
        <v>0</v>
      </c>
      <c r="J24" s="266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315" t="str">
        <f>IF(AND(LEFT(C24,1)="d",OR(D24&gt;="7:00"*1,H24&gt;"22:00"*1)),Prime!$G$4,"")&amp;IF(AND(LEFT(C24,1)="s",H24&gt;="24:00"*1),Prime!$G$4,"")</f>
        <v/>
      </c>
      <c r="N24" s="329" t="str">
        <f>IF(ISNUMBER(FIND("F",C24)),Prime!$I$4,IF(ISNUMBER(FIND("CDS",C24)),Prime!$I$4,""))</f>
        <v/>
      </c>
      <c r="O24" s="241"/>
      <c r="P24" s="242" t="str">
        <f t="shared" si="2"/>
        <v/>
      </c>
      <c r="Q24" s="142">
        <f t="shared" si="3"/>
        <v>0.31666666666666665</v>
      </c>
      <c r="R24" s="143">
        <f t="shared" si="5"/>
        <v>7.6</v>
      </c>
      <c r="S24" s="144">
        <v>0</v>
      </c>
      <c r="T24" s="141">
        <f t="shared" si="4"/>
        <v>7.6</v>
      </c>
      <c r="U24" s="126"/>
    </row>
    <row r="25" spans="1:21" s="1" customFormat="1" ht="15.75" x14ac:dyDescent="0.25">
      <c r="A25" s="3"/>
      <c r="B25" s="493">
        <v>41568</v>
      </c>
      <c r="C25" s="6" t="s">
        <v>198</v>
      </c>
      <c r="D25" s="254">
        <v>0.25</v>
      </c>
      <c r="E25" s="239">
        <v>0.56666666666666665</v>
      </c>
      <c r="F25" s="240">
        <f t="shared" si="0"/>
        <v>0.31666666666666665</v>
      </c>
      <c r="G25" s="239"/>
      <c r="H25" s="239"/>
      <c r="I25" s="240">
        <f t="shared" si="1"/>
        <v>0</v>
      </c>
      <c r="J25" s="266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315" t="str">
        <f>IF(AND(LEFT(C25,1)="d",OR(D25&gt;="7:00"*1,H25&gt;"22:00"*1)),Prime!$G$4,"")&amp;IF(AND(LEFT(C25,1)="s",H25&gt;="24:00"*1),Prime!$G$4,"")</f>
        <v/>
      </c>
      <c r="N25" s="329" t="str">
        <f>IF(ISNUMBER(FIND("F",C25)),Prime!$I$4,IF(ISNUMBER(FIND("CDS",C25)),Prime!$I$4,""))</f>
        <v/>
      </c>
      <c r="O25" s="241"/>
      <c r="P25" s="242" t="str">
        <f t="shared" si="2"/>
        <v/>
      </c>
      <c r="Q25" s="142">
        <f t="shared" si="3"/>
        <v>0.31666666666666665</v>
      </c>
      <c r="R25" s="143">
        <f t="shared" si="5"/>
        <v>7.6</v>
      </c>
      <c r="S25" s="144">
        <v>0</v>
      </c>
      <c r="T25" s="141">
        <f t="shared" si="4"/>
        <v>7.6</v>
      </c>
      <c r="U25" s="126"/>
    </row>
    <row r="26" spans="1:21" s="1" customFormat="1" ht="15.75" x14ac:dyDescent="0.25">
      <c r="A26" s="3"/>
      <c r="B26" s="493">
        <v>41569</v>
      </c>
      <c r="C26" s="6" t="s">
        <v>235</v>
      </c>
      <c r="D26" s="254">
        <v>0.35416666666666669</v>
      </c>
      <c r="E26" s="239">
        <v>0.5</v>
      </c>
      <c r="F26" s="240">
        <f t="shared" si="0"/>
        <v>0.14583333333333331</v>
      </c>
      <c r="G26" s="239">
        <v>0.5625</v>
      </c>
      <c r="H26" s="239">
        <v>0.70833333333333337</v>
      </c>
      <c r="I26" s="240">
        <f t="shared" si="1"/>
        <v>0.14583333333333337</v>
      </c>
      <c r="J26" s="266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315" t="str">
        <f>IF(AND(LEFT(C26,1)="d",OR(D26&gt;="7:00"*1,H26&gt;"22:00"*1)),Prime!$G$4,"")&amp;IF(AND(LEFT(C26,1)="s",H26&gt;="24:00"*1),Prime!$G$4,"")</f>
        <v/>
      </c>
      <c r="N26" s="329" t="str">
        <f>IF(ISNUMBER(FIND("F",C26)),Prime!$I$4,IF(ISNUMBER(FIND("CDS",C26)),Prime!$I$4,""))</f>
        <v/>
      </c>
      <c r="O26" s="241"/>
      <c r="P26" s="242" t="str">
        <f t="shared" si="2"/>
        <v/>
      </c>
      <c r="Q26" s="191">
        <f t="shared" si="3"/>
        <v>0.29166666666666669</v>
      </c>
      <c r="R26" s="143">
        <f t="shared" si="5"/>
        <v>7</v>
      </c>
      <c r="S26" s="144">
        <v>8.18</v>
      </c>
      <c r="T26" s="141">
        <f t="shared" si="4"/>
        <v>-1.1799999999999997</v>
      </c>
      <c r="U26" s="126"/>
    </row>
    <row r="27" spans="1:21" s="1" customFormat="1" ht="15.75" x14ac:dyDescent="0.25">
      <c r="A27" s="3"/>
      <c r="B27" s="493">
        <v>41570</v>
      </c>
      <c r="C27" s="6" t="s">
        <v>236</v>
      </c>
      <c r="D27" s="254">
        <v>0.21249999999999999</v>
      </c>
      <c r="E27" s="239">
        <v>0.53055555555555556</v>
      </c>
      <c r="F27" s="240">
        <f t="shared" si="0"/>
        <v>0.31805555555555554</v>
      </c>
      <c r="G27" s="239"/>
      <c r="H27" s="239"/>
      <c r="I27" s="240">
        <f t="shared" si="1"/>
        <v>0</v>
      </c>
      <c r="J27" s="266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315" t="str">
        <f>IF(AND(LEFT(C27,1)="d",OR(D27&gt;="7:00"*1,H27&gt;"22:00"*1)),Prime!$G$4,"")&amp;IF(AND(LEFT(C27,1)="s",H27&gt;="24:00"*1),Prime!$G$4,"")</f>
        <v/>
      </c>
      <c r="N27" s="329" t="str">
        <f>IF(ISNUMBER(FIND("F",C27)),Prime!$I$4,IF(ISNUMBER(FIND("CDS",C27)),Prime!$I$4,""))</f>
        <v/>
      </c>
      <c r="O27" s="241"/>
      <c r="P27" s="242" t="str">
        <f t="shared" si="2"/>
        <v/>
      </c>
      <c r="Q27" s="191">
        <f t="shared" si="3"/>
        <v>0.31805555555555554</v>
      </c>
      <c r="R27" s="143">
        <f t="shared" si="5"/>
        <v>7.6333333333333329</v>
      </c>
      <c r="S27" s="144">
        <v>8.18</v>
      </c>
      <c r="T27" s="141">
        <f t="shared" si="4"/>
        <v>-0.54666666666666686</v>
      </c>
      <c r="U27" s="126"/>
    </row>
    <row r="28" spans="1:21" s="1" customFormat="1" ht="15.75" x14ac:dyDescent="0.25">
      <c r="A28" s="3"/>
      <c r="B28" s="493">
        <v>41571</v>
      </c>
      <c r="C28" s="9" t="s">
        <v>1</v>
      </c>
      <c r="D28" s="254">
        <v>0.25</v>
      </c>
      <c r="E28" s="239">
        <v>0.56666666666666665</v>
      </c>
      <c r="F28" s="240">
        <f t="shared" si="0"/>
        <v>0.31666666666666665</v>
      </c>
      <c r="G28" s="239"/>
      <c r="H28" s="239"/>
      <c r="I28" s="240">
        <f t="shared" si="1"/>
        <v>0</v>
      </c>
      <c r="J28" s="266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315" t="str">
        <f>IF(AND(LEFT(C28,1)="d",OR(D28&gt;="7:00"*1,H28&gt;"22:00"*1)),Prime!$G$4,"")&amp;IF(AND(LEFT(C28,1)="s",H28&gt;="24:00"*1),Prime!$G$4,"")</f>
        <v/>
      </c>
      <c r="N28" s="329" t="str">
        <f>IF(ISNUMBER(FIND("F",C28)),Prime!$I$4,IF(ISNUMBER(FIND("CDS",C28)),Prime!$I$4,""))</f>
        <v/>
      </c>
      <c r="O28" s="241"/>
      <c r="P28" s="242" t="str">
        <f t="shared" si="2"/>
        <v/>
      </c>
      <c r="Q28" s="191">
        <f t="shared" si="3"/>
        <v>0.31666666666666665</v>
      </c>
      <c r="R28" s="143">
        <f t="shared" si="5"/>
        <v>7.6</v>
      </c>
      <c r="S28" s="144">
        <v>0</v>
      </c>
      <c r="T28" s="141">
        <f t="shared" si="4"/>
        <v>7.6</v>
      </c>
      <c r="U28" s="126"/>
    </row>
    <row r="29" spans="1:21" s="1" customFormat="1" ht="15.75" x14ac:dyDescent="0.25">
      <c r="A29" s="3"/>
      <c r="B29" s="493">
        <v>41572</v>
      </c>
      <c r="C29" s="6" t="s">
        <v>136</v>
      </c>
      <c r="D29" s="254"/>
      <c r="E29" s="239"/>
      <c r="F29" s="240">
        <f t="shared" si="0"/>
        <v>0</v>
      </c>
      <c r="G29" s="239"/>
      <c r="H29" s="239"/>
      <c r="I29" s="240">
        <f t="shared" si="1"/>
        <v>0</v>
      </c>
      <c r="J29" s="266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315" t="str">
        <f>IF(AND(LEFT(C29,1)="d",OR(D29&gt;="7:00"*1,H29&gt;"22:00"*1)),Prime!$G$4,"")&amp;IF(AND(LEFT(C29,1)="s",H29&gt;="24:00"*1),Prime!$G$4,"")</f>
        <v/>
      </c>
      <c r="N29" s="329" t="str">
        <f>IF(ISNUMBER(FIND("F",C29)),Prime!$I$4,IF(ISNUMBER(FIND("CDS",C29)),Prime!$I$4,""))</f>
        <v/>
      </c>
      <c r="O29" s="241"/>
      <c r="P29" s="242" t="str">
        <f t="shared" si="2"/>
        <v/>
      </c>
      <c r="Q29" s="191">
        <f t="shared" si="3"/>
        <v>0</v>
      </c>
      <c r="R29" s="143">
        <f t="shared" si="5"/>
        <v>0</v>
      </c>
      <c r="S29" s="144">
        <v>0</v>
      </c>
      <c r="T29" s="141" t="str">
        <f t="shared" si="4"/>
        <v>0,000</v>
      </c>
      <c r="U29" s="126"/>
    </row>
    <row r="30" spans="1:21" s="1" customFormat="1" ht="15.75" x14ac:dyDescent="0.25">
      <c r="A30" s="3"/>
      <c r="B30" s="493">
        <v>41573</v>
      </c>
      <c r="C30" s="9" t="s">
        <v>237</v>
      </c>
      <c r="D30" s="254">
        <v>0.21249999999999999</v>
      </c>
      <c r="E30" s="239">
        <v>0.53055555555555556</v>
      </c>
      <c r="F30" s="240">
        <f t="shared" si="0"/>
        <v>0.31805555555555554</v>
      </c>
      <c r="G30" s="239"/>
      <c r="H30" s="239"/>
      <c r="I30" s="240">
        <f t="shared" si="1"/>
        <v>0</v>
      </c>
      <c r="J30" s="266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315" t="str">
        <f>IF(AND(LEFT(C30,1)="d",OR(D30&gt;="7:00"*1,H30&gt;"22:00"*1)),Prime!$G$4,"")&amp;IF(AND(LEFT(C30,1)="s",H30&gt;="24:00"*1),Prime!$G$4,"")</f>
        <v/>
      </c>
      <c r="N30" s="329" t="str">
        <f>IF(ISNUMBER(FIND("F",C30)),Prime!$I$4,IF(ISNUMBER(FIND("CDS",C30)),Prime!$I$4,""))</f>
        <v/>
      </c>
      <c r="O30" s="241"/>
      <c r="P30" s="242" t="str">
        <f t="shared" si="2"/>
        <v/>
      </c>
      <c r="Q30" s="191">
        <f t="shared" si="3"/>
        <v>0.31805555555555554</v>
      </c>
      <c r="R30" s="143">
        <f t="shared" si="5"/>
        <v>7.6333333333333329</v>
      </c>
      <c r="S30" s="144">
        <v>0</v>
      </c>
      <c r="T30" s="141">
        <f t="shared" si="4"/>
        <v>7.6333333333333329</v>
      </c>
      <c r="U30" s="126"/>
    </row>
    <row r="31" spans="1:21" s="1" customFormat="1" ht="15.75" x14ac:dyDescent="0.25">
      <c r="A31" s="3"/>
      <c r="B31" s="493">
        <v>41574</v>
      </c>
      <c r="C31" s="6" t="s">
        <v>238</v>
      </c>
      <c r="D31" s="254">
        <v>0.26597222222222222</v>
      </c>
      <c r="E31" s="239">
        <v>0.56458333333333333</v>
      </c>
      <c r="F31" s="240">
        <f t="shared" si="0"/>
        <v>0.2986111111111111</v>
      </c>
      <c r="G31" s="239"/>
      <c r="H31" s="239"/>
      <c r="I31" s="240">
        <f t="shared" si="1"/>
        <v>0</v>
      </c>
      <c r="J31" s="266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315" t="str">
        <f>IF(AND(LEFT(C31,1)="d",OR(D31&gt;="7:00"*1,H31&gt;"22:00"*1)),Prime!$G$4,"")&amp;IF(AND(LEFT(C31,1)="s",H31&gt;="24:00"*1),Prime!$G$4,"")</f>
        <v/>
      </c>
      <c r="N31" s="329" t="str">
        <f>IF(ISNUMBER(FIND("F",C31)),Prime!$I$4,IF(ISNUMBER(FIND("CDS",C31)),Prime!$I$4,""))</f>
        <v/>
      </c>
      <c r="O31" s="241"/>
      <c r="P31" s="242" t="str">
        <f t="shared" si="2"/>
        <v/>
      </c>
      <c r="Q31" s="191">
        <f t="shared" si="3"/>
        <v>0.2986111111111111</v>
      </c>
      <c r="R31" s="143">
        <f t="shared" si="5"/>
        <v>7.1666666666666661</v>
      </c>
      <c r="S31" s="144">
        <v>7.3</v>
      </c>
      <c r="T31" s="141">
        <f t="shared" si="4"/>
        <v>-0.13333333333333375</v>
      </c>
      <c r="U31" s="126"/>
    </row>
    <row r="32" spans="1:21" s="1" customFormat="1" ht="15.75" x14ac:dyDescent="0.25">
      <c r="A32" s="3"/>
      <c r="B32" s="493">
        <v>41575</v>
      </c>
      <c r="C32" s="6" t="s">
        <v>198</v>
      </c>
      <c r="D32" s="254">
        <v>0</v>
      </c>
      <c r="E32" s="239">
        <v>0</v>
      </c>
      <c r="F32" s="240">
        <f t="shared" si="0"/>
        <v>0</v>
      </c>
      <c r="G32" s="239"/>
      <c r="H32" s="239"/>
      <c r="I32" s="240">
        <f t="shared" si="1"/>
        <v>0</v>
      </c>
      <c r="J32" s="266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315" t="str">
        <f>IF(AND(LEFT(C32,1)="d",OR(D32&gt;="7:00"*1,H32&gt;"22:00"*1)),Prime!$G$4,"")&amp;IF(AND(LEFT(C32,1)="s",H32&gt;="24:00"*1),Prime!$G$4,"")</f>
        <v/>
      </c>
      <c r="N32" s="329" t="str">
        <f>IF(ISNUMBER(FIND("F",C32)),Prime!$I$4,IF(ISNUMBER(FIND("CDS",C32)),Prime!$I$4,""))</f>
        <v/>
      </c>
      <c r="O32" s="241"/>
      <c r="P32" s="242" t="str">
        <f t="shared" si="2"/>
        <v/>
      </c>
      <c r="Q32" s="191">
        <f t="shared" si="3"/>
        <v>0</v>
      </c>
      <c r="R32" s="143">
        <f t="shared" si="5"/>
        <v>0</v>
      </c>
      <c r="S32" s="144">
        <v>5.75</v>
      </c>
      <c r="T32" s="141">
        <f t="shared" si="4"/>
        <v>-5.75</v>
      </c>
      <c r="U32" s="126"/>
    </row>
    <row r="33" spans="1:21" s="1" customFormat="1" ht="15.75" x14ac:dyDescent="0.25">
      <c r="A33" s="3"/>
      <c r="B33" s="493">
        <v>41576</v>
      </c>
      <c r="C33" s="9" t="s">
        <v>1</v>
      </c>
      <c r="D33" s="254"/>
      <c r="E33" s="239"/>
      <c r="F33" s="240">
        <f t="shared" si="0"/>
        <v>0</v>
      </c>
      <c r="G33" s="239"/>
      <c r="H33" s="239"/>
      <c r="I33" s="240">
        <f t="shared" si="1"/>
        <v>0</v>
      </c>
      <c r="J33" s="266" t="str">
        <f>IF(COUNTA(D33:E33,G33:H33)=5,Prime!$E$4,IF(AND(D33&lt;="5:01"*1,D33&gt;"2:00"*1),Prime!$E$4,IF(AND(H33&gt;="22:00"*1,H33&lt;="26:01"*1),Prime!$E$4,"")))</f>
        <v/>
      </c>
      <c r="K33" s="231" t="str">
        <f>IF(COUNTA(D33:E33,G33:H33)=5,Prime!$E$4,IF(AND(E33&gt;="13:15"*1,G33&lt;""),Prime!$E$4,IF(AND(G33&gt;="11:00"*1,G33&lt;="12:15"*1),Prime!$E$4,"")))</f>
        <v/>
      </c>
      <c r="L33" s="286" t="str">
        <f>IF(H33&gt;"21:30"*1,Prime!$F$4,"")</f>
        <v/>
      </c>
      <c r="M33" s="315" t="str">
        <f>IF(AND(LEFT(C33,1)="d",OR(D33&gt;="7:00"*1,H33&gt;"22:00"*1)),Prime!$G$4,"")&amp;IF(AND(LEFT(C33,1)="s",H33&gt;="24:00"*1),Prime!$G$4,"")</f>
        <v/>
      </c>
      <c r="N33" s="329" t="str">
        <f>IF(ISNUMBER(FIND("F",C33)),Prime!$I$4,IF(ISNUMBER(FIND("CDS",C33)),Prime!$I$4,""))</f>
        <v/>
      </c>
      <c r="O33" s="241"/>
      <c r="P33" s="242" t="str">
        <f>IF(ISBLANK(O33),"",O33/24)</f>
        <v/>
      </c>
      <c r="Q33" s="191">
        <f t="shared" si="3"/>
        <v>0</v>
      </c>
      <c r="R33" s="143">
        <f t="shared" si="5"/>
        <v>0</v>
      </c>
      <c r="S33" s="144">
        <v>7.68</v>
      </c>
      <c r="T33" s="141">
        <f t="shared" si="4"/>
        <v>-7.68</v>
      </c>
      <c r="U33" s="126"/>
    </row>
    <row r="34" spans="1:21" s="1" customFormat="1" ht="16.5" thickBot="1" x14ac:dyDescent="0.3">
      <c r="A34" s="3"/>
      <c r="B34" s="501">
        <v>41577</v>
      </c>
      <c r="C34" s="11" t="s">
        <v>239</v>
      </c>
      <c r="D34" s="259"/>
      <c r="E34" s="243"/>
      <c r="F34" s="244">
        <f t="shared" si="0"/>
        <v>0</v>
      </c>
      <c r="G34" s="243"/>
      <c r="H34" s="243"/>
      <c r="I34" s="244">
        <f t="shared" si="1"/>
        <v>0</v>
      </c>
      <c r="J34" s="267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88" t="str">
        <f>IF(H34&gt;"21:30"*1,Prime!$F$4,"")</f>
        <v/>
      </c>
      <c r="M34" s="316" t="str">
        <f>IF(AND(LEFT(C34,1)="d",OR(D34&gt;="7:00"*1,H34&gt;"22:00"*1)),Prime!$G$4,"")&amp;IF(AND(LEFT(C34,1)="s",H34&gt;="24:00"*1),Prime!$G$4,"")</f>
        <v/>
      </c>
      <c r="N34" s="330" t="str">
        <f>IF(ISNUMBER(FIND("F",C34)),Prime!$I$4,IF(ISNUMBER(FIND("CDS",C34)),Prime!$I$4,""))</f>
        <v/>
      </c>
      <c r="O34" s="245"/>
      <c r="P34" s="247"/>
      <c r="Q34" s="192">
        <f t="shared" si="3"/>
        <v>0</v>
      </c>
      <c r="R34" s="146">
        <f t="shared" si="5"/>
        <v>0</v>
      </c>
      <c r="S34" s="147">
        <v>0</v>
      </c>
      <c r="T34" s="148" t="str">
        <f t="shared" si="4"/>
        <v>0,000</v>
      </c>
      <c r="U34" s="126"/>
    </row>
    <row r="35" spans="1:21" s="1" customFormat="1" ht="15.75" x14ac:dyDescent="0.25">
      <c r="A35" s="3"/>
      <c r="B35" s="4"/>
      <c r="C35" s="4"/>
      <c r="D35" s="4"/>
      <c r="E35" s="3"/>
      <c r="F35" s="3"/>
      <c r="G35" s="3"/>
      <c r="H35" s="3"/>
      <c r="I35" s="3"/>
      <c r="J35" s="181"/>
      <c r="K35" s="183"/>
      <c r="L35" s="186"/>
      <c r="M35" s="150"/>
      <c r="N35" s="150"/>
      <c r="O35" s="126"/>
      <c r="P35" s="126"/>
      <c r="Q35" s="124"/>
      <c r="R35" s="20"/>
      <c r="S35" s="21"/>
      <c r="T35" s="151"/>
      <c r="U35" s="126"/>
    </row>
    <row r="36" spans="1:21" s="1" customFormat="1" ht="15.75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26</v>
      </c>
      <c r="D36" s="4"/>
      <c r="E36" s="3"/>
      <c r="F36" s="3"/>
      <c r="G36" s="3"/>
      <c r="H36" s="3"/>
      <c r="I36" s="3"/>
      <c r="J36" s="182">
        <f>SUM(J4:J34)</f>
        <v>17.7056</v>
      </c>
      <c r="K36" s="183"/>
      <c r="L36" s="184">
        <f>SUM(L4:L34)</f>
        <v>17.7056</v>
      </c>
      <c r="M36" s="313">
        <f>SUM(M4:M34)</f>
        <v>0</v>
      </c>
      <c r="N36" s="317">
        <f>SUM(N4:N34)</f>
        <v>0</v>
      </c>
      <c r="O36" s="153">
        <f>SUM(O4:O34)</f>
        <v>0</v>
      </c>
      <c r="P36" s="194">
        <f>SUM(P4:P32)</f>
        <v>0</v>
      </c>
      <c r="Q36" s="154">
        <f>SUM(Q4:Q34)</f>
        <v>8.1631944444444446</v>
      </c>
      <c r="R36" s="63">
        <f>SUM(R4:R34)</f>
        <v>195.91666666666663</v>
      </c>
      <c r="S36" s="64">
        <f>SUM(S3:S34)</f>
        <v>147.76999999999998</v>
      </c>
      <c r="T36" s="151">
        <f>R36-S36</f>
        <v>48.146666666666647</v>
      </c>
      <c r="U36" s="155"/>
    </row>
    <row r="37" spans="1:21" s="1" customFormat="1" ht="15.75" x14ac:dyDescent="0.25">
      <c r="A37" s="3"/>
      <c r="B37" s="3"/>
      <c r="C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</row>
    <row r="38" spans="1:21" s="1" customFormat="1" ht="15.75" x14ac:dyDescent="0.25">
      <c r="M38" s="460" t="s">
        <v>100</v>
      </c>
      <c r="N38" s="525"/>
      <c r="O38" s="525"/>
      <c r="P38" s="178"/>
      <c r="Q38" s="156">
        <v>6.1895833333333341</v>
      </c>
      <c r="R38" s="65">
        <v>148.19999999999999</v>
      </c>
    </row>
    <row r="39" spans="1:21" s="1" customFormat="1" x14ac:dyDescent="0.25"/>
    <row r="40" spans="1:21" ht="15.75" x14ac:dyDescent="0.25">
      <c r="M40" s="459" t="s">
        <v>39</v>
      </c>
      <c r="N40" s="521"/>
      <c r="O40" s="521"/>
      <c r="P40" s="177"/>
      <c r="Q40" s="68">
        <f>(Q36-Q38)</f>
        <v>1.9736111111111105</v>
      </c>
      <c r="R40" s="69">
        <f>Q40*24</f>
        <v>47.366666666666653</v>
      </c>
    </row>
  </sheetData>
  <mergeCells count="6">
    <mergeCell ref="B1:L1"/>
    <mergeCell ref="N40:O40"/>
    <mergeCell ref="N38:O38"/>
    <mergeCell ref="Q2:T2"/>
    <mergeCell ref="D3:E3"/>
    <mergeCell ref="G3:H3"/>
  </mergeCells>
  <conditionalFormatting sqref="Q40">
    <cfRule type="cellIs" dxfId="18" priority="5" operator="lessThan">
      <formula>0</formula>
    </cfRule>
  </conditionalFormatting>
  <conditionalFormatting sqref="T4:T34">
    <cfRule type="cellIs" dxfId="17" priority="3" operator="greaterThanOrEqual">
      <formula>0.001</formula>
    </cfRule>
    <cfRule type="cellIs" dxfId="16" priority="4" operator="lessThan">
      <formula>0</formula>
    </cfRule>
  </conditionalFormatting>
  <conditionalFormatting sqref="T35:T36">
    <cfRule type="cellIs" dxfId="15" priority="1" operator="greaterThanOrEqual">
      <formula>0.001</formula>
    </cfRule>
    <cfRule type="cellIs" dxfId="14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U40"/>
  <sheetViews>
    <sheetView tabSelected="1" workbookViewId="0">
      <selection activeCell="O4" sqref="O4"/>
    </sheetView>
  </sheetViews>
  <sheetFormatPr baseColWidth="10" defaultRowHeight="15" x14ac:dyDescent="0.25"/>
  <cols>
    <col min="1" max="1" width="2.7109375" customWidth="1"/>
    <col min="2" max="2" width="18.140625" style="447" customWidth="1"/>
    <col min="3" max="3" width="10.7109375" style="1" customWidth="1"/>
    <col min="4" max="9" width="10.7109375" customWidth="1"/>
    <col min="10" max="10" width="10.7109375" style="1" customWidth="1"/>
    <col min="11" max="13" width="10.7109375" customWidth="1"/>
    <col min="14" max="14" width="13.5703125" style="1" customWidth="1"/>
    <col min="15" max="16" width="10.7109375" style="22" customWidth="1"/>
    <col min="17" max="21" width="10.7109375" customWidth="1"/>
  </cols>
  <sheetData>
    <row r="1" spans="1:21" s="1" customFormat="1" ht="16.5" thickBot="1" x14ac:dyDescent="0.3">
      <c r="A1" s="3"/>
      <c r="B1" s="524" t="s">
        <v>10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345"/>
      <c r="N1" s="345"/>
      <c r="O1" s="345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124"/>
      <c r="R2" s="516" t="s">
        <v>17</v>
      </c>
      <c r="S2" s="530"/>
      <c r="T2" s="530"/>
      <c r="U2" s="531"/>
    </row>
    <row r="3" spans="1:21" s="1" customFormat="1" ht="16.5" thickBot="1" x14ac:dyDescent="0.3">
      <c r="A3" s="3"/>
      <c r="B3" s="116" t="s">
        <v>135</v>
      </c>
      <c r="C3" s="5" t="s">
        <v>18</v>
      </c>
      <c r="D3" s="533" t="s">
        <v>13</v>
      </c>
      <c r="E3" s="534"/>
      <c r="F3" s="347" t="s">
        <v>16</v>
      </c>
      <c r="G3" s="533" t="s">
        <v>14</v>
      </c>
      <c r="H3" s="534"/>
      <c r="I3" s="347" t="s">
        <v>16</v>
      </c>
      <c r="J3" s="371" t="s">
        <v>304</v>
      </c>
      <c r="K3" s="372" t="s">
        <v>180</v>
      </c>
      <c r="L3" s="373" t="s">
        <v>181</v>
      </c>
      <c r="M3" s="374" t="s">
        <v>185</v>
      </c>
      <c r="N3" s="375" t="s">
        <v>188</v>
      </c>
      <c r="O3" s="353" t="s">
        <v>243</v>
      </c>
      <c r="P3" s="519" t="s">
        <v>20</v>
      </c>
      <c r="Q3" s="532"/>
      <c r="R3" s="131" t="s">
        <v>37</v>
      </c>
      <c r="S3" s="412" t="s">
        <v>38</v>
      </c>
      <c r="T3" s="419" t="s">
        <v>22</v>
      </c>
      <c r="U3" s="416" t="s">
        <v>39</v>
      </c>
    </row>
    <row r="4" spans="1:21" s="1" customFormat="1" ht="16.5" thickBot="1" x14ac:dyDescent="0.3">
      <c r="A4" s="3"/>
      <c r="B4" s="510">
        <v>41578</v>
      </c>
      <c r="C4" s="378" t="s">
        <v>306</v>
      </c>
      <c r="D4" s="354" t="str">
        <f>IF(ISNA(VLOOKUP(C4,'Planning 2017'!B2:F397,2,0)),"",VLOOKUP(C4,'Planning 2017'!B2:F397,2,0))</f>
        <v/>
      </c>
      <c r="E4" s="376" t="str">
        <f>IF(ISNA(VLOOKUP(C4,'Planning 2017'!B2:F397,3,0)),"",VLOOKUP(C4,'Planning 2017'!B2:F397,3,0))</f>
        <v/>
      </c>
      <c r="F4" s="348">
        <f>IF(ISERROR(E4-D4),0,E4-D4)</f>
        <v>0</v>
      </c>
      <c r="G4" s="354" t="str">
        <f>IF(ISNA(VLOOKUP(C4,'Planning 2017'!B2:F397,4,0)),"",VLOOKUP(C4,'Planning 2017'!B2:F397,4,0))</f>
        <v/>
      </c>
      <c r="H4" s="376" t="str">
        <f>IF(ISNA(VLOOKUP(C4,'Planning 2017'!B2:F397,5,0)),"",VLOOKUP(C4,'Planning 2017'!B2:F397,5,0))</f>
        <v/>
      </c>
      <c r="I4" s="349">
        <f>IF(ISERROR(H4-G4),0,(H4-G4))</f>
        <v>0</v>
      </c>
      <c r="J4" s="362" t="str">
        <f>IF(COUNTA(D4:E4,G4:H4)=5,Prime!$E$4,IF(AND(D4&lt;="5:01"*1,D4&gt;"2:00"*1),Prime!$E$4,IF(AND(H4&gt;="22:00"*1,H4&lt;="26:01"*1),Prime!$E$4,"")))</f>
        <v/>
      </c>
      <c r="K4" s="364" t="str">
        <f>IF(COUNTA(D4:E4,G4:H4)=5,Prime!$E$4,IF(AND(E4&gt;="13:15"*1,G4&lt;""),Prime!$E$4,IF(AND(G4&gt;="11:00"*1,G4&lt;="12:15"*1),Prime!$E$4,"")))</f>
        <v/>
      </c>
      <c r="L4" s="367" t="str">
        <f>IF(AND(H4&gt;="19:30"*1,H4&lt;="21:30"*1),Prime!$E$4,"")</f>
        <v/>
      </c>
      <c r="M4" s="381" t="str">
        <f>IF(OR(AND(LEFT(C4,1)="d",OR(D4&gt;="0:00"*1,G4&gt;"14:00"*1)),AND(LEFT(C4,1)="s",H4&gt;="21:30"*1)),Prime!$G$4,"")</f>
        <v/>
      </c>
      <c r="N4" s="511" t="str">
        <f>IF(ISNUMBER(FIND("Férié",C4)),"",IF(ISNUMBER(FIND("Férié",'Planning 2017'!B2:F27,2)),Prime!$I$4,IF(ISNUMBER(FIND("CDS",C4)),Prime!$I$4,"")))</f>
        <v/>
      </c>
      <c r="O4" s="355" t="e">
        <f>IF(AND(OR(C4)="d",(C4)="f",(C4)="s"),AND(IF(L4&lt;=0,1,"")))</f>
        <v>#VALUE!</v>
      </c>
      <c r="P4" s="480">
        <v>6.9444444444444441E-3</v>
      </c>
      <c r="Q4" s="238">
        <f t="shared" ref="Q4:Q17" si="0">IF(ISBLANK(P4),"",P4*24)</f>
        <v>0.16666666666666666</v>
      </c>
      <c r="R4" s="138">
        <f>IF(ISERROR((E4-D4)+(H4-G4)),0,(E4-D4)+(H4-G4))</f>
        <v>0</v>
      </c>
      <c r="S4" s="413">
        <f>R4*24</f>
        <v>0</v>
      </c>
      <c r="T4" s="420"/>
      <c r="U4" s="417" t="str">
        <f>IF(S4-T4=0,"0,000",S4-T4)</f>
        <v>0,000</v>
      </c>
    </row>
    <row r="5" spans="1:21" s="1" customFormat="1" ht="16.5" thickBot="1" x14ac:dyDescent="0.3">
      <c r="A5" s="3"/>
      <c r="B5" s="510">
        <v>41579</v>
      </c>
      <c r="C5" s="379" t="s">
        <v>239</v>
      </c>
      <c r="D5" s="356">
        <f>IF(ISNA(VLOOKUP(C5,'Planning 2017'!B3:F398,2,0)),"",VLOOKUP(C5,'Planning 2017'!B3:F398,2,0))</f>
        <v>0</v>
      </c>
      <c r="E5" s="377">
        <f>IF(ISNA(VLOOKUP(C5,'Planning 2017'!B3:F398,3,0)),"",VLOOKUP(C5,'Planning 2017'!B3:F398,3,0))</f>
        <v>0</v>
      </c>
      <c r="F5" s="348">
        <f t="shared" ref="F5:F33" si="1">IF(ISERROR(E5-D5),0,E5-D5)</f>
        <v>0</v>
      </c>
      <c r="G5" s="356">
        <f>IF(ISNA(VLOOKUP(C5,'Planning 2017'!B3:F398,4,0)),"",VLOOKUP(C5,'Planning 2017'!B3:F398,4,0))</f>
        <v>0</v>
      </c>
      <c r="H5" s="377">
        <f>IF(ISNA(VLOOKUP(C5,'Planning 2017'!B3:F398,5,0)),"",VLOOKUP(C5,'Planning 2017'!B3:F398,5,0))</f>
        <v>0</v>
      </c>
      <c r="I5" s="350">
        <f t="shared" ref="I5:I33" si="2">IF(ISERROR(H5-G5),0,(H5-G5))</f>
        <v>0</v>
      </c>
      <c r="J5" s="363" t="str">
        <f>IF(COUNTA(D5:E5,G5:H5)=5,Prime!$E$4,IF(AND(D5&lt;="5:01"*1,D5&gt;"2:00"*1),Prime!$E$4,IF(AND(H5&gt;="22:00"*1,H5&lt;="26:01"*1),Prime!$E$4,"")))</f>
        <v/>
      </c>
      <c r="K5" s="365" t="str">
        <f>IF(COUNTA(D5:E5,G5:H5)=5,Prime!$E$4,IF(AND(E5&gt;="13:15"*1,G5&lt;""),Prime!$E$4,IF(AND(G5&gt;="11:00"*1,G5&lt;="12:15"*1),Prime!$E$4,"")))</f>
        <v/>
      </c>
      <c r="L5" s="368" t="str">
        <f>IF(AND(H5&gt;="19:30"*1,H5&lt;="21:30"*1),Prime!$E$4,"")</f>
        <v/>
      </c>
      <c r="M5" s="381" t="str">
        <f>IF(OR(AND(LEFT(C5,1)="d",OR(D5&gt;="0:00"*1,G5&gt;"14:00"*1)),AND(LEFT(C5,1)="s",H5&gt;="21:30"*1)),Prime!$G$4,"")</f>
        <v/>
      </c>
      <c r="N5" s="409" t="str">
        <f>IF(ISNUMBER(FIND("F",C5)),Prime!$I$4,IF(ISNUMBER(FIND("CDS",C5)),Prime!$I$4,""))</f>
        <v/>
      </c>
      <c r="O5" s="355" t="e">
        <f t="shared" ref="O5:O26" si="3">IF(AND(OR(C5)="d",(C5)="f",(C5)="s"),AND(IF(L5&lt;=0,1,"")))</f>
        <v>#VALUE!</v>
      </c>
      <c r="P5" s="481"/>
      <c r="Q5" s="242" t="str">
        <f t="shared" si="0"/>
        <v/>
      </c>
      <c r="R5" s="138">
        <f t="shared" ref="R5:R34" si="4">IF(ISERROR((E5-D5)+(H5-G5)),0,(E5-D5)+(H5-G5))</f>
        <v>0</v>
      </c>
      <c r="S5" s="414">
        <f>R5*24</f>
        <v>0</v>
      </c>
      <c r="T5" s="421"/>
      <c r="U5" s="417" t="str">
        <f t="shared" ref="U5:U34" si="5">IF(S5-T5=0,"0,000",S5-T5)</f>
        <v>0,000</v>
      </c>
    </row>
    <row r="6" spans="1:21" s="1" customFormat="1" ht="16.5" thickBot="1" x14ac:dyDescent="0.3">
      <c r="A6" s="3"/>
      <c r="B6" s="510">
        <v>41580</v>
      </c>
      <c r="C6" s="379" t="s">
        <v>301</v>
      </c>
      <c r="D6" s="356">
        <f>IF(ISNA(VLOOKUP(C6,'Planning 2017'!B4:F399,2,0)),"",VLOOKUP(C6,'Planning 2017'!B4:F399,2,0))</f>
        <v>0</v>
      </c>
      <c r="E6" s="377">
        <f>IF(ISNA(VLOOKUP(C6,'Planning 2017'!B3:F399,3,0)),"",VLOOKUP(C6,'Planning 2017'!B3:F399,3,0))</f>
        <v>0</v>
      </c>
      <c r="F6" s="348">
        <f t="shared" si="1"/>
        <v>0</v>
      </c>
      <c r="G6" s="356">
        <f>IF(ISNA(VLOOKUP(C6,'Planning 2017'!B3:F399,4,0)),"",VLOOKUP(C6,'Planning 2017'!B3:F399,4,0))</f>
        <v>0.48402777777777778</v>
      </c>
      <c r="H6" s="377">
        <f>IF(ISNA(VLOOKUP(C6,'Planning 2017'!B3:F399,5,0)),"",VLOOKUP(C6,'Planning 2017'!B3:F399,5,0))</f>
        <v>0.81736111111111109</v>
      </c>
      <c r="I6" s="350">
        <f t="shared" si="2"/>
        <v>0.33333333333333331</v>
      </c>
      <c r="J6" s="363" t="str">
        <f>IF(COUNTA(D6:E6,G6:H6)=5,Prime!$E$4,IF(AND(D6&lt;="5:01"*1,D6&gt;"2:00"*1),Prime!$E$4,IF(AND(H6&gt;="22:00"*1,H6&lt;="26:01"*1),Prime!$E$4,"")))</f>
        <v/>
      </c>
      <c r="K6" s="365">
        <f>IF(COUNTA(D6:E6,G6:H6)=5,Prime!$E$4,IF(AND(E6&gt;="13:15"*1,G6&lt;""),Prime!$E$4,IF(AND(G6&gt;="11:00"*1,G6&lt;="12:15"*1),Prime!$E$4,"")))</f>
        <v>17.7056</v>
      </c>
      <c r="L6" s="508">
        <f>IF(AND(H6&gt;="19:30"*1,H6&lt;="21:30"*1),Prime!$E$4,"")</f>
        <v>17.7056</v>
      </c>
      <c r="M6" s="381" t="str">
        <f>IF(OR(AND(LEFT(C6,1)="d",OR(D6&gt;="0:00"*1,G6&gt;"14:00"*1)),AND(LEFT(C6,1)="s",H6&gt;="21:30"*1)),Prime!$G$4,"")</f>
        <v/>
      </c>
      <c r="N6" s="409" t="str">
        <f>IF(ISNUMBER(FIND("F",C6)),Prime!$I$4,IF(ISNUMBER(FIND("CDS",C6)),Prime!$I$4,""))</f>
        <v/>
      </c>
      <c r="O6" s="355" t="e">
        <f t="shared" si="3"/>
        <v>#VALUE!</v>
      </c>
      <c r="P6" s="481"/>
      <c r="Q6" s="242" t="str">
        <f t="shared" si="0"/>
        <v/>
      </c>
      <c r="R6" s="138">
        <f t="shared" si="4"/>
        <v>0.33333333333333331</v>
      </c>
      <c r="S6" s="414">
        <f>R6*24</f>
        <v>8</v>
      </c>
      <c r="T6" s="421"/>
      <c r="U6" s="417">
        <f t="shared" si="5"/>
        <v>8</v>
      </c>
    </row>
    <row r="7" spans="1:21" s="1" customFormat="1" ht="16.5" thickBot="1" x14ac:dyDescent="0.3">
      <c r="A7" s="3"/>
      <c r="B7" s="510">
        <v>41581</v>
      </c>
      <c r="C7" s="379" t="s">
        <v>307</v>
      </c>
      <c r="D7" s="356" t="str">
        <f>IF(ISNA(VLOOKUP(C7,'Planning 2017'!B5:F400,2,0)),"",VLOOKUP(C7,'Planning 2017'!B5:F400,2,0))</f>
        <v/>
      </c>
      <c r="E7" s="377" t="str">
        <f>IF(ISNA(VLOOKUP(C7,'Planning 2017'!B4:F400,3,0)),"",VLOOKUP(C7,'Planning 2017'!B4:F400,3,0))</f>
        <v/>
      </c>
      <c r="F7" s="348">
        <f t="shared" si="1"/>
        <v>0</v>
      </c>
      <c r="G7" s="356" t="str">
        <f>IF(ISNA(VLOOKUP(C7,'Planning 2017'!B4:F400,4,0)),"",VLOOKUP(C7,'Planning 2017'!B4:F400,4,0))</f>
        <v/>
      </c>
      <c r="H7" s="377" t="str">
        <f>IF(ISNA(VLOOKUP(C7,'Planning 2017'!B4:F400,5,0)),"",VLOOKUP(C7,'Planning 2017'!B4:F400,5,0))</f>
        <v/>
      </c>
      <c r="I7" s="350">
        <f t="shared" si="2"/>
        <v>0</v>
      </c>
      <c r="J7" s="363" t="str">
        <f>IF(COUNTA(D7:E7,G7:H7)=5,Prime!$E$4,IF(AND(D7&lt;="5:01"*1,D7&gt;"2:00"*1),Prime!$E$4,IF(AND(H7&gt;="22:00"*1,H7&lt;="26:01"*1),Prime!$E$4,"")))</f>
        <v/>
      </c>
      <c r="K7" s="365" t="str">
        <f>IF(COUNTA(D7:E7,G7:H7)=5,Prime!$E$4,IF(AND(E7&gt;="13:15"*1,G7&lt;""),Prime!$E$4,IF(AND(G7&gt;="11:00"*1,G7&lt;="12:15"*1),Prime!$E$4,"")))</f>
        <v/>
      </c>
      <c r="L7" s="508" t="str">
        <f>IF(AND(H7&gt;="19:30"*1,H7&lt;="21:30"*1),Prime!$E$4,"")</f>
        <v/>
      </c>
      <c r="M7" s="381">
        <f>IF(OR(AND(LEFT(C7,1)="d",OR(D7&gt;="0:00"*1,G7&gt;"14:00"*1)),AND(LEFT(C7,1)="s",H7&gt;="21:30"*1)),Prime!$G$4,"")</f>
        <v>44.264000000000003</v>
      </c>
      <c r="N7" s="409" t="str">
        <f>IF(ISNUMBER(FIND("F",C7)),Prime!$I$4,IF(ISNUMBER(FIND("CDS",C7)),Prime!$I$4,""))</f>
        <v/>
      </c>
      <c r="O7" s="355" t="e">
        <f t="shared" si="3"/>
        <v>#VALUE!</v>
      </c>
      <c r="P7" s="481"/>
      <c r="Q7" s="242" t="str">
        <f t="shared" si="0"/>
        <v/>
      </c>
      <c r="R7" s="138">
        <f t="shared" si="4"/>
        <v>0</v>
      </c>
      <c r="S7" s="414">
        <f t="shared" ref="S7:S34" si="6">R7*24</f>
        <v>0</v>
      </c>
      <c r="T7" s="421"/>
      <c r="U7" s="417" t="str">
        <f t="shared" si="5"/>
        <v>0,000</v>
      </c>
    </row>
    <row r="8" spans="1:21" s="1" customFormat="1" ht="16.5" thickBot="1" x14ac:dyDescent="0.3">
      <c r="A8" s="3"/>
      <c r="B8" s="510">
        <v>41582</v>
      </c>
      <c r="C8" s="379" t="s">
        <v>0</v>
      </c>
      <c r="D8" s="356">
        <f>IF(ISNA(VLOOKUP(C8,'Planning 2017'!B6:F401,2,0)),"",VLOOKUP(C8,'Planning 2017'!B6:F401,2,0))</f>
        <v>0</v>
      </c>
      <c r="E8" s="377">
        <f>IF(ISNA(VLOOKUP(C8,'Planning 2017'!B4:F401,3,0)),"",VLOOKUP(C8,'Planning 2017'!B4:F401,3,0))</f>
        <v>0</v>
      </c>
      <c r="F8" s="348">
        <f t="shared" si="1"/>
        <v>0</v>
      </c>
      <c r="G8" s="356">
        <f>IF(ISNA(VLOOKUP(C8,'Planning 2017'!B4:F401,4,0)),"",VLOOKUP(C8,'Planning 2017'!B4:F401,4,0))</f>
        <v>0</v>
      </c>
      <c r="H8" s="377">
        <f>IF(ISNA(VLOOKUP(C8,'Planning 2017'!B4:F401,5,0)),"",VLOOKUP(C8,'Planning 2017'!B4:F401,5,0))</f>
        <v>0</v>
      </c>
      <c r="I8" s="350">
        <f t="shared" si="2"/>
        <v>0</v>
      </c>
      <c r="J8" s="363" t="str">
        <f>IF(COUNTA(D8:E8,G8:H8)=5,Prime!$E$4,IF(AND(D8&lt;="5:01"*1,D8&gt;"2:00"*1),Prime!$E$4,IF(AND(H8&gt;="22:00"*1,H8&lt;="26:01"*1),Prime!$E$4,"")))</f>
        <v/>
      </c>
      <c r="K8" s="365" t="str">
        <f>IF(COUNTA(D8:E8,G8:H8)=5,Prime!$E$4,IF(AND(E8&gt;="13:15"*1,G8&lt;""),Prime!$E$4,IF(AND(G8&gt;="11:00"*1,G8&lt;="12:15"*1),Prime!$E$4,"")))</f>
        <v/>
      </c>
      <c r="L8" s="508" t="str">
        <f>IF(AND(H8&gt;="19:30"*1,H8&lt;="21:30"*1),Prime!$E$4,"")</f>
        <v/>
      </c>
      <c r="M8" s="381" t="str">
        <f>IF(OR(AND(LEFT(C8,1)="d",OR(D8&gt;="0:00"*1,G8&gt;"14:00"*1)),AND(LEFT(C8,1)="s",H8&gt;="21:30"*1)),Prime!$G$4,"")</f>
        <v/>
      </c>
      <c r="N8" s="370" t="str">
        <f>IF(ISNUMBER(FIND("F",C8)),Prime!$I$4,IF(ISNUMBER(FIND("CDS",C8)),Prime!$I$4,""))</f>
        <v/>
      </c>
      <c r="O8" s="355" t="e">
        <f t="shared" si="3"/>
        <v>#VALUE!</v>
      </c>
      <c r="P8" s="481"/>
      <c r="Q8" s="242" t="str">
        <f t="shared" si="0"/>
        <v/>
      </c>
      <c r="R8" s="138">
        <f t="shared" si="4"/>
        <v>0</v>
      </c>
      <c r="S8" s="414">
        <f t="shared" si="6"/>
        <v>0</v>
      </c>
      <c r="T8" s="421"/>
      <c r="U8" s="417" t="str">
        <f t="shared" si="5"/>
        <v>0,000</v>
      </c>
    </row>
    <row r="9" spans="1:21" s="1" customFormat="1" ht="16.5" thickBot="1" x14ac:dyDescent="0.3">
      <c r="A9" s="3"/>
      <c r="B9" s="510">
        <v>41583</v>
      </c>
      <c r="C9" s="379" t="s">
        <v>284</v>
      </c>
      <c r="D9" s="356">
        <f>IF(ISNA(VLOOKUP(C9,'Planning 2017'!B5:F402,2,0)),"",VLOOKUP(C9,'Planning 2017'!B5:F402,2,0))</f>
        <v>0.25</v>
      </c>
      <c r="E9" s="377">
        <f>IF(ISNA(VLOOKUP(C9,'Planning 2017'!B5:F402,3,0)),"",VLOOKUP(C9,'Planning 2017'!B5:F402,3,0))</f>
        <v>0.5756944444444444</v>
      </c>
      <c r="F9" s="348">
        <f t="shared" si="1"/>
        <v>0.3256944444444444</v>
      </c>
      <c r="G9" s="356">
        <f>IF(ISNA(VLOOKUP(C9,'Planning 2017'!B5:F402,4,0)),"",VLOOKUP(C9,'Planning 2017'!B5:F402,4,0))</f>
        <v>0</v>
      </c>
      <c r="H9" s="377">
        <f>IF(ISNA(VLOOKUP(C9,'Planning 2017'!B5:F402,5,0)),"",VLOOKUP(C9,'Planning 2017'!B5:F402,5,0))</f>
        <v>0</v>
      </c>
      <c r="I9" s="350">
        <f t="shared" si="2"/>
        <v>0</v>
      </c>
      <c r="J9" s="363" t="str">
        <f>IF(COUNTA(D9:E9,G9:H9)=5,Prime!$E$4,IF(AND(D9&lt;="5:01"*1,D9&gt;"2:00"*1),Prime!$E$4,IF(AND(H9&gt;="22:00"*1,H9&lt;="26:01"*1),Prime!$E$4,"")))</f>
        <v/>
      </c>
      <c r="K9" s="365">
        <f>IF(COUNTA(D9:E9,G9:H9)=5,Prime!$E$4,IF(AND(E9&gt;="13:15"*1,G9&lt;""),Prime!$E$4,IF(AND(G9&gt;="11:00"*1,G9&lt;="12:15"*1),Prime!$E$4,"")))</f>
        <v>17.7056</v>
      </c>
      <c r="L9" s="508" t="str">
        <f>IF(AND(H9&gt;="19:30"*1,H9&lt;="21:30"*1),Prime!$E$4,"")</f>
        <v/>
      </c>
      <c r="M9" s="381" t="str">
        <f>IF(OR(AND(LEFT(C9,1)="d",OR(D9&gt;="0:00"*1,G9&gt;"14:00"*1)),AND(LEFT(C9,1)="s",H9&gt;="21:30"*1)),Prime!$G$4,"")</f>
        <v/>
      </c>
      <c r="N9" s="370" t="str">
        <f>IF(ISNUMBER(FIND("F",C9)),Prime!$I$4,IF(ISNUMBER(FIND("CDS",C9)),Prime!$I$4,""))</f>
        <v/>
      </c>
      <c r="O9" s="355" t="e">
        <f t="shared" si="3"/>
        <v>#VALUE!</v>
      </c>
      <c r="P9" s="481"/>
      <c r="Q9" s="242" t="str">
        <f t="shared" si="0"/>
        <v/>
      </c>
      <c r="R9" s="138">
        <f t="shared" si="4"/>
        <v>0.3256944444444444</v>
      </c>
      <c r="S9" s="414">
        <f t="shared" si="6"/>
        <v>7.8166666666666655</v>
      </c>
      <c r="T9" s="421"/>
      <c r="U9" s="417">
        <f t="shared" si="5"/>
        <v>7.8166666666666655</v>
      </c>
    </row>
    <row r="10" spans="1:21" s="1" customFormat="1" ht="16.5" thickBot="1" x14ac:dyDescent="0.3">
      <c r="A10" s="3"/>
      <c r="B10" s="510">
        <v>41584</v>
      </c>
      <c r="C10" s="379" t="s">
        <v>296</v>
      </c>
      <c r="D10" s="356">
        <f>IF(ISNA(VLOOKUP(C10,'Planning 2017'!B8:F403,2,0)),"",VLOOKUP(C10,'Planning 2017'!B8:F403,2,0))</f>
        <v>0.27430555555555552</v>
      </c>
      <c r="E10" s="377">
        <f>IF(ISNA(VLOOKUP(C10,'Planning 2017'!B8:F403,3,0)),"",VLOOKUP(C10,'Planning 2017'!B8:F403,3,0))</f>
        <v>0.375</v>
      </c>
      <c r="F10" s="348">
        <f t="shared" si="1"/>
        <v>0.10069444444444448</v>
      </c>
      <c r="G10" s="356">
        <f>IF(ISNA(VLOOKUP(C10,'Planning 2017'!B8:F403,4,0)),"",VLOOKUP(C10,'Planning 2017'!B8:F403,4,0))</f>
        <v>0.5395833333333333</v>
      </c>
      <c r="H10" s="377">
        <f>IF(ISNA(VLOOKUP(C10,'Planning 2017'!B8:F403,5,0)),"",VLOOKUP(C10,'Planning 2017'!B8:F403,5,0))</f>
        <v>0.77361111111111114</v>
      </c>
      <c r="I10" s="350">
        <f t="shared" si="2"/>
        <v>0.23402777777777783</v>
      </c>
      <c r="J10" s="363" t="str">
        <f>IF(COUNTA(D10:E10,G10:H10)=5,Prime!$E$4,IF(AND(D10&lt;="5:01"*1,D10&gt;"2:00"*1),Prime!$E$4,IF(AND(H10&gt;="22:00"*1,H10&lt;="26:01"*1),Prime!$E$4,"")))</f>
        <v/>
      </c>
      <c r="K10" s="365" t="str">
        <f>IF(COUNTA(D10:E10,G10:H10)=5,Prime!$E$4,IF(AND(E10&gt;="13:15"*1,G10&lt;""),Prime!$E$4,IF(AND(G10&gt;="11:00"*1,G10&lt;="12:15"*1),Prime!$E$4,"")))</f>
        <v/>
      </c>
      <c r="L10" s="508" t="str">
        <f>IF(AND(H10&gt;="19:30"*1,H10&lt;="21:30"*1),Prime!$E$4,"")</f>
        <v/>
      </c>
      <c r="M10" s="381" t="str">
        <f>IF(OR(AND(LEFT(C10,1)="d",OR(D10&gt;="0:00"*1,G10&gt;"14:00"*1)),AND(LEFT(C10,1)="s",H10&gt;="21:30"*1)),Prime!$G$4,"")</f>
        <v/>
      </c>
      <c r="N10" s="370" t="str">
        <f>IF(ISNUMBER(FIND("F",C10)),Prime!$I$4,IF(ISNUMBER(FIND("CDS",C10)),Prime!$I$4,""))</f>
        <v/>
      </c>
      <c r="O10" s="355" t="e">
        <f t="shared" si="3"/>
        <v>#VALUE!</v>
      </c>
      <c r="P10" s="481"/>
      <c r="Q10" s="242" t="str">
        <f t="shared" si="0"/>
        <v/>
      </c>
      <c r="R10" s="138">
        <f t="shared" si="4"/>
        <v>0.33472222222222231</v>
      </c>
      <c r="S10" s="414">
        <f t="shared" si="6"/>
        <v>8.033333333333335</v>
      </c>
      <c r="T10" s="421"/>
      <c r="U10" s="417">
        <f t="shared" si="5"/>
        <v>8.033333333333335</v>
      </c>
    </row>
    <row r="11" spans="1:21" s="1" customFormat="1" ht="16.5" thickBot="1" x14ac:dyDescent="0.3">
      <c r="A11" s="3"/>
      <c r="B11" s="510">
        <v>41585</v>
      </c>
      <c r="C11" s="379" t="s">
        <v>278</v>
      </c>
      <c r="D11" s="356">
        <f>IF(ISNA(VLOOKUP(C11,'Planning 2017'!B9:F404,2,0)),"",VLOOKUP(C11,'Planning 2017'!B9:F404,2,0))</f>
        <v>0.27083333333333331</v>
      </c>
      <c r="E11" s="377">
        <f>IF(ISNA(VLOOKUP(C11,'Planning 2017'!B9:F404,3,0)),"",VLOOKUP(C11,'Planning 2017'!B9:F404,3,0))</f>
        <v>0.40416666666666662</v>
      </c>
      <c r="F11" s="358">
        <f t="shared" si="1"/>
        <v>0.1333333333333333</v>
      </c>
      <c r="G11" s="356">
        <f>IF(ISNA(VLOOKUP(C11,'Planning 2017'!B9:F404,4,0)),"",VLOOKUP(C11,'Planning 2017'!B9:F404,4,0))</f>
        <v>0.59791666666666665</v>
      </c>
      <c r="H11" s="377">
        <f>IF(ISNA(VLOOKUP(C11,'Planning 2017'!B9:F404,5,0)),"",VLOOKUP(C11,'Planning 2017'!B9:F404,5,0))</f>
        <v>0.79583333333333339</v>
      </c>
      <c r="I11" s="359">
        <f t="shared" si="2"/>
        <v>0.19791666666666674</v>
      </c>
      <c r="J11" s="363" t="str">
        <f>IF(COUNTA(D11:E11,G11:H11)=5,Prime!$E$4,IF(AND(D11&lt;="5:01"*1,D11&gt;"2:00"*1),Prime!$E$4,IF(AND(H11&gt;="22:00"*1,H11&lt;="26:01"*1),Prime!$E$4,"")))</f>
        <v/>
      </c>
      <c r="K11" s="365" t="str">
        <f>IF(COUNTA(D11:E11,G11:H11)=5,Prime!$E$4,IF(AND(E11&gt;="13:15"*1,G11&lt;""),Prime!$E$4,IF(AND(G11&gt;="11:00"*1,G11&lt;="12:15"*1),Prime!$E$4,"")))</f>
        <v/>
      </c>
      <c r="L11" s="508" t="str">
        <f>IF(AND(H11&gt;="19:30"*1,H11&lt;="21:30"*1),Prime!$E$4,"")</f>
        <v/>
      </c>
      <c r="M11" s="381" t="str">
        <f>IF(OR(AND(LEFT(C11,1)="d",OR(D11&gt;="0:00"*1,G11&gt;"14:00"*1)),AND(LEFT(C11,1)="s",H11&gt;="21:30"*1)),Prime!$G$4,"")</f>
        <v/>
      </c>
      <c r="N11" s="370" t="str">
        <f>IF(ISNUMBER(FIND("F",C11)),Prime!$I$4,IF(ISNUMBER(FIND("CDS",C11)),Prime!$I$4,""))</f>
        <v/>
      </c>
      <c r="O11" s="355" t="e">
        <f t="shared" si="3"/>
        <v>#VALUE!</v>
      </c>
      <c r="P11" s="481"/>
      <c r="Q11" s="242" t="str">
        <f t="shared" si="0"/>
        <v/>
      </c>
      <c r="R11" s="138">
        <f t="shared" si="4"/>
        <v>0.33125000000000004</v>
      </c>
      <c r="S11" s="414">
        <f t="shared" si="6"/>
        <v>7.9500000000000011</v>
      </c>
      <c r="T11" s="421"/>
      <c r="U11" s="417">
        <f t="shared" si="5"/>
        <v>7.9500000000000011</v>
      </c>
    </row>
    <row r="12" spans="1:21" s="1" customFormat="1" ht="16.5" thickBot="1" x14ac:dyDescent="0.3">
      <c r="A12" s="3"/>
      <c r="B12" s="510">
        <v>41586</v>
      </c>
      <c r="C12" s="379" t="s">
        <v>278</v>
      </c>
      <c r="D12" s="356">
        <f>IF(ISNA(VLOOKUP(C12,'Planning 2017'!B9:F405,2,0)),"",VLOOKUP(C12,'Planning 2017'!B9:F405,2,0))</f>
        <v>0.27083333333333331</v>
      </c>
      <c r="E12" s="377">
        <f>IF(ISNA(VLOOKUP(C12,'Planning 2017'!B9:F405,3,0)),"",VLOOKUP(C12,'Planning 2017'!B9:F405,3,0))</f>
        <v>0.40416666666666662</v>
      </c>
      <c r="F12" s="358">
        <f t="shared" si="1"/>
        <v>0.1333333333333333</v>
      </c>
      <c r="G12" s="356">
        <f>IF(ISNA(VLOOKUP(C12,'Planning 2017'!B9:F405,4,0)),"",VLOOKUP(C12,'Planning 2017'!B9:F405,4,0))</f>
        <v>0.59791666666666665</v>
      </c>
      <c r="H12" s="377">
        <f>IF(ISNA(VLOOKUP(C12,'Planning 2017'!B9:F405,5,0)),"",VLOOKUP(C12,'Planning 2017'!B9:F405,5,0))</f>
        <v>0.79583333333333339</v>
      </c>
      <c r="I12" s="359">
        <f t="shared" si="2"/>
        <v>0.19791666666666674</v>
      </c>
      <c r="J12" s="363" t="str">
        <f>IF(COUNTA(D12:E12,G12:H12)=5,Prime!$E$4,IF(AND(D12&lt;="5:01"*1,D12&gt;"2:00"*1),Prime!$E$4,IF(AND(H12&gt;="22:00"*1,H12&lt;="26:01"*1),Prime!$E$4,"")))</f>
        <v/>
      </c>
      <c r="K12" s="365" t="str">
        <f>IF(COUNTA(D12:E12,G12:H12)=5,Prime!$E$4,IF(AND(E12&gt;="13:15"*1,G12&lt;""),Prime!$E$4,IF(AND(G12&gt;="11:00"*1,G12&lt;="12:15"*1),Prime!$E$4,"")))</f>
        <v/>
      </c>
      <c r="L12" s="508" t="str">
        <f>IF(AND(H12&gt;="19:30"*1,H12&lt;="21:30"*1),Prime!$E$4,"")</f>
        <v/>
      </c>
      <c r="M12" s="381" t="str">
        <f>IF(OR(AND(LEFT(C12,1)="d",OR(D12&gt;="0:00"*1,G12&gt;"14:00"*1)),AND(LEFT(C12,1)="s",H12&gt;="21:30"*1)),Prime!$G$4,"")</f>
        <v/>
      </c>
      <c r="N12" s="370" t="str">
        <f>IF(ISNUMBER(FIND("F",C12)),Prime!$I$4,IF(ISNUMBER(FIND("CDS",C12)),Prime!$I$4,""))</f>
        <v/>
      </c>
      <c r="O12" s="355" t="e">
        <f t="shared" si="3"/>
        <v>#VALUE!</v>
      </c>
      <c r="P12" s="481"/>
      <c r="Q12" s="242" t="str">
        <f t="shared" si="0"/>
        <v/>
      </c>
      <c r="R12" s="138">
        <f t="shared" si="4"/>
        <v>0.33125000000000004</v>
      </c>
      <c r="S12" s="414">
        <f t="shared" si="6"/>
        <v>7.9500000000000011</v>
      </c>
      <c r="T12" s="421"/>
      <c r="U12" s="417">
        <f t="shared" si="5"/>
        <v>7.9500000000000011</v>
      </c>
    </row>
    <row r="13" spans="1:21" s="1" customFormat="1" ht="16.5" thickBot="1" x14ac:dyDescent="0.3">
      <c r="A13" s="3"/>
      <c r="B13" s="510">
        <v>41587</v>
      </c>
      <c r="C13" s="470" t="s">
        <v>245</v>
      </c>
      <c r="D13" s="471">
        <f>IF(ISNA(VLOOKUP(C13,'Planning 2017'!B10:F406,2,0)),"",VLOOKUP(C13,'Planning 2017'!B10:F406,2,0))</f>
        <v>0</v>
      </c>
      <c r="E13" s="472">
        <f>IF(ISNA(VLOOKUP(C13,'Planning 2017'!B10:F406,3,0)),"",VLOOKUP(C13,'Planning 2017'!B10:F406,3,0))</f>
        <v>0</v>
      </c>
      <c r="F13" s="358">
        <f t="shared" si="1"/>
        <v>0</v>
      </c>
      <c r="G13" s="471">
        <f>IF(ISNA(VLOOKUP(C13,'Planning 2017'!B10:F406,4,0)),"",VLOOKUP(C13,'Planning 2017'!B10:F406,4,0))</f>
        <v>0.54305555555555551</v>
      </c>
      <c r="H13" s="472">
        <f>IF(ISNA(VLOOKUP(C13,'Planning 2017'!B10:F406,5,0)),"",VLOOKUP(C13,'Planning 2017'!B10:F406,5,0))</f>
        <v>0.86597222222222225</v>
      </c>
      <c r="I13" s="359">
        <f t="shared" si="2"/>
        <v>0.32291666666666674</v>
      </c>
      <c r="J13" s="473" t="str">
        <f>IF(COUNTA(D13:E13,G13:H13)=5,Prime!$E$4,IF(AND(D13&lt;="5:01"*1,D13&gt;"2:00"*1),Prime!$E$4,IF(AND(H13&gt;="22:00"*1,H13&lt;="26:01"*1),Prime!$E$4,"")))</f>
        <v/>
      </c>
      <c r="K13" s="474" t="str">
        <f>IF(COUNTA(D13:E13,G13:H13)=5,Prime!$E$4,IF(AND(E13&gt;="13:15"*1,G13&lt;""),Prime!$E$4,IF(AND(G13&gt;="11:00"*1,G13&lt;="12:15"*1),Prime!$E$4,"")))</f>
        <v/>
      </c>
      <c r="L13" s="508">
        <f>IF(AND(H13&gt;="19:30"*1,H13&lt;="21:30"*1),Prime!$E$4,"")</f>
        <v>17.7056</v>
      </c>
      <c r="M13" s="381" t="str">
        <f>IF(OR(AND(LEFT(C13,1)="d",OR(D13&gt;="0:00"*1,G13&gt;"14:00"*1)),AND(LEFT(C13,1)="s",H13&gt;="21:30"*1)),Prime!$G$4,"")</f>
        <v/>
      </c>
      <c r="N13" s="475" t="str">
        <f>IF(ISNUMBER(FIND("F",C13)),Prime!$I$4,IF(ISNUMBER(FIND("CDS",C13)),Prime!$I$4,""))</f>
        <v/>
      </c>
      <c r="O13" s="355" t="e">
        <f t="shared" si="3"/>
        <v>#VALUE!</v>
      </c>
      <c r="P13" s="482"/>
      <c r="Q13" s="360" t="str">
        <f t="shared" si="0"/>
        <v/>
      </c>
      <c r="R13" s="138">
        <f t="shared" si="4"/>
        <v>0.32291666666666674</v>
      </c>
      <c r="S13" s="414">
        <f t="shared" si="6"/>
        <v>7.7500000000000018</v>
      </c>
      <c r="T13" s="421"/>
      <c r="U13" s="417">
        <f t="shared" si="5"/>
        <v>7.7500000000000018</v>
      </c>
    </row>
    <row r="14" spans="1:21" s="1" customFormat="1" ht="16.5" thickBot="1" x14ac:dyDescent="0.3">
      <c r="A14" s="3"/>
      <c r="B14" s="510">
        <v>41588</v>
      </c>
      <c r="C14" s="431" t="s">
        <v>1</v>
      </c>
      <c r="D14" s="426">
        <f>IF(ISNA(VLOOKUP(C14,'Planning 2017'!B12:F407,2,0)),"",VLOOKUP(C14,'Planning 2017'!B12:F407,2,0))</f>
        <v>0</v>
      </c>
      <c r="E14" s="427">
        <f>IF(ISNA(VLOOKUP(C14,'Planning 2017'!B12:F407,3,0)),"",VLOOKUP(C14,'Planning 2017'!B12:F407,3,0))</f>
        <v>0</v>
      </c>
      <c r="F14" s="358">
        <f t="shared" si="1"/>
        <v>0</v>
      </c>
      <c r="G14" s="426">
        <f>IF(ISNA(VLOOKUP(C14,'Planning 2017'!B12:F407,4,0)),"",VLOOKUP(C14,'Planning 2017'!B12:F407,4,0))</f>
        <v>0</v>
      </c>
      <c r="H14" s="427">
        <f>IF(ISNA(VLOOKUP(C14,'Planning 2017'!B12:F407,5,0)),"",VLOOKUP(C14,'Planning 2017'!B12:F407,5,0))</f>
        <v>0</v>
      </c>
      <c r="I14" s="359">
        <f t="shared" si="2"/>
        <v>0</v>
      </c>
      <c r="J14" s="428" t="str">
        <f>IF(COUNTA(D14:E14,G14:H14)=5,Prime!$E$4,IF(AND(D14&lt;="5:01"*1,D14&gt;"2:00"*1),Prime!$E$4,IF(AND(H14&gt;="22:00"*1,H14&lt;="26:01"*1),Prime!$E$4,"")))</f>
        <v/>
      </c>
      <c r="K14" s="429" t="str">
        <f>IF(COUNTA(D14:E14,G14:H14)=5,Prime!$E$4,IF(AND(E14&gt;="13:15"*1,G14&lt;""),Prime!$E$4,IF(AND(G14&gt;="11:00"*1,G14&lt;="12:15"*1),Prime!$E$4,"")))</f>
        <v/>
      </c>
      <c r="L14" s="508" t="str">
        <f>IF(AND(H14&gt;="19:30"*1,H14&lt;="21:30"*1),Prime!$E$4,"")</f>
        <v/>
      </c>
      <c r="M14" s="381" t="str">
        <f>IF(OR(AND(LEFT(C14,1)="d",OR(D14&gt;="0:00"*1,G14&gt;"14:00"*1)),AND(LEFT(C14,1)="s",H14&gt;="21:30"*1)),Prime!$G$4,"")</f>
        <v/>
      </c>
      <c r="N14" s="430" t="str">
        <f>IF(ISNUMBER(FIND("F",C14)),Prime!$I$4,IF(ISNUMBER(FIND("CDS",C14)),Prime!$I$4,""))</f>
        <v/>
      </c>
      <c r="O14" s="355" t="e">
        <f t="shared" si="3"/>
        <v>#VALUE!</v>
      </c>
      <c r="P14" s="482"/>
      <c r="Q14" s="360" t="str">
        <f t="shared" si="0"/>
        <v/>
      </c>
      <c r="R14" s="138">
        <f t="shared" si="4"/>
        <v>0</v>
      </c>
      <c r="S14" s="414">
        <f t="shared" si="6"/>
        <v>0</v>
      </c>
      <c r="T14" s="421"/>
      <c r="U14" s="417" t="str">
        <f t="shared" si="5"/>
        <v>0,000</v>
      </c>
    </row>
    <row r="15" spans="1:21" s="1" customFormat="1" ht="16.5" thickBot="1" x14ac:dyDescent="0.3">
      <c r="A15" s="3"/>
      <c r="B15" s="510">
        <v>41589</v>
      </c>
      <c r="C15" s="431" t="s">
        <v>0</v>
      </c>
      <c r="D15" s="426">
        <f>IF(ISNA(VLOOKUP(C15,'Planning 2017'!B12:F408,2,0)),"",VLOOKUP(C15,'Planning 2017'!B12:F408,2,0))</f>
        <v>0</v>
      </c>
      <c r="E15" s="427">
        <f>IF(ISNA(VLOOKUP(C15,'Planning 2017'!B12:F408,3,0)),"",VLOOKUP(C15,'Planning 2017'!B12:F408,3,0))</f>
        <v>0</v>
      </c>
      <c r="F15" s="358">
        <f t="shared" si="1"/>
        <v>0</v>
      </c>
      <c r="G15" s="426">
        <f>IF(ISNA(VLOOKUP(C15,'Planning 2017'!B12:F408,4,0)),"",VLOOKUP(C15,'Planning 2017'!B12:F408,4,0))</f>
        <v>0</v>
      </c>
      <c r="H15" s="427">
        <f>IF(ISNA(VLOOKUP(C15,'Planning 2017'!B12:F408,5,0)),"",VLOOKUP(C15,'Planning 2017'!B12:F408,5,0))</f>
        <v>0</v>
      </c>
      <c r="I15" s="359">
        <f t="shared" si="2"/>
        <v>0</v>
      </c>
      <c r="J15" s="428" t="str">
        <f>IF(COUNTA(D15:E15,G15:H15)=5,Prime!$E$4,IF(AND(D15&lt;="5:01"*1,D15&gt;"2:00"*1),Prime!$E$4,IF(AND(H15&gt;="22:00"*1,H15&lt;="26:01"*1),Prime!$E$4,"")))</f>
        <v/>
      </c>
      <c r="K15" s="429" t="str">
        <f>IF(COUNTA(D15:E15,G15:H15)=5,Prime!$E$4,IF(AND(E15&gt;="13:15"*1,G15&lt;""),Prime!$E$4,IF(AND(G15&gt;="11:00"*1,G15&lt;="12:15"*1),Prime!$E$4,"")))</f>
        <v/>
      </c>
      <c r="L15" s="508" t="str">
        <f>IF(AND(H15&gt;="19:30"*1,H15&lt;="21:30"*1),Prime!$E$4,"")</f>
        <v/>
      </c>
      <c r="M15" s="381" t="str">
        <f>IF(OR(AND(LEFT(C15,1)="d",OR(D15&gt;="0:00"*1,G15&gt;"14:00"*1)),AND(LEFT(C15,1)="s",H15&gt;="21:30"*1)),Prime!$G$4,"")</f>
        <v/>
      </c>
      <c r="N15" s="430" t="str">
        <f>IF(ISNUMBER(FIND("F",C15)),Prime!$I$4,IF(ISNUMBER(FIND("CDS",C15)),Prime!$I$4,""))</f>
        <v/>
      </c>
      <c r="O15" s="355" t="e">
        <f t="shared" si="3"/>
        <v>#VALUE!</v>
      </c>
      <c r="P15" s="481"/>
      <c r="Q15" s="242" t="str">
        <f t="shared" si="0"/>
        <v/>
      </c>
      <c r="R15" s="138">
        <f t="shared" si="4"/>
        <v>0</v>
      </c>
      <c r="S15" s="414">
        <f t="shared" si="6"/>
        <v>0</v>
      </c>
      <c r="T15" s="421"/>
      <c r="U15" s="417" t="str">
        <f t="shared" si="5"/>
        <v>0,000</v>
      </c>
    </row>
    <row r="16" spans="1:21" s="1" customFormat="1" ht="16.5" thickBot="1" x14ac:dyDescent="0.3">
      <c r="A16" s="3"/>
      <c r="B16" s="510">
        <v>41590</v>
      </c>
      <c r="C16" s="470" t="s">
        <v>147</v>
      </c>
      <c r="D16" s="426">
        <f>IF(ISNA(VLOOKUP(C16,'Planning 2017'!B13:F409,2,0)),"",VLOOKUP(C16,'Planning 2017'!B13:F409,2,0))</f>
        <v>0.27916666666666667</v>
      </c>
      <c r="E16" s="427">
        <f>IF(ISNA(VLOOKUP(C16,'Planning 2017'!B13:F409,3,0)),"",VLOOKUP(C16,'Planning 2017'!B13:F409,3,0))</f>
        <v>0.52569444444444446</v>
      </c>
      <c r="F16" s="358">
        <f t="shared" si="1"/>
        <v>0.24652777777777779</v>
      </c>
      <c r="G16" s="426">
        <f>IF(ISNA(VLOOKUP(C16,'Planning 2017'!B13:F409,4,0)),"",VLOOKUP(C16,'Planning 2017'!B13:F409,4,0))</f>
        <v>0.69513888888888886</v>
      </c>
      <c r="H16" s="427">
        <f>IF(ISNA(VLOOKUP(C16,'Planning 2017'!B13:F409,5,0)),"",VLOOKUP(C16,'Planning 2017'!B13:F409,5,0))</f>
        <v>0.8027777777777777</v>
      </c>
      <c r="I16" s="359">
        <f t="shared" si="2"/>
        <v>0.10763888888888884</v>
      </c>
      <c r="J16" s="428" t="str">
        <f>IF(COUNTA(D16:E16,G16:H16)=5,Prime!$E$4,IF(AND(D16&lt;="5:01"*1,D16&gt;"2:00"*1),Prime!$E$4,IF(AND(H16&gt;="22:00"*1,H16&lt;="26:01"*1),Prime!$E$4,"")))</f>
        <v/>
      </c>
      <c r="K16" s="429" t="str">
        <f>IF(COUNTA(D16:E16,G16:H16)=5,Prime!$E$4,IF(AND(E16&gt;="13:15"*1,G16&lt;""),Prime!$E$4,IF(AND(G16&gt;="11:00"*1,G16&lt;="12:15"*1),Prime!$E$4,"")))</f>
        <v/>
      </c>
      <c r="L16" s="508" t="str">
        <f>IF(AND(H16&gt;="19:30"*1,H16&lt;="21:30"*1),Prime!$E$4,"")</f>
        <v/>
      </c>
      <c r="M16" s="381" t="str">
        <f>IF(OR(AND(LEFT(C16,1)="d",OR(D16&gt;="0:00"*1,G16&gt;"14:00"*1)),AND(LEFT(C16,1)="s",H16&gt;="21:30"*1)),Prime!$G$4,"")</f>
        <v/>
      </c>
      <c r="N16" s="430" t="str">
        <f>IF(ISNUMBER(FIND("F",C16)),Prime!$I$4,IF(ISNUMBER(FIND("CDS",C16)),Prime!$I$4,""))</f>
        <v/>
      </c>
      <c r="O16" s="355" t="e">
        <f t="shared" si="3"/>
        <v>#VALUE!</v>
      </c>
      <c r="P16" s="482"/>
      <c r="Q16" s="360" t="str">
        <f t="shared" si="0"/>
        <v/>
      </c>
      <c r="R16" s="138">
        <f t="shared" si="4"/>
        <v>0.35416666666666663</v>
      </c>
      <c r="S16" s="414">
        <f t="shared" si="6"/>
        <v>8.5</v>
      </c>
      <c r="T16" s="421"/>
      <c r="U16" s="417">
        <f t="shared" si="5"/>
        <v>8.5</v>
      </c>
    </row>
    <row r="17" spans="1:21" s="1" customFormat="1" ht="16.5" thickBot="1" x14ac:dyDescent="0.3">
      <c r="A17" s="3"/>
      <c r="B17" s="510">
        <v>41591</v>
      </c>
      <c r="C17" s="379" t="s">
        <v>300</v>
      </c>
      <c r="D17" s="356">
        <f>IF(ISNA(VLOOKUP(C17,'Planning 2017'!B14:F410,2,0)),"",VLOOKUP(C17,'Planning 2017'!B14:F410,2,0))</f>
        <v>0</v>
      </c>
      <c r="E17" s="377">
        <f>IF(ISNA(VLOOKUP(C17,'Planning 2017'!B14:F410,3,0)),"",VLOOKUP(C17,'Planning 2017'!B14:F410,3,0))</f>
        <v>0</v>
      </c>
      <c r="F17" s="348">
        <f t="shared" si="1"/>
        <v>0</v>
      </c>
      <c r="G17" s="356">
        <f>IF(ISNA(VLOOKUP(C17,'Planning 2017'!B14:F410,4,0)),"",VLOOKUP(C17,'Planning 2017'!B14:F410,4,0))</f>
        <v>0</v>
      </c>
      <c r="H17" s="377">
        <f>IF(ISNA(VLOOKUP(C17,'Planning 2017'!B14:F410,5,0)),"",VLOOKUP(C17,'Planning 2017'!B14:F410,5,0))</f>
        <v>0</v>
      </c>
      <c r="I17" s="350">
        <f t="shared" si="2"/>
        <v>0</v>
      </c>
      <c r="J17" s="363" t="str">
        <f>IF(COUNTA(D17:E17,G17:H17)=5,Prime!$E$4,IF(AND(D17&lt;="5:01"*1,D17&gt;"2:00"*1),Prime!$E$4,IF(AND(H17&gt;="22:00"*1,H17&lt;="26:01"*1),Prime!$E$4,"")))</f>
        <v/>
      </c>
      <c r="K17" s="365" t="str">
        <f>IF(COUNTA(D17:E17,G17:H17)=5,Prime!$E$4,IF(AND(E17&gt;="13:15"*1,G17&lt;""),Prime!$E$4,IF(AND(G17&gt;="11:00"*1,G17&lt;="12:15"*1),Prime!$E$4,"")))</f>
        <v/>
      </c>
      <c r="L17" s="508" t="str">
        <f>IF(AND(H17&gt;="19:30"*1,H17&lt;="21:30"*1),Prime!$E$4,"")</f>
        <v/>
      </c>
      <c r="M17" s="381" t="str">
        <f>IF(OR(AND(LEFT(C17,1)="d",OR(D17&gt;="0:00"*1,G17&gt;"14:00"*1)),AND(LEFT(C17,1)="s",H17&gt;="21:30"*1)),Prime!$G$4,"")</f>
        <v/>
      </c>
      <c r="N17" s="370" t="str">
        <f>IF(ISNUMBER(FIND("F",C17)),Prime!$I$4,IF(ISNUMBER(FIND("CDS",C17)),Prime!$I$4,""))</f>
        <v/>
      </c>
      <c r="O17" s="355" t="e">
        <f t="shared" si="3"/>
        <v>#VALUE!</v>
      </c>
      <c r="P17" s="482"/>
      <c r="Q17" s="360" t="str">
        <f t="shared" si="0"/>
        <v/>
      </c>
      <c r="R17" s="138">
        <f t="shared" si="4"/>
        <v>0</v>
      </c>
      <c r="S17" s="414">
        <f t="shared" si="6"/>
        <v>0</v>
      </c>
      <c r="T17" s="421"/>
      <c r="U17" s="417" t="str">
        <f t="shared" si="5"/>
        <v>0,000</v>
      </c>
    </row>
    <row r="18" spans="1:21" s="1" customFormat="1" ht="16.5" thickBot="1" x14ac:dyDescent="0.3">
      <c r="A18" s="3"/>
      <c r="B18" s="510">
        <v>41592</v>
      </c>
      <c r="C18" s="379" t="s">
        <v>136</v>
      </c>
      <c r="D18" s="356">
        <f>IF(ISNA(VLOOKUP(C18,'Planning 2017'!B15:F411,2,0)),"",VLOOKUP(C18,'Planning 2017'!B15:F411,2,0))</f>
        <v>0</v>
      </c>
      <c r="E18" s="377">
        <f>IF(ISNA(VLOOKUP(C18,'Planning 2017'!B15:F411,3,0)),"",VLOOKUP(C18,'Planning 2017'!B15:F411,3,0))</f>
        <v>0</v>
      </c>
      <c r="F18" s="348">
        <f t="shared" si="1"/>
        <v>0</v>
      </c>
      <c r="G18" s="356">
        <f>IF(ISNA(VLOOKUP(C18,'Planning 2017'!B15:F411,4,0)),"",VLOOKUP(C18,'Planning 2017'!B15:F411,4,0))</f>
        <v>0</v>
      </c>
      <c r="H18" s="377">
        <f>IF(ISNA(VLOOKUP(C18,'Planning 2017'!B15:F411,5,0)),"",VLOOKUP(C18,'Planning 2017'!B15:F411,5,0))</f>
        <v>0</v>
      </c>
      <c r="I18" s="350">
        <f t="shared" si="2"/>
        <v>0</v>
      </c>
      <c r="J18" s="363" t="str">
        <f>IF(COUNTA(D18:E18,G18:H18)=5,Prime!$E$4,IF(AND(D18&lt;="5:01"*1,D18&gt;"2:00"*1),Prime!$E$4,IF(AND(H18&gt;="22:00"*1,H18&lt;="26:01"*1),Prime!$E$4,"")))</f>
        <v/>
      </c>
      <c r="K18" s="365" t="str">
        <f>IF(COUNTA(D18:E18,G18:H18)=5,Prime!$E$4,IF(AND(E18&gt;="13:15"*1,G18&lt;""),Prime!$E$4,IF(AND(G18&gt;="11:00"*1,G18&lt;="12:15"*1),Prime!$E$4,"")))</f>
        <v/>
      </c>
      <c r="L18" s="508" t="str">
        <f>IF(AND(H18&gt;="19:30"*1,H18&lt;="21:30"*1),Prime!$E$4,"")</f>
        <v/>
      </c>
      <c r="M18" s="381" t="str">
        <f>IF(OR(AND(LEFT(C18,1)="d",OR(D18&gt;="0:00"*1,G18&gt;"14:00"*1)),AND(LEFT(C18,1)="s",H18&gt;="21:30"*1)),Prime!$G$4,"")</f>
        <v/>
      </c>
      <c r="N18" s="370" t="str">
        <f>IF(ISNUMBER(FIND("F",C18)),Prime!$I$4,IF(ISNUMBER(FIND("CDS",C18)),Prime!$I$4,""))</f>
        <v/>
      </c>
      <c r="O18" s="355" t="e">
        <f t="shared" si="3"/>
        <v>#VALUE!</v>
      </c>
      <c r="P18" s="482"/>
      <c r="Q18" s="360" t="str">
        <f>IF(ISBLANK(P18),"",P18*24)</f>
        <v/>
      </c>
      <c r="R18" s="138">
        <f t="shared" si="4"/>
        <v>0</v>
      </c>
      <c r="S18" s="414">
        <f t="shared" si="6"/>
        <v>0</v>
      </c>
      <c r="T18" s="421"/>
      <c r="U18" s="417" t="str">
        <f t="shared" si="5"/>
        <v>0,000</v>
      </c>
    </row>
    <row r="19" spans="1:21" s="1" customFormat="1" ht="16.5" thickBot="1" x14ac:dyDescent="0.3">
      <c r="A19" s="3"/>
      <c r="B19" s="510">
        <v>41593</v>
      </c>
      <c r="C19" s="379" t="s">
        <v>1</v>
      </c>
      <c r="D19" s="356">
        <f>IF(ISNA(VLOOKUP(C19,'Planning 2017'!B15:F412,2,0)),"",VLOOKUP(C19,'Planning 2017'!B15:F412,2,0))</f>
        <v>0</v>
      </c>
      <c r="E19" s="377">
        <f>IF(ISNA(VLOOKUP(C19,'Planning 2017'!B15:F412,3,0)),"",VLOOKUP(C19,'Planning 2017'!B15:F412,3,0))</f>
        <v>0</v>
      </c>
      <c r="F19" s="348">
        <f t="shared" si="1"/>
        <v>0</v>
      </c>
      <c r="G19" s="356">
        <f>IF(ISNA(VLOOKUP(C19,'Planning 2017'!B15:F412,4,0)),"",VLOOKUP(C19,'Planning 2017'!B15:F412,4,0))</f>
        <v>0</v>
      </c>
      <c r="H19" s="377">
        <f>IF(ISNA(VLOOKUP(C19,'Planning 2017'!B15:F412,5,0)),"",VLOOKUP(C19,'Planning 2017'!B15:F412,5,0))</f>
        <v>0</v>
      </c>
      <c r="I19" s="350">
        <f t="shared" si="2"/>
        <v>0</v>
      </c>
      <c r="J19" s="363" t="str">
        <f>IF(COUNTA(D19:E19,G19:H19)=5,Prime!$E$4,IF(AND(D19&lt;="5:01"*1,D19&gt;"2:00"*1),Prime!$E$4,IF(AND(H19&gt;="22:00"*1,H19&lt;="26:01"*1),Prime!$E$4,"")))</f>
        <v/>
      </c>
      <c r="K19" s="365" t="str">
        <f>IF(COUNTA(D19:E19,G19:H19)=5,Prime!$E$4,IF(AND(E19&gt;="13:15"*1,G19&lt;""),Prime!$E$4,IF(AND(G19&gt;="11:00"*1,G19&lt;="12:15"*1),Prime!$E$4,"")))</f>
        <v/>
      </c>
      <c r="L19" s="508" t="str">
        <f>IF(AND(H19&gt;="19:30"*1,H19&lt;="21:30"*1),Prime!$E$4,"")</f>
        <v/>
      </c>
      <c r="M19" s="381" t="str">
        <f>IF(OR(AND(LEFT(C19,1)="d",OR(D19&gt;="0:00"*1,G19&gt;"14:00"*1)),AND(LEFT(C19,1)="s",H19&gt;="21:30"*1)),Prime!$G$4,"")</f>
        <v/>
      </c>
      <c r="N19" s="370" t="str">
        <f>IF(ISNUMBER(FIND("F",C19)),Prime!$I$4,IF(ISNUMBER(FIND("CDS",C19)),Prime!$I$4,""))</f>
        <v/>
      </c>
      <c r="O19" s="355" t="e">
        <f t="shared" si="3"/>
        <v>#VALUE!</v>
      </c>
      <c r="P19" s="482"/>
      <c r="Q19" s="360" t="str">
        <f t="shared" ref="Q19:Q32" si="7">IF(ISBLANK(P19),"",P19*24)</f>
        <v/>
      </c>
      <c r="R19" s="138">
        <f t="shared" si="4"/>
        <v>0</v>
      </c>
      <c r="S19" s="414">
        <f t="shared" si="6"/>
        <v>0</v>
      </c>
      <c r="T19" s="421"/>
      <c r="U19" s="417" t="str">
        <f t="shared" si="5"/>
        <v>0,000</v>
      </c>
    </row>
    <row r="20" spans="1:21" s="1" customFormat="1" ht="16.5" thickBot="1" x14ac:dyDescent="0.3">
      <c r="A20" s="3"/>
      <c r="B20" s="510">
        <v>41594</v>
      </c>
      <c r="C20" s="379" t="s">
        <v>0</v>
      </c>
      <c r="D20" s="356">
        <f>IF(ISNA(VLOOKUP(C20,'Planning 2017'!B15:F413,2,0)),"",VLOOKUP(C20,'Planning 2017'!B15:F413,2,0))</f>
        <v>0</v>
      </c>
      <c r="E20" s="377">
        <f>IF(ISNA(VLOOKUP(C20,'Planning 2017'!B15:F413,3,0)),"",VLOOKUP(C20,'Planning 2017'!B15:F413,3,0))</f>
        <v>0</v>
      </c>
      <c r="F20" s="348">
        <f t="shared" si="1"/>
        <v>0</v>
      </c>
      <c r="G20" s="356">
        <f>IF(ISNA(VLOOKUP(C20,'Planning 2017'!B15:F413,4,0)),"",VLOOKUP(C20,'Planning 2017'!B15:F413,4,0))</f>
        <v>0</v>
      </c>
      <c r="H20" s="377">
        <f>IF(ISNA(VLOOKUP(C20,'Planning 2017'!B15:F413,5,0)),"",VLOOKUP(C20,'Planning 2017'!B15:F413,5,0))</f>
        <v>0</v>
      </c>
      <c r="I20" s="350">
        <f t="shared" si="2"/>
        <v>0</v>
      </c>
      <c r="J20" s="363" t="str">
        <f>IF(COUNTA(D20:E20,G20:H20)=5,Prime!$E$4,IF(AND(D20&lt;="5:01"*1,D20&gt;"2:00"*1),Prime!$E$4,IF(AND(H20&gt;="22:00"*1,H20&lt;="26:01"*1),Prime!$E$4,"")))</f>
        <v/>
      </c>
      <c r="K20" s="365" t="str">
        <f>IF(COUNTA(D20:E20,G20:H20)=5,Prime!$E$4,IF(AND(E20&gt;="13:15"*1,G20&lt;""),Prime!$E$4,IF(AND(G20&gt;="11:00"*1,G20&lt;="12:15"*1),Prime!$E$4,"")))</f>
        <v/>
      </c>
      <c r="L20" s="508" t="str">
        <f>IF(AND(H20&gt;="19:30"*1,H20&lt;="21:30"*1),Prime!$E$4,"")</f>
        <v/>
      </c>
      <c r="M20" s="381" t="str">
        <f>IF(OR(AND(LEFT(C20,1)="d",OR(D20&gt;="0:00"*1,G20&gt;"14:00"*1)),AND(LEFT(C20,1)="s",H20&gt;="21:30"*1)),Prime!$G$4,"")</f>
        <v/>
      </c>
      <c r="N20" s="370" t="str">
        <f>IF(ISNUMBER(FIND("F",C20)),Prime!$I$4,IF(ISNUMBER(FIND("CDS",C20)),Prime!$I$4,""))</f>
        <v/>
      </c>
      <c r="O20" s="355" t="e">
        <f t="shared" si="3"/>
        <v>#VALUE!</v>
      </c>
      <c r="P20" s="482"/>
      <c r="Q20" s="360" t="str">
        <f t="shared" si="7"/>
        <v/>
      </c>
      <c r="R20" s="138">
        <f t="shared" si="4"/>
        <v>0</v>
      </c>
      <c r="S20" s="414">
        <f t="shared" si="6"/>
        <v>0</v>
      </c>
      <c r="T20" s="421"/>
      <c r="U20" s="417" t="str">
        <f t="shared" si="5"/>
        <v>0,000</v>
      </c>
    </row>
    <row r="21" spans="1:21" s="1" customFormat="1" ht="16.5" thickBot="1" x14ac:dyDescent="0.3">
      <c r="A21" s="3"/>
      <c r="B21" s="510">
        <v>41595</v>
      </c>
      <c r="C21" s="431" t="s">
        <v>232</v>
      </c>
      <c r="D21" s="426">
        <f>IF(ISNA(VLOOKUP(C21,'Planning 2017'!B16:F414,2,0)),"",VLOOKUP(C21,'Planning 2017'!B16:F414,2,0))</f>
        <v>0</v>
      </c>
      <c r="E21" s="427">
        <f>IF(ISNA(VLOOKUP(C21,'Planning 2017'!B16:F414,3,0)),"",VLOOKUP(C21,'Planning 2017'!B16:F414,3,0))</f>
        <v>0</v>
      </c>
      <c r="F21" s="358">
        <f t="shared" si="1"/>
        <v>0</v>
      </c>
      <c r="G21" s="426">
        <f>IF(ISNA(VLOOKUP(C21,'Planning 2017'!B16:F414,4,0)),"",VLOOKUP(C21,'Planning 2017'!B16:F414,4,0))</f>
        <v>0.60486111111111118</v>
      </c>
      <c r="H21" s="427">
        <f>IF(ISNA(VLOOKUP(C21,'Planning 2017'!B16:F414,5,0)),"",VLOOKUP(C21,'Planning 2017'!B16:F414,5,0))</f>
        <v>0.93680555555555556</v>
      </c>
      <c r="I21" s="359">
        <f t="shared" si="2"/>
        <v>0.33194444444444438</v>
      </c>
      <c r="J21" s="428">
        <f>IF(COUNTA(D21:E21,G21:H21)=5,Prime!$E$4,IF(AND(D21&lt;="5:01"*1,D21&gt;"2:00"*1),Prime!$E$4,IF(AND(H21&gt;="22:00"*1,H21&lt;="26:01"*1),Prime!$E$4,"")))</f>
        <v>17.7056</v>
      </c>
      <c r="K21" s="429" t="str">
        <f>IF(COUNTA(D21:E21,G21:H21)=5,Prime!$E$4,IF(AND(E21&gt;="13:15"*1,G21&lt;""),Prime!$E$4,IF(AND(G21&gt;="11:00"*1,G21&lt;="12:15"*1),Prime!$E$4,"")))</f>
        <v/>
      </c>
      <c r="L21" s="508" t="str">
        <f>IF(AND(H21&gt;="19:30"*1,H21&lt;="21:30"*1),Prime!$E$4,"")</f>
        <v/>
      </c>
      <c r="M21" s="381">
        <f>IF(OR(AND(LEFT(C21,1)="d",OR(D21&gt;="0:00"*1,G21&gt;"14:00"*1)),AND(LEFT(C21,1)="s",H21&gt;="21:30"*1)),Prime!$G$4,"")</f>
        <v>44.264000000000003</v>
      </c>
      <c r="N21" s="430" t="str">
        <f>IF(ISNUMBER(FIND("F",C21)),Prime!$I$4,IF(ISNUMBER(FIND("CDS",C21)),Prime!$I$4,""))</f>
        <v/>
      </c>
      <c r="O21" s="355" t="e">
        <f t="shared" si="3"/>
        <v>#VALUE!</v>
      </c>
      <c r="P21" s="482"/>
      <c r="Q21" s="360" t="str">
        <f t="shared" si="7"/>
        <v/>
      </c>
      <c r="R21" s="138">
        <f t="shared" si="4"/>
        <v>0.33194444444444438</v>
      </c>
      <c r="S21" s="414">
        <f t="shared" si="6"/>
        <v>7.966666666666665</v>
      </c>
      <c r="T21" s="421"/>
      <c r="U21" s="417">
        <f t="shared" si="5"/>
        <v>7.966666666666665</v>
      </c>
    </row>
    <row r="22" spans="1:21" s="1" customFormat="1" ht="16.5" thickBot="1" x14ac:dyDescent="0.3">
      <c r="A22" s="3"/>
      <c r="B22" s="510">
        <v>41596</v>
      </c>
      <c r="C22" s="470" t="s">
        <v>265</v>
      </c>
      <c r="D22" s="426">
        <f>IF(ISNA(VLOOKUP(C22,'Planning 2017'!B17:F415,2,0)),"",VLOOKUP(C22,'Planning 2017'!B17:F415,2,0))</f>
        <v>0</v>
      </c>
      <c r="E22" s="427">
        <f>IF(ISNA(VLOOKUP(C22,'Planning 2017'!B17:F415,3,0)),"",VLOOKUP(C22,'Planning 2017'!B17:F415,3,0))</f>
        <v>0</v>
      </c>
      <c r="F22" s="358">
        <f t="shared" si="1"/>
        <v>0</v>
      </c>
      <c r="G22" s="426">
        <f>IF(ISNA(VLOOKUP(C22,'Planning 2017'!B17:F415,4,0)),"",VLOOKUP(C22,'Planning 2017'!B17:F415,4,0))</f>
        <v>0.51597222222222217</v>
      </c>
      <c r="H22" s="427">
        <f>IF(ISNA(VLOOKUP(C22,'Planning 2017'!B17:F415,5,0)),"",VLOOKUP(C22,'Planning 2017'!B17:F415,5,0))</f>
        <v>0.83958333333333324</v>
      </c>
      <c r="I22" s="359">
        <f t="shared" si="2"/>
        <v>0.32361111111111107</v>
      </c>
      <c r="J22" s="428" t="str">
        <f>IF(COUNTA(D22:E22,G22:H22)=5,Prime!$E$4,IF(AND(D22&lt;="5:01"*1,D22&gt;"2:00"*1),Prime!$E$4,IF(AND(H22&gt;="22:00"*1,H22&lt;="26:01"*1),Prime!$E$4,"")))</f>
        <v/>
      </c>
      <c r="K22" s="429" t="str">
        <f>IF(COUNTA(D22:E22,G22:H22)=5,Prime!$E$4,IF(AND(E22&gt;="13:15"*1,G22&lt;""),Prime!$E$4,IF(AND(G22&gt;="11:00"*1,G22&lt;="12:15"*1),Prime!$E$4,"")))</f>
        <v/>
      </c>
      <c r="L22" s="508">
        <f>IF(AND(H22&gt;="19:30"*1,H22&lt;="21:30"*1),Prime!$E$4,"")</f>
        <v>17.7056</v>
      </c>
      <c r="M22" s="381">
        <f>IF(OR(AND(LEFT(C22,1)="d",OR(D22&gt;="0:00"*1,G22&gt;"14:00"*1)),AND(LEFT(C22,1)="s",H22&gt;="21:30"*1)),Prime!$G$4,"")</f>
        <v>44.264000000000003</v>
      </c>
      <c r="N22" s="430" t="str">
        <f>IF(ISNUMBER(FIND("F",C22)),Prime!$I$4,IF(ISNUMBER(FIND("CDS",C22)),Prime!$I$4,""))</f>
        <v/>
      </c>
      <c r="O22" s="355" t="e">
        <f t="shared" si="3"/>
        <v>#VALUE!</v>
      </c>
      <c r="P22" s="482"/>
      <c r="Q22" s="360" t="str">
        <f t="shared" si="7"/>
        <v/>
      </c>
      <c r="R22" s="138">
        <f t="shared" si="4"/>
        <v>0.32361111111111107</v>
      </c>
      <c r="S22" s="414">
        <f t="shared" si="6"/>
        <v>7.7666666666666657</v>
      </c>
      <c r="T22" s="421"/>
      <c r="U22" s="417">
        <f t="shared" si="5"/>
        <v>7.7666666666666657</v>
      </c>
    </row>
    <row r="23" spans="1:21" s="1" customFormat="1" ht="16.5" thickBot="1" x14ac:dyDescent="0.3">
      <c r="A23" s="3"/>
      <c r="B23" s="510">
        <v>41597</v>
      </c>
      <c r="C23" s="379" t="s">
        <v>271</v>
      </c>
      <c r="D23" s="356">
        <f>IF(ISNA(VLOOKUP(C23,'Planning 2017'!B18:F416,2,0)),"",VLOOKUP(C23,'Planning 2017'!B18:F416,2,0))</f>
        <v>0</v>
      </c>
      <c r="E23" s="377">
        <f>IF(ISNA(VLOOKUP(C23,'Planning 2017'!B18:F416,3,0)),"",VLOOKUP(C23,'Planning 2017'!B18:F416,3,0))</f>
        <v>0</v>
      </c>
      <c r="F23" s="348">
        <f t="shared" si="1"/>
        <v>0</v>
      </c>
      <c r="G23" s="356">
        <f>IF(ISNA(VLOOKUP(C23,'Planning 2017'!B18:F416,4,0)),"",VLOOKUP(C23,'Planning 2017'!B18:F416,4,0))</f>
        <v>0.54791666666666672</v>
      </c>
      <c r="H23" s="377">
        <f>IF(ISNA(VLOOKUP(C23,'Planning 2017'!B18:F416,5,0)),"",VLOOKUP(C23,'Planning 2017'!B18:F416,5,0))</f>
        <v>0.87361111111111101</v>
      </c>
      <c r="I23" s="350">
        <f t="shared" si="2"/>
        <v>0.32569444444444429</v>
      </c>
      <c r="J23" s="363" t="str">
        <f>IF(COUNTA(D23:E23,G23:H23)=5,Prime!$E$4,IF(AND(D23&lt;="5:01"*1,D23&gt;"2:00"*1),Prime!$E$4,IF(AND(H23&gt;="22:00"*1,H23&lt;="26:01"*1),Prime!$E$4,"")))</f>
        <v/>
      </c>
      <c r="K23" s="365" t="str">
        <f>IF(COUNTA(D23:E23,G23:H23)=5,Prime!$E$4,IF(AND(E23&gt;="13:15"*1,G23&lt;""),Prime!$E$4,IF(AND(G23&gt;="11:00"*1,G23&lt;="12:15"*1),Prime!$E$4,"")))</f>
        <v/>
      </c>
      <c r="L23" s="508">
        <f>IF(AND(H23&gt;="19:30"*1,H23&lt;="21:30"*1),Prime!$E$4,"")</f>
        <v>17.7056</v>
      </c>
      <c r="M23" s="381" t="str">
        <f>IF(OR(AND(LEFT(C23,1)="d",OR(D23&gt;="0:00"*1,G23&gt;"14:00"*1)),AND(LEFT(C23,1)="s",H23&gt;="21:30"*1)),Prime!$G$4,"")</f>
        <v/>
      </c>
      <c r="N23" s="370" t="str">
        <f>IF(ISNUMBER(FIND("F",C23)),Prime!$I$4,IF(ISNUMBER(FIND("CDS",C23)),Prime!$I$4,""))</f>
        <v/>
      </c>
      <c r="O23" s="355" t="e">
        <f t="shared" si="3"/>
        <v>#VALUE!</v>
      </c>
      <c r="P23" s="482"/>
      <c r="Q23" s="360" t="str">
        <f t="shared" si="7"/>
        <v/>
      </c>
      <c r="R23" s="138">
        <f t="shared" si="4"/>
        <v>0.32569444444444429</v>
      </c>
      <c r="S23" s="414">
        <f t="shared" si="6"/>
        <v>7.8166666666666629</v>
      </c>
      <c r="T23" s="421"/>
      <c r="U23" s="417">
        <f t="shared" si="5"/>
        <v>7.8166666666666629</v>
      </c>
    </row>
    <row r="24" spans="1:21" s="1" customFormat="1" ht="16.5" thickBot="1" x14ac:dyDescent="0.3">
      <c r="A24" s="3"/>
      <c r="B24" s="510">
        <v>41598</v>
      </c>
      <c r="C24" s="379" t="s">
        <v>0</v>
      </c>
      <c r="D24" s="356">
        <f>IF(ISNA(VLOOKUP(C24,'Planning 2017'!B19:F417,2,0)),"",VLOOKUP(C24,'Planning 2017'!B19:F417,2,0))</f>
        <v>0</v>
      </c>
      <c r="E24" s="377">
        <f>IF(ISNA(VLOOKUP(C24,'Planning 2017'!B19:F417,3,0)),"",VLOOKUP(C24,'Planning 2017'!B19:F417,3,0))</f>
        <v>0</v>
      </c>
      <c r="F24" s="348">
        <f t="shared" si="1"/>
        <v>0</v>
      </c>
      <c r="G24" s="356">
        <f>IF(ISNA(VLOOKUP(C24,'Planning 2017'!B19:F417,4,0)),"",VLOOKUP(C24,'Planning 2017'!B19:F417,4,0))</f>
        <v>0</v>
      </c>
      <c r="H24" s="377">
        <f>IF(ISNA(VLOOKUP(C24,'Planning 2017'!B19:F417,5,0)),"",VLOOKUP(C24,'Planning 2017'!B19:F417,5,0))</f>
        <v>0</v>
      </c>
      <c r="I24" s="350">
        <f t="shared" si="2"/>
        <v>0</v>
      </c>
      <c r="J24" s="363" t="str">
        <f>IF(COUNTA(D24:E24,G24:H24)=5,Prime!$E$4,IF(AND(D24&lt;="5:01"*1,D24&gt;"2:00"*1),Prime!$E$4,IF(AND(H24&gt;="22:00"*1,H24&lt;="26:01"*1),Prime!$E$4,"")))</f>
        <v/>
      </c>
      <c r="K24" s="365" t="str">
        <f>IF(COUNTA(D24:E24,G24:H24)=5,Prime!$E$4,IF(AND(E24&gt;="13:15"*1,G24&lt;""),Prime!$E$4,IF(AND(G24&gt;="11:00"*1,G24&lt;="12:15"*1),Prime!$E$4,"")))</f>
        <v/>
      </c>
      <c r="L24" s="508" t="str">
        <f>IF(AND(H24&gt;="19:30"*1,H24&lt;="21:30"*1),Prime!$E$4,"")</f>
        <v/>
      </c>
      <c r="M24" s="381" t="str">
        <f>IF(OR(AND(LEFT(C24,1)="d",OR(D24&gt;="0:00"*1,G24&gt;"14:00"*1)),AND(LEFT(C24,1)="s",H24&gt;="21:30"*1)),Prime!$G$4,"")</f>
        <v/>
      </c>
      <c r="N24" s="370" t="str">
        <f>IF(ISNUMBER(FIND("F",C24)),Prime!$I$4,IF(ISNUMBER(FIND("CDS",C24)),Prime!$I$4,""))</f>
        <v/>
      </c>
      <c r="O24" s="355" t="e">
        <f t="shared" si="3"/>
        <v>#VALUE!</v>
      </c>
      <c r="P24" s="482"/>
      <c r="Q24" s="360" t="str">
        <f t="shared" si="7"/>
        <v/>
      </c>
      <c r="R24" s="138">
        <f t="shared" si="4"/>
        <v>0</v>
      </c>
      <c r="S24" s="414">
        <f t="shared" si="6"/>
        <v>0</v>
      </c>
      <c r="T24" s="421"/>
      <c r="U24" s="417" t="str">
        <f t="shared" si="5"/>
        <v>0,000</v>
      </c>
    </row>
    <row r="25" spans="1:21" s="1" customFormat="1" ht="16.5" thickBot="1" x14ac:dyDescent="0.3">
      <c r="A25" s="3"/>
      <c r="B25" s="510">
        <v>41599</v>
      </c>
      <c r="C25" s="470" t="s">
        <v>148</v>
      </c>
      <c r="D25" s="426">
        <f>IF(ISNA(VLOOKUP(C25,'Planning 2017'!B20:F418,2,0)),"",VLOOKUP(C25,'Planning 2017'!B20:F418,2,0))</f>
        <v>0.22361111111111109</v>
      </c>
      <c r="E25" s="427">
        <f>IF(ISNA(VLOOKUP(C25,'Planning 2017'!B20:F418,3,0)),"",VLOOKUP(C25,'Planning 2017'!B20:F418,3,0))</f>
        <v>0.5541666666666667</v>
      </c>
      <c r="F25" s="358">
        <f t="shared" si="1"/>
        <v>0.3305555555555556</v>
      </c>
      <c r="G25" s="426">
        <f>IF(ISNA(VLOOKUP(C25,'Planning 2017'!B20:F418,4,0)),"",VLOOKUP(C25,'Planning 2017'!B20:F418,4,0))</f>
        <v>0</v>
      </c>
      <c r="H25" s="427">
        <f>IF(ISNA(VLOOKUP(C25,'Planning 2017'!B20:F418,5,0)),"",VLOOKUP(C25,'Planning 2017'!B20:F418,5,0))</f>
        <v>0</v>
      </c>
      <c r="I25" s="359">
        <f t="shared" si="2"/>
        <v>0</v>
      </c>
      <c r="J25" s="428" t="str">
        <f>IF(COUNTA(D25:E25,G25:H25)=5,Prime!$E$4,IF(AND(D25&lt;="5:01"*1,D25&gt;"2:00"*1),Prime!$E$4,IF(AND(H25&gt;="22:00"*1,H25&lt;="26:01"*1),Prime!$E$4,"")))</f>
        <v/>
      </c>
      <c r="K25" s="429">
        <f>IF(COUNTA(D25:E25,G25:H25)=5,Prime!$E$4,IF(AND(E25&gt;="13:15"*1,G25&lt;""),Prime!$E$4,IF(AND(G25&gt;="11:00"*1,G25&lt;="12:15"*1),Prime!$E$4,"")))</f>
        <v>17.7056</v>
      </c>
      <c r="L25" s="508" t="str">
        <f>IF(AND(H25&gt;="19:30"*1,H25&lt;="21:30"*1),Prime!$E$4,"")</f>
        <v/>
      </c>
      <c r="M25" s="381" t="str">
        <f>IF(OR(AND(LEFT(C25,1)="d",OR(D25&gt;="0:00"*1,G25&gt;"14:00"*1)),AND(LEFT(C25,1)="s",H25&gt;="21:30"*1)),Prime!$G$4,"")</f>
        <v/>
      </c>
      <c r="N25" s="430" t="str">
        <f>IF(ISNUMBER(FIND("F",C25)),Prime!$I$4,IF(ISNUMBER(FIND("CDS",C25)),Prime!$I$4,""))</f>
        <v/>
      </c>
      <c r="O25" s="355" t="e">
        <f t="shared" si="3"/>
        <v>#VALUE!</v>
      </c>
      <c r="P25" s="482"/>
      <c r="Q25" s="360" t="str">
        <f t="shared" si="7"/>
        <v/>
      </c>
      <c r="R25" s="138">
        <f t="shared" si="4"/>
        <v>0.3305555555555556</v>
      </c>
      <c r="S25" s="414">
        <f t="shared" si="6"/>
        <v>7.9333333333333345</v>
      </c>
      <c r="T25" s="421"/>
      <c r="U25" s="417">
        <f t="shared" si="5"/>
        <v>7.9333333333333345</v>
      </c>
    </row>
    <row r="26" spans="1:21" s="1" customFormat="1" ht="15.75" x14ac:dyDescent="0.25">
      <c r="A26" s="3"/>
      <c r="B26" s="510">
        <v>41600</v>
      </c>
      <c r="C26" s="379" t="s">
        <v>258</v>
      </c>
      <c r="D26" s="356">
        <f>IF(ISNA(VLOOKUP(C26,'Planning 2017'!B21:F419,2,0)),"",VLOOKUP(C26,'Planning 2017'!B21:F419,2,0))</f>
        <v>0.20277777777777781</v>
      </c>
      <c r="E26" s="377">
        <f>IF(ISNA(VLOOKUP(C26,'Planning 2017'!B21:F419,3,0)),"",VLOOKUP(C26,'Planning 2017'!B21:F419,3,0))</f>
        <v>0.5083333333333333</v>
      </c>
      <c r="F26" s="348">
        <f t="shared" si="1"/>
        <v>0.30555555555555547</v>
      </c>
      <c r="G26" s="356">
        <f>IF(ISNA(VLOOKUP(C26,'Planning 2017'!B21:F419,4,0)),"",VLOOKUP(C26,'Planning 2017'!B21:F419,4,0))</f>
        <v>0</v>
      </c>
      <c r="H26" s="377">
        <f>IF(ISNA(VLOOKUP(C26,'Planning 2017'!B21:F419,5,0)),"",VLOOKUP(C26,'Planning 2017'!B21:F419,5,0))</f>
        <v>0</v>
      </c>
      <c r="I26" s="350">
        <f t="shared" si="2"/>
        <v>0</v>
      </c>
      <c r="J26" s="363">
        <f>IF(COUNTA(D26:E26,G26:H26)=5,Prime!$E$4,IF(AND(D26&lt;="5:01"*1,D26&gt;"2:00"*1),Prime!$E$4,IF(AND(H26&gt;="22:00"*1,H26&lt;="26:01"*1),Prime!$E$4,"")))</f>
        <v>17.7056</v>
      </c>
      <c r="K26" s="365" t="str">
        <f>IF(COUNTA(D26:E26,G26:H26)=5,Prime!$E$4,IF(AND(E26&gt;="13:15"*1,G26&lt;""),Prime!$E$4,IF(AND(G26&gt;="11:00"*1,G26&lt;="12:15"*1),Prime!$E$4,"")))</f>
        <v/>
      </c>
      <c r="L26" s="508" t="str">
        <f>IF(AND(H26&gt;="19:30"*1,H26&lt;="21:30"*1),Prime!$E$4,"")</f>
        <v/>
      </c>
      <c r="M26" s="381" t="str">
        <f>IF(OR(AND(LEFT(C26,1)="d",OR(D26&gt;="0:00"*1,G26&gt;"14:00"*1)),AND(LEFT(C26,1)="s",H26&gt;="21:30"*1)),Prime!$G$4,"")</f>
        <v/>
      </c>
      <c r="N26" s="370" t="str">
        <f>IF(ISNUMBER(FIND("F",C26)),Prime!$I$4,IF(ISNUMBER(FIND("CDS",C26)),Prime!$I$4,""))</f>
        <v/>
      </c>
      <c r="O26" s="355" t="e">
        <f t="shared" si="3"/>
        <v>#VALUE!</v>
      </c>
      <c r="P26" s="482"/>
      <c r="Q26" s="360" t="str">
        <f t="shared" si="7"/>
        <v/>
      </c>
      <c r="R26" s="138">
        <f t="shared" si="4"/>
        <v>0.30555555555555547</v>
      </c>
      <c r="S26" s="414">
        <f t="shared" si="6"/>
        <v>7.3333333333333313</v>
      </c>
      <c r="T26" s="421"/>
      <c r="U26" s="417">
        <f t="shared" si="5"/>
        <v>7.3333333333333313</v>
      </c>
    </row>
    <row r="27" spans="1:21" s="1" customFormat="1" ht="15.75" x14ac:dyDescent="0.25">
      <c r="A27" s="3"/>
      <c r="B27" s="510">
        <v>41601</v>
      </c>
      <c r="C27" s="379" t="s">
        <v>282</v>
      </c>
      <c r="D27" s="356">
        <f>IF(ISNA(VLOOKUP(C27,'Planning 2017'!B22:F420,2,0)),"",VLOOKUP(C27,'Planning 2017'!B22:F420,2,0))</f>
        <v>0.25138888888888888</v>
      </c>
      <c r="E27" s="377">
        <f>IF(ISNA(VLOOKUP(C27,'Planning 2017'!B22:F420,3,0)),"",VLOOKUP(C27,'Planning 2017'!B22:F420,3,0))</f>
        <v>0.57916666666666672</v>
      </c>
      <c r="F27" s="348">
        <f t="shared" si="1"/>
        <v>0.32777777777777783</v>
      </c>
      <c r="G27" s="356">
        <f>IF(ISNA(VLOOKUP(C27,'Planning 2017'!B22:F420,4,0)),"",VLOOKUP(C27,'Planning 2017'!B22:F420,4,0))</f>
        <v>0</v>
      </c>
      <c r="H27" s="377">
        <f>IF(ISNA(VLOOKUP(C27,'Planning 2017'!B22:F420,5,0)),"",VLOOKUP(C27,'Planning 2017'!B22:F420,5,0))</f>
        <v>0</v>
      </c>
      <c r="I27" s="350">
        <f t="shared" si="2"/>
        <v>0</v>
      </c>
      <c r="J27" s="363" t="str">
        <f>IF(COUNTA(D27:E27,G27:H27)=5,Prime!$E$4,IF(AND(D27&lt;="5:01"*1,D27&gt;"2:00"*1),Prime!$E$4,IF(AND(H27&gt;="22:00"*1,H27&lt;="26:01"*1),Prime!$E$4,"")))</f>
        <v/>
      </c>
      <c r="K27" s="365">
        <f>IF(COUNTA(D27:E27,G27:H27)=5,Prime!$E$4,IF(AND(E27&gt;="13:15"*1,G27&lt;""),Prime!$E$4,IF(AND(G27&gt;="11:00"*1,G27&lt;="12:15"*1),Prime!$E$4,"")))</f>
        <v>17.7056</v>
      </c>
      <c r="L27" s="508" t="str">
        <f>IF(AND(H27&gt;="19:30"*1,H27&lt;="21:30"*1),Prime!$E$4,"")</f>
        <v/>
      </c>
      <c r="M27" s="381" t="str">
        <f>IF(OR(AND(LEFT(C27,1)="d",OR(D27&gt;="0:00"*1,G27&gt;"14:00"*1)),AND(LEFT(C27,1)="s",H27&gt;="21:30"*1)),Prime!$G$4,"")</f>
        <v/>
      </c>
      <c r="N27" s="370" t="str">
        <f>IF(ISNUMBER(FIND("F",C27)),Prime!$I$4,IF(ISNUMBER(FIND("CDS",C27)),Prime!$I$4,""))</f>
        <v/>
      </c>
      <c r="O27" s="357" t="str">
        <f t="shared" ref="O8:O33" si="8">IF(OR(C27="s",C27="d", C27="F"),"1","")</f>
        <v/>
      </c>
      <c r="P27" s="482"/>
      <c r="Q27" s="360" t="str">
        <f t="shared" si="7"/>
        <v/>
      </c>
      <c r="R27" s="138">
        <f t="shared" si="4"/>
        <v>0.32777777777777783</v>
      </c>
      <c r="S27" s="414">
        <f t="shared" si="6"/>
        <v>7.866666666666668</v>
      </c>
      <c r="T27" s="421"/>
      <c r="U27" s="417">
        <f t="shared" si="5"/>
        <v>7.866666666666668</v>
      </c>
    </row>
    <row r="28" spans="1:21" s="1" customFormat="1" ht="15.75" x14ac:dyDescent="0.25">
      <c r="A28" s="3"/>
      <c r="B28" s="510">
        <v>41602</v>
      </c>
      <c r="C28" s="379" t="s">
        <v>289</v>
      </c>
      <c r="D28" s="356">
        <f>IF(ISNA(VLOOKUP(C28,'Planning 2017'!B23:F421,2,0)),"",VLOOKUP(C28,'Planning 2017'!B23:F421,2,0))</f>
        <v>0.21249999999999999</v>
      </c>
      <c r="E28" s="377">
        <f>IF(ISNA(VLOOKUP(C28,'Planning 2017'!B23:F421,3,0)),"",VLOOKUP(C28,'Planning 2017'!B23:F421,3,0))</f>
        <v>0.53472222222222221</v>
      </c>
      <c r="F28" s="348">
        <f t="shared" si="1"/>
        <v>0.32222222222222219</v>
      </c>
      <c r="G28" s="356">
        <f>IF(ISNA(VLOOKUP(C28,'Planning 2017'!B23:F421,4,0)),"",VLOOKUP(C28,'Planning 2017'!B23:F421,4,0))</f>
        <v>0</v>
      </c>
      <c r="H28" s="377">
        <f>IF(ISNA(VLOOKUP(C28,'Planning 2017'!B23:F421,5,0)),"",VLOOKUP(C28,'Planning 2017'!B23:F421,5,0))</f>
        <v>0</v>
      </c>
      <c r="I28" s="350">
        <f t="shared" si="2"/>
        <v>0</v>
      </c>
      <c r="J28" s="363" t="str">
        <f>IF(COUNTA(D28:E28,G28:H28)=5,Prime!$E$4,IF(AND(D28&lt;="5:01"*1,D28&gt;"2:00"*1),Prime!$E$4,IF(AND(H28&gt;="22:00"*1,H28&lt;="26:01"*1),Prime!$E$4,"")))</f>
        <v/>
      </c>
      <c r="K28" s="365" t="str">
        <f>IF(COUNTA(D28:E28,G28:H28)=5,Prime!$E$4,IF(AND(E28&gt;="13:15"*1,G28&lt;""),Prime!$E$4,IF(AND(G28&gt;="11:00"*1,G28&lt;="12:15"*1),Prime!$E$4,"")))</f>
        <v/>
      </c>
      <c r="L28" s="508" t="str">
        <f>IF(AND(H28&gt;="19:30"*1,H28&lt;="21:30"*1),Prime!$E$4,"")</f>
        <v/>
      </c>
      <c r="M28" s="381" t="str">
        <f>IF(OR(AND(LEFT(C28,1)="d",OR(D28&gt;="0:00"*1,G28&gt;"14:00"*1)),AND(LEFT(C28,1)="s",H28&gt;="21:30"*1)),Prime!$G$4,"")</f>
        <v/>
      </c>
      <c r="N28" s="370" t="str">
        <f>IF(ISNUMBER(FIND("F",C28)),Prime!$I$4,IF(ISNUMBER(FIND("CDS",C28)),Prime!$I$4,""))</f>
        <v/>
      </c>
      <c r="O28" s="357" t="str">
        <f t="shared" si="8"/>
        <v/>
      </c>
      <c r="P28" s="482"/>
      <c r="Q28" s="360" t="str">
        <f t="shared" si="7"/>
        <v/>
      </c>
      <c r="R28" s="138">
        <f t="shared" si="4"/>
        <v>0.32222222222222219</v>
      </c>
      <c r="S28" s="414">
        <f t="shared" si="6"/>
        <v>7.7333333333333325</v>
      </c>
      <c r="T28" s="421"/>
      <c r="U28" s="417">
        <f t="shared" si="5"/>
        <v>7.7333333333333325</v>
      </c>
    </row>
    <row r="29" spans="1:21" s="1" customFormat="1" ht="15.75" x14ac:dyDescent="0.25">
      <c r="A29" s="3"/>
      <c r="B29" s="510">
        <v>41603</v>
      </c>
      <c r="C29" s="379" t="s">
        <v>0</v>
      </c>
      <c r="D29" s="356">
        <f>IF(ISNA(VLOOKUP(C29,'Planning 2017'!B23:F422,2,0)),"",VLOOKUP(C29,'Planning 2017'!B23:F422,2,0))</f>
        <v>0</v>
      </c>
      <c r="E29" s="377">
        <f>IF(ISNA(VLOOKUP(C29,'Planning 2017'!B23:F422,3,0)),"",VLOOKUP(C29,'Planning 2017'!B23:F422,3,0))</f>
        <v>0</v>
      </c>
      <c r="F29" s="348">
        <f t="shared" si="1"/>
        <v>0</v>
      </c>
      <c r="G29" s="356">
        <f>IF(ISNA(VLOOKUP(C29,'Planning 2017'!B23:F422,4,0)),"",VLOOKUP(C29,'Planning 2017'!B23:F422,4,0))</f>
        <v>0</v>
      </c>
      <c r="H29" s="377">
        <f>IF(ISNA(VLOOKUP(C29,'Planning 2017'!B23:F422,5,0)),"",VLOOKUP(C29,'Planning 2017'!B23:F422,5,0))</f>
        <v>0</v>
      </c>
      <c r="I29" s="350">
        <f t="shared" si="2"/>
        <v>0</v>
      </c>
      <c r="J29" s="363" t="str">
        <f>IF(COUNTA(D29:E29,G29:H29)=5,Prime!$E$4,IF(AND(D29&lt;="5:01"*1,D29&gt;"2:00"*1),Prime!$E$4,IF(AND(H29&gt;="22:00"*1,H29&lt;="26:01"*1),Prime!$E$4,"")))</f>
        <v/>
      </c>
      <c r="K29" s="365" t="str">
        <f>IF(COUNTA(D29:E29,G29:H29)=5,Prime!$E$4,IF(AND(E29&gt;="13:15"*1,G29&lt;""),Prime!$E$4,IF(AND(G29&gt;="11:00"*1,G29&lt;="12:15"*1),Prime!$E$4,"")))</f>
        <v/>
      </c>
      <c r="L29" s="508" t="str">
        <f>IF(AND(H29&gt;="19:30"*1,H29&lt;="21:30"*1),Prime!$E$4,"")</f>
        <v/>
      </c>
      <c r="M29" s="381" t="str">
        <f>IF(OR(AND(LEFT(C29,1)="d",OR(D29&gt;="0:00"*1,G29&gt;"14:00"*1)),AND(LEFT(C29,1)="s",H29&gt;="21:30"*1)),Prime!$G$4,"")</f>
        <v/>
      </c>
      <c r="N29" s="370" t="str">
        <f>IF(ISNUMBER(FIND("F",C29)),Prime!$I$4,IF(ISNUMBER(FIND("CDS",C29)),Prime!$I$4,""))</f>
        <v/>
      </c>
      <c r="O29" s="357" t="str">
        <f t="shared" si="8"/>
        <v/>
      </c>
      <c r="P29" s="482"/>
      <c r="Q29" s="360" t="str">
        <f t="shared" si="7"/>
        <v/>
      </c>
      <c r="R29" s="138">
        <f t="shared" si="4"/>
        <v>0</v>
      </c>
      <c r="S29" s="414">
        <f t="shared" si="6"/>
        <v>0</v>
      </c>
      <c r="T29" s="421"/>
      <c r="U29" s="417" t="str">
        <f t="shared" si="5"/>
        <v>0,000</v>
      </c>
    </row>
    <row r="30" spans="1:21" s="1" customFormat="1" ht="15.75" x14ac:dyDescent="0.25">
      <c r="A30" s="3"/>
      <c r="B30" s="510">
        <v>41604</v>
      </c>
      <c r="C30" s="470" t="s">
        <v>125</v>
      </c>
      <c r="D30" s="476">
        <f>IF(ISNA(VLOOKUP(C30,'Planning 2017'!B24:F423,2,0)),"",VLOOKUP(C30,'Planning 2017'!B24:F423,2,0))</f>
        <v>0</v>
      </c>
      <c r="E30" s="427">
        <f>IF(ISNA(VLOOKUP(C30,'Planning 2017'!B24:F423,3,0)),"",VLOOKUP(C30,'Planning 2017'!B24:F423,3,0))</f>
        <v>0</v>
      </c>
      <c r="F30" s="358">
        <f t="shared" si="1"/>
        <v>0</v>
      </c>
      <c r="G30" s="426">
        <f>IF(ISNA(VLOOKUP(C30,'Planning 2017'!B24:F423,4,0)),"",VLOOKUP(C30,'Planning 2017'!B24:F423,4,0))</f>
        <v>0.62986111111111109</v>
      </c>
      <c r="H30" s="427">
        <f>IF(ISNA(VLOOKUP(C30,'Planning 2017'!B24:F423,5,0)),"",VLOOKUP(C30,'Planning 2017'!B24:F423,5,0))</f>
        <v>0.94374999999999998</v>
      </c>
      <c r="I30" s="359">
        <f t="shared" si="2"/>
        <v>0.31388888888888888</v>
      </c>
      <c r="J30" s="428">
        <f>IF(COUNTA(D30:E30,G30:H30)=5,Prime!$E$4,IF(AND(D30&lt;="5:01"*1,D30&gt;"2:00"*1),Prime!$E$4,IF(AND(H30&gt;="22:00"*1,H30&lt;="26:01"*1),Prime!$E$4,"")))</f>
        <v>17.7056</v>
      </c>
      <c r="K30" s="429" t="str">
        <f>IF(COUNTA(D30:E30,G30:H30)=5,Prime!$E$4,IF(AND(E30&gt;="13:15"*1,G30&lt;""),Prime!$E$4,IF(AND(G30&gt;="11:00"*1,G30&lt;="12:15"*1),Prime!$E$4,"")))</f>
        <v/>
      </c>
      <c r="L30" s="508" t="str">
        <f>IF(AND(H30&gt;="19:30"*1,H30&lt;="21:30"*1),Prime!$E$4,"")</f>
        <v/>
      </c>
      <c r="M30" s="381" t="str">
        <f>IF(OR(AND(LEFT(C30,1)="d",OR(D30&gt;="0:00"*1,G30&gt;"14:00"*1)),AND(LEFT(C30,1)="s",H30&gt;="21:30"*1)),Prime!$G$4,"")</f>
        <v/>
      </c>
      <c r="N30" s="430" t="str">
        <f>IF(ISNUMBER(FIND("F",C30)),Prime!$I$4,IF(ISNUMBER(FIND("CDS",C30)),Prime!$I$4,""))</f>
        <v/>
      </c>
      <c r="O30" s="357" t="str">
        <f t="shared" si="8"/>
        <v/>
      </c>
      <c r="P30" s="482"/>
      <c r="Q30" s="360" t="str">
        <f t="shared" si="7"/>
        <v/>
      </c>
      <c r="R30" s="138">
        <f t="shared" si="4"/>
        <v>0.31388888888888888</v>
      </c>
      <c r="S30" s="414">
        <f t="shared" si="6"/>
        <v>7.5333333333333332</v>
      </c>
      <c r="T30" s="421"/>
      <c r="U30" s="417">
        <f t="shared" si="5"/>
        <v>7.5333333333333332</v>
      </c>
    </row>
    <row r="31" spans="1:21" s="1" customFormat="1" ht="15.75" x14ac:dyDescent="0.25">
      <c r="A31" s="3"/>
      <c r="B31" s="510">
        <v>41605</v>
      </c>
      <c r="C31" s="470" t="s">
        <v>125</v>
      </c>
      <c r="D31" s="426">
        <f>IF(ISNA(VLOOKUP(C31,'Planning 2017'!B25:F424,2,0)),"",VLOOKUP(C31,'Planning 2017'!B25:F424,2,0))</f>
        <v>0</v>
      </c>
      <c r="E31" s="427">
        <f>IF(ISNA(VLOOKUP(C31,'Planning 2017'!B25:F424,3,0)),"",VLOOKUP(C31,'Planning 2017'!B25:F424,3,0))</f>
        <v>0</v>
      </c>
      <c r="F31" s="358">
        <f t="shared" si="1"/>
        <v>0</v>
      </c>
      <c r="G31" s="426">
        <f>IF(ISNA(VLOOKUP(C31,'Planning 2017'!B25:F424,4,0)),"",VLOOKUP(C31,'Planning 2017'!B25:F424,4,0))</f>
        <v>0.62986111111111109</v>
      </c>
      <c r="H31" s="427">
        <f>IF(ISNA(VLOOKUP(C31,'Planning 2017'!B25:F424,5,0)),"",VLOOKUP(C31,'Planning 2017'!B25:F424,5,0))</f>
        <v>0.94374999999999998</v>
      </c>
      <c r="I31" s="359">
        <f t="shared" si="2"/>
        <v>0.31388888888888888</v>
      </c>
      <c r="J31" s="428">
        <f>IF(COUNTA(D31:E31,G31:H31)=5,Prime!$E$4,IF(AND(D31&lt;="5:01"*1,D31&gt;"2:00"*1),Prime!$E$4,IF(AND(H31&gt;="22:00"*1,H31&lt;="26:01"*1),Prime!$E$4,"")))</f>
        <v>17.7056</v>
      </c>
      <c r="K31" s="429" t="str">
        <f>IF(COUNTA(D31:E31,G31:H31)=5,Prime!$E$4,IF(AND(E31&gt;="13:15"*1,G31&lt;""),Prime!$E$4,IF(AND(G31&gt;="11:00"*1,G31&lt;="12:15"*1),Prime!$E$4,"")))</f>
        <v/>
      </c>
      <c r="L31" s="508" t="str">
        <f>IF(AND(H31&gt;="19:30"*1,H31&lt;="21:30"*1),Prime!$E$4,"")</f>
        <v/>
      </c>
      <c r="M31" s="381" t="str">
        <f>IF(OR(AND(LEFT(C31,1)="d",OR(D31&gt;="0:00"*1,G31&gt;"14:00"*1)),AND(LEFT(C31,1)="s",H31&gt;="21:30"*1)),Prime!$G$4,"")</f>
        <v/>
      </c>
      <c r="N31" s="430" t="str">
        <f>IF(ISNUMBER(FIND("F",C31)),Prime!$I$4,IF(ISNUMBER(FIND("CDS",C31)),Prime!$I$4,""))</f>
        <v/>
      </c>
      <c r="O31" s="357" t="str">
        <f t="shared" si="8"/>
        <v/>
      </c>
      <c r="P31" s="482"/>
      <c r="Q31" s="360" t="str">
        <f t="shared" si="7"/>
        <v/>
      </c>
      <c r="R31" s="138">
        <f t="shared" si="4"/>
        <v>0.31388888888888888</v>
      </c>
      <c r="S31" s="414">
        <f t="shared" si="6"/>
        <v>7.5333333333333332</v>
      </c>
      <c r="T31" s="421"/>
      <c r="U31" s="417">
        <f t="shared" si="5"/>
        <v>7.5333333333333332</v>
      </c>
    </row>
    <row r="32" spans="1:21" s="1" customFormat="1" ht="15.75" x14ac:dyDescent="0.25">
      <c r="A32" s="3"/>
      <c r="B32" s="510">
        <v>41606</v>
      </c>
      <c r="C32" s="470" t="s">
        <v>125</v>
      </c>
      <c r="D32" s="426">
        <f>IF(ISNA(VLOOKUP(C32,'Planning 2017'!B26:F425,2,0)),"",VLOOKUP(C32,'Planning 2017'!B26:F425,2,0))</f>
        <v>0</v>
      </c>
      <c r="E32" s="427">
        <f>IF(ISNA(VLOOKUP(C32,'Planning 2017'!B26:F425,3,0)),"",VLOOKUP(C32,'Planning 2017'!B26:F425,3,0))</f>
        <v>0</v>
      </c>
      <c r="F32" s="358">
        <f t="shared" si="1"/>
        <v>0</v>
      </c>
      <c r="G32" s="426">
        <f>IF(ISNA(VLOOKUP(C32,'Planning 2017'!B26:F425,4,0)),"",VLOOKUP(C32,'Planning 2017'!B26:F425,4,0))</f>
        <v>0.62986111111111109</v>
      </c>
      <c r="H32" s="427">
        <f>IF(ISNA(VLOOKUP(C32,'Planning 2017'!B26:F425,5,0)),"",VLOOKUP(C32,'Planning 2017'!B26:F425,5,0))</f>
        <v>0.94374999999999998</v>
      </c>
      <c r="I32" s="359">
        <f t="shared" si="2"/>
        <v>0.31388888888888888</v>
      </c>
      <c r="J32" s="428">
        <f>IF(COUNTA(D32:E32,G32:H32)=5,Prime!$E$4,IF(AND(D32&lt;="5:01"*1,D32&gt;"2:00"*1),Prime!$E$4,IF(AND(H32&gt;="22:00"*1,H32&lt;="26:01"*1),Prime!$E$4,"")))</f>
        <v>17.7056</v>
      </c>
      <c r="K32" s="429" t="str">
        <f>IF(COUNTA(D32:E32,G32:H32)=5,Prime!$E$4,IF(AND(E32&gt;="13:15"*1,G32&lt;""),Prime!$E$4,IF(AND(G32&gt;="11:00"*1,G32&lt;="12:15"*1),Prime!$E$4,"")))</f>
        <v/>
      </c>
      <c r="L32" s="508" t="str">
        <f>IF(AND(H32&gt;="19:30"*1,H32&lt;="21:30"*1),Prime!$E$4,"")</f>
        <v/>
      </c>
      <c r="M32" s="381" t="str">
        <f>IF(OR(AND(LEFT(C32,1)="d",OR(D32&gt;="0:00"*1,G32&gt;"14:00"*1)),AND(LEFT(C32,1)="s",H32&gt;="21:30"*1)),Prime!$G$4,"")</f>
        <v/>
      </c>
      <c r="N32" s="430" t="str">
        <f>IF(ISNUMBER(FIND("F",C32)),Prime!$I$4,IF(ISNUMBER(FIND("CDS",C32)),Prime!$I$4,""))</f>
        <v/>
      </c>
      <c r="O32" s="357" t="str">
        <f t="shared" si="8"/>
        <v/>
      </c>
      <c r="P32" s="482"/>
      <c r="Q32" s="360" t="str">
        <f t="shared" si="7"/>
        <v/>
      </c>
      <c r="R32" s="138">
        <f t="shared" si="4"/>
        <v>0.31388888888888888</v>
      </c>
      <c r="S32" s="414">
        <f t="shared" si="6"/>
        <v>7.5333333333333332</v>
      </c>
      <c r="T32" s="421"/>
      <c r="U32" s="417">
        <f t="shared" si="5"/>
        <v>7.5333333333333332</v>
      </c>
    </row>
    <row r="33" spans="1:21" s="1" customFormat="1" ht="15.75" x14ac:dyDescent="0.25">
      <c r="A33" s="3"/>
      <c r="B33" s="510">
        <v>41607</v>
      </c>
      <c r="C33" s="470" t="s">
        <v>149</v>
      </c>
      <c r="D33" s="426">
        <f>IF(ISNA(VLOOKUP(C33,'Planning 2017'!B27:F426,2,0)),"",VLOOKUP(C33,'Planning 2017'!B27:F426,2,0))</f>
        <v>0</v>
      </c>
      <c r="E33" s="427">
        <f>IF(ISNA(VLOOKUP(C33,'Planning 2017'!B27:F426,3,0)),"",VLOOKUP(C33,'Planning 2017'!B27:F426,3,0))</f>
        <v>0</v>
      </c>
      <c r="F33" s="358">
        <f t="shared" si="1"/>
        <v>0</v>
      </c>
      <c r="G33" s="426">
        <f>IF(ISNA(VLOOKUP(C33,'Planning 2017'!B27:F426,4,0)),"",VLOOKUP(C33,'Planning 2017'!B27:F426,4,0))</f>
        <v>0.59305555555555556</v>
      </c>
      <c r="H33" s="427">
        <f>IF(ISNA(VLOOKUP(C33,'Planning 2017'!B27:F426,5,0)),"",VLOOKUP(C33,'Planning 2017'!B27:F426,5,0))</f>
        <v>0.92361111111111116</v>
      </c>
      <c r="I33" s="359">
        <f t="shared" si="2"/>
        <v>0.3305555555555556</v>
      </c>
      <c r="J33" s="428">
        <f>IF(COUNTA(D33:E33,G33:H33)=5,Prime!$E$4,IF(AND(D33&lt;="5:01"*1,D33&gt;"2:00"*1),Prime!$E$4,IF(AND(H33&gt;="22:00"*1,H33&lt;="26:01"*1),Prime!$E$4,"")))</f>
        <v>17.7056</v>
      </c>
      <c r="K33" s="429" t="str">
        <f>IF(COUNTA(D33:E33,G33:H33)=5,Prime!$E$4,IF(AND(E33&gt;="13:15"*1,G33&lt;""),Prime!$E$4,IF(AND(G33&gt;="11:00"*1,G33&lt;="12:15"*1),Prime!$E$4,"")))</f>
        <v/>
      </c>
      <c r="L33" s="508" t="str">
        <f>IF(AND(H33&gt;="19:30"*1,H33&lt;="21:30"*1),Prime!$E$4,"")</f>
        <v/>
      </c>
      <c r="M33" s="381" t="str">
        <f>IF(OR(AND(LEFT(C33,1)="d",OR(D33&gt;="0:00"*1,G33&gt;"14:00"*1)),AND(LEFT(C33,1)="s",H33&gt;="21:30"*1)),Prime!$G$4,"")</f>
        <v/>
      </c>
      <c r="N33" s="430" t="str">
        <f>IF(ISNUMBER(FIND("F",C33)),Prime!$I$4,IF(ISNUMBER(FIND("CDS",C33)),Prime!$I$4,""))</f>
        <v/>
      </c>
      <c r="O33" s="357" t="str">
        <f t="shared" si="8"/>
        <v/>
      </c>
      <c r="P33" s="482"/>
      <c r="Q33" s="360" t="str">
        <f>IF(ISBLANK(P33),"",P33/24)</f>
        <v/>
      </c>
      <c r="R33" s="138">
        <f t="shared" si="4"/>
        <v>0.3305555555555556</v>
      </c>
      <c r="S33" s="414">
        <f t="shared" si="6"/>
        <v>7.9333333333333345</v>
      </c>
      <c r="T33" s="421"/>
      <c r="U33" s="417">
        <f t="shared" si="5"/>
        <v>7.9333333333333345</v>
      </c>
    </row>
    <row r="34" spans="1:21" s="1" customFormat="1" ht="16.5" thickBot="1" x14ac:dyDescent="0.3">
      <c r="A34" s="3"/>
      <c r="B34" s="487"/>
      <c r="C34" s="380"/>
      <c r="D34" s="382" t="str">
        <f>IF(ISNA(VLOOKUP(C34,'Planning 2017'!B28:F427,2,0)),"",VLOOKUP(C34,'Planning 2017'!B28:F427,2,0))</f>
        <v/>
      </c>
      <c r="E34" s="383" t="str">
        <f>IF(ISNA(VLOOKUP(C34,'Planning 2017'!B28:F427,3,0)),"",VLOOKUP(C34,'Planning 2017'!B28:F427,3,0))</f>
        <v/>
      </c>
      <c r="F34" s="384"/>
      <c r="G34" s="382" t="str">
        <f>IF(ISNA(VLOOKUP(C34,'Planning 2017'!B28:F427,4,0)),"",VLOOKUP(C34,'Planning 2017'!B28:F427,4,0))</f>
        <v/>
      </c>
      <c r="H34" s="383" t="str">
        <f>IF(ISNA(VLOOKUP(C34,'Planning 2017'!B28:F427,5,0)),"",VLOOKUP(C34,'Planning 2017'!B28:F427,5,0))</f>
        <v/>
      </c>
      <c r="I34" s="385"/>
      <c r="J34" s="386" t="str">
        <f>IF(COUNTA(D34:E34,G34:H34)=5,Prime!$E$4,IF(AND(D34&lt;="5:01"*1,D34&gt;"2:00"*1),Prime!$E$4,IF(AND(H34&gt;="22:00"*1,H34&lt;="26:01"*1),Prime!$E$4,"")))</f>
        <v/>
      </c>
      <c r="K34" s="387" t="str">
        <f>IF(COUNTA(D34:E34,G34:H34)=5,Prime!$E$4,IF(AND(E34&gt;="13:15"*1,G34&lt;""),Prime!$E$4,IF(AND(G34&gt;="11:00"*1,G34&lt;="12:15"*1),Prime!$E$4,"")))</f>
        <v/>
      </c>
      <c r="L34" s="509" t="str">
        <f>IF(AND(H34&gt;="19:30"*1,H34&lt;="21:30"*1),Prime!$E$4,"")</f>
        <v/>
      </c>
      <c r="M34" s="388" t="str">
        <f>IF(OR(AND(LEFT(C34,1)="d",OR(D34&gt;="0:00"*1,G34&gt;"14:00"*1)),AND(LEFT(C34,1)="s",H34&gt;="21:30"*1)),Prime!$G$4,"")</f>
        <v/>
      </c>
      <c r="N34" s="389" t="str">
        <f>IF(ISNUMBER(FIND("F",C34)),Prime!$I$4,IF(ISNUMBER(FIND("CDS",C34)),Prime!$I$4,""))</f>
        <v/>
      </c>
      <c r="O34" s="390" t="str">
        <f t="shared" ref="O13:O34" si="9">IF(AND(E34&gt;="12:30"*1,E34&lt;="13:0"*1),1,"")</f>
        <v/>
      </c>
      <c r="P34" s="483"/>
      <c r="Q34" s="486"/>
      <c r="R34" s="346">
        <f t="shared" si="4"/>
        <v>0</v>
      </c>
      <c r="S34" s="415">
        <f t="shared" si="6"/>
        <v>0</v>
      </c>
      <c r="T34" s="422"/>
      <c r="U34" s="423" t="str">
        <f t="shared" si="5"/>
        <v>0,000</v>
      </c>
    </row>
    <row r="35" spans="1:21" s="1" customFormat="1" ht="15.75" x14ac:dyDescent="0.25">
      <c r="A35" s="3"/>
      <c r="B35" s="4"/>
      <c r="C35" s="4"/>
      <c r="D35" s="4"/>
      <c r="E35" s="3"/>
      <c r="F35" s="3"/>
      <c r="G35" s="3"/>
      <c r="H35" s="3"/>
      <c r="I35" s="3"/>
      <c r="J35" s="181"/>
      <c r="K35" s="183"/>
      <c r="L35" s="186"/>
      <c r="M35" s="150"/>
      <c r="N35" s="150"/>
      <c r="O35" s="126"/>
      <c r="P35" s="126"/>
      <c r="Q35" s="124"/>
      <c r="R35" s="20"/>
      <c r="S35" s="21"/>
      <c r="T35" s="151"/>
      <c r="U35" s="126"/>
    </row>
    <row r="36" spans="1:21" s="1" customFormat="1" ht="15.75" x14ac:dyDescent="0.25">
      <c r="A36" s="3"/>
      <c r="B36" s="115" t="s">
        <v>156</v>
      </c>
      <c r="C36" s="197">
        <f>COUNTIF(C4:C34,"&lt;&gt;")-(COUNTIF(C4:C34,"CH*")+COUNTIF(C4:C34,"RT*")+COUNTIF(C4:C34,"CC*")+COUNTIF(C4:C34,"FERIÉ*")+COUNTIF(C4:C34,"CP*"))</f>
        <v>22</v>
      </c>
      <c r="D36" s="4"/>
      <c r="E36" s="3"/>
      <c r="F36" s="3"/>
      <c r="G36" s="3"/>
      <c r="H36" s="3"/>
      <c r="I36" s="3"/>
      <c r="J36" s="182">
        <f>SUM(J4:J34)</f>
        <v>106.23360000000001</v>
      </c>
      <c r="K36" s="183"/>
      <c r="L36" s="184">
        <f>SUM(L4:L34)</f>
        <v>70.822400000000002</v>
      </c>
      <c r="M36" s="313">
        <f>SUM(M4:M34)</f>
        <v>132.792</v>
      </c>
      <c r="N36" s="317">
        <f>SUM(N4:N34)</f>
        <v>0</v>
      </c>
      <c r="O36" s="432" t="e">
        <f>SUM(O4:O34)</f>
        <v>#VALUE!</v>
      </c>
      <c r="P36" s="484">
        <f>SUM(P4:P32)</f>
        <v>6.9444444444444441E-3</v>
      </c>
      <c r="Q36" s="485">
        <f>SUM(Q4:Q34)</f>
        <v>0.16666666666666666</v>
      </c>
      <c r="R36" s="63">
        <f>SUM(R4:R34)</f>
        <v>5.8729166666666668</v>
      </c>
      <c r="S36" s="64">
        <f>SUM(S3:S34)</f>
        <v>140.95000000000002</v>
      </c>
      <c r="T36" s="151">
        <f>R36-S36</f>
        <v>-135.07708333333335</v>
      </c>
      <c r="U36" s="155"/>
    </row>
    <row r="37" spans="1:21" s="1" customFormat="1" ht="15.75" x14ac:dyDescent="0.25">
      <c r="A37" s="3"/>
      <c r="B37" s="3"/>
      <c r="C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</row>
    <row r="38" spans="1:21" s="1" customFormat="1" ht="15.75" x14ac:dyDescent="0.25">
      <c r="B38" s="447"/>
      <c r="N38" s="425" t="s">
        <v>100</v>
      </c>
      <c r="O38" s="425"/>
      <c r="P38" s="425"/>
      <c r="Q38" s="425"/>
      <c r="R38" s="156">
        <v>6.1895833333333341</v>
      </c>
      <c r="S38" s="65">
        <v>148.19999999999999</v>
      </c>
    </row>
    <row r="39" spans="1:21" s="1" customFormat="1" x14ac:dyDescent="0.25">
      <c r="B39" s="447"/>
    </row>
    <row r="40" spans="1:21" ht="15.75" x14ac:dyDescent="0.25">
      <c r="N40" s="424" t="s">
        <v>39</v>
      </c>
      <c r="O40" s="424"/>
      <c r="P40" s="424"/>
      <c r="Q40" s="424"/>
      <c r="R40" s="68">
        <f>(Q36-R34)</f>
        <v>0.16666666666666666</v>
      </c>
      <c r="S40" s="69">
        <f>R40*24</f>
        <v>4</v>
      </c>
    </row>
  </sheetData>
  <mergeCells count="5">
    <mergeCell ref="B1:L1"/>
    <mergeCell ref="R2:U2"/>
    <mergeCell ref="P3:Q3"/>
    <mergeCell ref="D3:E3"/>
    <mergeCell ref="G3:H3"/>
  </mergeCells>
  <conditionalFormatting sqref="R40">
    <cfRule type="cellIs" dxfId="13" priority="9" operator="lessThan">
      <formula>0</formula>
    </cfRule>
  </conditionalFormatting>
  <conditionalFormatting sqref="T35:T36">
    <cfRule type="cellIs" dxfId="12" priority="5" operator="greaterThanOrEqual">
      <formula>0.001</formula>
    </cfRule>
    <cfRule type="cellIs" dxfId="11" priority="6" operator="lessThan">
      <formula>0</formula>
    </cfRule>
  </conditionalFormatting>
  <conditionalFormatting sqref="U4:U34">
    <cfRule type="cellIs" dxfId="10" priority="1" operator="greaterThanOrEqual">
      <formula>0.001</formula>
    </cfRule>
    <cfRule type="cellIs" dxfId="9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V43"/>
  <sheetViews>
    <sheetView workbookViewId="0">
      <selection activeCell="B4" sqref="B4:B34"/>
    </sheetView>
  </sheetViews>
  <sheetFormatPr baseColWidth="10" defaultRowHeight="15" x14ac:dyDescent="0.25"/>
  <cols>
    <col min="1" max="1" width="2.7109375" customWidth="1"/>
    <col min="2" max="2" width="17.28515625" style="120" customWidth="1"/>
    <col min="3" max="3" width="14.7109375" style="1" customWidth="1"/>
    <col min="4" max="9" width="14.7109375" customWidth="1"/>
    <col min="10" max="10" width="10.7109375" style="1" customWidth="1"/>
    <col min="11" max="13" width="10.7109375" customWidth="1"/>
    <col min="14" max="15" width="10.7109375" style="1" customWidth="1"/>
    <col min="16" max="17" width="10.7109375" style="22" customWidth="1"/>
    <col min="18" max="21" width="10.7109375" customWidth="1"/>
  </cols>
  <sheetData>
    <row r="1" spans="1:22" s="1" customFormat="1" ht="16.5" thickBot="1" x14ac:dyDescent="0.3">
      <c r="A1" s="3"/>
      <c r="B1" s="524" t="s">
        <v>11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  <c r="O1" s="352"/>
    </row>
    <row r="2" spans="1:22" s="1" customFormat="1" ht="16.5" thickBot="1" x14ac:dyDescent="0.3">
      <c r="A2" s="3"/>
      <c r="B2" s="117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124"/>
      <c r="R2" s="516" t="s">
        <v>17</v>
      </c>
      <c r="S2" s="517"/>
      <c r="T2" s="517"/>
      <c r="U2" s="518"/>
      <c r="V2" s="126"/>
    </row>
    <row r="3" spans="1:22" s="1" customFormat="1" ht="16.5" thickBot="1" x14ac:dyDescent="0.3">
      <c r="A3" s="3"/>
      <c r="B3" s="5" t="s">
        <v>135</v>
      </c>
      <c r="C3" s="5" t="s">
        <v>18</v>
      </c>
      <c r="D3" s="522" t="s">
        <v>13</v>
      </c>
      <c r="E3" s="535"/>
      <c r="F3" s="347" t="s">
        <v>16</v>
      </c>
      <c r="G3" s="536" t="s">
        <v>14</v>
      </c>
      <c r="H3" s="535"/>
      <c r="I3" s="347" t="s">
        <v>16</v>
      </c>
      <c r="J3" s="398" t="s">
        <v>304</v>
      </c>
      <c r="K3" s="372" t="s">
        <v>180</v>
      </c>
      <c r="L3" s="402" t="s">
        <v>181</v>
      </c>
      <c r="M3" s="374" t="s">
        <v>185</v>
      </c>
      <c r="N3" s="403" t="s">
        <v>188</v>
      </c>
      <c r="O3" s="391" t="s">
        <v>243</v>
      </c>
      <c r="P3" s="526" t="s">
        <v>20</v>
      </c>
      <c r="Q3" s="520"/>
      <c r="R3" s="131" t="s">
        <v>37</v>
      </c>
      <c r="S3" s="412" t="s">
        <v>38</v>
      </c>
      <c r="T3" s="419" t="s">
        <v>22</v>
      </c>
      <c r="U3" s="416" t="s">
        <v>39</v>
      </c>
      <c r="V3" s="126"/>
    </row>
    <row r="4" spans="1:22" s="1" customFormat="1" ht="15.75" x14ac:dyDescent="0.25">
      <c r="A4" s="3"/>
      <c r="B4" s="510">
        <v>41608</v>
      </c>
      <c r="C4" s="6" t="s">
        <v>254</v>
      </c>
      <c r="D4" s="354">
        <f>IF(ISNA(VLOOKUP(C4,'Planning 2017'!B2:F397,2,0)),"",VLOOKUP(C4,'Planning 2017'!B2:F397,2,0))</f>
        <v>0</v>
      </c>
      <c r="E4" s="392">
        <f>IF(ISNA(VLOOKUP(C4,'Planning 2017'!B2:F397,3,0)),"",VLOOKUP(C4,'Planning 2017'!B2:F397,3,0))</f>
        <v>0</v>
      </c>
      <c r="F4" s="349">
        <f>IF(ISERROR(E4-D4),0,E4-D4)</f>
        <v>0</v>
      </c>
      <c r="G4" s="395">
        <f>IF(ISNA(VLOOKUP(C4,'Planning 2017'!B2:F397,4,0)),"",VLOOKUP(C4,'Planning 2017'!B2:F397,4,0))</f>
        <v>0.59305555555555556</v>
      </c>
      <c r="H4" s="392">
        <f>IF(ISNA(VLOOKUP(C4,'Planning 2017'!B2:F397,5,0)),"",VLOOKUP(C4,'Planning 2017'!B2:F397,5,0))</f>
        <v>0.92361111111111116</v>
      </c>
      <c r="I4" s="349">
        <f>IF(ISERROR(H4-G4),0,(H4-G4))</f>
        <v>0.3305555555555556</v>
      </c>
      <c r="J4" s="399">
        <f>IF(COUNTA(D4:E4,G4:H4)=5,Prime!$E$4,IF(AND(D4&lt;="5:01"*1,D4&gt;"2:00"*1),Prime!$E$4,IF(AND(H4&gt;="22:00"*1,H4&lt;="26:01"*1),Prime!$E$4,"")))</f>
        <v>17.7056</v>
      </c>
      <c r="K4" s="364" t="str">
        <f>IF(COUNTA(D4:E4,G4:H4)=5,Prime!$E$4,IF(AND(E4&gt;="13:15"*1,G4&lt;""),Prime!$E$4,IF(AND(G4&gt;="11:00"*1,G4&lt;="12:15"*1),Prime!$E$4,"")))</f>
        <v/>
      </c>
      <c r="L4" s="367" t="str">
        <f>IF(AND(H4&gt;="19:30"*1,H4&lt;="21:30"*1),Prime!$E$4,"")</f>
        <v/>
      </c>
      <c r="M4" s="404" t="str">
        <f>IF(OR(AND(LEFT(C4,1)="d",OR(D4&gt;="0:00"*1,H4&gt;"22:00"*1)),AND(LEFT(C4,1)="s",H4&gt;="24:00"*1)),Prime!$G$4,"")</f>
        <v/>
      </c>
      <c r="N4" s="408" t="str">
        <f>IF(ISNUMBER(FIND("F",C4)),Prime!$I$4,IF(ISNUMBER(FIND("CDS",C4)),Prime!$I$4,""))</f>
        <v/>
      </c>
      <c r="O4" s="405" t="str">
        <f>IF(AND(E4&gt;="12:30"*1,E4&lt;="13:0"*1),1,"")</f>
        <v/>
      </c>
      <c r="P4" s="477">
        <v>6.9444444444444441E-3</v>
      </c>
      <c r="Q4" s="238">
        <f t="shared" ref="Q4:Q17" si="0">IF(ISBLANK(P4),"",P4*24)</f>
        <v>0.16666666666666666</v>
      </c>
      <c r="R4" s="411">
        <f>IF(ISERROR((E4-D4)+(H4-G4)),0,(E4-D4)+(H4-G4))</f>
        <v>0.3305555555555556</v>
      </c>
      <c r="S4" s="413">
        <f>R4*24</f>
        <v>7.9333333333333345</v>
      </c>
      <c r="T4" s="420"/>
      <c r="U4" s="417">
        <f>IF(S4-T4=0,"0,000",S4-T4)</f>
        <v>7.9333333333333345</v>
      </c>
      <c r="V4" s="126"/>
    </row>
    <row r="5" spans="1:22" s="1" customFormat="1" ht="15.75" x14ac:dyDescent="0.25">
      <c r="A5" s="3"/>
      <c r="B5" s="510">
        <v>41609</v>
      </c>
      <c r="C5" s="6" t="s">
        <v>1</v>
      </c>
      <c r="D5" s="356">
        <f>IF(ISNA(VLOOKUP(C5,'Planning 2017'!B3:F398,2,0)),"",VLOOKUP(C5,'Planning 2017'!B3:F398,2,0))</f>
        <v>0</v>
      </c>
      <c r="E5" s="393">
        <f>IF(ISNA(VLOOKUP(C5,'Planning 2017'!B3:F398,3,0)),"",VLOOKUP(C5,'Planning 2017'!B3:F398,3,0))</f>
        <v>0</v>
      </c>
      <c r="F5" s="350">
        <f t="shared" ref="F5:F34" si="1">IF(ISERROR(E5-D5),0,E5-D5)</f>
        <v>0</v>
      </c>
      <c r="G5" s="396">
        <f>IF(ISNA(VLOOKUP(C5,'Planning 2017'!B3:F398,4,0)),"",VLOOKUP(C5,'Planning 2017'!B3:F398,4,0))</f>
        <v>0</v>
      </c>
      <c r="H5" s="393">
        <f>IF(ISNA(VLOOKUP(C5,'Planning 2017'!B3:F398,5,0)),"",VLOOKUP(C5,'Planning 2017'!B3:F398,5,0))</f>
        <v>0</v>
      </c>
      <c r="I5" s="350">
        <f t="shared" ref="I5:I34" si="2">IF(ISERROR(H5-G5),0,(H5-G5))</f>
        <v>0</v>
      </c>
      <c r="J5" s="400" t="str">
        <f>IF(COUNTA(D5:E5,G5:H5)=5,Prime!$E$4,IF(AND(D5&lt;="5:01"*1,D5&gt;"2:00"*1),Prime!$E$4,IF(AND(H5&gt;="22:00"*1,H5&lt;="26:01"*1),Prime!$E$4,"")))</f>
        <v/>
      </c>
      <c r="K5" s="365" t="str">
        <f>IF(COUNTA(D5:E5,G5:H5)=5,Prime!$E$4,IF(AND(E5&gt;="13:15"*1,G5&lt;""),Prime!$E$4,IF(AND(G5&gt;="11:00"*1,G5&lt;="12:15"*1),Prime!$E$4,"")))</f>
        <v/>
      </c>
      <c r="L5" s="368" t="str">
        <f>IF(AND(H5&gt;="19:30"*1,H5&lt;="21:30"*1),Prime!$E$4,"")</f>
        <v/>
      </c>
      <c r="M5" s="381" t="str">
        <f>IF(OR(AND(LEFT(C5,1)="d",OR(D5&gt;="0:00"*1,H5&gt;"22:00"*1)),AND(LEFT(C5,1)="s",H5&gt;="24:00"*1)),Prime!$G$4,"")</f>
        <v/>
      </c>
      <c r="N5" s="409" t="str">
        <f>IF(ISNUMBER(FIND("F",C5)),Prime!$I$4,IF(ISNUMBER(FIND("CDS",C5)),Prime!$I$4,""))</f>
        <v/>
      </c>
      <c r="O5" s="406" t="str">
        <f t="shared" ref="O5:O34" si="3">IF(AND(E5&gt;="12:30"*1,E5&lt;="13:0"*1),1,"")</f>
        <v/>
      </c>
      <c r="P5" s="478"/>
      <c r="Q5" s="242" t="str">
        <f t="shared" si="0"/>
        <v/>
      </c>
      <c r="R5" s="138">
        <f t="shared" ref="R5:R34" si="4">IF(ISERROR((E5-D5)+(H5-G5)),0,(E5-D5)+(H5-G5))</f>
        <v>0</v>
      </c>
      <c r="S5" s="414">
        <f>R5*24</f>
        <v>0</v>
      </c>
      <c r="T5" s="421"/>
      <c r="U5" s="417" t="str">
        <f t="shared" ref="U5:U34" si="5">IF(S5-T5=0,"0,000",S5-T5)</f>
        <v>0,000</v>
      </c>
      <c r="V5" s="126"/>
    </row>
    <row r="6" spans="1:22" s="1" customFormat="1" ht="15.75" x14ac:dyDescent="0.25">
      <c r="A6" s="3"/>
      <c r="B6" s="510">
        <v>41610</v>
      </c>
      <c r="C6" s="6" t="s">
        <v>0</v>
      </c>
      <c r="D6" s="356">
        <f>IF(ISNA(VLOOKUP(C6,'Planning 2017'!B3:F399,2,0)),"",VLOOKUP(C6,'Planning 2017'!B3:F399,2,0))</f>
        <v>0</v>
      </c>
      <c r="E6" s="393">
        <f>IF(ISNA(VLOOKUP(C6,'Planning 2017'!B3:F399,3,0)),"",VLOOKUP(C6,'Planning 2017'!B3:F399,3,0))</f>
        <v>0</v>
      </c>
      <c r="F6" s="350">
        <f t="shared" si="1"/>
        <v>0</v>
      </c>
      <c r="G6" s="396">
        <f>IF(ISNA(VLOOKUP(C6,'Planning 2017'!B3:F399,4,0)),"",VLOOKUP(C6,'Planning 2017'!B3:F399,4,0))</f>
        <v>0</v>
      </c>
      <c r="H6" s="393">
        <f>IF(ISNA(VLOOKUP(C6,'Planning 2017'!B3:F399,5,0)),"",VLOOKUP(C6,'Planning 2017'!B3:F399,5,0))</f>
        <v>0</v>
      </c>
      <c r="I6" s="350">
        <f t="shared" si="2"/>
        <v>0</v>
      </c>
      <c r="J6" s="400" t="str">
        <f>IF(COUNTA(D6:E6,G6:H6)=5,Prime!$E$4,IF(AND(D6&lt;="5:01"*1,D6&gt;"2:00"*1),Prime!$E$4,IF(AND(H6&gt;="22:00"*1,H6&lt;="26:01"*1),Prime!$E$4,"")))</f>
        <v/>
      </c>
      <c r="K6" s="365" t="str">
        <f>IF(COUNTA(D6:E6,G6:H6)=5,Prime!$E$4,IF(AND(E6&gt;="13:15"*1,G6&lt;""),Prime!$E$4,IF(AND(G6&gt;="11:00"*1,G6&lt;="12:15"*1),Prime!$E$4,"")))</f>
        <v/>
      </c>
      <c r="L6" s="368" t="str">
        <f>IF(AND(H6&gt;="19:30"*1,H6&lt;="21:30"*1),Prime!$E$4,"")</f>
        <v/>
      </c>
      <c r="M6" s="381" t="str">
        <f>IF(OR(AND(LEFT(C6,1)="d",OR(D6&gt;="0:00"*1,H6&gt;"22:00"*1)),AND(LEFT(C6,1)="s",H6&gt;="24:00"*1)),Prime!$G$4,"")</f>
        <v/>
      </c>
      <c r="N6" s="409" t="str">
        <f>IF(ISNUMBER(FIND("F",C6)),Prime!$I$4,IF(ISNUMBER(FIND("CDS",C6)),Prime!$I$4,""))</f>
        <v/>
      </c>
      <c r="O6" s="406" t="str">
        <f t="shared" si="3"/>
        <v/>
      </c>
      <c r="P6" s="478"/>
      <c r="Q6" s="242" t="str">
        <f t="shared" si="0"/>
        <v/>
      </c>
      <c r="R6" s="138">
        <f t="shared" si="4"/>
        <v>0</v>
      </c>
      <c r="S6" s="414">
        <f>R6*24</f>
        <v>0</v>
      </c>
      <c r="T6" s="421"/>
      <c r="U6" s="417" t="str">
        <f t="shared" si="5"/>
        <v>0,000</v>
      </c>
      <c r="V6" s="126"/>
    </row>
    <row r="7" spans="1:22" s="1" customFormat="1" ht="15.75" x14ac:dyDescent="0.25">
      <c r="A7" s="3"/>
      <c r="B7" s="510">
        <v>41611</v>
      </c>
      <c r="C7" s="6" t="s">
        <v>136</v>
      </c>
      <c r="D7" s="356">
        <f>IF(ISNA(VLOOKUP(C7,'Planning 2017'!B4:F400,2,0)),"",VLOOKUP(C7,'Planning 2017'!B4:F400,2,0))</f>
        <v>0</v>
      </c>
      <c r="E7" s="393">
        <f>IF(ISNA(VLOOKUP(C7,'Planning 2017'!B4:F400,3,0)),"",VLOOKUP(C7,'Planning 2017'!B4:F400,3,0))</f>
        <v>0</v>
      </c>
      <c r="F7" s="350">
        <f t="shared" si="1"/>
        <v>0</v>
      </c>
      <c r="G7" s="396">
        <f>IF(ISNA(VLOOKUP(C7,'Planning 2017'!B4:F400,4,0)),"",VLOOKUP(C7,'Planning 2017'!B4:F400,4,0))</f>
        <v>0</v>
      </c>
      <c r="H7" s="393">
        <f>IF(ISNA(VLOOKUP(C7,'Planning 2017'!B4:F400,5,0)),"",VLOOKUP(C7,'Planning 2017'!B4:F400,5,0))</f>
        <v>0</v>
      </c>
      <c r="I7" s="350">
        <f t="shared" si="2"/>
        <v>0</v>
      </c>
      <c r="J7" s="400" t="str">
        <f>IF(COUNTA(D7:E7,G7:H7)=5,Prime!$E$4,IF(AND(D7&lt;="5:01"*1,D7&gt;"2:00"*1),Prime!$E$4,IF(AND(H7&gt;="22:00"*1,H7&lt;="26:01"*1),Prime!$E$4,"")))</f>
        <v/>
      </c>
      <c r="K7" s="365" t="str">
        <f>IF(COUNTA(D7:E7,G7:H7)=5,Prime!$E$4,IF(AND(E7&gt;="13:15"*1,G7&lt;""),Prime!$E$4,IF(AND(G7&gt;="11:00"*1,G7&lt;="12:15"*1),Prime!$E$4,"")))</f>
        <v/>
      </c>
      <c r="L7" s="368" t="str">
        <f>IF(AND(H7&gt;="19:30"*1,H7&lt;="21:30"*1),Prime!$E$4,"")</f>
        <v/>
      </c>
      <c r="M7" s="381" t="str">
        <f>IF(OR(AND(LEFT(C7,1)="d",OR(D7&gt;="0:00"*1,H7&gt;"22:00"*1)),AND(LEFT(C7,1)="s",H7&gt;="24:00"*1)),Prime!$G$4,"")</f>
        <v/>
      </c>
      <c r="N7" s="409" t="str">
        <f>IF(ISNUMBER(FIND("F",C7)),Prime!$I$4,IF(ISNUMBER(FIND("CDS",C7)),Prime!$I$4,""))</f>
        <v/>
      </c>
      <c r="O7" s="406" t="str">
        <f t="shared" si="3"/>
        <v/>
      </c>
      <c r="P7" s="478"/>
      <c r="Q7" s="242" t="str">
        <f t="shared" si="0"/>
        <v/>
      </c>
      <c r="R7" s="138">
        <f t="shared" si="4"/>
        <v>0</v>
      </c>
      <c r="S7" s="414">
        <f t="shared" ref="S7:S34" si="6">R7*24</f>
        <v>0</v>
      </c>
      <c r="T7" s="421"/>
      <c r="U7" s="417" t="str">
        <f t="shared" si="5"/>
        <v>0,000</v>
      </c>
      <c r="V7" s="126"/>
    </row>
    <row r="8" spans="1:22" s="1" customFormat="1" ht="15.75" x14ac:dyDescent="0.25">
      <c r="A8" s="3"/>
      <c r="B8" s="510">
        <v>41612</v>
      </c>
      <c r="C8" s="6" t="s">
        <v>1</v>
      </c>
      <c r="D8" s="356">
        <f>IF(ISNA(VLOOKUP(C8,'Planning 2017'!B4:F401,2,0)),"",VLOOKUP(C8,'Planning 2017'!B4:F401,2,0))</f>
        <v>0</v>
      </c>
      <c r="E8" s="393">
        <f>IF(ISNA(VLOOKUP(C8,'Planning 2017'!B4:F401,3,0)),"",VLOOKUP(C8,'Planning 2017'!B4:F401,3,0))</f>
        <v>0</v>
      </c>
      <c r="F8" s="350">
        <f t="shared" si="1"/>
        <v>0</v>
      </c>
      <c r="G8" s="396">
        <f>IF(ISNA(VLOOKUP(C8,'Planning 2017'!B4:F401,4,0)),"",VLOOKUP(C8,'Planning 2017'!B4:F401,4,0))</f>
        <v>0</v>
      </c>
      <c r="H8" s="393">
        <f>IF(ISNA(VLOOKUP(C8,'Planning 2017'!B4:F401,5,0)),"",VLOOKUP(C8,'Planning 2017'!B4:F401,5,0))</f>
        <v>0</v>
      </c>
      <c r="I8" s="350">
        <f t="shared" si="2"/>
        <v>0</v>
      </c>
      <c r="J8" s="400" t="str">
        <f>IF(COUNTA(D8:E8,G8:H8)=5,Prime!$E$4,IF(AND(D8&lt;="5:01"*1,D8&gt;"2:00"*1),Prime!$E$4,IF(AND(H8&gt;="22:00"*1,H8&lt;="26:01"*1),Prime!$E$4,"")))</f>
        <v/>
      </c>
      <c r="K8" s="365" t="str">
        <f>IF(COUNTA(D8:E8,G8:H8)=5,Prime!$E$4,IF(AND(E8&gt;="13:15"*1,G8&lt;""),Prime!$E$4,IF(AND(G8&gt;="11:00"*1,G8&lt;="12:15"*1),Prime!$E$4,"")))</f>
        <v/>
      </c>
      <c r="L8" s="368" t="str">
        <f>IF(AND(H8&gt;="19:30"*1,H8&lt;="21:30"*1),Prime!$E$4,"")</f>
        <v/>
      </c>
      <c r="M8" s="381" t="str">
        <f>IF(OR(AND(LEFT(C8,1)="d",OR(D8&gt;="0:00"*1,H8&gt;"22:00"*1)),AND(LEFT(C8,1)="s",H8&gt;="24:00"*1)),Prime!$G$4,"")</f>
        <v/>
      </c>
      <c r="N8" s="409" t="str">
        <f>IF(ISNUMBER(FIND("F",C8)),Prime!$I$4,IF(ISNUMBER(FIND("CDS",C8)),Prime!$I$4,""))</f>
        <v/>
      </c>
      <c r="O8" s="406" t="str">
        <f t="shared" si="3"/>
        <v/>
      </c>
      <c r="P8" s="478"/>
      <c r="Q8" s="242" t="str">
        <f t="shared" si="0"/>
        <v/>
      </c>
      <c r="R8" s="138">
        <f t="shared" si="4"/>
        <v>0</v>
      </c>
      <c r="S8" s="414">
        <f t="shared" si="6"/>
        <v>0</v>
      </c>
      <c r="T8" s="421"/>
      <c r="U8" s="417" t="str">
        <f t="shared" si="5"/>
        <v>0,000</v>
      </c>
      <c r="V8" s="126"/>
    </row>
    <row r="9" spans="1:22" s="1" customFormat="1" ht="15.75" x14ac:dyDescent="0.25">
      <c r="A9" s="3"/>
      <c r="B9" s="510">
        <v>41613</v>
      </c>
      <c r="C9" s="6" t="s">
        <v>150</v>
      </c>
      <c r="D9" s="356">
        <f>IF(ISNA(VLOOKUP(C9,'Planning 2017'!B5:F402,2,0)),"",VLOOKUP(C9,'Planning 2017'!B5:F402,2,0))</f>
        <v>0.2590277777777778</v>
      </c>
      <c r="E9" s="393">
        <f>IF(ISNA(VLOOKUP(C9,'Planning 2017'!B5:F402,3,0)),"",VLOOKUP(C9,'Planning 2017'!B5:F402,3,0))</f>
        <v>0.43263888888888885</v>
      </c>
      <c r="F9" s="350">
        <f t="shared" si="1"/>
        <v>0.17361111111111105</v>
      </c>
      <c r="G9" s="396">
        <f>IF(ISNA(VLOOKUP(C9,'Planning 2017'!B5:F402,4,0)),"",VLOOKUP(C9,'Planning 2017'!B5:F402,4,0))</f>
        <v>0.51180555555555551</v>
      </c>
      <c r="H9" s="393">
        <f>IF(ISNA(VLOOKUP(C9,'Planning 2017'!B5:F402,5,0)),"",VLOOKUP(C9,'Planning 2017'!B5:F402,5,0))</f>
        <v>0.68263888888888891</v>
      </c>
      <c r="I9" s="350">
        <f t="shared" si="2"/>
        <v>0.17083333333333339</v>
      </c>
      <c r="J9" s="400" t="str">
        <f>IF(COUNTA(D9:E9,G9:H9)=5,Prime!$E$4,IF(AND(D9&lt;="5:01"*1,D9&gt;"2:00"*1),Prime!$E$4,IF(AND(H9&gt;="22:00"*1,H9&lt;="26:01"*1),Prime!$E$4,"")))</f>
        <v/>
      </c>
      <c r="K9" s="365" t="str">
        <f>IF(COUNTA(D9:E9,G9:H9)=5,Prime!$E$4,IF(AND(E9&gt;="13:15"*1,G9&lt;""),Prime!$E$4,IF(AND(G9&gt;="11:00"*1,G9&lt;="12:15"*1),Prime!$E$4,"")))</f>
        <v/>
      </c>
      <c r="L9" s="368" t="str">
        <f>IF(AND(H9&gt;="19:30"*1,H9&lt;="21:30"*1),Prime!$E$4,"")</f>
        <v/>
      </c>
      <c r="M9" s="381" t="str">
        <f>IF(OR(AND(LEFT(C9,1)="d",OR(D9&gt;="0:00"*1,H9&gt;"22:00"*1)),AND(LEFT(C9,1)="s",H9&gt;="24:00"*1)),Prime!$G$4,"")</f>
        <v/>
      </c>
      <c r="N9" s="409" t="str">
        <f>IF(ISNUMBER(FIND("F",C9)),Prime!$I$4,IF(ISNUMBER(FIND("CDS",C9)),Prime!$I$4,""))</f>
        <v/>
      </c>
      <c r="O9" s="406" t="str">
        <f t="shared" si="3"/>
        <v/>
      </c>
      <c r="P9" s="478"/>
      <c r="Q9" s="242" t="str">
        <f t="shared" si="0"/>
        <v/>
      </c>
      <c r="R9" s="138">
        <f t="shared" si="4"/>
        <v>0.34444444444444444</v>
      </c>
      <c r="S9" s="414">
        <f t="shared" si="6"/>
        <v>8.2666666666666657</v>
      </c>
      <c r="T9" s="421"/>
      <c r="U9" s="417">
        <f t="shared" si="5"/>
        <v>8.2666666666666657</v>
      </c>
      <c r="V9" s="126"/>
    </row>
    <row r="10" spans="1:22" s="1" customFormat="1" ht="15.75" x14ac:dyDescent="0.25">
      <c r="A10" s="3"/>
      <c r="B10" s="510">
        <v>41614</v>
      </c>
      <c r="C10" s="6" t="s">
        <v>151</v>
      </c>
      <c r="D10" s="356">
        <f>IF(ISNA(VLOOKUP(C10,'Planning 2017'!B8:F403,2,0)),"",VLOOKUP(C10,'Planning 2017'!B8:F403,2,0))</f>
        <v>0.27847222222222223</v>
      </c>
      <c r="E10" s="393">
        <f>IF(ISNA(VLOOKUP(C10,'Planning 2017'!B8:F403,3,0)),"",VLOOKUP(C10,'Planning 2017'!B8:F403,3,0))</f>
        <v>0.38958333333333334</v>
      </c>
      <c r="F10" s="350">
        <f t="shared" si="1"/>
        <v>0.1111111111111111</v>
      </c>
      <c r="G10" s="396">
        <f>IF(ISNA(VLOOKUP(C10,'Planning 2017'!B8:F403,4,0)),"",VLOOKUP(C10,'Planning 2017'!B8:F403,4,0))</f>
        <v>0.6020833333333333</v>
      </c>
      <c r="H10" s="393">
        <f>IF(ISNA(VLOOKUP(C10,'Planning 2017'!B8:F403,5,0)),"",VLOOKUP(C10,'Planning 2017'!B8:F403,5,0))</f>
        <v>0.80763888888888891</v>
      </c>
      <c r="I10" s="350">
        <f t="shared" si="2"/>
        <v>0.2055555555555556</v>
      </c>
      <c r="J10" s="400" t="str">
        <f>IF(COUNTA(D10:E10,G10:H10)=5,Prime!$E$4,IF(AND(D10&lt;="5:01"*1,D10&gt;"2:00"*1),Prime!$E$4,IF(AND(H10&gt;="22:00"*1,H10&lt;="26:01"*1),Prime!$E$4,"")))</f>
        <v/>
      </c>
      <c r="K10" s="365" t="str">
        <f>IF(COUNTA(D10:E10,G10:H10)=5,Prime!$E$4,IF(AND(E10&gt;="13:15"*1,G10&lt;""),Prime!$E$4,IF(AND(G10&gt;="11:00"*1,G10&lt;="12:15"*1),Prime!$E$4,"")))</f>
        <v/>
      </c>
      <c r="L10" s="368" t="str">
        <f>IF(AND(H10&gt;="19:30"*1,H10&lt;="21:30"*1),Prime!$E$4,"")</f>
        <v/>
      </c>
      <c r="M10" s="381" t="str">
        <f>IF(OR(AND(LEFT(C10,1)="d",OR(D10&gt;="0:00"*1,H10&gt;"22:00"*1)),AND(LEFT(C10,1)="s",H10&gt;="24:00"*1)),Prime!$G$4,"")</f>
        <v/>
      </c>
      <c r="N10" s="409" t="str">
        <f>IF(ISNUMBER(FIND("F",C10)),Prime!$I$4,IF(ISNUMBER(FIND("CDS",C10)),Prime!$I$4,""))</f>
        <v/>
      </c>
      <c r="O10" s="406" t="str">
        <f t="shared" si="3"/>
        <v/>
      </c>
      <c r="P10" s="478"/>
      <c r="Q10" s="242" t="str">
        <f t="shared" si="0"/>
        <v/>
      </c>
      <c r="R10" s="138">
        <f t="shared" si="4"/>
        <v>0.31666666666666671</v>
      </c>
      <c r="S10" s="414">
        <f t="shared" si="6"/>
        <v>7.6000000000000014</v>
      </c>
      <c r="T10" s="421"/>
      <c r="U10" s="417">
        <f t="shared" si="5"/>
        <v>7.6000000000000014</v>
      </c>
      <c r="V10" s="126"/>
    </row>
    <row r="11" spans="1:22" s="1" customFormat="1" ht="15.75" x14ac:dyDescent="0.25">
      <c r="A11" s="3"/>
      <c r="B11" s="510">
        <v>41615</v>
      </c>
      <c r="C11" s="6" t="s">
        <v>303</v>
      </c>
      <c r="D11" s="356">
        <f>IF(ISNA(VLOOKUP(C11,'Planning 2017'!B9:F404,2,0)),"",VLOOKUP(C11,'Planning 2017'!B9:F404,2,0))</f>
        <v>0.2902777777777778</v>
      </c>
      <c r="E11" s="393">
        <f>IF(ISNA(VLOOKUP(C11,'Planning 2017'!B9:F404,3,0)),"",VLOOKUP(C11,'Planning 2017'!B9:F404,3,0))</f>
        <v>0.42152777777777778</v>
      </c>
      <c r="F11" s="350">
        <f t="shared" si="1"/>
        <v>0.13124999999999998</v>
      </c>
      <c r="G11" s="396">
        <f>IF(ISNA(VLOOKUP(C11,'Planning 2017'!B9:F404,4,0)),"",VLOOKUP(C11,'Planning 2017'!B9:F404,4,0))</f>
        <v>0.61597222222222225</v>
      </c>
      <c r="H11" s="393">
        <f>IF(ISNA(VLOOKUP(C11,'Planning 2017'!B9:F404,5,0)),"",VLOOKUP(C11,'Planning 2017'!B9:F404,5,0))</f>
        <v>0.82986111111111116</v>
      </c>
      <c r="I11" s="350">
        <f t="shared" si="2"/>
        <v>0.21388888888888891</v>
      </c>
      <c r="J11" s="400" t="str">
        <f>IF(COUNTA(D11:E11,G11:H11)=5,Prime!$E$4,IF(AND(D11&lt;="5:01"*1,D11&gt;"2:00"*1),Prime!$E$4,IF(AND(H11&gt;="22:00"*1,H11&lt;="26:01"*1),Prime!$E$4,"")))</f>
        <v/>
      </c>
      <c r="K11" s="365" t="str">
        <f>IF(COUNTA(D11:E11,G11:H11)=5,Prime!$E$4,IF(AND(E11&gt;="13:15"*1,G11&lt;""),Prime!$E$4,IF(AND(G11&gt;="11:00"*1,G11&lt;="12:15"*1),Prime!$E$4,"")))</f>
        <v/>
      </c>
      <c r="L11" s="368">
        <f>IF(AND(H11&gt;="19:30"*1,H11&lt;="21:30"*1),Prime!$E$4,"")</f>
        <v>17.7056</v>
      </c>
      <c r="M11" s="381" t="str">
        <f>IF(OR(AND(LEFT(C11,1)="d",OR(D11&gt;="0:00"*1,H11&gt;"22:00"*1)),AND(LEFT(C11,1)="s",H11&gt;="24:00"*1)),Prime!$G$4,"")</f>
        <v/>
      </c>
      <c r="N11" s="409" t="str">
        <f>IF(ISNUMBER(FIND("F",C11)),Prime!$I$4,IF(ISNUMBER(FIND("CDS",C11)),Prime!$I$4,""))</f>
        <v/>
      </c>
      <c r="O11" s="406" t="str">
        <f t="shared" si="3"/>
        <v/>
      </c>
      <c r="P11" s="478"/>
      <c r="Q11" s="242" t="str">
        <f t="shared" si="0"/>
        <v/>
      </c>
      <c r="R11" s="138">
        <f t="shared" si="4"/>
        <v>0.34513888888888888</v>
      </c>
      <c r="S11" s="414">
        <f t="shared" si="6"/>
        <v>8.2833333333333332</v>
      </c>
      <c r="T11" s="421"/>
      <c r="U11" s="417">
        <f t="shared" si="5"/>
        <v>8.2833333333333332</v>
      </c>
      <c r="V11" s="126"/>
    </row>
    <row r="12" spans="1:22" s="1" customFormat="1" ht="15.75" x14ac:dyDescent="0.25">
      <c r="A12" s="3"/>
      <c r="B12" s="510">
        <v>41616</v>
      </c>
      <c r="C12" s="6" t="s">
        <v>233</v>
      </c>
      <c r="D12" s="356">
        <f>IF(ISNA(VLOOKUP(C12,'Planning 2017'!B9:F405,2,0)),"",VLOOKUP(C12,'Planning 2017'!B9:F405,2,0))</f>
        <v>0.37013888888888885</v>
      </c>
      <c r="E12" s="393">
        <f>IF(ISNA(VLOOKUP(C12,'Planning 2017'!B9:F405,3,0)),"",VLOOKUP(C12,'Planning 2017'!B9:F405,3,0))</f>
        <v>0.4770833333333333</v>
      </c>
      <c r="F12" s="350">
        <f t="shared" si="1"/>
        <v>0.10694444444444445</v>
      </c>
      <c r="G12" s="396">
        <f>IF(ISNA(VLOOKUP(C12,'Planning 2017'!B9:F405,4,0)),"",VLOOKUP(C12,'Planning 2017'!B9:F405,4,0))</f>
        <v>0.53680555555555554</v>
      </c>
      <c r="H12" s="393">
        <f>IF(ISNA(VLOOKUP(C12,'Planning 2017'!B9:F405,5,0)),"",VLOOKUP(C12,'Planning 2017'!B9:F405,5,0))</f>
        <v>0.68125000000000002</v>
      </c>
      <c r="I12" s="350">
        <f t="shared" si="2"/>
        <v>0.14444444444444449</v>
      </c>
      <c r="J12" s="400" t="str">
        <f>IF(COUNTA(D12:E12,G12:H12)=5,Prime!$E$4,IF(AND(D12&lt;="5:01"*1,D12&gt;"2:00"*1),Prime!$E$4,IF(AND(H12&gt;="22:00"*1,H12&lt;="26:01"*1),Prime!$E$4,"")))</f>
        <v/>
      </c>
      <c r="K12" s="365" t="str">
        <f>IF(COUNTA(D12:E12,G12:H12)=5,Prime!$E$4,IF(AND(E12&gt;="13:15"*1,G12&lt;""),Prime!$E$4,IF(AND(G12&gt;="11:00"*1,G12&lt;="12:15"*1),Prime!$E$4,"")))</f>
        <v/>
      </c>
      <c r="L12" s="368" t="str">
        <f>IF(AND(H12&gt;="19:30"*1,H12&lt;="21:30"*1),Prime!$E$4,"")</f>
        <v/>
      </c>
      <c r="M12" s="381" t="str">
        <f>IF(OR(AND(LEFT(C12,1)="d",OR(D12&gt;="0:00"*1,H12&gt;"22:00"*1)),AND(LEFT(C12,1)="s",H12&gt;="24:00"*1)),Prime!$G$4,"")</f>
        <v/>
      </c>
      <c r="N12" s="409" t="str">
        <f>IF(ISNUMBER(FIND("F",C12)),Prime!$I$4,IF(ISNUMBER(FIND("CDS",C12)),Prime!$I$4,""))</f>
        <v/>
      </c>
      <c r="O12" s="406" t="str">
        <f t="shared" si="3"/>
        <v/>
      </c>
      <c r="P12" s="478"/>
      <c r="Q12" s="242" t="str">
        <f t="shared" si="0"/>
        <v/>
      </c>
      <c r="R12" s="138">
        <f t="shared" si="4"/>
        <v>0.25138888888888894</v>
      </c>
      <c r="S12" s="414">
        <f t="shared" si="6"/>
        <v>6.033333333333335</v>
      </c>
      <c r="T12" s="421"/>
      <c r="U12" s="417">
        <f t="shared" si="5"/>
        <v>6.033333333333335</v>
      </c>
      <c r="V12" s="126"/>
    </row>
    <row r="13" spans="1:22" s="1" customFormat="1" ht="15.75" x14ac:dyDescent="0.25">
      <c r="A13" s="3"/>
      <c r="B13" s="510">
        <v>41617</v>
      </c>
      <c r="C13" s="6" t="s">
        <v>0</v>
      </c>
      <c r="D13" s="356">
        <f>IF(ISNA(VLOOKUP(C13,'Planning 2017'!B10:F406,2,0)),"",VLOOKUP(C13,'Planning 2017'!B10:F406,2,0))</f>
        <v>0</v>
      </c>
      <c r="E13" s="393">
        <f>IF(ISNA(VLOOKUP(C13,'Planning 2017'!B10:F406,3,0)),"",VLOOKUP(C13,'Planning 2017'!B10:F406,3,0))</f>
        <v>0</v>
      </c>
      <c r="F13" s="350">
        <f t="shared" si="1"/>
        <v>0</v>
      </c>
      <c r="G13" s="396">
        <f>IF(ISNA(VLOOKUP(C13,'Planning 2017'!B10:F406,4,0)),"",VLOOKUP(C13,'Planning 2017'!B10:F406,4,0))</f>
        <v>0</v>
      </c>
      <c r="H13" s="393">
        <f>IF(ISNA(VLOOKUP(C13,'Planning 2017'!B10:F406,5,0)),"",VLOOKUP(C13,'Planning 2017'!B10:F406,5,0))</f>
        <v>0</v>
      </c>
      <c r="I13" s="350">
        <f t="shared" si="2"/>
        <v>0</v>
      </c>
      <c r="J13" s="400" t="str">
        <f>IF(COUNTA(D13:E13,G13:H13)=5,Prime!$E$4,IF(AND(D13&lt;="5:01"*1,D13&gt;"2:00"*1),Prime!$E$4,IF(AND(H13&gt;="22:00"*1,H13&lt;="26:01"*1),Prime!$E$4,"")))</f>
        <v/>
      </c>
      <c r="K13" s="365" t="str">
        <f>IF(COUNTA(D13:E13,G13:H13)=5,Prime!$E$4,IF(AND(E13&gt;="13:15"*1,G13&lt;""),Prime!$E$4,IF(AND(G13&gt;="11:00"*1,G13&lt;="12:15"*1),Prime!$E$4,"")))</f>
        <v/>
      </c>
      <c r="L13" s="368" t="str">
        <f>IF(AND(H13&gt;="19:30"*1,H13&lt;="21:30"*1),Prime!$E$4,"")</f>
        <v/>
      </c>
      <c r="M13" s="381" t="str">
        <f>IF(OR(AND(LEFT(C13,1)="d",OR(D13&gt;="0:00"*1,H13&gt;"22:00"*1)),AND(LEFT(C13,1)="s",H13&gt;="24:00"*1)),Prime!$G$4,"")</f>
        <v/>
      </c>
      <c r="N13" s="409" t="str">
        <f>IF(ISNUMBER(FIND("F",C13)),Prime!$I$4,IF(ISNUMBER(FIND("CDS",C13)),Prime!$I$4,""))</f>
        <v/>
      </c>
      <c r="O13" s="406" t="str">
        <f t="shared" si="3"/>
        <v/>
      </c>
      <c r="P13" s="478"/>
      <c r="Q13" s="242" t="str">
        <f t="shared" si="0"/>
        <v/>
      </c>
      <c r="R13" s="138">
        <f t="shared" si="4"/>
        <v>0</v>
      </c>
      <c r="S13" s="414">
        <f t="shared" si="6"/>
        <v>0</v>
      </c>
      <c r="T13" s="421"/>
      <c r="U13" s="417" t="str">
        <f t="shared" si="5"/>
        <v>0,000</v>
      </c>
      <c r="V13" s="126"/>
    </row>
    <row r="14" spans="1:22" s="1" customFormat="1" ht="15.75" x14ac:dyDescent="0.25">
      <c r="A14" s="3"/>
      <c r="B14" s="510">
        <v>41618</v>
      </c>
      <c r="C14" s="6" t="s">
        <v>1</v>
      </c>
      <c r="D14" s="356">
        <f>IF(ISNA(VLOOKUP(C14,'Planning 2017'!B12:F407,2,0)),"",VLOOKUP(C14,'Planning 2017'!B12:F407,2,0))</f>
        <v>0</v>
      </c>
      <c r="E14" s="393">
        <f>IF(ISNA(VLOOKUP(C14,'Planning 2017'!B12:F407,3,0)),"",VLOOKUP(C14,'Planning 2017'!B12:F407,3,0))</f>
        <v>0</v>
      </c>
      <c r="F14" s="350">
        <f t="shared" si="1"/>
        <v>0</v>
      </c>
      <c r="G14" s="396">
        <f>IF(ISNA(VLOOKUP(C14,'Planning 2017'!B12:F407,4,0)),"",VLOOKUP(C14,'Planning 2017'!B12:F407,4,0))</f>
        <v>0</v>
      </c>
      <c r="H14" s="393">
        <f>IF(ISNA(VLOOKUP(C14,'Planning 2017'!B12:F407,5,0)),"",VLOOKUP(C14,'Planning 2017'!B12:F407,5,0))</f>
        <v>0</v>
      </c>
      <c r="I14" s="350">
        <f t="shared" si="2"/>
        <v>0</v>
      </c>
      <c r="J14" s="400" t="str">
        <f>IF(COUNTA(D14:E14,G14:H14)=5,Prime!$E$4,IF(AND(D14&lt;="5:01"*1,D14&gt;"2:00"*1),Prime!$E$4,IF(AND(H14&gt;="22:00"*1,H14&lt;="26:01"*1),Prime!$E$4,"")))</f>
        <v/>
      </c>
      <c r="K14" s="365" t="str">
        <f>IF(COUNTA(D14:E14,G14:H14)=5,Prime!$E$4,IF(AND(E14&gt;="13:15"*1,G14&lt;""),Prime!$E$4,IF(AND(G14&gt;="11:00"*1,G14&lt;="12:15"*1),Prime!$E$4,"")))</f>
        <v/>
      </c>
      <c r="L14" s="368" t="str">
        <f>IF(AND(H14&gt;="19:30"*1,H14&lt;="21:30"*1),Prime!$E$4,"")</f>
        <v/>
      </c>
      <c r="M14" s="381" t="str">
        <f>IF(OR(AND(LEFT(C14,1)="d",OR(D14&gt;="0:00"*1,H14&gt;"22:00"*1)),AND(LEFT(C14,1)="s",H14&gt;="24:00"*1)),Prime!$G$4,"")</f>
        <v/>
      </c>
      <c r="N14" s="409" t="str">
        <f>IF(ISNUMBER(FIND("F",C14)),Prime!$I$4,IF(ISNUMBER(FIND("CDS",C14)),Prime!$I$4,""))</f>
        <v/>
      </c>
      <c r="O14" s="406" t="str">
        <f t="shared" si="3"/>
        <v/>
      </c>
      <c r="P14" s="478"/>
      <c r="Q14" s="242" t="str">
        <f t="shared" si="0"/>
        <v/>
      </c>
      <c r="R14" s="138">
        <f t="shared" si="4"/>
        <v>0</v>
      </c>
      <c r="S14" s="414">
        <f t="shared" si="6"/>
        <v>0</v>
      </c>
      <c r="T14" s="421"/>
      <c r="U14" s="417" t="str">
        <f t="shared" si="5"/>
        <v>0,000</v>
      </c>
      <c r="V14" s="126"/>
    </row>
    <row r="15" spans="1:22" s="1" customFormat="1" ht="15.75" x14ac:dyDescent="0.25">
      <c r="A15" s="3"/>
      <c r="B15" s="510">
        <v>41619</v>
      </c>
      <c r="C15" s="6" t="s">
        <v>152</v>
      </c>
      <c r="D15" s="356">
        <f>IF(ISNA(VLOOKUP(C15,'Planning 2017'!B12:F408,2,0)),"",VLOOKUP(C15,'Planning 2017'!B12:F408,2,0))</f>
        <v>0</v>
      </c>
      <c r="E15" s="393">
        <f>IF(ISNA(VLOOKUP(C15,'Planning 2017'!B12:F408,3,0)),"",VLOOKUP(C15,'Planning 2017'!B12:F408,3,0))</f>
        <v>0</v>
      </c>
      <c r="F15" s="350">
        <f t="shared" si="1"/>
        <v>0</v>
      </c>
      <c r="G15" s="396">
        <f>IF(ISNA(VLOOKUP(C15,'Planning 2017'!B12:F408,4,0)),"",VLOOKUP(C15,'Planning 2017'!B12:F408,4,0))</f>
        <v>0.56666666666666665</v>
      </c>
      <c r="H15" s="393">
        <f>IF(ISNA(VLOOKUP(C15,'Planning 2017'!B12:F408,5,0)),"",VLOOKUP(C15,'Planning 2017'!B12:F408,5,0))</f>
        <v>0.8569444444444444</v>
      </c>
      <c r="I15" s="350">
        <f t="shared" si="2"/>
        <v>0.29027777777777775</v>
      </c>
      <c r="J15" s="400" t="str">
        <f>IF(COUNTA(D15:E15,G15:H15)=5,Prime!$E$4,IF(AND(D15&lt;="5:01"*1,D15&gt;"2:00"*1),Prime!$E$4,IF(AND(H15&gt;="22:00"*1,H15&lt;="26:01"*1),Prime!$E$4,"")))</f>
        <v/>
      </c>
      <c r="K15" s="365" t="str">
        <f>IF(COUNTA(D15:E15,G15:H15)=5,Prime!$E$4,IF(AND(E15&gt;="13:15"*1,G15&lt;""),Prime!$E$4,IF(AND(G15&gt;="11:00"*1,G15&lt;="12:15"*1),Prime!$E$4,"")))</f>
        <v/>
      </c>
      <c r="L15" s="368">
        <f>IF(AND(H15&gt;="19:30"*1,H15&lt;="21:30"*1),Prime!$E$4,"")</f>
        <v>17.7056</v>
      </c>
      <c r="M15" s="381" t="str">
        <f>IF(OR(AND(LEFT(C15,1)="d",OR(D15&gt;="0:00"*1,H15&gt;"22:00"*1)),AND(LEFT(C15,1)="s",H15&gt;="24:00"*1)),Prime!$G$4,"")</f>
        <v/>
      </c>
      <c r="N15" s="409" t="str">
        <f>IF(ISNUMBER(FIND("F",C15)),Prime!$I$4,IF(ISNUMBER(FIND("CDS",C15)),Prime!$I$4,""))</f>
        <v/>
      </c>
      <c r="O15" s="406" t="str">
        <f t="shared" si="3"/>
        <v/>
      </c>
      <c r="P15" s="478"/>
      <c r="Q15" s="242" t="str">
        <f t="shared" si="0"/>
        <v/>
      </c>
      <c r="R15" s="138">
        <f t="shared" si="4"/>
        <v>0.29027777777777775</v>
      </c>
      <c r="S15" s="414">
        <f t="shared" si="6"/>
        <v>6.9666666666666659</v>
      </c>
      <c r="T15" s="421"/>
      <c r="U15" s="417">
        <f t="shared" si="5"/>
        <v>6.9666666666666659</v>
      </c>
      <c r="V15" s="126"/>
    </row>
    <row r="16" spans="1:22" s="1" customFormat="1" ht="15.75" x14ac:dyDescent="0.25">
      <c r="A16" s="3"/>
      <c r="B16" s="510">
        <v>41620</v>
      </c>
      <c r="C16" s="6" t="s">
        <v>144</v>
      </c>
      <c r="D16" s="356">
        <f>IF(ISNA(VLOOKUP(C16,'Planning 2017'!B13:F409,2,0)),"",VLOOKUP(C16,'Planning 2017'!B13:F409,2,0))</f>
        <v>0</v>
      </c>
      <c r="E16" s="393">
        <f>IF(ISNA(VLOOKUP(C16,'Planning 2017'!B13:F409,3,0)),"",VLOOKUP(C16,'Planning 2017'!B13:F409,3,0))</f>
        <v>0</v>
      </c>
      <c r="F16" s="350">
        <f t="shared" si="1"/>
        <v>0</v>
      </c>
      <c r="G16" s="396">
        <f>IF(ISNA(VLOOKUP(C16,'Planning 2017'!B13:F409,4,0)),"",VLOOKUP(C16,'Planning 2017'!B13:F409,4,0))</f>
        <v>0.49444444444444446</v>
      </c>
      <c r="H16" s="393">
        <f>IF(ISNA(VLOOKUP(C16,'Planning 2017'!B13:F409,5,0)),"",VLOOKUP(C16,'Planning 2017'!B13:F409,5,0))</f>
        <v>0.81111111111111101</v>
      </c>
      <c r="I16" s="350">
        <f t="shared" si="2"/>
        <v>0.31666666666666654</v>
      </c>
      <c r="J16" s="400" t="str">
        <f>IF(COUNTA(D16:E16,G16:H16)=5,Prime!$E$4,IF(AND(D16&lt;="5:01"*1,D16&gt;"2:00"*1),Prime!$E$4,IF(AND(H16&gt;="22:00"*1,H16&lt;="26:01"*1),Prime!$E$4,"")))</f>
        <v/>
      </c>
      <c r="K16" s="365">
        <f>IF(COUNTA(D16:E16,G16:H16)=5,Prime!$E$4,IF(AND(E16&gt;="13:15"*1,G16&lt;""),Prime!$E$4,IF(AND(G16&gt;="11:00"*1,G16&lt;="12:15"*1),Prime!$E$4,"")))</f>
        <v>17.7056</v>
      </c>
      <c r="L16" s="368" t="str">
        <f>IF(AND(H16&gt;="19:30"*1,H16&lt;="21:30"*1),Prime!$E$4,"")</f>
        <v/>
      </c>
      <c r="M16" s="381" t="str">
        <f>IF(OR(AND(LEFT(C16,1)="d",OR(D16&gt;="0:00"*1,H16&gt;"22:00"*1)),AND(LEFT(C16,1)="s",H16&gt;="24:00"*1)),Prime!$G$4,"")</f>
        <v/>
      </c>
      <c r="N16" s="409" t="str">
        <f>IF(ISNUMBER(FIND("F",C16)),Prime!$I$4,IF(ISNUMBER(FIND("CDS",C16)),Prime!$I$4,""))</f>
        <v/>
      </c>
      <c r="O16" s="406" t="str">
        <f t="shared" si="3"/>
        <v/>
      </c>
      <c r="P16" s="478"/>
      <c r="Q16" s="242" t="str">
        <f t="shared" si="0"/>
        <v/>
      </c>
      <c r="R16" s="138">
        <f t="shared" si="4"/>
        <v>0.31666666666666654</v>
      </c>
      <c r="S16" s="414">
        <f t="shared" si="6"/>
        <v>7.599999999999997</v>
      </c>
      <c r="T16" s="421"/>
      <c r="U16" s="417">
        <f t="shared" si="5"/>
        <v>7.599999999999997</v>
      </c>
      <c r="V16" s="126"/>
    </row>
    <row r="17" spans="1:22" s="1" customFormat="1" ht="15.75" x14ac:dyDescent="0.25">
      <c r="A17" s="3"/>
      <c r="B17" s="510">
        <v>41621</v>
      </c>
      <c r="C17" s="6" t="s">
        <v>153</v>
      </c>
      <c r="D17" s="356">
        <f>IF(ISNA(VLOOKUP(C17,'Planning 2017'!B14:F410,2,0)),"",VLOOKUP(C17,'Planning 2017'!B14:F410,2,0))</f>
        <v>0</v>
      </c>
      <c r="E17" s="393">
        <f>IF(ISNA(VLOOKUP(C17,'Planning 2017'!B14:F410,3,0)),"",VLOOKUP(C17,'Planning 2017'!B14:F410,3,0))</f>
        <v>0</v>
      </c>
      <c r="F17" s="350">
        <f t="shared" si="1"/>
        <v>0</v>
      </c>
      <c r="G17" s="396">
        <f>IF(ISNA(VLOOKUP(C17,'Planning 2017'!B14:F410,4,0)),"",VLOOKUP(C17,'Planning 2017'!B14:F410,4,0))</f>
        <v>0.56111111111111112</v>
      </c>
      <c r="H17" s="393">
        <f>IF(ISNA(VLOOKUP(C17,'Planning 2017'!B14:F410,5,0)),"",VLOOKUP(C17,'Planning 2017'!B14:F410,5,0))</f>
        <v>0.8833333333333333</v>
      </c>
      <c r="I17" s="350">
        <f t="shared" si="2"/>
        <v>0.32222222222222219</v>
      </c>
      <c r="J17" s="400" t="str">
        <f>IF(COUNTA(D17:E17,G17:H17)=5,Prime!$E$4,IF(AND(D17&lt;="5:01"*1,D17&gt;"2:00"*1),Prime!$E$4,IF(AND(H17&gt;="22:00"*1,H17&lt;="26:01"*1),Prime!$E$4,"")))</f>
        <v/>
      </c>
      <c r="K17" s="365" t="str">
        <f>IF(COUNTA(D17:E17,G17:H17)=5,Prime!$E$4,IF(AND(E17&gt;="13:15"*1,G17&lt;""),Prime!$E$4,IF(AND(G17&gt;="11:00"*1,G17&lt;="12:15"*1),Prime!$E$4,"")))</f>
        <v/>
      </c>
      <c r="L17" s="368">
        <f>IF(AND(H17&gt;="19:30"*1,H17&lt;="21:30"*1),Prime!$E$4,"")</f>
        <v>17.7056</v>
      </c>
      <c r="M17" s="381" t="str">
        <f>IF(OR(AND(LEFT(C17,1)="d",OR(D17&gt;="0:00"*1,H17&gt;"22:00"*1)),AND(LEFT(C17,1)="s",H17&gt;="24:00"*1)),Prime!$G$4,"")</f>
        <v/>
      </c>
      <c r="N17" s="409" t="str">
        <f>IF(ISNUMBER(FIND("F",C17)),Prime!$I$4,IF(ISNUMBER(FIND("CDS",C17)),Prime!$I$4,""))</f>
        <v/>
      </c>
      <c r="O17" s="406" t="str">
        <f t="shared" si="3"/>
        <v/>
      </c>
      <c r="P17" s="478"/>
      <c r="Q17" s="242" t="str">
        <f t="shared" si="0"/>
        <v/>
      </c>
      <c r="R17" s="138">
        <f t="shared" si="4"/>
        <v>0.32222222222222219</v>
      </c>
      <c r="S17" s="414">
        <f t="shared" si="6"/>
        <v>7.7333333333333325</v>
      </c>
      <c r="T17" s="421"/>
      <c r="U17" s="417">
        <f t="shared" si="5"/>
        <v>7.7333333333333325</v>
      </c>
      <c r="V17" s="126"/>
    </row>
    <row r="18" spans="1:22" s="1" customFormat="1" ht="15.75" x14ac:dyDescent="0.25">
      <c r="A18" s="3"/>
      <c r="B18" s="510">
        <v>41622</v>
      </c>
      <c r="C18" s="6" t="s">
        <v>142</v>
      </c>
      <c r="D18" s="356">
        <f>IF(ISNA(VLOOKUP(C18,'Planning 2017'!B15:F411,2,0)),"",VLOOKUP(C18,'Planning 2017'!B15:F411,2,0))</f>
        <v>0</v>
      </c>
      <c r="E18" s="393">
        <f>IF(ISNA(VLOOKUP(C18,'Planning 2017'!B15:F411,3,0)),"",VLOOKUP(C18,'Planning 2017'!B15:F411,3,0))</f>
        <v>0</v>
      </c>
      <c r="F18" s="350">
        <f t="shared" si="1"/>
        <v>0</v>
      </c>
      <c r="G18" s="396">
        <f>IF(ISNA(VLOOKUP(C18,'Planning 2017'!B15:F411,4,0)),"",VLOOKUP(C18,'Planning 2017'!B15:F411,4,0))</f>
        <v>0.52152777777777781</v>
      </c>
      <c r="H18" s="393">
        <f>IF(ISNA(VLOOKUP(C18,'Planning 2017'!B15:F411,5,0)),"",VLOOKUP(C18,'Planning 2017'!B15:F411,5,0))</f>
        <v>0.84791666666666676</v>
      </c>
      <c r="I18" s="350">
        <f t="shared" si="2"/>
        <v>0.32638888888888895</v>
      </c>
      <c r="J18" s="400" t="str">
        <f>IF(COUNTA(D18:E18,G18:H18)=5,Prime!$E$4,IF(AND(D18&lt;="5:01"*1,D18&gt;"2:00"*1),Prime!$E$4,IF(AND(H18&gt;="22:00"*1,H18&lt;="26:01"*1),Prime!$E$4,"")))</f>
        <v/>
      </c>
      <c r="K18" s="365" t="str">
        <f>IF(COUNTA(D18:E18,G18:H18)=5,Prime!$E$4,IF(AND(E18&gt;="13:15"*1,G18&lt;""),Prime!$E$4,IF(AND(G18&gt;="11:00"*1,G18&lt;="12:15"*1),Prime!$E$4,"")))</f>
        <v/>
      </c>
      <c r="L18" s="368">
        <f>IF(AND(H18&gt;="19:30"*1,H18&lt;="21:30"*1),Prime!$E$4,"")</f>
        <v>17.7056</v>
      </c>
      <c r="M18" s="381" t="str">
        <f>IF(OR(AND(LEFT(C18,1)="d",OR(D18&gt;="0:00"*1,H18&gt;"22:00"*1)),AND(LEFT(C18,1)="s",H18&gt;="24:00"*1)),Prime!$G$4,"")</f>
        <v/>
      </c>
      <c r="N18" s="409" t="str">
        <f>IF(ISNUMBER(FIND("F",C18)),Prime!$I$4,IF(ISNUMBER(FIND("CDS",C18)),Prime!$I$4,""))</f>
        <v/>
      </c>
      <c r="O18" s="406" t="str">
        <f t="shared" si="3"/>
        <v/>
      </c>
      <c r="P18" s="478"/>
      <c r="Q18" s="242" t="str">
        <f>IF(ISBLANK(P18),"",P18*24)</f>
        <v/>
      </c>
      <c r="R18" s="138">
        <f t="shared" si="4"/>
        <v>0.32638888888888895</v>
      </c>
      <c r="S18" s="414">
        <f t="shared" si="6"/>
        <v>7.8333333333333348</v>
      </c>
      <c r="T18" s="421"/>
      <c r="U18" s="417">
        <f t="shared" si="5"/>
        <v>7.8333333333333348</v>
      </c>
      <c r="V18" s="126"/>
    </row>
    <row r="19" spans="1:22" s="1" customFormat="1" ht="15.75" x14ac:dyDescent="0.25">
      <c r="A19" s="3"/>
      <c r="B19" s="510">
        <v>41623</v>
      </c>
      <c r="C19" s="6" t="s">
        <v>234</v>
      </c>
      <c r="D19" s="356">
        <f>IF(ISNA(VLOOKUP(C19,'Planning 2017'!B15:F412,2,0)),"",VLOOKUP(C19,'Planning 2017'!B15:F412,2,0))</f>
        <v>0</v>
      </c>
      <c r="E19" s="393">
        <f>IF(ISNA(VLOOKUP(C19,'Planning 2017'!B15:F412,3,0)),"",VLOOKUP(C19,'Planning 2017'!B15:F412,3,0))</f>
        <v>0</v>
      </c>
      <c r="F19" s="350">
        <f t="shared" si="1"/>
        <v>0</v>
      </c>
      <c r="G19" s="396">
        <f>IF(ISNA(VLOOKUP(C19,'Planning 2017'!B15:F412,4,0)),"",VLOOKUP(C19,'Planning 2017'!B15:F412,4,0))</f>
        <v>0.54375000000000007</v>
      </c>
      <c r="H19" s="393">
        <f>IF(ISNA(VLOOKUP(C19,'Planning 2017'!B15:F412,5,0)),"",VLOOKUP(C19,'Planning 2017'!B15:F412,5,0))</f>
        <v>0.875</v>
      </c>
      <c r="I19" s="350">
        <f t="shared" si="2"/>
        <v>0.33124999999999993</v>
      </c>
      <c r="J19" s="400" t="str">
        <f>IF(COUNTA(D19:E19,G19:H19)=5,Prime!$E$4,IF(AND(D19&lt;="5:01"*1,D19&gt;"2:00"*1),Prime!$E$4,IF(AND(H19&gt;="22:00"*1,H19&lt;="26:01"*1),Prime!$E$4,"")))</f>
        <v/>
      </c>
      <c r="K19" s="365" t="str">
        <f>IF(COUNTA(D19:E19,G19:H19)=5,Prime!$E$4,IF(AND(E19&gt;="13:15"*1,G19&lt;""),Prime!$E$4,IF(AND(G19&gt;="11:00"*1,G19&lt;="12:15"*1),Prime!$E$4,"")))</f>
        <v/>
      </c>
      <c r="L19" s="368">
        <f>IF(AND(H19&gt;="19:30"*1,H19&lt;="21:30"*1),Prime!$E$4,"")</f>
        <v>17.7056</v>
      </c>
      <c r="M19" s="381" t="str">
        <f>IF(OR(AND(LEFT(C19,1)="d",OR(D19&gt;="0:00"*1,H19&gt;"22:00"*1)),AND(LEFT(C19,1)="s",H19&gt;="24:00"*1)),Prime!$G$4,"")</f>
        <v/>
      </c>
      <c r="N19" s="409" t="str">
        <f>IF(ISNUMBER(FIND("F",C19)),Prime!$I$4,IF(ISNUMBER(FIND("CDS",C19)),Prime!$I$4,""))</f>
        <v/>
      </c>
      <c r="O19" s="406" t="str">
        <f t="shared" si="3"/>
        <v/>
      </c>
      <c r="P19" s="478"/>
      <c r="Q19" s="242" t="str">
        <f t="shared" ref="Q19:Q32" si="7">IF(ISBLANK(P19),"",P19*24)</f>
        <v/>
      </c>
      <c r="R19" s="138">
        <f t="shared" si="4"/>
        <v>0.33124999999999993</v>
      </c>
      <c r="S19" s="414">
        <f t="shared" si="6"/>
        <v>7.9499999999999984</v>
      </c>
      <c r="T19" s="421"/>
      <c r="U19" s="417">
        <f t="shared" si="5"/>
        <v>7.9499999999999984</v>
      </c>
      <c r="V19" s="126"/>
    </row>
    <row r="20" spans="1:22" s="1" customFormat="1" ht="15.75" x14ac:dyDescent="0.25">
      <c r="A20" s="3"/>
      <c r="B20" s="510">
        <v>41624</v>
      </c>
      <c r="C20" s="6" t="s">
        <v>0</v>
      </c>
      <c r="D20" s="356">
        <f>IF(ISNA(VLOOKUP(C20,'Planning 2017'!B15:F413,2,0)),"",VLOOKUP(C20,'Planning 2017'!B15:F413,2,0))</f>
        <v>0</v>
      </c>
      <c r="E20" s="393">
        <f>IF(ISNA(VLOOKUP(C20,'Planning 2017'!B15:F413,3,0)),"",VLOOKUP(C20,'Planning 2017'!B15:F413,3,0))</f>
        <v>0</v>
      </c>
      <c r="F20" s="350">
        <f t="shared" si="1"/>
        <v>0</v>
      </c>
      <c r="G20" s="396">
        <f>IF(ISNA(VLOOKUP(C20,'Planning 2017'!B15:F413,4,0)),"",VLOOKUP(C20,'Planning 2017'!B15:F413,4,0))</f>
        <v>0</v>
      </c>
      <c r="H20" s="393">
        <f>IF(ISNA(VLOOKUP(C20,'Planning 2017'!B15:F413,5,0)),"",VLOOKUP(C20,'Planning 2017'!B15:F413,5,0))</f>
        <v>0</v>
      </c>
      <c r="I20" s="350">
        <f t="shared" si="2"/>
        <v>0</v>
      </c>
      <c r="J20" s="400" t="str">
        <f>IF(COUNTA(D20:E20,G20:H20)=5,Prime!$E$4,IF(AND(D20&lt;="5:01"*1,D20&gt;"2:00"*1),Prime!$E$4,IF(AND(H20&gt;="22:00"*1,H20&lt;="26:01"*1),Prime!$E$4,"")))</f>
        <v/>
      </c>
      <c r="K20" s="365" t="str">
        <f>IF(COUNTA(D20:E20,G20:H20)=5,Prime!$E$4,IF(AND(E20&gt;="13:15"*1,G20&lt;""),Prime!$E$4,IF(AND(G20&gt;="11:00"*1,G20&lt;="12:15"*1),Prime!$E$4,"")))</f>
        <v/>
      </c>
      <c r="L20" s="368" t="str">
        <f>IF(AND(H20&gt;="19:30"*1,H20&lt;="21:30"*1),Prime!$E$4,"")</f>
        <v/>
      </c>
      <c r="M20" s="381" t="str">
        <f>IF(OR(AND(LEFT(C20,1)="d",OR(D20&gt;="0:00"*1,H20&gt;"22:00"*1)),AND(LEFT(C20,1)="s",H20&gt;="24:00"*1)),Prime!$G$4,"")</f>
        <v/>
      </c>
      <c r="N20" s="409" t="str">
        <f>IF(ISNUMBER(FIND("F",C20)),Prime!$I$4,IF(ISNUMBER(FIND("CDS",C20)),Prime!$I$4,""))</f>
        <v/>
      </c>
      <c r="O20" s="406" t="str">
        <f t="shared" si="3"/>
        <v/>
      </c>
      <c r="P20" s="478"/>
      <c r="Q20" s="242" t="str">
        <f t="shared" si="7"/>
        <v/>
      </c>
      <c r="R20" s="138">
        <f t="shared" si="4"/>
        <v>0</v>
      </c>
      <c r="S20" s="414">
        <f t="shared" si="6"/>
        <v>0</v>
      </c>
      <c r="T20" s="421"/>
      <c r="U20" s="417" t="str">
        <f t="shared" si="5"/>
        <v>0,000</v>
      </c>
      <c r="V20" s="126"/>
    </row>
    <row r="21" spans="1:22" s="1" customFormat="1" ht="15.75" x14ac:dyDescent="0.25">
      <c r="A21" s="3"/>
      <c r="B21" s="510">
        <v>41625</v>
      </c>
      <c r="C21" s="6" t="s">
        <v>300</v>
      </c>
      <c r="D21" s="356">
        <f>IF(ISNA(VLOOKUP(C21,'Planning 2017'!B16:F414,2,0)),"",VLOOKUP(C21,'Planning 2017'!B16:F414,2,0))</f>
        <v>0</v>
      </c>
      <c r="E21" s="393">
        <f>IF(ISNA(VLOOKUP(C21,'Planning 2017'!B16:F414,3,0)),"",VLOOKUP(C21,'Planning 2017'!B16:F414,3,0))</f>
        <v>0</v>
      </c>
      <c r="F21" s="350">
        <f t="shared" si="1"/>
        <v>0</v>
      </c>
      <c r="G21" s="396">
        <f>IF(ISNA(VLOOKUP(C21,'Planning 2017'!B16:F414,4,0)),"",VLOOKUP(C21,'Planning 2017'!B16:F414,4,0))</f>
        <v>0</v>
      </c>
      <c r="H21" s="393">
        <f>IF(ISNA(VLOOKUP(C21,'Planning 2017'!B16:F414,5,0)),"",VLOOKUP(C21,'Planning 2017'!B16:F414,5,0))</f>
        <v>0</v>
      </c>
      <c r="I21" s="350">
        <f t="shared" si="2"/>
        <v>0</v>
      </c>
      <c r="J21" s="400" t="str">
        <f>IF(COUNTA(D21:E21,G21:H21)=5,Prime!$E$4,IF(AND(D21&lt;="5:01"*1,D21&gt;"2:00"*1),Prime!$E$4,IF(AND(H21&gt;="22:00"*1,H21&lt;="26:01"*1),Prime!$E$4,"")))</f>
        <v/>
      </c>
      <c r="K21" s="365" t="str">
        <f>IF(COUNTA(D21:E21,G21:H21)=5,Prime!$E$4,IF(AND(E21&gt;="13:15"*1,G21&lt;""),Prime!$E$4,IF(AND(G21&gt;="11:00"*1,G21&lt;="12:15"*1),Prime!$E$4,"")))</f>
        <v/>
      </c>
      <c r="L21" s="368" t="str">
        <f>IF(AND(H21&gt;="19:30"*1,H21&lt;="21:30"*1),Prime!$E$4,"")</f>
        <v/>
      </c>
      <c r="M21" s="381" t="str">
        <f>IF(OR(AND(LEFT(C21,1)="d",OR(D21&gt;="0:00"*1,H21&gt;"22:00"*1)),AND(LEFT(C21,1)="s",H21&gt;="24:00"*1)),Prime!$G$4,"")</f>
        <v/>
      </c>
      <c r="N21" s="409" t="str">
        <f>IF(ISNUMBER(FIND("F",C21)),Prime!$I$4,IF(ISNUMBER(FIND("CDS",C21)),Prime!$I$4,""))</f>
        <v/>
      </c>
      <c r="O21" s="406" t="str">
        <f t="shared" si="3"/>
        <v/>
      </c>
      <c r="P21" s="478"/>
      <c r="Q21" s="242" t="str">
        <f t="shared" si="7"/>
        <v/>
      </c>
      <c r="R21" s="138">
        <f t="shared" si="4"/>
        <v>0</v>
      </c>
      <c r="S21" s="414">
        <f t="shared" si="6"/>
        <v>0</v>
      </c>
      <c r="T21" s="421"/>
      <c r="U21" s="417" t="str">
        <f t="shared" si="5"/>
        <v>0,000</v>
      </c>
      <c r="V21" s="126"/>
    </row>
    <row r="22" spans="1:22" s="1" customFormat="1" ht="15.75" x14ac:dyDescent="0.25">
      <c r="A22" s="3"/>
      <c r="B22" s="510">
        <v>41626</v>
      </c>
      <c r="C22" s="6" t="s">
        <v>235</v>
      </c>
      <c r="D22" s="356">
        <f>IF(ISNA(VLOOKUP(C22,'Planning 2017'!B17:F415,2,0)),"",VLOOKUP(C22,'Planning 2017'!B17:F415,2,0))</f>
        <v>0</v>
      </c>
      <c r="E22" s="393">
        <f>IF(ISNA(VLOOKUP(C22,'Planning 2017'!B17:F415,3,0)),"",VLOOKUP(C22,'Planning 2017'!B17:F415,3,0))</f>
        <v>0</v>
      </c>
      <c r="F22" s="350">
        <f t="shared" si="1"/>
        <v>0</v>
      </c>
      <c r="G22" s="396">
        <f>IF(ISNA(VLOOKUP(C22,'Planning 2017'!B17:F415,4,0)),"",VLOOKUP(C22,'Planning 2017'!B17:F415,4,0))</f>
        <v>0</v>
      </c>
      <c r="H22" s="393">
        <f>IF(ISNA(VLOOKUP(C22,'Planning 2017'!B17:F415,5,0)),"",VLOOKUP(C22,'Planning 2017'!B17:F415,5,0))</f>
        <v>0</v>
      </c>
      <c r="I22" s="350">
        <f t="shared" si="2"/>
        <v>0</v>
      </c>
      <c r="J22" s="400" t="str">
        <f>IF(COUNTA(D22:E22,G22:H22)=5,Prime!$E$4,IF(AND(D22&lt;="5:01"*1,D22&gt;"2:00"*1),Prime!$E$4,IF(AND(H22&gt;="22:00"*1,H22&lt;="26:01"*1),Prime!$E$4,"")))</f>
        <v/>
      </c>
      <c r="K22" s="365" t="str">
        <f>IF(COUNTA(D22:E22,G22:H22)=5,Prime!$E$4,IF(AND(E22&gt;="13:15"*1,G22&lt;""),Prime!$E$4,IF(AND(G22&gt;="11:00"*1,G22&lt;="12:15"*1),Prime!$E$4,"")))</f>
        <v/>
      </c>
      <c r="L22" s="368" t="str">
        <f>IF(AND(H22&gt;="19:30"*1,H22&lt;="21:30"*1),Prime!$E$4,"")</f>
        <v/>
      </c>
      <c r="M22" s="381" t="str">
        <f>IF(OR(AND(LEFT(C22,1)="d",OR(D22&gt;="0:00"*1,H22&gt;"22:00"*1)),AND(LEFT(C22,1)="s",H22&gt;="24:00"*1)),Prime!$G$4,"")</f>
        <v/>
      </c>
      <c r="N22" s="409" t="str">
        <f>IF(ISNUMBER(FIND("F",C22)),Prime!$I$4,IF(ISNUMBER(FIND("CDS",C22)),Prime!$I$4,""))</f>
        <v/>
      </c>
      <c r="O22" s="406" t="str">
        <f t="shared" si="3"/>
        <v/>
      </c>
      <c r="P22" s="478"/>
      <c r="Q22" s="242" t="str">
        <f t="shared" si="7"/>
        <v/>
      </c>
      <c r="R22" s="138">
        <f t="shared" si="4"/>
        <v>0</v>
      </c>
      <c r="S22" s="414">
        <f t="shared" si="6"/>
        <v>0</v>
      </c>
      <c r="T22" s="421"/>
      <c r="U22" s="417" t="str">
        <f t="shared" si="5"/>
        <v>0,000</v>
      </c>
      <c r="V22" s="126"/>
    </row>
    <row r="23" spans="1:22" s="1" customFormat="1" ht="15.75" x14ac:dyDescent="0.25">
      <c r="A23" s="3"/>
      <c r="B23" s="510">
        <v>41627</v>
      </c>
      <c r="C23" s="6" t="s">
        <v>300</v>
      </c>
      <c r="D23" s="356">
        <f>IF(ISNA(VLOOKUP(C23,'Planning 2017'!B18:F416,2,0)),"",VLOOKUP(C23,'Planning 2017'!B18:F416,2,0))</f>
        <v>0</v>
      </c>
      <c r="E23" s="393">
        <f>IF(ISNA(VLOOKUP(C23,'Planning 2017'!B18:F416,3,0)),"",VLOOKUP(C23,'Planning 2017'!B18:F416,3,0))</f>
        <v>0</v>
      </c>
      <c r="F23" s="350">
        <f t="shared" si="1"/>
        <v>0</v>
      </c>
      <c r="G23" s="396">
        <f>IF(ISNA(VLOOKUP(C23,'Planning 2017'!B18:F416,4,0)),"",VLOOKUP(C23,'Planning 2017'!B18:F416,4,0))</f>
        <v>0</v>
      </c>
      <c r="H23" s="393">
        <f>IF(ISNA(VLOOKUP(C23,'Planning 2017'!B18:F416,5,0)),"",VLOOKUP(C23,'Planning 2017'!B18:F416,5,0))</f>
        <v>0</v>
      </c>
      <c r="I23" s="350">
        <f t="shared" si="2"/>
        <v>0</v>
      </c>
      <c r="J23" s="400" t="str">
        <f>IF(COUNTA(D23:E23,G23:H23)=5,Prime!$E$4,IF(AND(D23&lt;="5:01"*1,D23&gt;"2:00"*1),Prime!$E$4,IF(AND(H23&gt;="22:00"*1,H23&lt;="26:01"*1),Prime!$E$4,"")))</f>
        <v/>
      </c>
      <c r="K23" s="365" t="str">
        <f>IF(COUNTA(D23:E23,G23:H23)=5,Prime!$E$4,IF(AND(E23&gt;="13:15"*1,G23&lt;""),Prime!$E$4,IF(AND(G23&gt;="11:00"*1,G23&lt;="12:15"*1),Prime!$E$4,"")))</f>
        <v/>
      </c>
      <c r="L23" s="368" t="str">
        <f>IF(AND(H23&gt;="19:30"*1,H23&lt;="21:30"*1),Prime!$E$4,"")</f>
        <v/>
      </c>
      <c r="M23" s="381" t="str">
        <f>IF(OR(AND(LEFT(C23,1)="d",OR(D23&gt;="0:00"*1,H23&gt;"22:00"*1)),AND(LEFT(C23,1)="s",H23&gt;="24:00"*1)),Prime!$G$4,"")</f>
        <v/>
      </c>
      <c r="N23" s="409" t="str">
        <f>IF(ISNUMBER(FIND("F",C23)),Prime!$I$4,IF(ISNUMBER(FIND("CDS",C23)),Prime!$I$4,""))</f>
        <v/>
      </c>
      <c r="O23" s="406" t="str">
        <f t="shared" si="3"/>
        <v/>
      </c>
      <c r="P23" s="478"/>
      <c r="Q23" s="242" t="str">
        <f t="shared" si="7"/>
        <v/>
      </c>
      <c r="R23" s="138">
        <f t="shared" si="4"/>
        <v>0</v>
      </c>
      <c r="S23" s="414">
        <f t="shared" si="6"/>
        <v>0</v>
      </c>
      <c r="T23" s="421"/>
      <c r="U23" s="417" t="str">
        <f t="shared" si="5"/>
        <v>0,000</v>
      </c>
      <c r="V23" s="126"/>
    </row>
    <row r="24" spans="1:22" s="1" customFormat="1" ht="15.75" x14ac:dyDescent="0.25">
      <c r="A24" s="3"/>
      <c r="B24" s="510">
        <v>41628</v>
      </c>
      <c r="C24" s="6" t="s">
        <v>235</v>
      </c>
      <c r="D24" s="356">
        <f>IF(ISNA(VLOOKUP(C24,'Planning 2017'!B19:F417,2,0)),"",VLOOKUP(C24,'Planning 2017'!B19:F417,2,0))</f>
        <v>0</v>
      </c>
      <c r="E24" s="393">
        <f>IF(ISNA(VLOOKUP(C24,'Planning 2017'!B19:F417,3,0)),"",VLOOKUP(C24,'Planning 2017'!B19:F417,3,0))</f>
        <v>0</v>
      </c>
      <c r="F24" s="350">
        <f t="shared" si="1"/>
        <v>0</v>
      </c>
      <c r="G24" s="396">
        <f>IF(ISNA(VLOOKUP(C24,'Planning 2017'!B19:F417,4,0)),"",VLOOKUP(C24,'Planning 2017'!B19:F417,4,0))</f>
        <v>0</v>
      </c>
      <c r="H24" s="393">
        <f>IF(ISNA(VLOOKUP(C24,'Planning 2017'!B19:F417,5,0)),"",VLOOKUP(C24,'Planning 2017'!B19:F417,5,0))</f>
        <v>0</v>
      </c>
      <c r="I24" s="350">
        <f t="shared" si="2"/>
        <v>0</v>
      </c>
      <c r="J24" s="400" t="str">
        <f>IF(COUNTA(D24:E24,G24:H24)=5,Prime!$E$4,IF(AND(D24&lt;="5:01"*1,D24&gt;"2:00"*1),Prime!$E$4,IF(AND(H24&gt;="22:00"*1,H24&lt;="26:01"*1),Prime!$E$4,"")))</f>
        <v/>
      </c>
      <c r="K24" s="365" t="str">
        <f>IF(COUNTA(D24:E24,G24:H24)=5,Prime!$E$4,IF(AND(E24&gt;="13:15"*1,G24&lt;""),Prime!$E$4,IF(AND(G24&gt;="11:00"*1,G24&lt;="12:15"*1),Prime!$E$4,"")))</f>
        <v/>
      </c>
      <c r="L24" s="368" t="str">
        <f>IF(AND(H24&gt;="19:30"*1,H24&lt;="21:30"*1),Prime!$E$4,"")</f>
        <v/>
      </c>
      <c r="M24" s="381" t="str">
        <f>IF(OR(AND(LEFT(C24,1)="d",OR(D24&gt;="0:00"*1,H24&gt;"22:00"*1)),AND(LEFT(C24,1)="s",H24&gt;="24:00"*1)),Prime!$G$4,"")</f>
        <v/>
      </c>
      <c r="N24" s="409" t="str">
        <f>IF(ISNUMBER(FIND("F",C24)),Prime!$I$4,IF(ISNUMBER(FIND("CDS",C24)),Prime!$I$4,""))</f>
        <v/>
      </c>
      <c r="O24" s="406" t="str">
        <f t="shared" si="3"/>
        <v/>
      </c>
      <c r="P24" s="478"/>
      <c r="Q24" s="242" t="str">
        <f t="shared" si="7"/>
        <v/>
      </c>
      <c r="R24" s="138">
        <f t="shared" si="4"/>
        <v>0</v>
      </c>
      <c r="S24" s="414">
        <f t="shared" si="6"/>
        <v>0</v>
      </c>
      <c r="T24" s="421"/>
      <c r="U24" s="417" t="str">
        <f t="shared" si="5"/>
        <v>0,000</v>
      </c>
      <c r="V24" s="126"/>
    </row>
    <row r="25" spans="1:22" s="1" customFormat="1" ht="15.75" x14ac:dyDescent="0.25">
      <c r="A25" s="3"/>
      <c r="B25" s="510">
        <v>41629</v>
      </c>
      <c r="C25" s="6" t="s">
        <v>300</v>
      </c>
      <c r="D25" s="356">
        <f>IF(ISNA(VLOOKUP(C25,'Planning 2017'!B20:F418,2,0)),"",VLOOKUP(C25,'Planning 2017'!B20:F418,2,0))</f>
        <v>0</v>
      </c>
      <c r="E25" s="393">
        <f>IF(ISNA(VLOOKUP(C25,'Planning 2017'!B20:F418,3,0)),"",VLOOKUP(C25,'Planning 2017'!B20:F418,3,0))</f>
        <v>0</v>
      </c>
      <c r="F25" s="350">
        <f t="shared" si="1"/>
        <v>0</v>
      </c>
      <c r="G25" s="396">
        <f>IF(ISNA(VLOOKUP(C25,'Planning 2017'!B20:F418,4,0)),"",VLOOKUP(C25,'Planning 2017'!B20:F418,4,0))</f>
        <v>0</v>
      </c>
      <c r="H25" s="393">
        <f>IF(ISNA(VLOOKUP(C25,'Planning 2017'!B20:F418,5,0)),"",VLOOKUP(C25,'Planning 2017'!B20:F418,5,0))</f>
        <v>0</v>
      </c>
      <c r="I25" s="350">
        <f t="shared" si="2"/>
        <v>0</v>
      </c>
      <c r="J25" s="400" t="str">
        <f>IF(COUNTA(D25:E25,G25:H25)=5,Prime!$E$4,IF(AND(D25&lt;="5:01"*1,D25&gt;"2:00"*1),Prime!$E$4,IF(AND(H25&gt;="22:00"*1,H25&lt;="26:01"*1),Prime!$E$4,"")))</f>
        <v/>
      </c>
      <c r="K25" s="365" t="str">
        <f>IF(COUNTA(D25:E25,G25:H25)=5,Prime!$E$4,IF(AND(E25&gt;="13:15"*1,G25&lt;""),Prime!$E$4,IF(AND(G25&gt;="11:00"*1,G25&lt;="12:15"*1),Prime!$E$4,"")))</f>
        <v/>
      </c>
      <c r="L25" s="368" t="str">
        <f>IF(AND(H25&gt;="19:30"*1,H25&lt;="21:30"*1),Prime!$E$4,"")</f>
        <v/>
      </c>
      <c r="M25" s="381" t="str">
        <f>IF(OR(AND(LEFT(C25,1)="d",OR(D25&gt;="0:00"*1,H25&gt;"22:00"*1)),AND(LEFT(C25,1)="s",H25&gt;="24:00"*1)),Prime!$G$4,"")</f>
        <v/>
      </c>
      <c r="N25" s="409" t="str">
        <f>IF(ISNUMBER(FIND("F",C25)),Prime!$I$4,IF(ISNUMBER(FIND("CDS",C25)),Prime!$I$4,""))</f>
        <v/>
      </c>
      <c r="O25" s="406" t="str">
        <f t="shared" si="3"/>
        <v/>
      </c>
      <c r="P25" s="478"/>
      <c r="Q25" s="242" t="str">
        <f t="shared" si="7"/>
        <v/>
      </c>
      <c r="R25" s="138">
        <f t="shared" si="4"/>
        <v>0</v>
      </c>
      <c r="S25" s="414">
        <f t="shared" si="6"/>
        <v>0</v>
      </c>
      <c r="T25" s="421"/>
      <c r="U25" s="417" t="str">
        <f t="shared" si="5"/>
        <v>0,000</v>
      </c>
      <c r="V25" s="126"/>
    </row>
    <row r="26" spans="1:22" s="1" customFormat="1" ht="15.75" x14ac:dyDescent="0.25">
      <c r="A26" s="3"/>
      <c r="B26" s="510">
        <v>41630</v>
      </c>
      <c r="C26" s="6" t="s">
        <v>1</v>
      </c>
      <c r="D26" s="356">
        <f>IF(ISNA(VLOOKUP(C26,'Planning 2017'!B21:F419,2,0)),"",VLOOKUP(C26,'Planning 2017'!B21:F419,2,0))</f>
        <v>0</v>
      </c>
      <c r="E26" s="393">
        <f>IF(ISNA(VLOOKUP(C26,'Planning 2017'!B21:F419,3,0)),"",VLOOKUP(C26,'Planning 2017'!B21:F419,3,0))</f>
        <v>0</v>
      </c>
      <c r="F26" s="350">
        <f t="shared" si="1"/>
        <v>0</v>
      </c>
      <c r="G26" s="396">
        <f>IF(ISNA(VLOOKUP(C26,'Planning 2017'!B21:F419,4,0)),"",VLOOKUP(C26,'Planning 2017'!B21:F419,4,0))</f>
        <v>0</v>
      </c>
      <c r="H26" s="393">
        <f>IF(ISNA(VLOOKUP(C26,'Planning 2017'!B21:F419,5,0)),"",VLOOKUP(C26,'Planning 2017'!B21:F419,5,0))</f>
        <v>0</v>
      </c>
      <c r="I26" s="350">
        <f t="shared" si="2"/>
        <v>0</v>
      </c>
      <c r="J26" s="400" t="str">
        <f>IF(COUNTA(D26:E26,G26:H26)=5,Prime!$E$4,IF(AND(D26&lt;="5:01"*1,D26&gt;"2:00"*1),Prime!$E$4,IF(AND(H26&gt;="22:00"*1,H26&lt;="26:01"*1),Prime!$E$4,"")))</f>
        <v/>
      </c>
      <c r="K26" s="365" t="str">
        <f>IF(COUNTA(D26:E26,G26:H26)=5,Prime!$E$4,IF(AND(E26&gt;="13:15"*1,G26&lt;""),Prime!$E$4,IF(AND(G26&gt;="11:00"*1,G26&lt;="12:15"*1),Prime!$E$4,"")))</f>
        <v/>
      </c>
      <c r="L26" s="368" t="str">
        <f>IF(AND(H26&gt;="19:30"*1,H26&lt;="21:30"*1),Prime!$E$4,"")</f>
        <v/>
      </c>
      <c r="M26" s="381" t="str">
        <f>IF(OR(AND(LEFT(C26,1)="d",OR(D26&gt;="0:00"*1,H26&gt;"22:00"*1)),AND(LEFT(C26,1)="s",H26&gt;="24:00"*1)),Prime!$G$4,"")</f>
        <v/>
      </c>
      <c r="N26" s="409" t="str">
        <f>IF(ISNUMBER(FIND("F",C26)),Prime!$I$4,IF(ISNUMBER(FIND("CDS",C26)),Prime!$I$4,""))</f>
        <v/>
      </c>
      <c r="O26" s="406" t="str">
        <f t="shared" si="3"/>
        <v/>
      </c>
      <c r="P26" s="478"/>
      <c r="Q26" s="242" t="str">
        <f t="shared" si="7"/>
        <v/>
      </c>
      <c r="R26" s="138">
        <f t="shared" si="4"/>
        <v>0</v>
      </c>
      <c r="S26" s="414">
        <f t="shared" si="6"/>
        <v>0</v>
      </c>
      <c r="T26" s="421"/>
      <c r="U26" s="417" t="str">
        <f t="shared" si="5"/>
        <v>0,000</v>
      </c>
      <c r="V26" s="126"/>
    </row>
    <row r="27" spans="1:22" s="1" customFormat="1" ht="15.75" x14ac:dyDescent="0.25">
      <c r="A27" s="3"/>
      <c r="B27" s="510">
        <v>41631</v>
      </c>
      <c r="C27" s="6" t="s">
        <v>0</v>
      </c>
      <c r="D27" s="356">
        <f>IF(ISNA(VLOOKUP(C27,'Planning 2017'!B22:F420,2,0)),"",VLOOKUP(C27,'Planning 2017'!B22:F420,2,0))</f>
        <v>0</v>
      </c>
      <c r="E27" s="393">
        <f>IF(ISNA(VLOOKUP(C27,'Planning 2017'!B22:F420,3,0)),"",VLOOKUP(C27,'Planning 2017'!B22:F420,3,0))</f>
        <v>0</v>
      </c>
      <c r="F27" s="350">
        <f t="shared" si="1"/>
        <v>0</v>
      </c>
      <c r="G27" s="396">
        <f>IF(ISNA(VLOOKUP(C27,'Planning 2017'!B22:F420,4,0)),"",VLOOKUP(C27,'Planning 2017'!B22:F420,4,0))</f>
        <v>0</v>
      </c>
      <c r="H27" s="393">
        <f>IF(ISNA(VLOOKUP(C27,'Planning 2017'!B22:F420,5,0)),"",VLOOKUP(C27,'Planning 2017'!B22:F420,5,0))</f>
        <v>0</v>
      </c>
      <c r="I27" s="350">
        <f t="shared" si="2"/>
        <v>0</v>
      </c>
      <c r="J27" s="400" t="str">
        <f>IF(COUNTA(D27:E27,G27:H27)=5,Prime!$E$4,IF(AND(D27&lt;="5:01"*1,D27&gt;"2:00"*1),Prime!$E$4,IF(AND(H27&gt;="22:00"*1,H27&lt;="26:01"*1),Prime!$E$4,"")))</f>
        <v/>
      </c>
      <c r="K27" s="365" t="str">
        <f>IF(COUNTA(D27:E27,G27:H27)=5,Prime!$E$4,IF(AND(E27&gt;="13:15"*1,G27&lt;""),Prime!$E$4,IF(AND(G27&gt;="11:00"*1,G27&lt;="12:15"*1),Prime!$E$4,"")))</f>
        <v/>
      </c>
      <c r="L27" s="368" t="str">
        <f>IF(AND(H27&gt;="19:30"*1,H27&lt;="21:30"*1),Prime!$E$4,"")</f>
        <v/>
      </c>
      <c r="M27" s="381" t="str">
        <f>IF(OR(AND(LEFT(C27,1)="d",OR(D27&gt;="0:00"*1,H27&gt;"22:00"*1)),AND(LEFT(C27,1)="s",H27&gt;="24:00"*1)),Prime!$G$4,"")</f>
        <v/>
      </c>
      <c r="N27" s="409" t="str">
        <f>IF(ISNUMBER(FIND("F",C27)),Prime!$I$4,IF(ISNUMBER(FIND("CDS",C27)),Prime!$I$4,""))</f>
        <v/>
      </c>
      <c r="O27" s="406" t="str">
        <f t="shared" si="3"/>
        <v/>
      </c>
      <c r="P27" s="478"/>
      <c r="Q27" s="242" t="str">
        <f t="shared" si="7"/>
        <v/>
      </c>
      <c r="R27" s="138">
        <f t="shared" si="4"/>
        <v>0</v>
      </c>
      <c r="S27" s="414">
        <f t="shared" si="6"/>
        <v>0</v>
      </c>
      <c r="T27" s="421"/>
      <c r="U27" s="417" t="str">
        <f t="shared" si="5"/>
        <v>0,000</v>
      </c>
      <c r="V27" s="126"/>
    </row>
    <row r="28" spans="1:22" s="1" customFormat="1" ht="15.75" x14ac:dyDescent="0.25">
      <c r="A28" s="3"/>
      <c r="B28" s="510">
        <v>41632</v>
      </c>
      <c r="C28" s="6" t="s">
        <v>188</v>
      </c>
      <c r="D28" s="356">
        <f>IF(ISNA(VLOOKUP(C28,'Planning 2017'!B23:F421,2,0)),"",VLOOKUP(C28,'Planning 2017'!B23:F421,2,0))</f>
        <v>0</v>
      </c>
      <c r="E28" s="393">
        <f>IF(ISNA(VLOOKUP(C28,'Planning 2017'!B23:F421,3,0)),"",VLOOKUP(C28,'Planning 2017'!B23:F421,3,0))</f>
        <v>0</v>
      </c>
      <c r="F28" s="350">
        <f t="shared" si="1"/>
        <v>0</v>
      </c>
      <c r="G28" s="396">
        <f>IF(ISNA(VLOOKUP(C28,'Planning 2017'!B23:F421,4,0)),"",VLOOKUP(C28,'Planning 2017'!B23:F421,4,0))</f>
        <v>0</v>
      </c>
      <c r="H28" s="393">
        <f>IF(ISNA(VLOOKUP(C28,'Planning 2017'!B23:F421,5,0)),"",VLOOKUP(C28,'Planning 2017'!B23:F421,5,0))</f>
        <v>0</v>
      </c>
      <c r="I28" s="350">
        <f t="shared" si="2"/>
        <v>0</v>
      </c>
      <c r="J28" s="400" t="str">
        <f>IF(COUNTA(D28:E28,G28:H28)=5,Prime!$E$4,IF(AND(D28&lt;="5:01"*1,D28&gt;"2:00"*1),Prime!$E$4,IF(AND(H28&gt;="22:00"*1,H28&lt;="26:01"*1),Prime!$E$4,"")))</f>
        <v/>
      </c>
      <c r="K28" s="365" t="str">
        <f>IF(COUNTA(D28:E28,G28:H28)=5,Prime!$E$4,IF(AND(E28&gt;="13:15"*1,G28&lt;""),Prime!$E$4,IF(AND(G28&gt;="11:00"*1,G28&lt;="12:15"*1),Prime!$E$4,"")))</f>
        <v/>
      </c>
      <c r="L28" s="368" t="str">
        <f>IF(AND(H28&gt;="19:30"*1,H28&lt;="21:30"*1),Prime!$E$4,"")</f>
        <v/>
      </c>
      <c r="M28" s="381" t="str">
        <f>IF(OR(AND(LEFT(C28,1)="d",OR(D28&gt;="0:00"*1,H28&gt;"22:00"*1)),AND(LEFT(C28,1)="s",H28&gt;="24:00"*1)),Prime!$G$4,"")</f>
        <v/>
      </c>
      <c r="N28" s="409">
        <f>IF(ISNUMBER(FIND("F",C28)),Prime!$I$4,IF(ISNUMBER(FIND("CDS",C28)),Prime!$I$4,""))</f>
        <v>104.9325</v>
      </c>
      <c r="O28" s="406" t="str">
        <f t="shared" si="3"/>
        <v/>
      </c>
      <c r="P28" s="478"/>
      <c r="Q28" s="242" t="str">
        <f t="shared" si="7"/>
        <v/>
      </c>
      <c r="R28" s="138">
        <f t="shared" si="4"/>
        <v>0</v>
      </c>
      <c r="S28" s="414">
        <f t="shared" si="6"/>
        <v>0</v>
      </c>
      <c r="T28" s="421"/>
      <c r="U28" s="417" t="str">
        <f t="shared" si="5"/>
        <v>0,000</v>
      </c>
      <c r="V28" s="126"/>
    </row>
    <row r="29" spans="1:22" s="1" customFormat="1" ht="15.75" x14ac:dyDescent="0.25">
      <c r="A29" s="3"/>
      <c r="B29" s="510">
        <v>41633</v>
      </c>
      <c r="C29" s="9" t="s">
        <v>260</v>
      </c>
      <c r="D29" s="356">
        <f>IF(ISNA(VLOOKUP(C29,'Planning 2017'!B23:F422,2,0)),"",VLOOKUP(C29,'Planning 2017'!B23:F422,2,0))</f>
        <v>0.20555555555555557</v>
      </c>
      <c r="E29" s="393">
        <f>IF(ISNA(VLOOKUP(C29,'Planning 2017'!B23:F422,3,0)),"",VLOOKUP(C29,'Planning 2017'!B23:F422,3,0))</f>
        <v>0.51874999999999993</v>
      </c>
      <c r="F29" s="350">
        <f t="shared" si="1"/>
        <v>0.31319444444444433</v>
      </c>
      <c r="G29" s="396">
        <f>IF(ISNA(VLOOKUP(C29,'Planning 2017'!B23:F422,4,0)),"",VLOOKUP(C29,'Planning 2017'!B23:F422,4,0))</f>
        <v>0</v>
      </c>
      <c r="H29" s="393">
        <f>IF(ISNA(VLOOKUP(C29,'Planning 2017'!B23:F422,5,0)),"",VLOOKUP(C29,'Planning 2017'!B23:F422,5,0))</f>
        <v>0</v>
      </c>
      <c r="I29" s="350">
        <f t="shared" si="2"/>
        <v>0</v>
      </c>
      <c r="J29" s="400">
        <f>IF(COUNTA(D29:E29,G29:H29)=5,Prime!$E$4,IF(AND(D29&lt;="5:01"*1,D29&gt;"2:00"*1),Prime!$E$4,IF(AND(H29&gt;="22:00"*1,H29&lt;="26:01"*1),Prime!$E$4,"")))</f>
        <v>17.7056</v>
      </c>
      <c r="K29" s="365" t="str">
        <f>IF(COUNTA(D29:E29,G29:H29)=5,Prime!$E$4,IF(AND(E29&gt;="13:15"*1,G29&lt;""),Prime!$E$4,IF(AND(G29&gt;="11:00"*1,G29&lt;="12:15"*1),Prime!$E$4,"")))</f>
        <v/>
      </c>
      <c r="L29" s="368" t="str">
        <f>IF(AND(H29&gt;="19:30"*1,H29&lt;="21:30"*1),Prime!$E$4,"")</f>
        <v/>
      </c>
      <c r="M29" s="381" t="str">
        <f>IF(OR(AND(LEFT(C29,1)="d",OR(D29&gt;="0:00"*1,H29&gt;"22:00"*1)),AND(LEFT(C29,1)="s",H29&gt;="24:00"*1)),Prime!$G$4,"")</f>
        <v/>
      </c>
      <c r="N29" s="409" t="str">
        <f>IF(ISNUMBER(FIND("F",C29)),Prime!$I$4,IF(ISNUMBER(FIND("CDS",C29)),Prime!$I$4,""))</f>
        <v/>
      </c>
      <c r="O29" s="406" t="str">
        <f t="shared" si="3"/>
        <v/>
      </c>
      <c r="P29" s="478"/>
      <c r="Q29" s="242" t="str">
        <f t="shared" si="7"/>
        <v/>
      </c>
      <c r="R29" s="138">
        <f t="shared" si="4"/>
        <v>0.31319444444444433</v>
      </c>
      <c r="S29" s="414">
        <f t="shared" si="6"/>
        <v>7.5166666666666639</v>
      </c>
      <c r="T29" s="421"/>
      <c r="U29" s="417">
        <f t="shared" si="5"/>
        <v>7.5166666666666639</v>
      </c>
      <c r="V29" s="126"/>
    </row>
    <row r="30" spans="1:22" s="1" customFormat="1" ht="15.75" x14ac:dyDescent="0.25">
      <c r="A30" s="3"/>
      <c r="B30" s="510">
        <v>41634</v>
      </c>
      <c r="C30" s="9" t="s">
        <v>1</v>
      </c>
      <c r="D30" s="356">
        <f>IF(ISNA(VLOOKUP(C30,'Planning 2017'!B24:F423,2,0)),"",VLOOKUP(C30,'Planning 2017'!B24:F423,2,0))</f>
        <v>0</v>
      </c>
      <c r="E30" s="393">
        <f>IF(ISNA(VLOOKUP(C30,'Planning 2017'!B24:F423,3,0)),"",VLOOKUP(C30,'Planning 2017'!B24:F423,3,0))</f>
        <v>0</v>
      </c>
      <c r="F30" s="350">
        <f t="shared" si="1"/>
        <v>0</v>
      </c>
      <c r="G30" s="396">
        <f>IF(ISNA(VLOOKUP(C30,'Planning 2017'!B24:F423,4,0)),"",VLOOKUP(C30,'Planning 2017'!B24:F423,4,0))</f>
        <v>0</v>
      </c>
      <c r="H30" s="393">
        <f>IF(ISNA(VLOOKUP(C30,'Planning 2017'!B24:F423,5,0)),"",VLOOKUP(C30,'Planning 2017'!B24:F423,5,0))</f>
        <v>0</v>
      </c>
      <c r="I30" s="350">
        <f t="shared" si="2"/>
        <v>0</v>
      </c>
      <c r="J30" s="400" t="str">
        <f>IF(COUNTA(D30:E30,G30:H30)=5,Prime!$E$4,IF(AND(D30&lt;="5:01"*1,D30&gt;"2:00"*1),Prime!$E$4,IF(AND(H30&gt;="22:00"*1,H30&lt;="26:01"*1),Prime!$E$4,"")))</f>
        <v/>
      </c>
      <c r="K30" s="365" t="str">
        <f>IF(COUNTA(D30:E30,G30:H30)=5,Prime!$E$4,IF(AND(E30&gt;="13:15"*1,G30&lt;""),Prime!$E$4,IF(AND(G30&gt;="11:00"*1,G30&lt;="12:15"*1),Prime!$E$4,"")))</f>
        <v/>
      </c>
      <c r="L30" s="368" t="str">
        <f>IF(AND(H30&gt;="19:30"*1,H30&lt;="21:30"*1),Prime!$E$4,"")</f>
        <v/>
      </c>
      <c r="M30" s="381" t="str">
        <f>IF(OR(AND(LEFT(C30,1)="d",OR(D30&gt;="0:00"*1,H30&gt;"22:00"*1)),AND(LEFT(C30,1)="s",H30&gt;="24:00"*1)),Prime!$G$4,"")</f>
        <v/>
      </c>
      <c r="N30" s="409" t="str">
        <f>IF(ISNUMBER(FIND("F",C30)),Prime!$I$4,IF(ISNUMBER(FIND("CDS",C30)),Prime!$I$4,""))</f>
        <v/>
      </c>
      <c r="O30" s="406" t="str">
        <f t="shared" si="3"/>
        <v/>
      </c>
      <c r="P30" s="478"/>
      <c r="Q30" s="242" t="str">
        <f t="shared" si="7"/>
        <v/>
      </c>
      <c r="R30" s="138">
        <f t="shared" si="4"/>
        <v>0</v>
      </c>
      <c r="S30" s="414">
        <f t="shared" si="6"/>
        <v>0</v>
      </c>
      <c r="T30" s="421"/>
      <c r="U30" s="417" t="str">
        <f t="shared" si="5"/>
        <v>0,000</v>
      </c>
      <c r="V30" s="126"/>
    </row>
    <row r="31" spans="1:22" s="1" customFormat="1" ht="15.75" x14ac:dyDescent="0.25">
      <c r="A31" s="3"/>
      <c r="B31" s="510">
        <v>41635</v>
      </c>
      <c r="C31" s="9" t="s">
        <v>0</v>
      </c>
      <c r="D31" s="356">
        <f>IF(ISNA(VLOOKUP(C31,'Planning 2017'!B25:F424,2,0)),"",VLOOKUP(C31,'Planning 2017'!B25:F424,2,0))</f>
        <v>0</v>
      </c>
      <c r="E31" s="393">
        <f>IF(ISNA(VLOOKUP(C31,'Planning 2017'!B25:F424,3,0)),"",VLOOKUP(C31,'Planning 2017'!B25:F424,3,0))</f>
        <v>0</v>
      </c>
      <c r="F31" s="350">
        <f t="shared" si="1"/>
        <v>0</v>
      </c>
      <c r="G31" s="396">
        <f>IF(ISNA(VLOOKUP(C31,'Planning 2017'!B25:F424,4,0)),"",VLOOKUP(C31,'Planning 2017'!B25:F424,4,0))</f>
        <v>0</v>
      </c>
      <c r="H31" s="393">
        <f>IF(ISNA(VLOOKUP(C31,'Planning 2017'!B25:F424,5,0)),"",VLOOKUP(C31,'Planning 2017'!B25:F424,5,0))</f>
        <v>0</v>
      </c>
      <c r="I31" s="350">
        <f t="shared" si="2"/>
        <v>0</v>
      </c>
      <c r="J31" s="400" t="str">
        <f>IF(COUNTA(D31:E31,G31:H31)=5,Prime!$E$4,IF(AND(D31&lt;="5:01"*1,D31&gt;"2:00"*1),Prime!$E$4,IF(AND(H31&gt;="22:00"*1,H31&lt;="26:01"*1),Prime!$E$4,"")))</f>
        <v/>
      </c>
      <c r="K31" s="365" t="str">
        <f>IF(COUNTA(D31:E31,G31:H31)=5,Prime!$E$4,IF(AND(E31&gt;="13:15"*1,G31&lt;""),Prime!$E$4,IF(AND(G31&gt;="11:00"*1,G31&lt;="12:15"*1),Prime!$E$4,"")))</f>
        <v/>
      </c>
      <c r="L31" s="368" t="str">
        <f>IF(AND(H31&gt;="19:30"*1,H31&lt;="21:30"*1),Prime!$E$4,"")</f>
        <v/>
      </c>
      <c r="M31" s="381" t="str">
        <f>IF(OR(AND(LEFT(C31,1)="d",OR(D31&gt;="0:00"*1,H31&gt;"22:00"*1)),AND(LEFT(C31,1)="s",H31&gt;="24:00"*1)),Prime!$G$4,"")</f>
        <v/>
      </c>
      <c r="N31" s="409" t="str">
        <f>IF(ISNUMBER(FIND("F",C31)),Prime!$I$4,IF(ISNUMBER(FIND("CDS",C31)),Prime!$I$4,""))</f>
        <v/>
      </c>
      <c r="O31" s="406" t="str">
        <f t="shared" si="3"/>
        <v/>
      </c>
      <c r="P31" s="478"/>
      <c r="Q31" s="242" t="str">
        <f t="shared" si="7"/>
        <v/>
      </c>
      <c r="R31" s="138">
        <f t="shared" si="4"/>
        <v>0</v>
      </c>
      <c r="S31" s="414">
        <f t="shared" si="6"/>
        <v>0</v>
      </c>
      <c r="T31" s="421"/>
      <c r="U31" s="417" t="str">
        <f t="shared" si="5"/>
        <v>0,000</v>
      </c>
      <c r="V31" s="126"/>
    </row>
    <row r="32" spans="1:22" s="1" customFormat="1" ht="15.75" x14ac:dyDescent="0.25">
      <c r="A32" s="3"/>
      <c r="B32" s="510">
        <v>41636</v>
      </c>
      <c r="C32" s="6" t="s">
        <v>136</v>
      </c>
      <c r="D32" s="356">
        <f>IF(ISNA(VLOOKUP(C32,'Planning 2017'!B26:F425,2,0)),"",VLOOKUP(C32,'Planning 2017'!B26:F425,2,0))</f>
        <v>0</v>
      </c>
      <c r="E32" s="393">
        <f>IF(ISNA(VLOOKUP(C32,'Planning 2017'!B26:F425,3,0)),"",VLOOKUP(C32,'Planning 2017'!B26:F425,3,0))</f>
        <v>0</v>
      </c>
      <c r="F32" s="350">
        <f t="shared" si="1"/>
        <v>0</v>
      </c>
      <c r="G32" s="396">
        <f>IF(ISNA(VLOOKUP(C32,'Planning 2017'!B26:F425,4,0)),"",VLOOKUP(C32,'Planning 2017'!B26:F425,4,0))</f>
        <v>0</v>
      </c>
      <c r="H32" s="393">
        <f>IF(ISNA(VLOOKUP(C32,'Planning 2017'!B26:F425,5,0)),"",VLOOKUP(C32,'Planning 2017'!B26:F425,5,0))</f>
        <v>0</v>
      </c>
      <c r="I32" s="350">
        <f t="shared" si="2"/>
        <v>0</v>
      </c>
      <c r="J32" s="400" t="str">
        <f>IF(COUNTA(D32:E32,G32:H32)=5,Prime!$E$4,IF(AND(D32&lt;="5:01"*1,D32&gt;"2:00"*1),Prime!$E$4,IF(AND(H32&gt;="22:00"*1,H32&lt;="26:01"*1),Prime!$E$4,"")))</f>
        <v/>
      </c>
      <c r="K32" s="365" t="str">
        <f>IF(COUNTA(D32:E32,G32:H32)=5,Prime!$E$4,IF(AND(E32&gt;="13:15"*1,G32&lt;""),Prime!$E$4,IF(AND(G32&gt;="11:00"*1,G32&lt;="12:15"*1),Prime!$E$4,"")))</f>
        <v/>
      </c>
      <c r="L32" s="368" t="str">
        <f>IF(AND(H32&gt;="19:30"*1,H32&lt;="21:30"*1),Prime!$E$4,"")</f>
        <v/>
      </c>
      <c r="M32" s="381" t="str">
        <f>IF(OR(AND(LEFT(C32,1)="d",OR(D32&gt;="0:00"*1,H32&gt;"22:00"*1)),AND(LEFT(C32,1)="s",H32&gt;="24:00"*1)),Prime!$G$4,"")</f>
        <v/>
      </c>
      <c r="N32" s="409" t="str">
        <f>IF(ISNUMBER(FIND("F",C32)),Prime!$I$4,IF(ISNUMBER(FIND("CDS",C32)),Prime!$I$4,""))</f>
        <v/>
      </c>
      <c r="O32" s="406" t="str">
        <f t="shared" si="3"/>
        <v/>
      </c>
      <c r="P32" s="478"/>
      <c r="Q32" s="242" t="str">
        <f t="shared" si="7"/>
        <v/>
      </c>
      <c r="R32" s="138">
        <f t="shared" si="4"/>
        <v>0</v>
      </c>
      <c r="S32" s="414">
        <f t="shared" si="6"/>
        <v>0</v>
      </c>
      <c r="T32" s="421"/>
      <c r="U32" s="417" t="str">
        <f t="shared" si="5"/>
        <v>0,000</v>
      </c>
      <c r="V32" s="126"/>
    </row>
    <row r="33" spans="1:22" s="1" customFormat="1" ht="15.75" x14ac:dyDescent="0.25">
      <c r="A33" s="3"/>
      <c r="B33" s="510">
        <v>41637</v>
      </c>
      <c r="C33" s="9" t="s">
        <v>215</v>
      </c>
      <c r="D33" s="356">
        <f>IF(ISNA(VLOOKUP(C33,'Planning 2017'!B27:F426,2,0)),"",VLOOKUP(C33,'Planning 2017'!B27:F426,2,0))</f>
        <v>0</v>
      </c>
      <c r="E33" s="393">
        <f>IF(ISNA(VLOOKUP(C33,'Planning 2017'!B27:F426,3,0)),"",VLOOKUP(C33,'Planning 2017'!B27:F426,3,0))</f>
        <v>0</v>
      </c>
      <c r="F33" s="350">
        <f t="shared" si="1"/>
        <v>0</v>
      </c>
      <c r="G33" s="396">
        <f>IF(ISNA(VLOOKUP(C33,'Planning 2017'!B27:F426,4,0)),"",VLOOKUP(C33,'Planning 2017'!B27:F426,4,0))</f>
        <v>0.51458333333333328</v>
      </c>
      <c r="H33" s="393">
        <f>IF(ISNA(VLOOKUP(C33,'Planning 2017'!B27:F426,5,0)),"",VLOOKUP(C33,'Planning 2017'!B27:F426,5,0))</f>
        <v>0.84375</v>
      </c>
      <c r="I33" s="350">
        <f t="shared" si="2"/>
        <v>0.32916666666666672</v>
      </c>
      <c r="J33" s="400" t="str">
        <f>IF(COUNTA(D33:E33,G33:H33)=5,Prime!$E$4,IF(AND(D33&lt;="5:01"*1,D33&gt;"2:00"*1),Prime!$E$4,IF(AND(H33&gt;="22:00"*1,H33&lt;="26:01"*1),Prime!$E$4,"")))</f>
        <v/>
      </c>
      <c r="K33" s="365" t="str">
        <f>IF(COUNTA(D33:E33,G33:H33)=5,Prime!$E$4,IF(AND(E33&gt;="13:15"*1,G33&lt;""),Prime!$E$4,IF(AND(G33&gt;="11:00"*1,G33&lt;="12:15"*1),Prime!$E$4,"")))</f>
        <v/>
      </c>
      <c r="L33" s="368">
        <f>IF(AND(H33&gt;="19:30"*1,H33&lt;="21:30"*1),Prime!$E$4,"")</f>
        <v>17.7056</v>
      </c>
      <c r="M33" s="381" t="str">
        <f>IF(OR(AND(LEFT(C33,1)="d",OR(D33&gt;="0:00"*1,H33&gt;"22:00"*1)),AND(LEFT(C33,1)="s",H33&gt;="24:00"*1)),Prime!$G$4,"")</f>
        <v/>
      </c>
      <c r="N33" s="409" t="str">
        <f>IF(ISNUMBER(FIND("F",C33)),Prime!$I$4,IF(ISNUMBER(FIND("CDS",C33)),Prime!$I$4,""))</f>
        <v/>
      </c>
      <c r="O33" s="406" t="str">
        <f t="shared" si="3"/>
        <v/>
      </c>
      <c r="P33" s="478"/>
      <c r="Q33" s="242" t="str">
        <f>IF(ISBLANK(P33),"",P33/24)</f>
        <v/>
      </c>
      <c r="R33" s="138">
        <f t="shared" si="4"/>
        <v>0.32916666666666672</v>
      </c>
      <c r="S33" s="414">
        <f t="shared" si="6"/>
        <v>7.9000000000000012</v>
      </c>
      <c r="T33" s="421"/>
      <c r="U33" s="417">
        <f t="shared" si="5"/>
        <v>7.9000000000000012</v>
      </c>
      <c r="V33" s="126"/>
    </row>
    <row r="34" spans="1:22" s="1" customFormat="1" ht="16.5" thickBot="1" x14ac:dyDescent="0.3">
      <c r="A34" s="3"/>
      <c r="B34" s="510">
        <v>41638</v>
      </c>
      <c r="C34" s="11" t="s">
        <v>266</v>
      </c>
      <c r="D34" s="361">
        <f>IF(ISNA(VLOOKUP(C34,'Planning 2017'!B28:F427,2,0)),"",VLOOKUP(C34,'Planning 2017'!B28:F427,2,0))</f>
        <v>0</v>
      </c>
      <c r="E34" s="394">
        <f>IF(ISNA(VLOOKUP(C34,'Planning 2017'!B28:F427,3,0)),"",VLOOKUP(C34,'Planning 2017'!B28:F427,3,0))</f>
        <v>0</v>
      </c>
      <c r="F34" s="351">
        <f t="shared" si="1"/>
        <v>0</v>
      </c>
      <c r="G34" s="397">
        <f>IF(ISNA(VLOOKUP(C34,'Planning 2017'!B28:F427,4,0)),"",VLOOKUP(C34,'Planning 2017'!B28:F427,4,0))</f>
        <v>0.52777777777777779</v>
      </c>
      <c r="H34" s="394">
        <f>IF(ISNA(VLOOKUP(C34,'Planning 2017'!B28:F427,5,0)),"",VLOOKUP(C34,'Planning 2017'!B28:F427,5,0))</f>
        <v>0.83819444444444446</v>
      </c>
      <c r="I34" s="351">
        <f t="shared" si="2"/>
        <v>0.31041666666666667</v>
      </c>
      <c r="J34" s="401" t="str">
        <f>IF(COUNTA(D34:E34,G34:H34)=5,Prime!$E$4,IF(AND(D34&lt;="5:01"*1,D34&gt;"2:00"*1),Prime!$E$4,IF(AND(H34&gt;="22:00"*1,H34&lt;="26:01"*1),Prime!$E$4,"")))</f>
        <v/>
      </c>
      <c r="K34" s="366" t="str">
        <f>IF(COUNTA(D34:E34,G34:H34)=5,Prime!$E$4,IF(AND(E34&gt;="13:15"*1,G34&lt;""),Prime!$E$4,IF(AND(G34&gt;="11:00"*1,G34&lt;="12:15"*1),Prime!$E$4,"")))</f>
        <v/>
      </c>
      <c r="L34" s="369">
        <f>IF(AND(H34&gt;="19:30"*1,H34&lt;="21:30"*1),Prime!$E$4,"")</f>
        <v>17.7056</v>
      </c>
      <c r="M34" s="388">
        <f>IF(OR(AND(LEFT(C34,1)="d",OR(D34&gt;="0:00"*1,H34&gt;"22:00"*1)),AND(LEFT(C34,1)="s",H34&gt;="24:00"*1)),Prime!$G$4,"")</f>
        <v>44.264000000000003</v>
      </c>
      <c r="N34" s="410" t="str">
        <f>IF(ISNUMBER(FIND("F",C34)),Prime!$I$4,IF(ISNUMBER(FIND("CDS",C34)),Prime!$I$4,""))</f>
        <v/>
      </c>
      <c r="O34" s="407" t="str">
        <f t="shared" si="3"/>
        <v/>
      </c>
      <c r="P34" s="479"/>
      <c r="Q34" s="249"/>
      <c r="R34" s="346">
        <f t="shared" si="4"/>
        <v>0.31041666666666667</v>
      </c>
      <c r="S34" s="415">
        <f t="shared" si="6"/>
        <v>7.45</v>
      </c>
      <c r="T34" s="422"/>
      <c r="U34" s="418">
        <f t="shared" si="5"/>
        <v>7.45</v>
      </c>
      <c r="V34" s="126"/>
    </row>
    <row r="35" spans="1:22" s="1" customFormat="1" ht="15.75" x14ac:dyDescent="0.25">
      <c r="A35" s="3"/>
      <c r="B35" s="118"/>
      <c r="C35" s="4"/>
      <c r="D35" s="4"/>
      <c r="E35" s="3"/>
      <c r="F35" s="3"/>
      <c r="G35" s="3"/>
      <c r="H35" s="3"/>
      <c r="I35" s="3"/>
      <c r="J35" s="262"/>
      <c r="K35" s="264"/>
      <c r="L35" s="263"/>
      <c r="M35" s="261"/>
      <c r="N35" s="260"/>
      <c r="O35" s="260"/>
      <c r="P35" s="187"/>
      <c r="Q35" s="126"/>
      <c r="R35" s="124"/>
      <c r="S35" s="20"/>
      <c r="T35" s="21"/>
      <c r="U35" s="151"/>
      <c r="V35" s="126"/>
    </row>
    <row r="36" spans="1:22" s="1" customFormat="1" ht="15.75" x14ac:dyDescent="0.25">
      <c r="A36" s="3"/>
      <c r="B36" s="119" t="s">
        <v>156</v>
      </c>
      <c r="C36" s="197">
        <f>COUNTIF(C4:C34,"&lt;&gt;")-(COUNTIF(C4:C34,"CH*")+COUNTIF(C4:C34,"RT*")+COUNTIF(C4:C34,"CC*")+COUNTIF(C4:C34,"FERIÉ*")+COUNTIF(C4:C34,"CP*"))</f>
        <v>19</v>
      </c>
      <c r="D36" s="4"/>
      <c r="E36" s="3"/>
      <c r="F36" s="3"/>
      <c r="G36" s="3"/>
      <c r="H36" s="3"/>
      <c r="I36" s="3"/>
      <c r="J36" s="182">
        <f>SUM(J4:J34)</f>
        <v>35.411200000000001</v>
      </c>
      <c r="K36" s="264"/>
      <c r="L36" s="184">
        <f>SUM(L4:L34)</f>
        <v>123.93920000000001</v>
      </c>
      <c r="M36" s="313">
        <f>SUM(M4:M34)</f>
        <v>44.264000000000003</v>
      </c>
      <c r="N36" s="317">
        <f>SUM(N4:N34)</f>
        <v>104.9325</v>
      </c>
      <c r="O36" s="433">
        <f>SUM(O4:O34)</f>
        <v>0</v>
      </c>
      <c r="P36" s="153">
        <f>SUM(P4:P34)</f>
        <v>6.9444444444444441E-3</v>
      </c>
      <c r="Q36" s="194">
        <f>SUM(Q4:Q32)</f>
        <v>0.16666666666666666</v>
      </c>
      <c r="R36" s="154">
        <f>SUM(R4:R34)</f>
        <v>4.1277777777777773</v>
      </c>
      <c r="S36" s="334">
        <f>SUM(S4:S34)</f>
        <v>99.066666666666677</v>
      </c>
      <c r="T36" s="21">
        <f>SUM(T3:T34)</f>
        <v>0</v>
      </c>
      <c r="U36" s="151">
        <f>S36-T36</f>
        <v>99.066666666666677</v>
      </c>
      <c r="V36" s="155"/>
    </row>
    <row r="37" spans="1:22" s="1" customFormat="1" ht="15.75" x14ac:dyDescent="0.25">
      <c r="A37" s="3"/>
      <c r="B37" s="117"/>
      <c r="C37" s="3"/>
      <c r="D37" s="4"/>
      <c r="E37" s="3"/>
      <c r="F37" s="3"/>
      <c r="G37" s="3"/>
      <c r="H37" s="3"/>
      <c r="I37" s="3"/>
      <c r="J37" s="434"/>
      <c r="K37" s="434"/>
      <c r="L37" s="434"/>
      <c r="M37" s="18"/>
      <c r="N37" s="203"/>
      <c r="O37" s="352"/>
    </row>
    <row r="38" spans="1:22" s="1" customFormat="1" ht="15.75" x14ac:dyDescent="0.25">
      <c r="B38" s="120"/>
      <c r="N38" s="425" t="s">
        <v>100</v>
      </c>
      <c r="O38" s="425"/>
      <c r="P38" s="425"/>
      <c r="Q38" s="425"/>
      <c r="R38" s="156">
        <v>6.1895833333333341</v>
      </c>
      <c r="S38" s="435">
        <v>148.19999999999999</v>
      </c>
    </row>
    <row r="39" spans="1:22" s="1" customFormat="1" x14ac:dyDescent="0.25">
      <c r="B39" s="120"/>
      <c r="S39" s="436"/>
    </row>
    <row r="40" spans="1:22" ht="15.75" x14ac:dyDescent="0.25">
      <c r="I40" s="1"/>
      <c r="K40" s="1"/>
      <c r="L40" s="1"/>
      <c r="N40" s="424" t="s">
        <v>39</v>
      </c>
      <c r="O40" s="424"/>
      <c r="P40" s="424"/>
      <c r="Q40" s="424"/>
      <c r="R40" s="68">
        <f>(Q36-R36)</f>
        <v>-3.9611111111111108</v>
      </c>
      <c r="S40" s="437">
        <f>R40*24</f>
        <v>-95.066666666666663</v>
      </c>
    </row>
    <row r="41" spans="1:22" x14ac:dyDescent="0.25">
      <c r="I41" s="1"/>
      <c r="K41" s="1"/>
      <c r="L41" s="1"/>
    </row>
    <row r="42" spans="1:22" x14ac:dyDescent="0.25">
      <c r="I42" s="1"/>
      <c r="K42" s="1"/>
      <c r="L42" s="1"/>
    </row>
    <row r="43" spans="1:22" x14ac:dyDescent="0.25">
      <c r="I43" s="1"/>
      <c r="K43" s="1"/>
      <c r="L43" s="1"/>
    </row>
  </sheetData>
  <mergeCells count="5">
    <mergeCell ref="R2:U2"/>
    <mergeCell ref="D3:E3"/>
    <mergeCell ref="G3:H3"/>
    <mergeCell ref="B1:L1"/>
    <mergeCell ref="P3:Q3"/>
  </mergeCells>
  <conditionalFormatting sqref="L40">
    <cfRule type="cellIs" dxfId="8" priority="10" operator="lessThan">
      <formula>0</formula>
    </cfRule>
  </conditionalFormatting>
  <conditionalFormatting sqref="U4:U34">
    <cfRule type="cellIs" dxfId="7" priority="4" operator="greaterThanOrEqual">
      <formula>0.001</formula>
    </cfRule>
    <cfRule type="cellIs" dxfId="6" priority="5" operator="lessThan">
      <formula>0</formula>
    </cfRule>
  </conditionalFormatting>
  <conditionalFormatting sqref="U35:U36">
    <cfRule type="cellIs" dxfId="5" priority="2" operator="greaterThanOrEqual">
      <formula>0.001</formula>
    </cfRule>
    <cfRule type="cellIs" dxfId="4" priority="3" operator="lessThan">
      <formula>0</formula>
    </cfRule>
  </conditionalFormatting>
  <conditionalFormatting sqref="R40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opLeftCell="B1" workbookViewId="0">
      <selection activeCell="L23" sqref="L23"/>
    </sheetView>
  </sheetViews>
  <sheetFormatPr baseColWidth="10" defaultRowHeight="15.75" x14ac:dyDescent="0.25"/>
  <cols>
    <col min="1" max="1" width="3.7109375" style="2" customWidth="1"/>
    <col min="2" max="2" width="21" style="2" customWidth="1"/>
    <col min="3" max="5" width="12.7109375" style="2" customWidth="1"/>
    <col min="6" max="8" width="18.7109375" style="2" customWidth="1"/>
    <col min="9" max="16" width="14.7109375" style="2" customWidth="1"/>
    <col min="17" max="16384" width="11.42578125" style="2"/>
  </cols>
  <sheetData>
    <row r="1" spans="2:17" ht="16.5" thickBot="1" x14ac:dyDescent="0.3"/>
    <row r="2" spans="2:17" ht="16.5" thickBot="1" x14ac:dyDescent="0.3">
      <c r="C2" s="3"/>
      <c r="D2" s="3"/>
      <c r="I2" s="60"/>
      <c r="J2" s="60"/>
      <c r="K2" s="27"/>
      <c r="M2" s="27"/>
      <c r="N2" s="27"/>
      <c r="O2" s="557" t="s">
        <v>132</v>
      </c>
      <c r="P2" s="558"/>
    </row>
    <row r="3" spans="2:17" ht="16.5" thickBot="1" x14ac:dyDescent="0.3">
      <c r="B3" s="59"/>
      <c r="C3" s="56" t="s">
        <v>21</v>
      </c>
      <c r="D3" s="57" t="s">
        <v>22</v>
      </c>
      <c r="E3" s="58" t="s">
        <v>39</v>
      </c>
      <c r="J3" s="553" t="s">
        <v>130</v>
      </c>
      <c r="K3" s="554"/>
      <c r="L3" s="559" t="s">
        <v>129</v>
      </c>
      <c r="M3" s="560"/>
      <c r="N3" s="102" t="s">
        <v>134</v>
      </c>
      <c r="O3" s="80">
        <v>6.1749999999999998</v>
      </c>
      <c r="P3" s="91" t="s">
        <v>133</v>
      </c>
      <c r="Q3" s="108"/>
    </row>
    <row r="4" spans="2:17" x14ac:dyDescent="0.25">
      <c r="B4" s="55" t="s">
        <v>15</v>
      </c>
      <c r="C4" s="70">
        <f>Janvier!R36</f>
        <v>147.78333333333333</v>
      </c>
      <c r="D4" s="71">
        <f>Janvier!S36</f>
        <v>147.76999999999998</v>
      </c>
      <c r="E4" s="112">
        <f>C4-D4</f>
        <v>1.3333333333349628E-2</v>
      </c>
      <c r="I4" s="109" t="s">
        <v>15</v>
      </c>
      <c r="J4" s="551">
        <f>L4*24</f>
        <v>147.78333333333333</v>
      </c>
      <c r="K4" s="552"/>
      <c r="L4" s="561">
        <f>Janvier!Q36</f>
        <v>6.1576388888888891</v>
      </c>
      <c r="M4" s="562"/>
      <c r="N4" s="103">
        <f>L4/Janvier!C36</f>
        <v>0.25656828703703705</v>
      </c>
      <c r="O4" s="94">
        <f>L4-O3</f>
        <v>-1.7361111111110716E-2</v>
      </c>
      <c r="P4" s="95">
        <f>IF(O4*14.89*24&lt;O3,0,O4*14.89*24)</f>
        <v>0</v>
      </c>
      <c r="Q4" s="108"/>
    </row>
    <row r="5" spans="2:17" x14ac:dyDescent="0.25">
      <c r="B5" s="55" t="s">
        <v>2</v>
      </c>
      <c r="C5" s="72">
        <f>Février!R34</f>
        <v>184.86666666666667</v>
      </c>
      <c r="D5" s="73">
        <f>Février!S34</f>
        <v>153.63</v>
      </c>
      <c r="E5" s="113">
        <f t="shared" ref="E5:E15" si="0">C5-D5</f>
        <v>31.236666666666679</v>
      </c>
      <c r="I5" s="110" t="s">
        <v>2</v>
      </c>
      <c r="J5" s="541">
        <f t="shared" ref="J5:J15" si="1">L5*24</f>
        <v>148.55000000000001</v>
      </c>
      <c r="K5" s="542"/>
      <c r="L5" s="549">
        <f>Février!Q36</f>
        <v>6.1895833333333341</v>
      </c>
      <c r="M5" s="550"/>
      <c r="N5" s="104">
        <f>L5/Février!C34</f>
        <v>0.24758333333333338</v>
      </c>
      <c r="O5" s="96">
        <f>L5-O3</f>
        <v>1.4583333333334281E-2</v>
      </c>
      <c r="P5" s="97">
        <f t="shared" ref="P5:P14" si="2">IF(O5*14.89*24&lt;O4,0,O5*14.89*24)</f>
        <v>5.2115000000003384</v>
      </c>
      <c r="Q5" s="108"/>
    </row>
    <row r="6" spans="2:17" x14ac:dyDescent="0.25">
      <c r="B6" s="55" t="s">
        <v>3</v>
      </c>
      <c r="C6" s="72">
        <f>Mars!R36</f>
        <v>146.6333333333333</v>
      </c>
      <c r="D6" s="73">
        <f>Mars!S36</f>
        <v>151.49</v>
      </c>
      <c r="E6" s="113">
        <f t="shared" si="0"/>
        <v>-4.8566666666667118</v>
      </c>
      <c r="I6" s="110" t="s">
        <v>3</v>
      </c>
      <c r="J6" s="541">
        <f t="shared" si="1"/>
        <v>146.63333333333333</v>
      </c>
      <c r="K6" s="542"/>
      <c r="L6" s="549">
        <f>Mars!Q36</f>
        <v>6.1097222222222225</v>
      </c>
      <c r="M6" s="550"/>
      <c r="N6" s="104">
        <f>L6/Mars!C36</f>
        <v>0.24438888888888891</v>
      </c>
      <c r="O6" s="96">
        <f>L6-O3</f>
        <v>-6.5277777777777324E-2</v>
      </c>
      <c r="P6" s="97">
        <f t="shared" si="2"/>
        <v>0</v>
      </c>
      <c r="Q6" s="108"/>
    </row>
    <row r="7" spans="2:17" x14ac:dyDescent="0.25">
      <c r="B7" s="55" t="s">
        <v>4</v>
      </c>
      <c r="C7" s="72">
        <f>Avril!R36</f>
        <v>83.966666666666669</v>
      </c>
      <c r="D7" s="73">
        <f>Avril!S36</f>
        <v>82.25</v>
      </c>
      <c r="E7" s="113">
        <f t="shared" si="0"/>
        <v>1.7166666666666686</v>
      </c>
      <c r="I7" s="110" t="s">
        <v>131</v>
      </c>
      <c r="J7" s="541">
        <f t="shared" si="1"/>
        <v>83.966666666666683</v>
      </c>
      <c r="K7" s="542"/>
      <c r="L7" s="549">
        <f>Avril!Q36</f>
        <v>3.4986111111111118</v>
      </c>
      <c r="M7" s="550"/>
      <c r="N7" s="104">
        <f>L7/Avril!C36</f>
        <v>0.18413742690058482</v>
      </c>
      <c r="O7" s="96">
        <f>L7-O3</f>
        <v>-2.676388888888888</v>
      </c>
      <c r="P7" s="97">
        <f t="shared" si="2"/>
        <v>0</v>
      </c>
      <c r="Q7" s="108" t="s">
        <v>146</v>
      </c>
    </row>
    <row r="8" spans="2:17" x14ac:dyDescent="0.25">
      <c r="B8" s="55" t="s">
        <v>5</v>
      </c>
      <c r="C8" s="72">
        <f>Mai!R36</f>
        <v>173.18333333333331</v>
      </c>
      <c r="D8" s="73">
        <f>Mai!S36</f>
        <v>164.90999999999997</v>
      </c>
      <c r="E8" s="113">
        <f t="shared" si="0"/>
        <v>8.2733333333333405</v>
      </c>
      <c r="I8" s="110" t="s">
        <v>5</v>
      </c>
      <c r="J8" s="541">
        <f t="shared" si="1"/>
        <v>173.18333333333334</v>
      </c>
      <c r="K8" s="542"/>
      <c r="L8" s="549">
        <f>Mai!Q36</f>
        <v>7.2159722222222227</v>
      </c>
      <c r="M8" s="550"/>
      <c r="N8" s="104">
        <f>L8/Mai!C36</f>
        <v>0.26725823045267494</v>
      </c>
      <c r="O8" s="96">
        <f>L8-O3</f>
        <v>1.0409722222222229</v>
      </c>
      <c r="P8" s="97">
        <f t="shared" si="2"/>
        <v>372.00183333333359</v>
      </c>
      <c r="Q8" s="108"/>
    </row>
    <row r="9" spans="2:17" x14ac:dyDescent="0.25">
      <c r="B9" s="55" t="s">
        <v>6</v>
      </c>
      <c r="C9" s="72" t="e">
        <f>Juin!R36</f>
        <v>#REF!</v>
      </c>
      <c r="D9" s="73">
        <f>Juin!S36</f>
        <v>153.04000000000002</v>
      </c>
      <c r="E9" s="113" t="e">
        <f t="shared" si="0"/>
        <v>#REF!</v>
      </c>
      <c r="I9" s="110" t="s">
        <v>6</v>
      </c>
      <c r="J9" s="541" t="e">
        <f t="shared" si="1"/>
        <v>#REF!</v>
      </c>
      <c r="K9" s="542"/>
      <c r="L9" s="549" t="e">
        <f>Juin!Q36</f>
        <v>#REF!</v>
      </c>
      <c r="M9" s="550"/>
      <c r="N9" s="104" t="e">
        <f>L9/Juin!C36</f>
        <v>#REF!</v>
      </c>
      <c r="O9" s="96" t="e">
        <f>L9-O3</f>
        <v>#REF!</v>
      </c>
      <c r="P9" s="97" t="e">
        <f t="shared" si="2"/>
        <v>#REF!</v>
      </c>
      <c r="Q9" s="108"/>
    </row>
    <row r="10" spans="2:17" x14ac:dyDescent="0.25">
      <c r="B10" s="55" t="s">
        <v>7</v>
      </c>
      <c r="C10" s="72">
        <f>Juillet!R36</f>
        <v>163.36666666666667</v>
      </c>
      <c r="D10" s="73">
        <f>Juillet!S36</f>
        <v>163.73999999999998</v>
      </c>
      <c r="E10" s="113">
        <f t="shared" si="0"/>
        <v>-0.37333333333330643</v>
      </c>
      <c r="I10" s="110" t="s">
        <v>7</v>
      </c>
      <c r="J10" s="541">
        <f t="shared" si="1"/>
        <v>163.36666666666665</v>
      </c>
      <c r="K10" s="542"/>
      <c r="L10" s="549">
        <f>Juillet!Q36</f>
        <v>6.8069444444444436</v>
      </c>
      <c r="M10" s="550"/>
      <c r="N10" s="104">
        <f>L10/Juillet!C36</f>
        <v>0.25210905349794238</v>
      </c>
      <c r="O10" s="96">
        <f>L10-O3</f>
        <v>0.63194444444444375</v>
      </c>
      <c r="P10" s="97" t="e">
        <f t="shared" si="2"/>
        <v>#REF!</v>
      </c>
      <c r="Q10" s="108"/>
    </row>
    <row r="11" spans="2:17" x14ac:dyDescent="0.25">
      <c r="B11" s="55" t="s">
        <v>8</v>
      </c>
      <c r="C11" s="72">
        <f>Aout!R36</f>
        <v>179.8833333333333</v>
      </c>
      <c r="D11" s="73">
        <f>Aout!S36</f>
        <v>174.09000000000003</v>
      </c>
      <c r="E11" s="113">
        <f t="shared" si="0"/>
        <v>5.7933333333332655</v>
      </c>
      <c r="I11" s="110" t="s">
        <v>8</v>
      </c>
      <c r="J11" s="541">
        <f t="shared" si="1"/>
        <v>179.8833333333333</v>
      </c>
      <c r="K11" s="542"/>
      <c r="L11" s="549">
        <f>Aout!Q36</f>
        <v>7.4951388888888877</v>
      </c>
      <c r="M11" s="550"/>
      <c r="N11" s="104">
        <f>L11/Aout!C36</f>
        <v>0.31229745370370365</v>
      </c>
      <c r="O11" s="96">
        <f>L11-O3</f>
        <v>1.3201388888888879</v>
      </c>
      <c r="P11" s="97">
        <f t="shared" si="2"/>
        <v>471.764833333333</v>
      </c>
      <c r="Q11" s="108" t="s">
        <v>146</v>
      </c>
    </row>
    <row r="12" spans="2:17" x14ac:dyDescent="0.25">
      <c r="B12" s="55" t="s">
        <v>9</v>
      </c>
      <c r="C12" s="72" t="e">
        <f>Septembre!#REF!</f>
        <v>#REF!</v>
      </c>
      <c r="D12" s="73">
        <f>Septembre!S35</f>
        <v>228.92</v>
      </c>
      <c r="E12" s="113" t="e">
        <f t="shared" si="0"/>
        <v>#REF!</v>
      </c>
      <c r="I12" s="110" t="s">
        <v>9</v>
      </c>
      <c r="J12" s="541">
        <f t="shared" si="1"/>
        <v>229.64999999999995</v>
      </c>
      <c r="K12" s="542"/>
      <c r="L12" s="549">
        <f>Septembre!Q35</f>
        <v>9.5687499999999979</v>
      </c>
      <c r="M12" s="550"/>
      <c r="N12" s="104">
        <f>L12/Septembre!C35</f>
        <v>0.35439814814814807</v>
      </c>
      <c r="O12" s="96">
        <f>L12-O3</f>
        <v>3.393749999999998</v>
      </c>
      <c r="P12" s="97">
        <f t="shared" si="2"/>
        <v>1212.7904999999994</v>
      </c>
      <c r="Q12" s="108" t="s">
        <v>146</v>
      </c>
    </row>
    <row r="13" spans="2:17" x14ac:dyDescent="0.25">
      <c r="B13" s="55" t="s">
        <v>12</v>
      </c>
      <c r="C13" s="72">
        <f>Octobre!R36</f>
        <v>195.91666666666663</v>
      </c>
      <c r="D13" s="73">
        <f>Octobre!O36</f>
        <v>0</v>
      </c>
      <c r="E13" s="113">
        <f t="shared" si="0"/>
        <v>195.91666666666663</v>
      </c>
      <c r="I13" s="110" t="s">
        <v>12</v>
      </c>
      <c r="J13" s="541">
        <f t="shared" si="1"/>
        <v>195.91666666666669</v>
      </c>
      <c r="K13" s="542"/>
      <c r="L13" s="549">
        <f>Octobre!Q36</f>
        <v>8.1631944444444446</v>
      </c>
      <c r="M13" s="550"/>
      <c r="N13" s="104">
        <f>L13/Octobre!C36</f>
        <v>0.31396901709401709</v>
      </c>
      <c r="O13" s="96">
        <f>L13-O3</f>
        <v>1.9881944444444448</v>
      </c>
      <c r="P13" s="97">
        <f t="shared" si="2"/>
        <v>710.50116666666679</v>
      </c>
      <c r="Q13" s="108"/>
    </row>
    <row r="14" spans="2:17" x14ac:dyDescent="0.25">
      <c r="B14" s="55" t="s">
        <v>10</v>
      </c>
      <c r="C14" s="72">
        <f>Novembre!R36</f>
        <v>5.8729166666666668</v>
      </c>
      <c r="D14" s="73">
        <f>Novembre!S36</f>
        <v>140.95000000000002</v>
      </c>
      <c r="E14" s="113">
        <f t="shared" si="0"/>
        <v>-135.07708333333335</v>
      </c>
      <c r="I14" s="110" t="s">
        <v>10</v>
      </c>
      <c r="J14" s="541">
        <f t="shared" si="1"/>
        <v>4</v>
      </c>
      <c r="K14" s="542"/>
      <c r="L14" s="549">
        <f>Novembre!Q36</f>
        <v>0.16666666666666666</v>
      </c>
      <c r="M14" s="550"/>
      <c r="N14" s="104">
        <f>L14/Novembre!C36</f>
        <v>7.5757575757575751E-3</v>
      </c>
      <c r="O14" s="96">
        <f>L14-O3</f>
        <v>-6.0083333333333329</v>
      </c>
      <c r="P14" s="97">
        <f t="shared" si="2"/>
        <v>0</v>
      </c>
      <c r="Q14" s="108"/>
    </row>
    <row r="15" spans="2:17" ht="16.5" thickBot="1" x14ac:dyDescent="0.3">
      <c r="B15" s="55" t="s">
        <v>11</v>
      </c>
      <c r="C15" s="72">
        <f>Décembre!S36</f>
        <v>99.066666666666677</v>
      </c>
      <c r="D15" s="73">
        <f>Décembre!T36</f>
        <v>0</v>
      </c>
      <c r="E15" s="113">
        <f t="shared" si="0"/>
        <v>99.066666666666677</v>
      </c>
      <c r="I15" s="110" t="s">
        <v>11</v>
      </c>
      <c r="J15" s="543">
        <f t="shared" si="1"/>
        <v>99.066666666666663</v>
      </c>
      <c r="K15" s="544"/>
      <c r="L15" s="539">
        <f>Décembre!R36</f>
        <v>4.1277777777777773</v>
      </c>
      <c r="M15" s="540"/>
      <c r="N15" s="105">
        <f>L15/Décembre!C36</f>
        <v>0.21725146198830406</v>
      </c>
      <c r="O15" s="98">
        <f>L15-O3</f>
        <v>-2.0472222222222225</v>
      </c>
      <c r="P15" s="99">
        <f>IF(O15*14.89*24&lt;O14,0,O15*14.89*24)</f>
        <v>0</v>
      </c>
      <c r="Q15" s="108"/>
    </row>
    <row r="16" spans="2:17" ht="16.5" thickBot="1" x14ac:dyDescent="0.3">
      <c r="B16" s="52"/>
      <c r="C16" s="74" t="e">
        <f>SUM(C4:C15)</f>
        <v>#REF!</v>
      </c>
      <c r="D16" s="74">
        <f>SUM(D4:D15)</f>
        <v>1560.7900000000002</v>
      </c>
      <c r="E16" s="114" t="e">
        <f>SUM(E4:E15)</f>
        <v>#REF!</v>
      </c>
      <c r="I16" s="111" t="s">
        <v>17</v>
      </c>
      <c r="J16" s="545" t="e">
        <f>SUM(J4:K15)</f>
        <v>#REF!</v>
      </c>
      <c r="K16" s="546"/>
      <c r="L16" s="547" t="e">
        <f>SUM(L4:M15)</f>
        <v>#REF!</v>
      </c>
      <c r="M16" s="548"/>
      <c r="N16" s="106"/>
      <c r="O16" s="100" t="e">
        <f>SUM(O4:O15)</f>
        <v>#REF!</v>
      </c>
      <c r="P16" s="101"/>
      <c r="Q16" s="108"/>
    </row>
    <row r="17" spans="1:17" ht="16.5" thickBot="1" x14ac:dyDescent="0.3">
      <c r="B17" s="75"/>
      <c r="C17" s="76"/>
      <c r="D17" s="76"/>
      <c r="E17" s="77"/>
      <c r="J17" s="172">
        <f>C24</f>
        <v>1649.81</v>
      </c>
      <c r="K17" s="171" t="e">
        <f>J17-J16</f>
        <v>#REF!</v>
      </c>
      <c r="L17" s="173" t="e">
        <f>M17-L16</f>
        <v>#REF!</v>
      </c>
      <c r="M17" s="174">
        <v>68.742361111111109</v>
      </c>
      <c r="N17" s="107" t="e">
        <f>SUM(N3:N15)/12</f>
        <v>#REF!</v>
      </c>
      <c r="O17" s="92" t="e">
        <f>O16*24</f>
        <v>#REF!</v>
      </c>
      <c r="P17" s="93" t="e">
        <f>SUM(P4:P15)</f>
        <v>#REF!</v>
      </c>
      <c r="Q17" s="108"/>
    </row>
    <row r="18" spans="1:17" x14ac:dyDescent="0.25">
      <c r="C18" s="3"/>
      <c r="D18" s="3"/>
      <c r="O18" s="27"/>
      <c r="P18" s="27"/>
      <c r="Q18" s="27"/>
    </row>
    <row r="19" spans="1:17" x14ac:dyDescent="0.25">
      <c r="C19" s="537"/>
      <c r="D19" s="538"/>
      <c r="F19" s="1"/>
      <c r="G19" s="1"/>
      <c r="H19" s="1"/>
      <c r="K19" s="3"/>
      <c r="L19" s="3"/>
      <c r="O19" s="27"/>
      <c r="P19" s="27"/>
      <c r="Q19" s="27"/>
    </row>
    <row r="20" spans="1:17" ht="16.5" thickBot="1" x14ac:dyDescent="0.3">
      <c r="C20" s="3"/>
      <c r="D20" s="3"/>
      <c r="F20" s="26"/>
      <c r="G20" s="62"/>
      <c r="H20" s="62"/>
      <c r="I20" s="27"/>
      <c r="J20" s="27"/>
      <c r="K20" s="27"/>
      <c r="L20" s="27"/>
      <c r="M20" s="1"/>
      <c r="N20" s="1"/>
    </row>
    <row r="21" spans="1:17" x14ac:dyDescent="0.25">
      <c r="A21" s="30"/>
      <c r="B21" s="40" t="s">
        <v>113</v>
      </c>
      <c r="C21" s="82">
        <v>1539</v>
      </c>
      <c r="D21" s="27"/>
      <c r="F21" s="40" t="s">
        <v>118</v>
      </c>
      <c r="G21" s="82">
        <v>22.5</v>
      </c>
    </row>
    <row r="22" spans="1:17" x14ac:dyDescent="0.25">
      <c r="A22" s="30"/>
      <c r="B22" s="41" t="s">
        <v>114</v>
      </c>
      <c r="C22" s="89">
        <v>88.01</v>
      </c>
      <c r="D22" s="27"/>
      <c r="F22" s="43" t="s">
        <v>116</v>
      </c>
      <c r="G22" s="83">
        <v>10</v>
      </c>
    </row>
    <row r="23" spans="1:17" ht="16.5" thickBot="1" x14ac:dyDescent="0.3">
      <c r="A23" s="30"/>
      <c r="B23" s="45" t="s">
        <v>115</v>
      </c>
      <c r="C23" s="87">
        <v>22.8</v>
      </c>
      <c r="D23" s="27"/>
      <c r="F23" s="48"/>
      <c r="G23" s="84"/>
    </row>
    <row r="24" spans="1:17" ht="16.5" thickBot="1" x14ac:dyDescent="0.3">
      <c r="A24" s="30"/>
      <c r="B24" s="47" t="s">
        <v>117</v>
      </c>
      <c r="C24" s="90">
        <f>SUM(C21:C23)</f>
        <v>1649.81</v>
      </c>
      <c r="D24" s="27"/>
      <c r="F24" s="49" t="s">
        <v>114</v>
      </c>
      <c r="G24" s="85">
        <f>(G21-G22-0.92)*7.6</f>
        <v>88.007999999999996</v>
      </c>
      <c r="I24" s="78"/>
    </row>
    <row r="25" spans="1:17" x14ac:dyDescent="0.25">
      <c r="A25" s="30"/>
      <c r="B25" s="31"/>
      <c r="C25" s="31"/>
      <c r="D25" s="27"/>
      <c r="G25" s="27"/>
    </row>
    <row r="26" spans="1:17" x14ac:dyDescent="0.25">
      <c r="A26" s="30"/>
      <c r="B26" s="32"/>
      <c r="C26" s="32"/>
      <c r="D26" s="27"/>
      <c r="F26" s="27"/>
      <c r="G26" s="27"/>
      <c r="H26" s="27"/>
    </row>
    <row r="27" spans="1:17" ht="16.5" thickBot="1" x14ac:dyDescent="0.3">
      <c r="A27" s="30"/>
      <c r="B27" s="27"/>
      <c r="C27" s="27"/>
    </row>
    <row r="28" spans="1:17" x14ac:dyDescent="0.25">
      <c r="A28" s="30"/>
      <c r="B28" s="40" t="s">
        <v>117</v>
      </c>
      <c r="C28" s="82">
        <f>C24</f>
        <v>1649.81</v>
      </c>
      <c r="D28" s="27"/>
      <c r="F28" s="40" t="s">
        <v>119</v>
      </c>
      <c r="G28" s="44">
        <v>23</v>
      </c>
      <c r="I28" s="79"/>
    </row>
    <row r="29" spans="1:17" x14ac:dyDescent="0.25">
      <c r="A29" s="30"/>
      <c r="B29" s="51" t="s">
        <v>121</v>
      </c>
      <c r="C29" s="86" t="e">
        <f>C16</f>
        <v>#REF!</v>
      </c>
      <c r="D29" s="27"/>
      <c r="F29" s="41" t="s">
        <v>120</v>
      </c>
      <c r="G29" s="42">
        <v>2</v>
      </c>
    </row>
    <row r="30" spans="1:17" ht="16.5" thickBot="1" x14ac:dyDescent="0.3">
      <c r="A30" s="30"/>
      <c r="B30" s="53" t="s">
        <v>122</v>
      </c>
      <c r="C30" s="87">
        <v>47.66</v>
      </c>
      <c r="D30" s="27"/>
      <c r="F30" s="45"/>
      <c r="G30" s="46"/>
    </row>
    <row r="31" spans="1:17" ht="16.5" thickBot="1" x14ac:dyDescent="0.3">
      <c r="A31" s="30"/>
      <c r="B31" s="54" t="s">
        <v>123</v>
      </c>
      <c r="C31" s="88" t="e">
        <f>(C28-C29)+C30</f>
        <v>#REF!</v>
      </c>
      <c r="D31" s="27"/>
      <c r="F31" s="50" t="s">
        <v>115</v>
      </c>
      <c r="G31" s="81">
        <f>(G28-G29)*7.6</f>
        <v>159.6</v>
      </c>
    </row>
    <row r="32" spans="1:17" x14ac:dyDescent="0.25">
      <c r="A32" s="30"/>
      <c r="B32" s="556"/>
      <c r="C32" s="556"/>
      <c r="D32" s="27"/>
      <c r="F32" s="27"/>
      <c r="G32" s="28"/>
    </row>
    <row r="33" spans="1:12" x14ac:dyDescent="0.25">
      <c r="A33" s="30"/>
      <c r="B33" s="60"/>
      <c r="C33" s="60"/>
      <c r="D33" s="27"/>
      <c r="F33" s="27"/>
      <c r="G33" s="28"/>
    </row>
    <row r="34" spans="1:12" x14ac:dyDescent="0.25">
      <c r="B34" s="2" t="s">
        <v>158</v>
      </c>
      <c r="C34" s="2">
        <f>8.852</f>
        <v>8.8520000000000003</v>
      </c>
    </row>
    <row r="35" spans="1:12" x14ac:dyDescent="0.25">
      <c r="I35" s="27"/>
      <c r="J35" s="27"/>
      <c r="K35" s="27"/>
      <c r="L35" s="27"/>
    </row>
    <row r="36" spans="1:12" x14ac:dyDescent="0.25">
      <c r="I36" s="31"/>
      <c r="J36" s="27"/>
      <c r="K36" s="27"/>
      <c r="L36" s="27"/>
    </row>
    <row r="37" spans="1:12" x14ac:dyDescent="0.25">
      <c r="I37" s="34"/>
      <c r="J37" s="27"/>
      <c r="K37" s="27"/>
      <c r="L37" s="27"/>
    </row>
    <row r="38" spans="1:12" x14ac:dyDescent="0.25">
      <c r="I38" s="33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66"/>
      <c r="J41" s="27"/>
      <c r="K41" s="27"/>
      <c r="L41" s="27"/>
    </row>
    <row r="42" spans="1:12" x14ac:dyDescent="0.25">
      <c r="I42" s="27"/>
      <c r="J42" s="27"/>
      <c r="K42" s="27"/>
      <c r="L42" s="27"/>
    </row>
    <row r="43" spans="1:12" x14ac:dyDescent="0.25">
      <c r="I43" s="34"/>
      <c r="J43" s="27"/>
      <c r="K43" s="27"/>
      <c r="L43" s="27"/>
    </row>
    <row r="44" spans="1:12" x14ac:dyDescent="0.25">
      <c r="I44" s="35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x14ac:dyDescent="0.25">
      <c r="I47" s="555"/>
      <c r="J47" s="555"/>
      <c r="K47" s="36"/>
      <c r="L47" s="27"/>
    </row>
    <row r="48" spans="1:12" x14ac:dyDescent="0.25">
      <c r="I48" s="29"/>
      <c r="J48" s="29"/>
      <c r="K48" s="37"/>
      <c r="L48" s="27"/>
    </row>
    <row r="49" spans="3:12" x14ac:dyDescent="0.25">
      <c r="I49" s="38"/>
      <c r="J49" s="38"/>
      <c r="K49" s="39"/>
      <c r="L49" s="27"/>
    </row>
    <row r="50" spans="3:12" x14ac:dyDescent="0.25">
      <c r="I50" s="29"/>
      <c r="J50" s="29"/>
      <c r="K50" s="29"/>
      <c r="L50" s="27"/>
    </row>
    <row r="51" spans="3:12" x14ac:dyDescent="0.25">
      <c r="I51" s="27"/>
      <c r="J51" s="27"/>
      <c r="K51" s="27"/>
      <c r="L51" s="27"/>
    </row>
    <row r="52" spans="3:12" x14ac:dyDescent="0.25">
      <c r="F52" s="27"/>
      <c r="G52" s="27"/>
      <c r="H52" s="27"/>
      <c r="I52" s="27"/>
      <c r="J52" s="27"/>
      <c r="K52" s="27"/>
      <c r="L52" s="27"/>
    </row>
    <row r="53" spans="3:12" x14ac:dyDescent="0.25">
      <c r="C53" s="3"/>
      <c r="D53" s="3"/>
      <c r="F53" s="27"/>
      <c r="G53" s="27"/>
      <c r="H53" s="27"/>
      <c r="I53" s="27"/>
      <c r="J53" s="27"/>
      <c r="K53" s="27"/>
      <c r="L53" s="27"/>
    </row>
    <row r="54" spans="3:12" x14ac:dyDescent="0.25">
      <c r="C54" s="3"/>
      <c r="D54" s="3"/>
    </row>
    <row r="55" spans="3:12" x14ac:dyDescent="0.25">
      <c r="C55" s="3"/>
      <c r="D55" s="3"/>
    </row>
    <row r="56" spans="3:12" x14ac:dyDescent="0.25">
      <c r="C56" s="3"/>
      <c r="D56" s="3"/>
    </row>
    <row r="57" spans="3:12" x14ac:dyDescent="0.25">
      <c r="C57" s="3"/>
      <c r="D57" s="3"/>
    </row>
    <row r="58" spans="3:12" x14ac:dyDescent="0.25">
      <c r="C58" s="3"/>
      <c r="D58" s="3"/>
    </row>
    <row r="59" spans="3:12" x14ac:dyDescent="0.25">
      <c r="C59" s="3"/>
      <c r="D59" s="3"/>
    </row>
    <row r="60" spans="3:12" x14ac:dyDescent="0.25">
      <c r="C60" s="3"/>
      <c r="D60" s="3"/>
    </row>
    <row r="61" spans="3:12" x14ac:dyDescent="0.25">
      <c r="C61" s="3"/>
      <c r="D61" s="3"/>
    </row>
    <row r="62" spans="3:12" x14ac:dyDescent="0.25">
      <c r="C62" s="3"/>
      <c r="D62" s="3"/>
    </row>
    <row r="63" spans="3:12" x14ac:dyDescent="0.25">
      <c r="C63" s="3"/>
      <c r="D63" s="3"/>
    </row>
    <row r="64" spans="3:12" x14ac:dyDescent="0.25">
      <c r="C64" s="3"/>
      <c r="D64" s="3"/>
    </row>
    <row r="65" spans="3:4" x14ac:dyDescent="0.25">
      <c r="C65" s="3"/>
      <c r="D65" s="3"/>
    </row>
    <row r="66" spans="3:4" x14ac:dyDescent="0.25">
      <c r="C66" s="3"/>
      <c r="D66" s="3"/>
    </row>
    <row r="67" spans="3:4" x14ac:dyDescent="0.25">
      <c r="C67" s="3"/>
      <c r="D67" s="3"/>
    </row>
    <row r="68" spans="3:4" x14ac:dyDescent="0.25">
      <c r="C68" s="3"/>
      <c r="D68" s="3"/>
    </row>
    <row r="69" spans="3:4" x14ac:dyDescent="0.25">
      <c r="C69" s="3"/>
      <c r="D69" s="3"/>
    </row>
    <row r="70" spans="3:4" x14ac:dyDescent="0.25">
      <c r="C70" s="3"/>
      <c r="D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3"/>
      <c r="D74" s="3"/>
    </row>
    <row r="75" spans="3:4" x14ac:dyDescent="0.25">
      <c r="C75" s="3"/>
      <c r="D75" s="3"/>
    </row>
    <row r="76" spans="3:4" x14ac:dyDescent="0.25">
      <c r="C76" s="3"/>
      <c r="D76" s="3"/>
    </row>
    <row r="77" spans="3:4" x14ac:dyDescent="0.25">
      <c r="C77" s="3"/>
      <c r="D77" s="3"/>
    </row>
    <row r="78" spans="3:4" x14ac:dyDescent="0.25">
      <c r="C78" s="3"/>
      <c r="D78" s="3"/>
    </row>
    <row r="79" spans="3:4" x14ac:dyDescent="0.25">
      <c r="C79" s="3"/>
      <c r="D79" s="3"/>
    </row>
    <row r="80" spans="3:4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  <row r="115" spans="3:4" x14ac:dyDescent="0.25">
      <c r="C115" s="3"/>
      <c r="D115" s="3"/>
    </row>
    <row r="116" spans="3:4" x14ac:dyDescent="0.25">
      <c r="C116" s="3"/>
      <c r="D116" s="3"/>
    </row>
    <row r="117" spans="3:4" x14ac:dyDescent="0.25">
      <c r="C117" s="3"/>
      <c r="D117" s="3"/>
    </row>
    <row r="118" spans="3:4" x14ac:dyDescent="0.25">
      <c r="C118" s="3"/>
      <c r="D118" s="3"/>
    </row>
    <row r="119" spans="3:4" x14ac:dyDescent="0.25">
      <c r="C119" s="3"/>
      <c r="D119" s="3"/>
    </row>
    <row r="120" spans="3:4" x14ac:dyDescent="0.25">
      <c r="C120" s="3"/>
      <c r="D120" s="3"/>
    </row>
    <row r="121" spans="3:4" x14ac:dyDescent="0.25">
      <c r="C121" s="3"/>
      <c r="D121" s="3"/>
    </row>
    <row r="122" spans="3:4" x14ac:dyDescent="0.25">
      <c r="C122" s="3"/>
      <c r="D122" s="3"/>
    </row>
    <row r="123" spans="3:4" x14ac:dyDescent="0.25">
      <c r="C123" s="3"/>
      <c r="D123" s="3"/>
    </row>
    <row r="124" spans="3:4" x14ac:dyDescent="0.25">
      <c r="C124" s="3"/>
      <c r="D124" s="3"/>
    </row>
    <row r="125" spans="3:4" x14ac:dyDescent="0.25">
      <c r="C125" s="3"/>
      <c r="D125" s="3"/>
    </row>
    <row r="126" spans="3:4" x14ac:dyDescent="0.25">
      <c r="C126" s="3"/>
      <c r="D126" s="3"/>
    </row>
    <row r="127" spans="3:4" x14ac:dyDescent="0.25">
      <c r="C127" s="3"/>
      <c r="D127" s="3"/>
    </row>
    <row r="128" spans="3:4" x14ac:dyDescent="0.25">
      <c r="C128" s="3"/>
      <c r="D128" s="3"/>
    </row>
    <row r="129" spans="3:4" x14ac:dyDescent="0.25">
      <c r="C129" s="3"/>
      <c r="D129" s="3"/>
    </row>
    <row r="130" spans="3:4" x14ac:dyDescent="0.25">
      <c r="C130" s="3"/>
      <c r="D130" s="3"/>
    </row>
    <row r="131" spans="3:4" x14ac:dyDescent="0.25">
      <c r="C131" s="3"/>
      <c r="D131" s="3"/>
    </row>
    <row r="132" spans="3:4" x14ac:dyDescent="0.25">
      <c r="C132" s="3"/>
      <c r="D132" s="3"/>
    </row>
    <row r="133" spans="3:4" x14ac:dyDescent="0.25">
      <c r="C133" s="3"/>
      <c r="D133" s="3"/>
    </row>
    <row r="134" spans="3:4" x14ac:dyDescent="0.25">
      <c r="C134" s="3"/>
      <c r="D134" s="3"/>
    </row>
    <row r="135" spans="3:4" x14ac:dyDescent="0.25">
      <c r="C135" s="3"/>
      <c r="D135" s="3"/>
    </row>
    <row r="136" spans="3:4" x14ac:dyDescent="0.25">
      <c r="C136" s="3"/>
      <c r="D136" s="3"/>
    </row>
    <row r="137" spans="3:4" x14ac:dyDescent="0.25">
      <c r="C137" s="3"/>
      <c r="D137" s="3"/>
    </row>
    <row r="138" spans="3:4" x14ac:dyDescent="0.25">
      <c r="C138" s="3"/>
      <c r="D138" s="3"/>
    </row>
    <row r="139" spans="3:4" x14ac:dyDescent="0.25">
      <c r="C139" s="3"/>
      <c r="D139" s="3"/>
    </row>
    <row r="140" spans="3:4" x14ac:dyDescent="0.25">
      <c r="C140" s="3"/>
      <c r="D140" s="3"/>
    </row>
    <row r="141" spans="3:4" x14ac:dyDescent="0.25">
      <c r="C141" s="3"/>
      <c r="D141" s="3"/>
    </row>
    <row r="142" spans="3:4" x14ac:dyDescent="0.25">
      <c r="C142" s="3"/>
      <c r="D142" s="3"/>
    </row>
    <row r="143" spans="3:4" x14ac:dyDescent="0.25">
      <c r="C143" s="3"/>
      <c r="D143" s="3"/>
    </row>
    <row r="144" spans="3:4" x14ac:dyDescent="0.25">
      <c r="C144" s="3"/>
      <c r="D144" s="3"/>
    </row>
    <row r="145" spans="3:4" x14ac:dyDescent="0.25">
      <c r="C145" s="3"/>
      <c r="D145" s="3"/>
    </row>
    <row r="146" spans="3:4" x14ac:dyDescent="0.25">
      <c r="C146" s="3"/>
      <c r="D146" s="3"/>
    </row>
    <row r="147" spans="3:4" x14ac:dyDescent="0.25">
      <c r="C147" s="3"/>
      <c r="D147" s="3"/>
    </row>
    <row r="148" spans="3:4" x14ac:dyDescent="0.25">
      <c r="C148" s="3"/>
      <c r="D148" s="3"/>
    </row>
    <row r="149" spans="3:4" x14ac:dyDescent="0.25">
      <c r="C149" s="3"/>
      <c r="D149" s="3"/>
    </row>
    <row r="150" spans="3:4" x14ac:dyDescent="0.25">
      <c r="C150" s="3"/>
      <c r="D150" s="3"/>
    </row>
    <row r="151" spans="3:4" x14ac:dyDescent="0.25">
      <c r="C151" s="3"/>
      <c r="D151" s="3"/>
    </row>
    <row r="152" spans="3:4" x14ac:dyDescent="0.25">
      <c r="C152" s="3"/>
      <c r="D152" s="3"/>
    </row>
    <row r="153" spans="3:4" x14ac:dyDescent="0.25">
      <c r="C153" s="3"/>
      <c r="D153" s="3"/>
    </row>
    <row r="154" spans="3:4" x14ac:dyDescent="0.25">
      <c r="C154" s="3"/>
      <c r="D154" s="3"/>
    </row>
    <row r="155" spans="3:4" x14ac:dyDescent="0.25">
      <c r="C155" s="3"/>
      <c r="D155" s="3"/>
    </row>
    <row r="156" spans="3:4" x14ac:dyDescent="0.25">
      <c r="C156" s="3"/>
      <c r="D156" s="3"/>
    </row>
    <row r="157" spans="3:4" x14ac:dyDescent="0.25">
      <c r="C157" s="3"/>
      <c r="D157" s="3"/>
    </row>
    <row r="158" spans="3:4" x14ac:dyDescent="0.25">
      <c r="C158" s="3"/>
      <c r="D158" s="3"/>
    </row>
    <row r="159" spans="3:4" x14ac:dyDescent="0.25">
      <c r="C159" s="3"/>
      <c r="D159" s="3"/>
    </row>
    <row r="160" spans="3:4" x14ac:dyDescent="0.25">
      <c r="C160" s="3"/>
      <c r="D160" s="3"/>
    </row>
    <row r="161" spans="3:4" x14ac:dyDescent="0.25">
      <c r="C161" s="3"/>
      <c r="D161" s="3"/>
    </row>
    <row r="162" spans="3:4" x14ac:dyDescent="0.25">
      <c r="C162" s="3"/>
      <c r="D162" s="3"/>
    </row>
    <row r="163" spans="3:4" x14ac:dyDescent="0.25">
      <c r="C163" s="3"/>
      <c r="D163" s="3"/>
    </row>
    <row r="164" spans="3:4" x14ac:dyDescent="0.25">
      <c r="C164" s="3"/>
      <c r="D164" s="3"/>
    </row>
    <row r="165" spans="3:4" x14ac:dyDescent="0.25">
      <c r="C165" s="3"/>
      <c r="D165" s="3"/>
    </row>
    <row r="166" spans="3:4" x14ac:dyDescent="0.25">
      <c r="C166" s="3"/>
      <c r="D166" s="3"/>
    </row>
    <row r="167" spans="3:4" x14ac:dyDescent="0.25">
      <c r="C167" s="3"/>
      <c r="D167" s="3"/>
    </row>
    <row r="168" spans="3:4" x14ac:dyDescent="0.25">
      <c r="C168" s="3"/>
      <c r="D168" s="3"/>
    </row>
  </sheetData>
  <mergeCells count="32">
    <mergeCell ref="L3:M3"/>
    <mergeCell ref="L5:M5"/>
    <mergeCell ref="L6:M6"/>
    <mergeCell ref="L7:M7"/>
    <mergeCell ref="L8:M8"/>
    <mergeCell ref="L4:M4"/>
    <mergeCell ref="J4:K4"/>
    <mergeCell ref="J3:K3"/>
    <mergeCell ref="I47:J47"/>
    <mergeCell ref="B32:C32"/>
    <mergeCell ref="O2:P2"/>
    <mergeCell ref="L14:M14"/>
    <mergeCell ref="J5:K5"/>
    <mergeCell ref="J7:K7"/>
    <mergeCell ref="J8:K8"/>
    <mergeCell ref="J9:K9"/>
    <mergeCell ref="J10:K10"/>
    <mergeCell ref="J11:K11"/>
    <mergeCell ref="L9:M9"/>
    <mergeCell ref="L10:M10"/>
    <mergeCell ref="L11:M11"/>
    <mergeCell ref="L12:M12"/>
    <mergeCell ref="C19:D19"/>
    <mergeCell ref="L15:M15"/>
    <mergeCell ref="J6:K6"/>
    <mergeCell ref="J12:K12"/>
    <mergeCell ref="J13:K13"/>
    <mergeCell ref="J14:K14"/>
    <mergeCell ref="J15:K15"/>
    <mergeCell ref="J16:K16"/>
    <mergeCell ref="L16:M16"/>
    <mergeCell ref="L13:M13"/>
  </mergeCells>
  <conditionalFormatting sqref="N17">
    <cfRule type="cellIs" dxfId="2" priority="4" operator="greaterThanOrEqual">
      <formula>0.0416666666666667</formula>
    </cfRule>
  </conditionalFormatting>
  <conditionalFormatting sqref="K17">
    <cfRule type="cellIs" dxfId="1" priority="3" operator="greaterThanOrEqual">
      <formula>1</formula>
    </cfRule>
  </conditionalFormatting>
  <conditionalFormatting sqref="O4:O16">
    <cfRule type="cellIs" dxfId="0" priority="1" operator="greaterThanOrEqual">
      <formula>0.000694444444444444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C4" sqref="C4"/>
    </sheetView>
  </sheetViews>
  <sheetFormatPr baseColWidth="10" defaultRowHeight="15.75" x14ac:dyDescent="0.25"/>
  <cols>
    <col min="1" max="16384" width="11.42578125" style="2"/>
  </cols>
  <sheetData>
    <row r="2" spans="2:9" ht="16.5" thickBot="1" x14ac:dyDescent="0.3">
      <c r="E2" s="3"/>
      <c r="F2" s="3"/>
    </row>
    <row r="3" spans="2:9" x14ac:dyDescent="0.25">
      <c r="B3" s="204" t="s">
        <v>183</v>
      </c>
      <c r="C3" s="205" t="s">
        <v>182</v>
      </c>
      <c r="D3" s="206" t="s">
        <v>184</v>
      </c>
      <c r="E3" s="207" t="s">
        <v>180</v>
      </c>
      <c r="F3" s="208" t="s">
        <v>181</v>
      </c>
      <c r="G3" s="209" t="s">
        <v>185</v>
      </c>
      <c r="H3" s="210" t="s">
        <v>186</v>
      </c>
      <c r="I3" s="211" t="s">
        <v>187</v>
      </c>
    </row>
    <row r="4" spans="2:9" ht="16.5" thickBot="1" x14ac:dyDescent="0.3">
      <c r="B4" s="212">
        <f>(1885.65+213)</f>
        <v>2098.65</v>
      </c>
      <c r="C4" s="213">
        <v>8.8528000000000002</v>
      </c>
      <c r="D4" s="214">
        <f>C4*2</f>
        <v>17.7056</v>
      </c>
      <c r="E4" s="215">
        <f>C4*2</f>
        <v>17.7056</v>
      </c>
      <c r="F4" s="216">
        <f>C4*2</f>
        <v>17.7056</v>
      </c>
      <c r="G4" s="217">
        <f>C4*5</f>
        <v>44.264000000000003</v>
      </c>
      <c r="H4" s="218">
        <f>C4*7</f>
        <v>61.9696</v>
      </c>
      <c r="I4" s="219">
        <f>B4/20</f>
        <v>104.9325</v>
      </c>
    </row>
    <row r="5" spans="2:9" x14ac:dyDescent="0.25">
      <c r="C5" s="3"/>
      <c r="D5" s="3"/>
      <c r="E5" s="3"/>
      <c r="F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U48"/>
  <sheetViews>
    <sheetView zoomScale="106" zoomScaleNormal="106" workbookViewId="0">
      <selection activeCell="F2" sqref="F1:F1048576"/>
    </sheetView>
  </sheetViews>
  <sheetFormatPr baseColWidth="10" defaultRowHeight="15" x14ac:dyDescent="0.25"/>
  <cols>
    <col min="1" max="1" width="2.7109375" style="125" customWidth="1"/>
    <col min="2" max="2" width="15.7109375" style="125" customWidth="1"/>
    <col min="3" max="3" width="14.7109375" style="125" customWidth="1"/>
    <col min="4" max="4" width="14.7109375" style="160" customWidth="1"/>
    <col min="5" max="9" width="14.7109375" style="125" customWidth="1"/>
    <col min="10" max="19" width="10.7109375" style="125" customWidth="1"/>
    <col min="20" max="20" width="10.7109375" style="159" customWidth="1"/>
    <col min="21" max="21" width="14.7109375" style="125" customWidth="1"/>
    <col min="22" max="22" width="8.7109375" style="125" customWidth="1"/>
    <col min="23" max="23" width="3.42578125" style="125" customWidth="1"/>
    <col min="24" max="24" width="8.7109375" style="125" customWidth="1"/>
    <col min="25" max="25" width="2.5703125" style="125" customWidth="1"/>
    <col min="26" max="26" width="8.140625" style="125" customWidth="1"/>
    <col min="27" max="27" width="3.5703125" style="125" customWidth="1"/>
    <col min="28" max="28" width="13.5703125" style="125" customWidth="1"/>
    <col min="29" max="16384" width="11.42578125" style="125"/>
  </cols>
  <sheetData>
    <row r="1" spans="1:20" s="126" customFormat="1" ht="15.75" thickBot="1" x14ac:dyDescent="0.3">
      <c r="A1" s="124"/>
      <c r="B1" s="515" t="s">
        <v>15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125"/>
      <c r="T1" s="127"/>
    </row>
    <row r="2" spans="1:20" s="126" customFormat="1" ht="15.75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89"/>
      <c r="P2" s="189"/>
      <c r="Q2" s="516" t="s">
        <v>17</v>
      </c>
      <c r="R2" s="517"/>
      <c r="S2" s="517"/>
      <c r="T2" s="518"/>
    </row>
    <row r="3" spans="1:20" s="126" customFormat="1" ht="15.75" thickBot="1" x14ac:dyDescent="0.3">
      <c r="A3" s="124"/>
      <c r="B3" s="128" t="s">
        <v>135</v>
      </c>
      <c r="C3" s="128" t="s">
        <v>18</v>
      </c>
      <c r="D3" s="162" t="s">
        <v>13</v>
      </c>
      <c r="E3" s="163"/>
      <c r="F3" s="129" t="s">
        <v>16</v>
      </c>
      <c r="G3" s="163" t="s">
        <v>14</v>
      </c>
      <c r="H3" s="163"/>
      <c r="I3" s="129" t="s">
        <v>16</v>
      </c>
      <c r="J3" s="221" t="s">
        <v>304</v>
      </c>
      <c r="K3" s="161" t="s">
        <v>180</v>
      </c>
      <c r="L3" s="164" t="s">
        <v>181</v>
      </c>
      <c r="M3" s="229" t="s">
        <v>185</v>
      </c>
      <c r="N3" s="233" t="s">
        <v>188</v>
      </c>
      <c r="O3" s="519" t="s">
        <v>20</v>
      </c>
      <c r="P3" s="520"/>
      <c r="Q3" s="131" t="s">
        <v>37</v>
      </c>
      <c r="R3" s="132" t="s">
        <v>38</v>
      </c>
      <c r="S3" s="133" t="s">
        <v>22</v>
      </c>
      <c r="T3" s="134" t="s">
        <v>39</v>
      </c>
    </row>
    <row r="4" spans="1:20" s="126" customFormat="1" ht="15.75" x14ac:dyDescent="0.25">
      <c r="A4" s="124"/>
      <c r="B4" s="488">
        <v>41274</v>
      </c>
      <c r="C4" s="455" t="s">
        <v>190</v>
      </c>
      <c r="D4" s="135">
        <v>0</v>
      </c>
      <c r="E4" s="136">
        <v>0</v>
      </c>
      <c r="F4" s="137">
        <f t="shared" ref="F4:F34" si="0">E4-D4</f>
        <v>0</v>
      </c>
      <c r="G4" s="136"/>
      <c r="H4" s="136"/>
      <c r="I4" s="137">
        <f t="shared" ref="I4:I34" si="1">H4-G4</f>
        <v>0</v>
      </c>
      <c r="J4" s="273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285" t="str">
        <f>IF(AND(LEFT(C4,1)="d",OR(D4&gt;="7:00"*1,H4&gt;"22:00"*1)),Prime!$G$4,"")&amp;IF(AND(LEFT(C4,1)="s",H4&gt;="24:00"*1),Prime!$G$4,"")</f>
        <v/>
      </c>
      <c r="N4" s="321" t="str">
        <f>IF(ISNUMBER(FIND("F",C4)),Prime!$I$4,IF(ISNUMBER(FIND("CDS",C4)),Prime!$I$4,""))</f>
        <v/>
      </c>
      <c r="O4" s="198"/>
      <c r="P4" s="448" t="str">
        <f>IF(ISBLANK(O4),"",O4*24)</f>
        <v/>
      </c>
      <c r="Q4" s="411">
        <f t="shared" ref="Q4:Q17" si="2">(E4-D4)+(H4-G4)</f>
        <v>0</v>
      </c>
      <c r="R4" s="139">
        <f>Q4*24</f>
        <v>0</v>
      </c>
      <c r="S4" s="140">
        <v>0</v>
      </c>
      <c r="T4" s="141" t="str">
        <f>IF(R4-S4=0,"0,000",R4-S4)</f>
        <v>0,000</v>
      </c>
    </row>
    <row r="5" spans="1:20" s="126" customFormat="1" ht="15.75" x14ac:dyDescent="0.25">
      <c r="A5" s="124"/>
      <c r="B5" s="488">
        <v>41275</v>
      </c>
      <c r="C5" s="456" t="s">
        <v>159</v>
      </c>
      <c r="D5" s="222">
        <v>0.22500000000000001</v>
      </c>
      <c r="E5" s="222">
        <v>0.55833333333333335</v>
      </c>
      <c r="F5" s="223">
        <f t="shared" si="0"/>
        <v>0.33333333333333337</v>
      </c>
      <c r="G5" s="224"/>
      <c r="H5" s="224"/>
      <c r="I5" s="223">
        <f t="shared" si="1"/>
        <v>0</v>
      </c>
      <c r="J5" s="274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287" t="str">
        <f>IF(AND(LEFT(C5,1)="d",OR(D5&gt;="7:00"*1,H5&gt;"22:00"*1)),Prime!$G$4,"")&amp;IF(AND(LEFT(C5,1)="s",H5&gt;="24:00"*1),Prime!$G$4,"")</f>
        <v/>
      </c>
      <c r="N5" s="322" t="str">
        <f>IF(ISNUMBER(FIND("F",C5)),Prime!$I$4,IF(ISNUMBER(FIND("CDS",C5)),Prime!$I$4,""))</f>
        <v/>
      </c>
      <c r="O5" s="199"/>
      <c r="P5" s="449" t="str">
        <f t="shared" ref="P5:P34" si="3">IF(ISBLANK(O5),"",O5*24)</f>
        <v/>
      </c>
      <c r="Q5" s="142">
        <f t="shared" si="2"/>
        <v>0.33333333333333337</v>
      </c>
      <c r="R5" s="143">
        <f>Q5*24</f>
        <v>8</v>
      </c>
      <c r="S5" s="144">
        <v>8</v>
      </c>
      <c r="T5" s="141" t="str">
        <f t="shared" ref="T5:T34" si="4">IF(R5-S5=0,"0,000",R5-S5)</f>
        <v>0,000</v>
      </c>
    </row>
    <row r="6" spans="1:20" s="126" customFormat="1" ht="15.75" x14ac:dyDescent="0.25">
      <c r="A6" s="124"/>
      <c r="B6" s="488">
        <v>41276</v>
      </c>
      <c r="C6" s="457" t="s">
        <v>160</v>
      </c>
      <c r="D6" s="225">
        <v>0.25</v>
      </c>
      <c r="E6" s="225">
        <v>0.5708333333333333</v>
      </c>
      <c r="F6" s="226">
        <f t="shared" si="0"/>
        <v>0.3208333333333333</v>
      </c>
      <c r="G6" s="225"/>
      <c r="H6" s="225"/>
      <c r="I6" s="226">
        <f t="shared" si="1"/>
        <v>0</v>
      </c>
      <c r="J6" s="274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IF(H6&gt;"21:30"*1,Prime!$F$4,"")</f>
        <v/>
      </c>
      <c r="M6" s="287" t="str">
        <f>IF(AND(LEFT(C6,1)="d",OR(D6&gt;="7:00"*1,H6&gt;"22:00"*1)),Prime!$G$4,"")&amp;IF(AND(LEFT(C6,1)="s",H6&gt;="24:00"*1),Prime!$G$4,"")</f>
        <v/>
      </c>
      <c r="N6" s="322" t="str">
        <f>IF(ISNUMBER(FIND("F",C6)),Prime!$I$4,IF(ISNUMBER(FIND("CDS",C6)),Prime!$I$4,""))</f>
        <v/>
      </c>
      <c r="O6" s="199"/>
      <c r="P6" s="449" t="str">
        <f t="shared" si="3"/>
        <v/>
      </c>
      <c r="Q6" s="142">
        <f t="shared" si="2"/>
        <v>0.3208333333333333</v>
      </c>
      <c r="R6" s="143">
        <f>Q6*24</f>
        <v>7.6999999999999993</v>
      </c>
      <c r="S6" s="144">
        <v>7.82</v>
      </c>
      <c r="T6" s="141">
        <f t="shared" si="4"/>
        <v>-0.12000000000000099</v>
      </c>
    </row>
    <row r="7" spans="1:20" s="126" customFormat="1" ht="15.75" x14ac:dyDescent="0.25">
      <c r="A7" s="124"/>
      <c r="B7" s="488">
        <v>41277</v>
      </c>
      <c r="C7" s="457" t="s">
        <v>161</v>
      </c>
      <c r="D7" s="225">
        <v>0.20347222222222219</v>
      </c>
      <c r="E7" s="225">
        <v>0.53611111111111109</v>
      </c>
      <c r="F7" s="226">
        <f t="shared" si="0"/>
        <v>0.33263888888888893</v>
      </c>
      <c r="G7" s="225"/>
      <c r="H7" s="225"/>
      <c r="I7" s="226">
        <f t="shared" si="1"/>
        <v>0</v>
      </c>
      <c r="J7" s="274">
        <f>IF(COUNTA(D7:E7,G7:H7)=5,Prime!$E$4,IF(AND(D7&lt;="5:01"*1,D7&gt;"2:00"*1),Prime!$E$4,IF(AND(H7&gt;="22:00"*1,H7&lt;="26:01"*1),Prime!$E$4,"")))</f>
        <v>17.7056</v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287" t="str">
        <f>IF(AND(LEFT(C7,1)="d",OR(D7&gt;="7:00"*1,H7&gt;"22:00"*1)),Prime!$G$4,"")&amp;IF(AND(LEFT(C7,1)="s",H7&gt;="24:00"*1),Prime!$G$4,"")</f>
        <v/>
      </c>
      <c r="N7" s="322" t="str">
        <f>IF(ISNUMBER(FIND("F",C7)),Prime!$I$4,IF(ISNUMBER(FIND("CDS",C7)),Prime!$I$4,""))</f>
        <v/>
      </c>
      <c r="O7" s="199"/>
      <c r="P7" s="449" t="str">
        <f t="shared" si="3"/>
        <v/>
      </c>
      <c r="Q7" s="142">
        <f t="shared" si="2"/>
        <v>0.33263888888888893</v>
      </c>
      <c r="R7" s="143">
        <f t="shared" ref="R7:R34" si="5">Q7*24</f>
        <v>7.9833333333333343</v>
      </c>
      <c r="S7" s="144">
        <v>7.97</v>
      </c>
      <c r="T7" s="141">
        <f t="shared" si="4"/>
        <v>1.3333333333334529E-2</v>
      </c>
    </row>
    <row r="8" spans="1:20" s="126" customFormat="1" ht="15.75" x14ac:dyDescent="0.25">
      <c r="A8" s="124"/>
      <c r="B8" s="488">
        <v>41278</v>
      </c>
      <c r="C8" s="457" t="s">
        <v>161</v>
      </c>
      <c r="D8" s="225">
        <v>0.20347222222222219</v>
      </c>
      <c r="E8" s="225">
        <v>0.53611111111111109</v>
      </c>
      <c r="F8" s="226">
        <f t="shared" si="0"/>
        <v>0.33263888888888893</v>
      </c>
      <c r="G8" s="225"/>
      <c r="H8" s="225"/>
      <c r="I8" s="226">
        <f t="shared" si="1"/>
        <v>0</v>
      </c>
      <c r="J8" s="274">
        <f>IF(COUNTA(D8:E8,G8:H8)=5,Prime!$E$4,IF(AND(D8&lt;="5:01"*1,D8&gt;"2:00"*1),Prime!$E$4,IF(AND(H8&gt;="22:00"*1,H8&lt;="26:01"*1),Prime!$E$4,"")))</f>
        <v>17.7056</v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287" t="str">
        <f>IF(AND(LEFT(C8,1)="d",OR(D8&gt;="7:00"*1,H8&gt;"22:00"*1)),Prime!$G$4,"")&amp;IF(AND(LEFT(C8,1)="s",H8&gt;="24:00"*1),Prime!$G$4,"")</f>
        <v/>
      </c>
      <c r="N8" s="322" t="str">
        <f>IF(ISNUMBER(FIND("F",C8)),Prime!$I$4,IF(ISNUMBER(FIND("CDS",C8)),Prime!$I$4,""))</f>
        <v/>
      </c>
      <c r="O8" s="199"/>
      <c r="P8" s="449" t="str">
        <f t="shared" si="3"/>
        <v/>
      </c>
      <c r="Q8" s="142">
        <f t="shared" si="2"/>
        <v>0.33263888888888893</v>
      </c>
      <c r="R8" s="143">
        <f t="shared" si="5"/>
        <v>7.9833333333333343</v>
      </c>
      <c r="S8" s="144">
        <v>7.97</v>
      </c>
      <c r="T8" s="141">
        <f t="shared" si="4"/>
        <v>1.3333333333334529E-2</v>
      </c>
    </row>
    <row r="9" spans="1:20" s="126" customFormat="1" ht="15.75" x14ac:dyDescent="0.25">
      <c r="A9" s="124"/>
      <c r="B9" s="488">
        <v>41279</v>
      </c>
      <c r="C9" s="457" t="s">
        <v>162</v>
      </c>
      <c r="D9" s="225">
        <v>0</v>
      </c>
      <c r="E9" s="225">
        <v>0</v>
      </c>
      <c r="F9" s="226">
        <f t="shared" si="0"/>
        <v>0</v>
      </c>
      <c r="G9" s="225"/>
      <c r="H9" s="225"/>
      <c r="I9" s="226">
        <f t="shared" si="1"/>
        <v>0</v>
      </c>
      <c r="J9" s="274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287" t="str">
        <f>IF(AND(LEFT(C9,1)="d",OR(D9&gt;="7:00"*1,H9&gt;"22:00"*1)),Prime!$G$4,"")&amp;IF(AND(LEFT(C9,1)="s",H9&gt;="24:00"*1),Prime!$G$4,"")</f>
        <v/>
      </c>
      <c r="N9" s="322" t="str">
        <f>IF(ISNUMBER(FIND("F",C9)),Prime!$I$4,IF(ISNUMBER(FIND("CDS",C9)),Prime!$I$4,""))</f>
        <v/>
      </c>
      <c r="O9" s="199"/>
      <c r="P9" s="449" t="str">
        <f t="shared" si="3"/>
        <v/>
      </c>
      <c r="Q9" s="142">
        <f t="shared" si="2"/>
        <v>0</v>
      </c>
      <c r="R9" s="143">
        <f t="shared" si="5"/>
        <v>0</v>
      </c>
      <c r="S9" s="144">
        <v>0</v>
      </c>
      <c r="T9" s="141" t="str">
        <f t="shared" si="4"/>
        <v>0,000</v>
      </c>
    </row>
    <row r="10" spans="1:20" s="126" customFormat="1" ht="15.75" x14ac:dyDescent="0.25">
      <c r="A10" s="124"/>
      <c r="B10" s="488">
        <v>41280</v>
      </c>
      <c r="C10" s="457" t="s">
        <v>191</v>
      </c>
      <c r="D10" s="225">
        <v>0</v>
      </c>
      <c r="E10" s="225">
        <v>0</v>
      </c>
      <c r="F10" s="226">
        <f t="shared" si="0"/>
        <v>0</v>
      </c>
      <c r="G10" s="225"/>
      <c r="H10" s="225"/>
      <c r="I10" s="226">
        <f t="shared" si="1"/>
        <v>0</v>
      </c>
      <c r="J10" s="274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287" t="str">
        <f>IF(AND(LEFT(C10,1)="d",OR(D10&gt;="7:00"*1,H10&gt;"22:00"*1)),Prime!$G$4,"")&amp;IF(AND(LEFT(C10,1)="s",H10&gt;="24:00"*1),Prime!$G$4,"")</f>
        <v/>
      </c>
      <c r="N10" s="322" t="str">
        <f>IF(ISNUMBER(FIND("F",C10)),Prime!$I$4,IF(ISNUMBER(FIND("CDS",C10)),Prime!$I$4,""))</f>
        <v/>
      </c>
      <c r="O10" s="199"/>
      <c r="P10" s="449" t="str">
        <f t="shared" si="3"/>
        <v/>
      </c>
      <c r="Q10" s="142">
        <f t="shared" si="2"/>
        <v>0</v>
      </c>
      <c r="R10" s="143">
        <f t="shared" si="5"/>
        <v>0</v>
      </c>
      <c r="S10" s="144">
        <v>0</v>
      </c>
      <c r="T10" s="141" t="str">
        <f t="shared" si="4"/>
        <v>0,000</v>
      </c>
    </row>
    <row r="11" spans="1:20" s="126" customFormat="1" ht="15.75" x14ac:dyDescent="0.25">
      <c r="A11" s="124"/>
      <c r="B11" s="488">
        <v>41281</v>
      </c>
      <c r="C11" s="457" t="s">
        <v>99</v>
      </c>
      <c r="D11" s="225">
        <v>0</v>
      </c>
      <c r="E11" s="225">
        <v>0</v>
      </c>
      <c r="F11" s="226">
        <f t="shared" si="0"/>
        <v>0</v>
      </c>
      <c r="G11" s="225"/>
      <c r="H11" s="225"/>
      <c r="I11" s="226">
        <f t="shared" si="1"/>
        <v>0</v>
      </c>
      <c r="J11" s="274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86" t="str">
        <f>IF(H11&gt;"21:30"*1,Prime!$F$4,"")</f>
        <v/>
      </c>
      <c r="M11" s="287" t="str">
        <f>IF(AND(LEFT(C11,1)="d",OR(D11&gt;="7:00"*1,H11&gt;"22:00"*1)),Prime!$G$4,"")&amp;IF(AND(LEFT(C11,1)="s",H11&gt;="24:00"*1),Prime!$G$4,"")</f>
        <v/>
      </c>
      <c r="N11" s="322" t="str">
        <f>IF(ISNUMBER(FIND("F",C11)),Prime!$I$4,IF(ISNUMBER(FIND("CDS",C11)),Prime!$I$4,""))</f>
        <v/>
      </c>
      <c r="O11" s="199"/>
      <c r="P11" s="449" t="str">
        <f t="shared" si="3"/>
        <v/>
      </c>
      <c r="Q11" s="142">
        <f t="shared" si="2"/>
        <v>0</v>
      </c>
      <c r="R11" s="143">
        <f t="shared" si="5"/>
        <v>0</v>
      </c>
      <c r="S11" s="144">
        <v>0</v>
      </c>
      <c r="T11" s="141" t="str">
        <f t="shared" si="4"/>
        <v>0,000</v>
      </c>
    </row>
    <row r="12" spans="1:20" s="126" customFormat="1" ht="15.75" x14ac:dyDescent="0.25">
      <c r="A12" s="124"/>
      <c r="B12" s="488">
        <v>41282</v>
      </c>
      <c r="C12" s="457" t="s">
        <v>163</v>
      </c>
      <c r="D12" s="225">
        <v>0</v>
      </c>
      <c r="E12" s="225">
        <v>0</v>
      </c>
      <c r="F12" s="226">
        <f t="shared" si="0"/>
        <v>0</v>
      </c>
      <c r="G12" s="225"/>
      <c r="H12" s="225"/>
      <c r="I12" s="226">
        <f t="shared" si="1"/>
        <v>0</v>
      </c>
      <c r="J12" s="274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287" t="str">
        <f>IF(AND(LEFT(C12,1)="d",OR(D12&gt;="7:00"*1,H12&gt;"22:00"*1)),Prime!$G$4,"")&amp;IF(AND(LEFT(C12,1)="s",H12&gt;="24:00"*1),Prime!$G$4,"")</f>
        <v/>
      </c>
      <c r="N12" s="322" t="str">
        <f>IF(ISNUMBER(FIND("F",C12)),Prime!$I$4,IF(ISNUMBER(FIND("CDS",C12)),Prime!$I$4,""))</f>
        <v/>
      </c>
      <c r="O12" s="199"/>
      <c r="P12" s="449" t="str">
        <f t="shared" si="3"/>
        <v/>
      </c>
      <c r="Q12" s="142">
        <f t="shared" si="2"/>
        <v>0</v>
      </c>
      <c r="R12" s="143">
        <f t="shared" si="5"/>
        <v>0</v>
      </c>
      <c r="S12" s="144">
        <v>0</v>
      </c>
      <c r="T12" s="141" t="str">
        <f t="shared" si="4"/>
        <v>0,000</v>
      </c>
    </row>
    <row r="13" spans="1:20" s="126" customFormat="1" ht="15.75" x14ac:dyDescent="0.25">
      <c r="A13" s="124"/>
      <c r="B13" s="488">
        <v>41283</v>
      </c>
      <c r="C13" s="457" t="s">
        <v>164</v>
      </c>
      <c r="D13" s="225">
        <v>0.26319444444444445</v>
      </c>
      <c r="E13" s="225">
        <v>0.4604166666666667</v>
      </c>
      <c r="F13" s="226">
        <f t="shared" si="0"/>
        <v>0.19722222222222224</v>
      </c>
      <c r="G13" s="225">
        <v>0.64652777777777781</v>
      </c>
      <c r="H13" s="225">
        <v>0.80138888888888893</v>
      </c>
      <c r="I13" s="226">
        <f t="shared" si="1"/>
        <v>0.15486111111111112</v>
      </c>
      <c r="J13" s="274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287" t="str">
        <f>IF(AND(LEFT(C13,1)="d",OR(D13&gt;="7:00"*1,H13&gt;"22:00"*1)),Prime!$G$4,"")&amp;IF(AND(LEFT(C13,1)="s",H13&gt;="24:00"*1),Prime!$G$4,"")</f>
        <v/>
      </c>
      <c r="N13" s="322" t="str">
        <f>IF(ISNUMBER(FIND("F",C13)),Prime!$I$4,IF(ISNUMBER(FIND("CDS",C13)),Prime!$I$4,""))</f>
        <v/>
      </c>
      <c r="O13" s="199"/>
      <c r="P13" s="449" t="str">
        <f t="shared" si="3"/>
        <v/>
      </c>
      <c r="Q13" s="142">
        <f t="shared" si="2"/>
        <v>0.35208333333333336</v>
      </c>
      <c r="R13" s="143">
        <f t="shared" si="5"/>
        <v>8.4500000000000011</v>
      </c>
      <c r="S13" s="144">
        <v>8.4499999999999993</v>
      </c>
      <c r="T13" s="141">
        <f t="shared" si="4"/>
        <v>1.7763568394002505E-15</v>
      </c>
    </row>
    <row r="14" spans="1:20" s="126" customFormat="1" ht="15.75" x14ac:dyDescent="0.25">
      <c r="A14" s="124"/>
      <c r="B14" s="488">
        <v>41284</v>
      </c>
      <c r="C14" s="457" t="s">
        <v>164</v>
      </c>
      <c r="D14" s="225">
        <v>0.26319444444444445</v>
      </c>
      <c r="E14" s="225">
        <v>0.4604166666666667</v>
      </c>
      <c r="F14" s="226">
        <f>E14-D14</f>
        <v>0.19722222222222224</v>
      </c>
      <c r="G14" s="225">
        <v>0.64652777777777781</v>
      </c>
      <c r="H14" s="225">
        <v>0.80138888888888893</v>
      </c>
      <c r="I14" s="226">
        <f t="shared" si="1"/>
        <v>0.15486111111111112</v>
      </c>
      <c r="J14" s="274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287" t="str">
        <f>IF(AND(LEFT(C14,1)="d",OR(D14&gt;="7:00"*1,H14&gt;"22:00"*1)),Prime!$G$4,"")&amp;IF(AND(LEFT(C14,1)="s",H14&gt;="24:00"*1),Prime!$G$4,"")</f>
        <v/>
      </c>
      <c r="N14" s="322" t="str">
        <f>IF(ISNUMBER(FIND("F",C14)),Prime!$I$4,IF(ISNUMBER(FIND("CDS",C14)),Prime!$I$4,""))</f>
        <v/>
      </c>
      <c r="O14" s="199"/>
      <c r="P14" s="449" t="str">
        <f t="shared" si="3"/>
        <v/>
      </c>
      <c r="Q14" s="142">
        <f t="shared" si="2"/>
        <v>0.35208333333333336</v>
      </c>
      <c r="R14" s="143">
        <f t="shared" si="5"/>
        <v>8.4500000000000011</v>
      </c>
      <c r="S14" s="144">
        <v>8.4499999999999993</v>
      </c>
      <c r="T14" s="141">
        <f t="shared" si="4"/>
        <v>1.7763568394002505E-15</v>
      </c>
    </row>
    <row r="15" spans="1:20" s="126" customFormat="1" ht="15.75" x14ac:dyDescent="0.25">
      <c r="A15" s="124"/>
      <c r="B15" s="488">
        <v>41285</v>
      </c>
      <c r="C15" s="457" t="s">
        <v>164</v>
      </c>
      <c r="D15" s="225">
        <v>0.26319444444444445</v>
      </c>
      <c r="E15" s="225">
        <v>0.4604166666666667</v>
      </c>
      <c r="F15" s="226">
        <f>E15-D15</f>
        <v>0.19722222222222224</v>
      </c>
      <c r="G15" s="225">
        <v>0.64652777777777781</v>
      </c>
      <c r="H15" s="225">
        <v>0.80138888888888893</v>
      </c>
      <c r="I15" s="226">
        <f t="shared" si="1"/>
        <v>0.15486111111111112</v>
      </c>
      <c r="J15" s="274" t="str">
        <f>IF(COUNTA(D15:E15,G15:H15)=5,Prime!$E$4,IF(AND(D15&lt;="5:01"*1,D15&gt;"2:00"*1),Prime!$E$4,IF(AND(H15&gt;="22:00"*1,H15&lt;="26:01"*1),Prime!$E$4,"")))</f>
        <v/>
      </c>
      <c r="K15" s="231" t="str">
        <f>IF(COUNTA(D15:E15,G15:H15)=5,Prime!$E$4,IF(AND(E15&gt;="13:15"*1,G15&lt;""),Prime!$E$4,IF(AND(G15&gt;="11:00"*1,G15&lt;="12:15"*1),Prime!$E$4,"")))</f>
        <v/>
      </c>
      <c r="L15" s="286" t="str">
        <f>IF(H15&gt;"21:30"*1,Prime!$F$4,"")</f>
        <v/>
      </c>
      <c r="M15" s="287" t="str">
        <f>IF(AND(LEFT(C15,1)="d",OR(D15&gt;="7:00"*1,H15&gt;"22:00"*1)),Prime!$G$4,"")&amp;IF(AND(LEFT(C15,1)="s",H15&gt;="24:00"*1),Prime!$G$4,"")</f>
        <v/>
      </c>
      <c r="N15" s="322" t="str">
        <f>IF(ISNUMBER(FIND("F",C15)),Prime!$I$4,IF(ISNUMBER(FIND("CDS",C15)),Prime!$I$4,""))</f>
        <v/>
      </c>
      <c r="O15" s="199"/>
      <c r="P15" s="449" t="str">
        <f t="shared" si="3"/>
        <v/>
      </c>
      <c r="Q15" s="142">
        <f t="shared" si="2"/>
        <v>0.35208333333333336</v>
      </c>
      <c r="R15" s="143">
        <f t="shared" si="5"/>
        <v>8.4500000000000011</v>
      </c>
      <c r="S15" s="144">
        <v>8.4499999999999993</v>
      </c>
      <c r="T15" s="141">
        <f t="shared" si="4"/>
        <v>1.7763568394002505E-15</v>
      </c>
    </row>
    <row r="16" spans="1:20" s="126" customFormat="1" ht="15.75" x14ac:dyDescent="0.25">
      <c r="A16" s="124"/>
      <c r="B16" s="488">
        <v>41286</v>
      </c>
      <c r="C16" s="457" t="s">
        <v>165</v>
      </c>
      <c r="D16" s="225">
        <v>0.33333333333333331</v>
      </c>
      <c r="E16" s="225">
        <v>0.65</v>
      </c>
      <c r="F16" s="226">
        <f t="shared" si="0"/>
        <v>0.31666666666666671</v>
      </c>
      <c r="G16" s="225"/>
      <c r="H16" s="225"/>
      <c r="I16" s="226">
        <f t="shared" si="1"/>
        <v>0</v>
      </c>
      <c r="J16" s="274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287" t="str">
        <f>IF(AND(LEFT(C16,1)="d",OR(D16&gt;="7:00"*1,H16&gt;"22:00"*1)),Prime!$G$4,"")&amp;IF(AND(LEFT(C16,1)="s",H16&gt;="24:00"*1),Prime!$G$4,"")</f>
        <v/>
      </c>
      <c r="N16" s="322" t="str">
        <f>IF(ISNUMBER(FIND("F",C16)),Prime!$I$4,IF(ISNUMBER(FIND("CDS",C16)),Prime!$I$4,""))</f>
        <v/>
      </c>
      <c r="O16" s="199"/>
      <c r="P16" s="449" t="str">
        <f t="shared" si="3"/>
        <v/>
      </c>
      <c r="Q16" s="142">
        <f t="shared" si="2"/>
        <v>0.31666666666666671</v>
      </c>
      <c r="R16" s="143">
        <f t="shared" si="5"/>
        <v>7.6000000000000014</v>
      </c>
      <c r="S16" s="144">
        <v>7.6</v>
      </c>
      <c r="T16" s="141">
        <f t="shared" si="4"/>
        <v>1.7763568394002505E-15</v>
      </c>
    </row>
    <row r="17" spans="1:20" s="126" customFormat="1" ht="15.75" x14ac:dyDescent="0.25">
      <c r="A17" s="124"/>
      <c r="B17" s="488">
        <v>41287</v>
      </c>
      <c r="C17" s="457" t="s">
        <v>192</v>
      </c>
      <c r="F17" s="226">
        <f>H17-G17</f>
        <v>0.30416666666666659</v>
      </c>
      <c r="G17" s="225">
        <v>0.49861111111111112</v>
      </c>
      <c r="H17" s="225">
        <v>0.8027777777777777</v>
      </c>
      <c r="I17" s="226">
        <f t="shared" si="1"/>
        <v>0.30416666666666659</v>
      </c>
      <c r="J17" s="274" t="str">
        <f>IF(COUNTA(D17:E17,G17:H17)=5,Prime!$E$4,IF(AND(D17&lt;="5:01"*1,D17&gt;"2:00"*1),Prime!$E$4,IF(AND(H17&gt;="22:00"*1,H17&lt;="26:01"*1),Prime!$E$4,"")))</f>
        <v/>
      </c>
      <c r="K17" s="231">
        <f>IF(COUNTA(D17:E17,G17:H17)=5,Prime!$E$4,IF(AND(E17&gt;="13:15"*1,G17&lt;""),Prime!$E$4,IF(AND(G17&gt;="11:00"*1,G17&lt;="12:15"*1),Prime!$E$4,"")))</f>
        <v>17.7056</v>
      </c>
      <c r="L17" s="286" t="str">
        <f>IF(H17&gt;"21:30"*1,Prime!$F$4,"")</f>
        <v/>
      </c>
      <c r="M17" s="287" t="str">
        <f>IF(AND(LEFT(C17,1)="d",OR(D17&gt;="7:00"*1,H17&gt;"22:00"*1)),Prime!$G$4,"")&amp;IF(AND(LEFT(C17,1)="s",H17&gt;="24:00"*1),Prime!$G$4,"")</f>
        <v/>
      </c>
      <c r="N17" s="322" t="str">
        <f>IF(ISNUMBER(FIND("F",C17)),Prime!$I$4,IF(ISNUMBER(FIND("CDS",C17)),Prime!$I$4,""))</f>
        <v/>
      </c>
      <c r="O17" s="199"/>
      <c r="P17" s="449" t="str">
        <f t="shared" si="3"/>
        <v/>
      </c>
      <c r="Q17" s="142">
        <f t="shared" si="2"/>
        <v>0.30416666666666659</v>
      </c>
      <c r="R17" s="143">
        <f t="shared" si="5"/>
        <v>7.299999999999998</v>
      </c>
      <c r="S17" s="144">
        <v>7.3</v>
      </c>
      <c r="T17" s="141">
        <f t="shared" si="4"/>
        <v>-1.7763568394002505E-15</v>
      </c>
    </row>
    <row r="18" spans="1:20" s="126" customFormat="1" ht="15.75" x14ac:dyDescent="0.25">
      <c r="A18" s="124"/>
      <c r="B18" s="488">
        <v>41288</v>
      </c>
      <c r="C18" s="457" t="s">
        <v>193</v>
      </c>
      <c r="D18" s="225">
        <v>0</v>
      </c>
      <c r="E18" s="225">
        <v>0</v>
      </c>
      <c r="F18" s="226">
        <f t="shared" si="0"/>
        <v>0</v>
      </c>
      <c r="G18" s="225"/>
      <c r="H18" s="225"/>
      <c r="I18" s="226">
        <f t="shared" si="1"/>
        <v>0</v>
      </c>
      <c r="J18" s="274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287" t="str">
        <f>IF(AND(LEFT(C18,1)="d",OR(D18&gt;="7:00"*1,H18&gt;"22:00"*1)),Prime!$G$4,"")&amp;IF(AND(LEFT(C18,1)="s",H18&gt;="24:00"*1),Prime!$G$4,"")</f>
        <v/>
      </c>
      <c r="N18" s="322" t="str">
        <f>IF(ISNUMBER(FIND("F",C18)),Prime!$I$4,IF(ISNUMBER(FIND("CDS",C18)),Prime!$I$4,""))</f>
        <v/>
      </c>
      <c r="O18" s="199"/>
      <c r="P18" s="449" t="str">
        <f t="shared" si="3"/>
        <v/>
      </c>
      <c r="Q18" s="142">
        <f t="shared" ref="Q18:Q32" si="6">(E18-D18)+(H18-G18)</f>
        <v>0</v>
      </c>
      <c r="R18" s="143">
        <f t="shared" si="5"/>
        <v>0</v>
      </c>
      <c r="S18" s="144">
        <v>0</v>
      </c>
      <c r="T18" s="141" t="str">
        <f t="shared" si="4"/>
        <v>0,000</v>
      </c>
    </row>
    <row r="19" spans="1:20" s="126" customFormat="1" ht="15.75" x14ac:dyDescent="0.25">
      <c r="A19" s="124"/>
      <c r="B19" s="488">
        <v>41289</v>
      </c>
      <c r="C19" s="457" t="s">
        <v>166</v>
      </c>
      <c r="D19" s="225">
        <v>0.3034722222222222</v>
      </c>
      <c r="E19" s="225">
        <v>0.42152777777777778</v>
      </c>
      <c r="F19" s="226">
        <f t="shared" si="0"/>
        <v>0.11805555555555558</v>
      </c>
      <c r="G19" s="225">
        <v>0.61805555555555558</v>
      </c>
      <c r="H19" s="225">
        <v>0.84444444444444444</v>
      </c>
      <c r="I19" s="226">
        <f t="shared" si="1"/>
        <v>0.22638888888888886</v>
      </c>
      <c r="J19" s="274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287" t="str">
        <f>IF(AND(LEFT(C19,1)="d",OR(D19&gt;="7:00"*1,H19&gt;"22:00"*1)),Prime!$G$4,"")&amp;IF(AND(LEFT(C19,1)="s",H19&gt;="24:00"*1),Prime!$G$4,"")</f>
        <v/>
      </c>
      <c r="N19" s="322" t="str">
        <f>IF(ISNUMBER(FIND("F",C19)),Prime!$I$4,IF(ISNUMBER(FIND("CDS",C19)),Prime!$I$4,""))</f>
        <v/>
      </c>
      <c r="O19" s="199"/>
      <c r="P19" s="449" t="str">
        <f t="shared" si="3"/>
        <v/>
      </c>
      <c r="Q19" s="142">
        <f t="shared" si="6"/>
        <v>0.34444444444444444</v>
      </c>
      <c r="R19" s="143">
        <f t="shared" si="5"/>
        <v>8.2666666666666657</v>
      </c>
      <c r="S19" s="144">
        <v>8.27</v>
      </c>
      <c r="T19" s="141">
        <f t="shared" si="4"/>
        <v>-3.3333333333338544E-3</v>
      </c>
    </row>
    <row r="20" spans="1:20" s="126" customFormat="1" ht="15.75" x14ac:dyDescent="0.25">
      <c r="A20" s="124"/>
      <c r="B20" s="488">
        <v>41290</v>
      </c>
      <c r="C20" s="457" t="s">
        <v>167</v>
      </c>
      <c r="D20" s="225">
        <v>0.33333333333333331</v>
      </c>
      <c r="E20" s="225">
        <v>0.65</v>
      </c>
      <c r="F20" s="226">
        <f t="shared" si="0"/>
        <v>0.31666666666666671</v>
      </c>
      <c r="G20" s="225"/>
      <c r="H20" s="225"/>
      <c r="I20" s="226">
        <f t="shared" si="1"/>
        <v>0</v>
      </c>
      <c r="J20" s="274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287" t="str">
        <f>IF(AND(LEFT(C20,1)="d",OR(D20&gt;="7:00"*1,H20&gt;"22:00"*1)),Prime!$G$4,"")&amp;IF(AND(LEFT(C20,1)="s",H20&gt;="24:00"*1),Prime!$G$4,"")</f>
        <v/>
      </c>
      <c r="N20" s="322" t="str">
        <f>IF(ISNUMBER(FIND("F",C20)),Prime!$I$4,IF(ISNUMBER(FIND("CDS",C20)),Prime!$I$4,""))</f>
        <v/>
      </c>
      <c r="O20" s="199"/>
      <c r="P20" s="449" t="str">
        <f t="shared" si="3"/>
        <v/>
      </c>
      <c r="Q20" s="142">
        <f t="shared" si="6"/>
        <v>0.31666666666666671</v>
      </c>
      <c r="R20" s="143">
        <f t="shared" si="5"/>
        <v>7.6000000000000014</v>
      </c>
      <c r="S20" s="144">
        <v>7.6</v>
      </c>
      <c r="T20" s="141">
        <f t="shared" si="4"/>
        <v>1.7763568394002505E-15</v>
      </c>
    </row>
    <row r="21" spans="1:20" s="126" customFormat="1" ht="15.75" x14ac:dyDescent="0.25">
      <c r="A21" s="124"/>
      <c r="B21" s="488">
        <v>41291</v>
      </c>
      <c r="C21" s="457" t="s">
        <v>165</v>
      </c>
      <c r="D21" s="225">
        <v>0.33333333333333331</v>
      </c>
      <c r="E21" s="225">
        <v>0.65</v>
      </c>
      <c r="F21" s="226">
        <f t="shared" si="0"/>
        <v>0.31666666666666671</v>
      </c>
      <c r="G21" s="225"/>
      <c r="H21" s="225"/>
      <c r="I21" s="226">
        <f t="shared" si="1"/>
        <v>0</v>
      </c>
      <c r="J21" s="274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287" t="str">
        <f>IF(AND(LEFT(C21,1)="d",OR(D21&gt;="7:00"*1,H21&gt;"22:00"*1)),Prime!$G$4,"")&amp;IF(AND(LEFT(C21,1)="s",H21&gt;="24:00"*1),Prime!$G$4,"")</f>
        <v/>
      </c>
      <c r="N21" s="322" t="str">
        <f>IF(ISNUMBER(FIND("F",C21)),Prime!$I$4,IF(ISNUMBER(FIND("CDS",C21)),Prime!$I$4,""))</f>
        <v/>
      </c>
      <c r="O21" s="199"/>
      <c r="P21" s="449" t="str">
        <f t="shared" si="3"/>
        <v/>
      </c>
      <c r="Q21" s="142">
        <f t="shared" si="6"/>
        <v>0.31666666666666671</v>
      </c>
      <c r="R21" s="143">
        <f t="shared" si="5"/>
        <v>7.6000000000000014</v>
      </c>
      <c r="S21" s="144">
        <v>7.6</v>
      </c>
      <c r="T21" s="141">
        <f t="shared" si="4"/>
        <v>1.7763568394002505E-15</v>
      </c>
    </row>
    <row r="22" spans="1:20" s="126" customFormat="1" ht="15.75" x14ac:dyDescent="0.25">
      <c r="A22" s="124"/>
      <c r="B22" s="488">
        <v>41292</v>
      </c>
      <c r="C22" s="457" t="s">
        <v>167</v>
      </c>
      <c r="D22" s="225">
        <v>0.33333333333333331</v>
      </c>
      <c r="E22" s="225">
        <v>0.65</v>
      </c>
      <c r="F22" s="226">
        <f t="shared" si="0"/>
        <v>0.31666666666666671</v>
      </c>
      <c r="G22" s="225"/>
      <c r="H22" s="225"/>
      <c r="I22" s="226">
        <f t="shared" si="1"/>
        <v>0</v>
      </c>
      <c r="J22" s="274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287" t="str">
        <f>IF(AND(LEFT(C22,1)="d",OR(D22&gt;="7:00"*1,H22&gt;"22:00"*1)),Prime!$G$4,"")&amp;IF(AND(LEFT(C22,1)="s",H22&gt;="24:00"*1),Prime!$G$4,"")</f>
        <v/>
      </c>
      <c r="N22" s="322" t="str">
        <f>IF(ISNUMBER(FIND("F",C22)),Prime!$I$4,IF(ISNUMBER(FIND("CDS",C22)),Prime!$I$4,""))</f>
        <v/>
      </c>
      <c r="O22" s="199"/>
      <c r="P22" s="449" t="str">
        <f t="shared" si="3"/>
        <v/>
      </c>
      <c r="Q22" s="142">
        <f t="shared" si="6"/>
        <v>0.31666666666666671</v>
      </c>
      <c r="R22" s="143">
        <f t="shared" si="5"/>
        <v>7.6000000000000014</v>
      </c>
      <c r="S22" s="144">
        <v>7.6</v>
      </c>
      <c r="T22" s="141">
        <f t="shared" si="4"/>
        <v>1.7763568394002505E-15</v>
      </c>
    </row>
    <row r="23" spans="1:20" s="126" customFormat="1" ht="15.75" x14ac:dyDescent="0.25">
      <c r="A23" s="124"/>
      <c r="B23" s="488">
        <v>41293</v>
      </c>
      <c r="C23" s="457" t="s">
        <v>165</v>
      </c>
      <c r="D23" s="225">
        <v>0.33333333333333331</v>
      </c>
      <c r="E23" s="225">
        <v>0.65</v>
      </c>
      <c r="F23" s="226">
        <f t="shared" si="0"/>
        <v>0.31666666666666671</v>
      </c>
      <c r="G23" s="225"/>
      <c r="H23" s="225"/>
      <c r="I23" s="226">
        <f t="shared" si="1"/>
        <v>0</v>
      </c>
      <c r="J23" s="274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287" t="str">
        <f>IF(AND(LEFT(C23,1)="d",OR(D23&gt;="7:00"*1,H23&gt;"22:00"*1)),Prime!$G$4,"")&amp;IF(AND(LEFT(C23,1)="s",H23&gt;="24:00"*1),Prime!$G$4,"")</f>
        <v/>
      </c>
      <c r="N23" s="322" t="str">
        <f>IF(ISNUMBER(FIND("F",C23)),Prime!$I$4,IF(ISNUMBER(FIND("CDS",C23)),Prime!$I$4,""))</f>
        <v/>
      </c>
      <c r="O23" s="199"/>
      <c r="P23" s="449" t="str">
        <f t="shared" si="3"/>
        <v/>
      </c>
      <c r="Q23" s="142">
        <f t="shared" si="6"/>
        <v>0.31666666666666671</v>
      </c>
      <c r="R23" s="143">
        <f t="shared" si="5"/>
        <v>7.6000000000000014</v>
      </c>
      <c r="S23" s="144">
        <v>7.6</v>
      </c>
      <c r="T23" s="141">
        <f t="shared" si="4"/>
        <v>1.7763568394002505E-15</v>
      </c>
    </row>
    <row r="24" spans="1:20" s="126" customFormat="1" ht="15.75" x14ac:dyDescent="0.25">
      <c r="A24" s="124"/>
      <c r="B24" s="488">
        <v>41294</v>
      </c>
      <c r="C24" s="457" t="s">
        <v>194</v>
      </c>
      <c r="D24" s="225">
        <v>0</v>
      </c>
      <c r="E24" s="225">
        <v>0</v>
      </c>
      <c r="F24" s="226">
        <f t="shared" si="0"/>
        <v>0</v>
      </c>
      <c r="G24" s="225"/>
      <c r="H24" s="225"/>
      <c r="I24" s="226">
        <f t="shared" si="1"/>
        <v>0</v>
      </c>
      <c r="J24" s="274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287" t="str">
        <f>IF(AND(LEFT(C24,1)="d",OR(D24&gt;="7:00"*1,H24&gt;"22:00"*1)),Prime!$G$4,"")&amp;IF(AND(LEFT(C24,1)="s",H24&gt;="24:00"*1),Prime!$G$4,"")</f>
        <v/>
      </c>
      <c r="N24" s="322" t="str">
        <f>IF(ISNUMBER(FIND("F",C24)),Prime!$I$4,IF(ISNUMBER(FIND("CDS",C24)),Prime!$I$4,""))</f>
        <v/>
      </c>
      <c r="O24" s="199"/>
      <c r="P24" s="449" t="str">
        <f t="shared" si="3"/>
        <v/>
      </c>
      <c r="Q24" s="142">
        <f t="shared" si="6"/>
        <v>0</v>
      </c>
      <c r="R24" s="143">
        <f t="shared" si="5"/>
        <v>0</v>
      </c>
      <c r="S24" s="144">
        <v>0</v>
      </c>
      <c r="T24" s="141" t="str">
        <f t="shared" si="4"/>
        <v>0,000</v>
      </c>
    </row>
    <row r="25" spans="1:20" s="126" customFormat="1" ht="15.75" x14ac:dyDescent="0.25">
      <c r="A25" s="124"/>
      <c r="B25" s="488">
        <v>41295</v>
      </c>
      <c r="C25" s="457" t="s">
        <v>193</v>
      </c>
      <c r="D25" s="225">
        <v>0</v>
      </c>
      <c r="E25" s="225">
        <v>0</v>
      </c>
      <c r="F25" s="226">
        <f t="shared" si="0"/>
        <v>0</v>
      </c>
      <c r="G25" s="225"/>
      <c r="H25" s="225"/>
      <c r="I25" s="226">
        <f t="shared" si="1"/>
        <v>0</v>
      </c>
      <c r="J25" s="274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287" t="str">
        <f>IF(AND(LEFT(C25,1)="d",OR(D25&gt;="7:00"*1,H25&gt;"22:00"*1)),Prime!$G$4,"")&amp;IF(AND(LEFT(C25,1)="s",H25&gt;="24:00"*1),Prime!$G$4,"")</f>
        <v/>
      </c>
      <c r="N25" s="322" t="str">
        <f>IF(ISNUMBER(FIND("F",C25)),Prime!$I$4,IF(ISNUMBER(FIND("CDS",C25)),Prime!$I$4,""))</f>
        <v/>
      </c>
      <c r="O25" s="199"/>
      <c r="P25" s="449" t="str">
        <f t="shared" si="3"/>
        <v/>
      </c>
      <c r="Q25" s="142">
        <f t="shared" si="6"/>
        <v>0</v>
      </c>
      <c r="R25" s="143">
        <f t="shared" si="5"/>
        <v>0</v>
      </c>
      <c r="S25" s="144">
        <v>0</v>
      </c>
      <c r="T25" s="141" t="str">
        <f t="shared" si="4"/>
        <v>0,000</v>
      </c>
    </row>
    <row r="26" spans="1:20" s="126" customFormat="1" ht="15.75" x14ac:dyDescent="0.25">
      <c r="A26" s="124"/>
      <c r="B26" s="488">
        <v>41296</v>
      </c>
      <c r="C26" s="457" t="s">
        <v>53</v>
      </c>
      <c r="D26" s="225">
        <v>0.23472222222222219</v>
      </c>
      <c r="E26" s="225">
        <v>0.43958333333333338</v>
      </c>
      <c r="F26" s="226">
        <f t="shared" si="0"/>
        <v>0.20486111111111119</v>
      </c>
      <c r="G26" s="225">
        <v>0.53402777777777777</v>
      </c>
      <c r="H26" s="225">
        <v>0.67222222222222217</v>
      </c>
      <c r="I26" s="226">
        <f t="shared" si="1"/>
        <v>0.1381944444444444</v>
      </c>
      <c r="J26" s="274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287" t="str">
        <f>IF(AND(LEFT(C26,1)="d",OR(D26&gt;="7:00"*1,H26&gt;"22:00"*1)),Prime!$G$4,"")&amp;IF(AND(LEFT(C26,1)="s",H26&gt;="24:00"*1),Prime!$G$4,"")</f>
        <v/>
      </c>
      <c r="N26" s="322" t="str">
        <f>IF(ISNUMBER(FIND("F",C26)),Prime!$I$4,IF(ISNUMBER(FIND("CDS",C26)),Prime!$I$4,""))</f>
        <v/>
      </c>
      <c r="O26" s="199"/>
      <c r="P26" s="449" t="str">
        <f t="shared" si="3"/>
        <v/>
      </c>
      <c r="Q26" s="142">
        <f t="shared" si="6"/>
        <v>0.34305555555555556</v>
      </c>
      <c r="R26" s="143">
        <f t="shared" si="5"/>
        <v>8.2333333333333343</v>
      </c>
      <c r="S26" s="144">
        <v>8.18</v>
      </c>
      <c r="T26" s="141">
        <f t="shared" si="4"/>
        <v>5.3333333333334565E-2</v>
      </c>
    </row>
    <row r="27" spans="1:20" s="126" customFormat="1" ht="15.75" x14ac:dyDescent="0.25">
      <c r="A27" s="124"/>
      <c r="B27" s="488">
        <v>41297</v>
      </c>
      <c r="C27" s="457" t="s">
        <v>53</v>
      </c>
      <c r="D27" s="225">
        <v>0.23472222222222219</v>
      </c>
      <c r="E27" s="225">
        <v>0.43958333333333338</v>
      </c>
      <c r="F27" s="226">
        <f>E27-D27</f>
        <v>0.20486111111111119</v>
      </c>
      <c r="G27" s="225">
        <v>0.53402777777777777</v>
      </c>
      <c r="H27" s="225">
        <v>0.67222222222222217</v>
      </c>
      <c r="I27" s="226">
        <f t="shared" si="1"/>
        <v>0.1381944444444444</v>
      </c>
      <c r="J27" s="274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287" t="str">
        <f>IF(AND(LEFT(C27,1)="d",OR(D27&gt;="7:00"*1,H27&gt;"22:00"*1)),Prime!$G$4,"")&amp;IF(AND(LEFT(C27,1)="s",H27&gt;="24:00"*1),Prime!$G$4,"")</f>
        <v/>
      </c>
      <c r="N27" s="322" t="str">
        <f>IF(ISNUMBER(FIND("F",C27)),Prime!$I$4,IF(ISNUMBER(FIND("CDS",C27)),Prime!$I$4,""))</f>
        <v/>
      </c>
      <c r="O27" s="199"/>
      <c r="P27" s="449" t="str">
        <f t="shared" si="3"/>
        <v/>
      </c>
      <c r="Q27" s="142">
        <f t="shared" si="6"/>
        <v>0.34305555555555556</v>
      </c>
      <c r="R27" s="143">
        <f t="shared" si="5"/>
        <v>8.2333333333333343</v>
      </c>
      <c r="S27" s="144">
        <v>8.18</v>
      </c>
      <c r="T27" s="141">
        <f t="shared" si="4"/>
        <v>5.3333333333334565E-2</v>
      </c>
    </row>
    <row r="28" spans="1:20" s="126" customFormat="1" ht="15.75" x14ac:dyDescent="0.25">
      <c r="A28" s="124"/>
      <c r="B28" s="488">
        <v>41298</v>
      </c>
      <c r="C28" s="457" t="s">
        <v>1</v>
      </c>
      <c r="D28" s="225">
        <v>0</v>
      </c>
      <c r="E28" s="225">
        <v>0</v>
      </c>
      <c r="F28" s="226">
        <f t="shared" si="0"/>
        <v>0</v>
      </c>
      <c r="G28" s="225"/>
      <c r="H28" s="225"/>
      <c r="I28" s="226">
        <f t="shared" si="1"/>
        <v>0</v>
      </c>
      <c r="J28" s="274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287" t="str">
        <f>IF(AND(LEFT(C28,1)="d",OR(D28&gt;="7:00"*1,H28&gt;"22:00"*1)),Prime!$G$4,"")&amp;IF(AND(LEFT(C28,1)="s",H28&gt;="24:00"*1),Prime!$G$4,"")</f>
        <v/>
      </c>
      <c r="N28" s="322" t="str">
        <f>IF(ISNUMBER(FIND("F",C28)),Prime!$I$4,IF(ISNUMBER(FIND("CDS",C28)),Prime!$I$4,""))</f>
        <v/>
      </c>
      <c r="O28" s="199"/>
      <c r="P28" s="449" t="str">
        <f t="shared" si="3"/>
        <v/>
      </c>
      <c r="Q28" s="142">
        <f t="shared" si="6"/>
        <v>0</v>
      </c>
      <c r="R28" s="143">
        <f t="shared" si="5"/>
        <v>0</v>
      </c>
      <c r="S28" s="144">
        <v>0</v>
      </c>
      <c r="T28" s="141" t="str">
        <f t="shared" si="4"/>
        <v>0,000</v>
      </c>
    </row>
    <row r="29" spans="1:20" s="126" customFormat="1" ht="15.75" x14ac:dyDescent="0.25">
      <c r="A29" s="124"/>
      <c r="B29" s="488">
        <v>41299</v>
      </c>
      <c r="C29" s="457" t="s">
        <v>0</v>
      </c>
      <c r="D29" s="225">
        <v>0</v>
      </c>
      <c r="E29" s="225">
        <v>0</v>
      </c>
      <c r="F29" s="226">
        <f t="shared" si="0"/>
        <v>0</v>
      </c>
      <c r="G29" s="225"/>
      <c r="H29" s="225"/>
      <c r="I29" s="226">
        <f t="shared" si="1"/>
        <v>0</v>
      </c>
      <c r="J29" s="274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287" t="str">
        <f>IF(AND(LEFT(C29,1)="d",OR(D29&gt;="7:00"*1,H29&gt;"22:00"*1)),Prime!$G$4,"")&amp;IF(AND(LEFT(C29,1)="s",H29&gt;="24:00"*1),Prime!$G$4,"")</f>
        <v/>
      </c>
      <c r="N29" s="322" t="str">
        <f>IF(ISNUMBER(FIND("F",C29)),Prime!$I$4,IF(ISNUMBER(FIND("CDS",C29)),Prime!$I$4,""))</f>
        <v/>
      </c>
      <c r="O29" s="199"/>
      <c r="P29" s="449" t="str">
        <f t="shared" si="3"/>
        <v/>
      </c>
      <c r="Q29" s="142">
        <f t="shared" si="6"/>
        <v>0</v>
      </c>
      <c r="R29" s="143">
        <f t="shared" si="5"/>
        <v>0</v>
      </c>
      <c r="S29" s="144">
        <v>0</v>
      </c>
      <c r="T29" s="141" t="str">
        <f t="shared" si="4"/>
        <v>0,000</v>
      </c>
    </row>
    <row r="30" spans="1:20" s="126" customFormat="1" ht="15.75" x14ac:dyDescent="0.25">
      <c r="A30" s="124"/>
      <c r="B30" s="488">
        <v>41300</v>
      </c>
      <c r="C30" s="457" t="s">
        <v>19</v>
      </c>
      <c r="D30" s="225">
        <v>0</v>
      </c>
      <c r="E30" s="225">
        <v>0</v>
      </c>
      <c r="F30" s="226">
        <f>E30-D30</f>
        <v>0</v>
      </c>
      <c r="G30" s="225"/>
      <c r="H30" s="225"/>
      <c r="I30" s="226">
        <f t="shared" si="1"/>
        <v>0</v>
      </c>
      <c r="J30" s="274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287" t="str">
        <f>IF(AND(LEFT(C30,1)="d",OR(D30&gt;="7:00"*1,H30&gt;"22:00"*1)),Prime!$G$4,"")&amp;IF(AND(LEFT(C30,1)="s",H30&gt;="24:00"*1),Prime!$G$4,"")</f>
        <v/>
      </c>
      <c r="N30" s="322" t="str">
        <f>IF(ISNUMBER(FIND("F",C30)),Prime!$I$4,IF(ISNUMBER(FIND("CDS",C30)),Prime!$I$4,""))</f>
        <v/>
      </c>
      <c r="O30" s="199"/>
      <c r="P30" s="449" t="str">
        <f t="shared" si="3"/>
        <v/>
      </c>
      <c r="Q30" s="142">
        <f t="shared" si="6"/>
        <v>0</v>
      </c>
      <c r="R30" s="143">
        <f t="shared" si="5"/>
        <v>0</v>
      </c>
      <c r="S30" s="144">
        <v>0</v>
      </c>
      <c r="T30" s="141" t="str">
        <f t="shared" si="4"/>
        <v>0,000</v>
      </c>
    </row>
    <row r="31" spans="1:20" s="126" customFormat="1" ht="15.75" x14ac:dyDescent="0.25">
      <c r="A31" s="124"/>
      <c r="B31" s="488">
        <v>41301</v>
      </c>
      <c r="C31" s="457" t="s">
        <v>195</v>
      </c>
      <c r="F31" s="226">
        <f>H31-G31</f>
        <v>0.30416666666666659</v>
      </c>
      <c r="G31" s="225">
        <v>0.49861111111111112</v>
      </c>
      <c r="H31" s="225">
        <v>0.8027777777777777</v>
      </c>
      <c r="I31" s="226">
        <f t="shared" si="1"/>
        <v>0.30416666666666659</v>
      </c>
      <c r="J31" s="274" t="str">
        <f>IF(COUNTA(D31:E31,G31:H31)=5,Prime!$E$4,IF(AND(D31&lt;="5:01"*1,D31&gt;"2:00"*1),Prime!$E$4,IF(AND(H31&gt;="22:00"*1,H31&lt;="26:01"*1),Prime!$E$4,"")))</f>
        <v/>
      </c>
      <c r="K31" s="231">
        <f>IF(COUNTA(D31:E31,G31:H31)=5,Prime!$E$4,IF(AND(E31&gt;="13:15"*1,G31&lt;""),Prime!$E$4,IF(AND(G31&gt;="11:00"*1,G31&lt;="12:15"*1),Prime!$E$4,"")))</f>
        <v>17.7056</v>
      </c>
      <c r="L31" s="286" t="str">
        <f>IF(H31&gt;"21:30"*1,Prime!$F$4,"")</f>
        <v/>
      </c>
      <c r="M31" s="287" t="str">
        <f>IF(AND(LEFT(C31,1)="d",OR(D31&gt;="7:00"*1,H31&gt;"22:00"*1)),Prime!$G$4,"")&amp;IF(AND(LEFT(C31,1)="s",H31&gt;="24:00"*1),Prime!$G$4,"")</f>
        <v/>
      </c>
      <c r="N31" s="322" t="str">
        <f>IF(ISNUMBER(FIND("F",C31)),Prime!$I$4,IF(ISNUMBER(FIND("CDS",C31)),Prime!$I$4,""))</f>
        <v/>
      </c>
      <c r="O31" s="199"/>
      <c r="P31" s="449" t="str">
        <f t="shared" si="3"/>
        <v/>
      </c>
      <c r="Q31" s="142">
        <f t="shared" si="6"/>
        <v>0.30416666666666659</v>
      </c>
      <c r="R31" s="143">
        <f t="shared" si="5"/>
        <v>7.299999999999998</v>
      </c>
      <c r="S31" s="144">
        <v>7.3</v>
      </c>
      <c r="T31" s="141">
        <f t="shared" si="4"/>
        <v>-1.7763568394002505E-15</v>
      </c>
    </row>
    <row r="32" spans="1:20" s="126" customFormat="1" ht="15.75" x14ac:dyDescent="0.25">
      <c r="A32" s="124"/>
      <c r="B32" s="488">
        <v>41302</v>
      </c>
      <c r="C32" s="457" t="s">
        <v>196</v>
      </c>
      <c r="D32" s="225">
        <v>0.32777777777777778</v>
      </c>
      <c r="E32" s="225">
        <v>0.56736111111111109</v>
      </c>
      <c r="F32" s="226">
        <f t="shared" si="0"/>
        <v>0.23958333333333331</v>
      </c>
      <c r="G32" s="225"/>
      <c r="H32" s="225"/>
      <c r="I32" s="226">
        <f t="shared" si="1"/>
        <v>0</v>
      </c>
      <c r="J32" s="274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287" t="str">
        <f>IF(AND(LEFT(C32,1)="d",OR(D32&gt;="7:00"*1,H32&gt;"22:00"*1)),Prime!$G$4,"")&amp;IF(AND(LEFT(C32,1)="s",H32&gt;="24:00"*1),Prime!$G$4,"")</f>
        <v>44,264</v>
      </c>
      <c r="N32" s="322" t="str">
        <f>IF(ISNUMBER(FIND("F",C32)),Prime!$I$4,IF(ISNUMBER(FIND("CDS",C32)),Prime!$I$4,""))</f>
        <v/>
      </c>
      <c r="O32" s="199"/>
      <c r="P32" s="449" t="str">
        <f t="shared" si="3"/>
        <v/>
      </c>
      <c r="Q32" s="142">
        <f t="shared" si="6"/>
        <v>0.23958333333333331</v>
      </c>
      <c r="R32" s="143">
        <f t="shared" si="5"/>
        <v>5.75</v>
      </c>
      <c r="S32" s="144">
        <v>5.75</v>
      </c>
      <c r="T32" s="141" t="str">
        <f t="shared" si="4"/>
        <v>0,000</v>
      </c>
    </row>
    <row r="33" spans="1:21" s="126" customFormat="1" ht="15.75" x14ac:dyDescent="0.25">
      <c r="A33" s="124"/>
      <c r="B33" s="488">
        <v>41303</v>
      </c>
      <c r="C33" s="457" t="s">
        <v>54</v>
      </c>
      <c r="D33" s="225">
        <v>0.51111111111111118</v>
      </c>
      <c r="E33" s="225">
        <v>0.83124999999999993</v>
      </c>
      <c r="F33" s="226">
        <f t="shared" si="0"/>
        <v>0.32013888888888875</v>
      </c>
      <c r="G33" s="225"/>
      <c r="H33" s="225"/>
      <c r="I33" s="226">
        <f t="shared" si="1"/>
        <v>0</v>
      </c>
      <c r="J33" s="274" t="str">
        <f>IF(COUNTA(D33:E33,G33:H33)=5,Prime!$E$4,IF(AND(D33&lt;="5:01"*1,D33&gt;"2:00"*1),Prime!$E$4,IF(AND(H33&gt;="22:00"*1,H33&lt;="26:01"*1),Prime!$E$4,"")))</f>
        <v/>
      </c>
      <c r="K33" s="231" t="str">
        <f>IF(COUNTA(D33:E33,G33:H33)=5,Prime!$E$4,IF(AND(E33&gt;="13:15"*1,G33&lt;""),Prime!$E$4,IF(AND(G33&gt;="11:00"*1,G33&lt;="12:15"*1),Prime!$E$4,"")))</f>
        <v/>
      </c>
      <c r="L33" s="286" t="str">
        <f>IF(H33&gt;"21:30"*1,Prime!$F$4,"")</f>
        <v/>
      </c>
      <c r="M33" s="287" t="str">
        <f>IF(AND(LEFT(C33,1)="d",OR(D33&gt;="7:00"*1,H33&gt;"22:00"*1)),Prime!$G$4,"")&amp;IF(AND(LEFT(C33,1)="s",H33&gt;="24:00"*1),Prime!$G$4,"")</f>
        <v/>
      </c>
      <c r="N33" s="322" t="str">
        <f>IF(ISNUMBER(FIND("F",C33)),Prime!$I$4,IF(ISNUMBER(FIND("CDS",C33)),Prime!$I$4,""))</f>
        <v/>
      </c>
      <c r="O33" s="199"/>
      <c r="P33" s="449" t="str">
        <f t="shared" si="3"/>
        <v/>
      </c>
      <c r="Q33" s="142">
        <f>(E33-D33)+(H33-G33)</f>
        <v>0.32013888888888875</v>
      </c>
      <c r="R33" s="143">
        <f t="shared" si="5"/>
        <v>7.68333333333333</v>
      </c>
      <c r="S33" s="144">
        <v>7.68</v>
      </c>
      <c r="T33" s="141">
        <f t="shared" si="4"/>
        <v>3.3333333333303017E-3</v>
      </c>
    </row>
    <row r="34" spans="1:21" s="126" customFormat="1" ht="16.5" thickBot="1" x14ac:dyDescent="0.3">
      <c r="A34" s="124"/>
      <c r="B34" s="489">
        <v>41304</v>
      </c>
      <c r="C34" s="458" t="s">
        <v>1</v>
      </c>
      <c r="D34" s="227">
        <v>0</v>
      </c>
      <c r="E34" s="227">
        <v>0</v>
      </c>
      <c r="F34" s="228">
        <f t="shared" si="0"/>
        <v>0</v>
      </c>
      <c r="G34" s="227"/>
      <c r="H34" s="227"/>
      <c r="I34" s="228">
        <f t="shared" si="1"/>
        <v>0</v>
      </c>
      <c r="J34" s="275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88" t="str">
        <f>IF(H34&gt;"21:30"*1,Prime!$F$4,"")</f>
        <v/>
      </c>
      <c r="M34" s="289" t="str">
        <f>IF(AND(LEFT(C34,1)="d",OR(D34&gt;="7:00"*1,H34&gt;"22:00"*1)),Prime!$G$4,"")&amp;IF(AND(LEFT(C34,1)="s",H34&gt;="24:00"*1),Prime!$G$4,"")</f>
        <v/>
      </c>
      <c r="N34" s="323" t="str">
        <f>IF(ISNUMBER(FIND("F",C34)),Prime!$I$4,IF(ISNUMBER(FIND("CDS",C34)),Prime!$I$4,""))</f>
        <v/>
      </c>
      <c r="O34" s="200"/>
      <c r="P34" s="450" t="str">
        <f t="shared" si="3"/>
        <v/>
      </c>
      <c r="Q34" s="145">
        <f>(E34-D34)+(H34-G34)</f>
        <v>0</v>
      </c>
      <c r="R34" s="146">
        <f t="shared" si="5"/>
        <v>0</v>
      </c>
      <c r="S34" s="147">
        <v>0</v>
      </c>
      <c r="T34" s="148" t="str">
        <f t="shared" si="4"/>
        <v>0,000</v>
      </c>
    </row>
    <row r="35" spans="1:21" s="126" customFormat="1" x14ac:dyDescent="0.25">
      <c r="A35" s="124"/>
      <c r="B35" s="149"/>
      <c r="C35" s="149"/>
      <c r="D35" s="149"/>
      <c r="E35" s="124"/>
      <c r="F35" s="124"/>
      <c r="G35" s="124"/>
      <c r="H35" s="124"/>
      <c r="I35" s="124"/>
      <c r="J35" s="180"/>
      <c r="K35" s="165"/>
      <c r="Q35" s="124"/>
      <c r="R35" s="20"/>
      <c r="S35" s="21"/>
      <c r="T35" s="151"/>
    </row>
    <row r="36" spans="1:21" s="126" customFormat="1" x14ac:dyDescent="0.25">
      <c r="A36" s="124"/>
      <c r="B36" s="490" t="s">
        <v>156</v>
      </c>
      <c r="C36" s="197">
        <f>COUNTIF(C4:C34,"&lt;&gt;")-(COUNTIF(C4:C34,"CH*")+COUNTIF(C4:C34,"RTT*")+COUNTIF(C4:C34,"CC*")+COUNTIF(C4:C34,"FERIÉ*")+COUNTIF(C4:C34,"CP*"))</f>
        <v>24</v>
      </c>
      <c r="D36" s="149"/>
      <c r="E36" s="124"/>
      <c r="F36" s="124"/>
      <c r="G36" s="124"/>
      <c r="H36" s="124"/>
      <c r="I36" s="124"/>
      <c r="J36" s="166">
        <f>SUM(J4:J34)</f>
        <v>35.411200000000001</v>
      </c>
      <c r="K36" s="308">
        <f>SUM(K4:K34)</f>
        <v>35.411200000000001</v>
      </c>
      <c r="L36" s="167">
        <f>SUM(L4:L34)</f>
        <v>0</v>
      </c>
      <c r="M36" s="305">
        <f>SUM(M4:M34)</f>
        <v>0</v>
      </c>
      <c r="N36" s="324">
        <f>SUM(N4:N34)</f>
        <v>0</v>
      </c>
      <c r="O36" s="153">
        <f>SUM(O4:O34)/24</f>
        <v>0</v>
      </c>
      <c r="P36" s="195">
        <f>SUM(P4:P34)</f>
        <v>0</v>
      </c>
      <c r="Q36" s="154">
        <f>SUM(Q4:Q34)</f>
        <v>6.1576388888888891</v>
      </c>
      <c r="R36" s="63">
        <f>SUM(R4:R34)</f>
        <v>147.78333333333333</v>
      </c>
      <c r="S36" s="64">
        <f>SUM(S3:S34)</f>
        <v>147.76999999999998</v>
      </c>
      <c r="T36" s="151">
        <f>R36-S36</f>
        <v>1.3333333333349628E-2</v>
      </c>
      <c r="U36" s="155"/>
    </row>
    <row r="37" spans="1:21" s="126" customFormat="1" x14ac:dyDescent="0.25">
      <c r="A37" s="124"/>
      <c r="B37" s="124"/>
      <c r="C37" s="124"/>
      <c r="D37" s="149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5"/>
      <c r="T37" s="127"/>
    </row>
    <row r="38" spans="1:21" s="126" customFormat="1" ht="15.75" customHeight="1" x14ac:dyDescent="0.25">
      <c r="B38" s="125"/>
      <c r="O38" s="202"/>
      <c r="P38" s="176"/>
      <c r="Q38" s="156">
        <v>6.1895833333333341</v>
      </c>
      <c r="R38" s="65">
        <v>148.19999999999999</v>
      </c>
      <c r="T38" s="127"/>
    </row>
    <row r="39" spans="1:21" s="126" customFormat="1" x14ac:dyDescent="0.25">
      <c r="B39" s="125"/>
      <c r="T39" s="127"/>
    </row>
    <row r="40" spans="1:21" x14ac:dyDescent="0.25">
      <c r="B40" s="124"/>
      <c r="C40" s="124"/>
      <c r="D40" s="149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201"/>
      <c r="P40" s="175"/>
      <c r="Q40" s="157">
        <f>(Q36-Q38)</f>
        <v>-3.1944444444444997E-2</v>
      </c>
      <c r="R40" s="158">
        <f>Q40*24</f>
        <v>-0.76666666666667993</v>
      </c>
    </row>
    <row r="41" spans="1:21" x14ac:dyDescent="0.25">
      <c r="B41" s="124"/>
      <c r="C41" s="124"/>
      <c r="D41" s="149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</row>
    <row r="42" spans="1:21" x14ac:dyDescent="0.25">
      <c r="B42" s="124"/>
      <c r="C42" s="124"/>
      <c r="D42" s="149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</row>
    <row r="43" spans="1:21" x14ac:dyDescent="0.25">
      <c r="B43" s="124"/>
      <c r="C43" s="124"/>
      <c r="D43" s="149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</row>
    <row r="44" spans="1:21" x14ac:dyDescent="0.25">
      <c r="B44" s="124"/>
      <c r="C44" s="124"/>
      <c r="D44" s="149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</row>
    <row r="45" spans="1:21" x14ac:dyDescent="0.25">
      <c r="B45" s="124"/>
      <c r="C45" s="124"/>
      <c r="D45" s="149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</row>
    <row r="46" spans="1:21" x14ac:dyDescent="0.25">
      <c r="B46" s="124"/>
      <c r="C46" s="124"/>
      <c r="D46" s="149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</row>
    <row r="47" spans="1:21" x14ac:dyDescent="0.25">
      <c r="B47" s="124"/>
      <c r="C47" s="124"/>
      <c r="D47" s="149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</row>
    <row r="48" spans="1:21" x14ac:dyDescent="0.25">
      <c r="B48" s="124"/>
      <c r="C48" s="124"/>
      <c r="D48" s="149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</row>
  </sheetData>
  <mergeCells count="3">
    <mergeCell ref="B1:Q1"/>
    <mergeCell ref="Q2:T2"/>
    <mergeCell ref="O3:P3"/>
  </mergeCells>
  <conditionalFormatting sqref="T4:T34">
    <cfRule type="cellIs" dxfId="61" priority="17" operator="greaterThanOrEqual">
      <formula>0.001</formula>
    </cfRule>
    <cfRule type="cellIs" dxfId="60" priority="18" operator="lessThan">
      <formula>0</formula>
    </cfRule>
  </conditionalFormatting>
  <conditionalFormatting sqref="T35:T36">
    <cfRule type="cellIs" dxfId="59" priority="13" operator="greaterThanOrEqual">
      <formula>0.001</formula>
    </cfRule>
    <cfRule type="cellIs" dxfId="58" priority="14" operator="lessThan">
      <formula>0</formula>
    </cfRule>
  </conditionalFormatting>
  <conditionalFormatting sqref="Q40">
    <cfRule type="cellIs" dxfId="57" priority="3" operator="lessThan">
      <formula>0</formula>
    </cfRule>
  </conditionalFormatting>
  <conditionalFormatting sqref="A11 Q11:IW11 O11 C11:I11">
    <cfRule type="expression" dxfId="56" priority="1" stopIfTrue="1">
      <formula>"dimanche"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6"/>
  <sheetViews>
    <sheetView workbookViewId="0">
      <selection activeCell="B2" sqref="B1:B1048576"/>
    </sheetView>
  </sheetViews>
  <sheetFormatPr baseColWidth="10" defaultRowHeight="15" x14ac:dyDescent="0.25"/>
  <cols>
    <col min="1" max="1" width="2.7109375" style="19" customWidth="1"/>
    <col min="2" max="2" width="15.7109375" style="497" customWidth="1"/>
    <col min="3" max="10" width="14.7109375" style="19" customWidth="1"/>
    <col min="11" max="11" width="14.7109375" style="18" customWidth="1"/>
    <col min="12" max="12" width="14.7109375" style="203" customWidth="1"/>
    <col min="13" max="14" width="14.7109375" style="19" customWidth="1"/>
    <col min="15" max="16" width="14.7109375" style="23" customWidth="1"/>
    <col min="17" max="17" width="14.7109375" style="19" customWidth="1"/>
    <col min="18" max="16384" width="11.42578125" style="19"/>
  </cols>
  <sheetData>
    <row r="1" spans="1:21" s="1" customFormat="1" ht="16.5" thickBot="1" x14ac:dyDescent="0.3">
      <c r="A1" s="3"/>
      <c r="B1" s="524" t="s">
        <v>2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18"/>
    </row>
    <row r="2" spans="1:21" s="1" customFormat="1" ht="16.5" thickBot="1" x14ac:dyDescent="0.3">
      <c r="A2" s="3"/>
      <c r="B2" s="491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116" t="s">
        <v>135</v>
      </c>
      <c r="C3" s="5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526" t="s">
        <v>20</v>
      </c>
      <c r="P3" s="52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ht="15.75" x14ac:dyDescent="0.25">
      <c r="A4" s="3"/>
      <c r="B4" s="492">
        <v>41305</v>
      </c>
      <c r="C4" s="451" t="s">
        <v>55</v>
      </c>
      <c r="D4" s="234">
        <v>0.55069444444444449</v>
      </c>
      <c r="E4" s="234">
        <v>0.8666666666666667</v>
      </c>
      <c r="F4" s="235">
        <f t="shared" ref="F4:F31" si="0">E4-D4</f>
        <v>0.31597222222222221</v>
      </c>
      <c r="G4" s="234">
        <v>0.55069444444444449</v>
      </c>
      <c r="H4" s="234">
        <v>0.8666666666666667</v>
      </c>
      <c r="I4" s="235">
        <f t="shared" ref="I4:I31" si="1">H4-G4</f>
        <v>0.31597222222222221</v>
      </c>
      <c r="J4" s="236" t="str">
        <f>IF(COUNTA(D4:E4,G4:H4)=5,Prime!$E$4,IF(AND(D4&lt;="5:01"*1,D4&gt;"2:00"*1),Prime!$E$4,IF(AND(H4&gt;="22:00"*1,H4&lt;="26:01"*1),Prime!$E$4,"")))</f>
        <v/>
      </c>
      <c r="K4" s="230">
        <f>IF(COUNTA(D4:E4,G4:H4)=5,Prime!$E$4,IF(AND(E4&gt;="13:15"*1,G4&lt;""),Prime!$E$4,IF(AND(G4&gt;="11:00"*1,G4&lt;="12:15"*1),Prime!$E$4,"")))</f>
        <v>17.7056</v>
      </c>
      <c r="L4" s="284" t="str">
        <f>IF(H4&gt;"21:30"*1,Prime!$F$4,"")</f>
        <v/>
      </c>
      <c r="M4" s="291" t="str">
        <f>IF(AND(LEFT(C4,1)="d",OR(D4&gt;="7:00"*1,H4&gt;"22:00"*1)),Prime!$G$4,"")&amp;IF(AND(LEFT(C4,1)="s",H4&gt;="24:00"*1),Prime!$G$4,"")</f>
        <v/>
      </c>
      <c r="N4" s="236" t="str">
        <f>IF(ISNUMBER(FIND("F",C4)),Prime!$I$4,IF(ISNUMBER(FIND("CDS",C4)),Prime!$I$4,""))</f>
        <v/>
      </c>
      <c r="O4" s="237"/>
      <c r="P4" s="238" t="str">
        <f t="shared" ref="P4:P17" si="2">IF(ISBLANK(O4),"",O4*24)</f>
        <v/>
      </c>
      <c r="Q4" s="138">
        <f t="shared" ref="Q4:Q31" si="3">(E4-D4)+(H4-G4)</f>
        <v>0.63194444444444442</v>
      </c>
      <c r="R4" s="139">
        <f>Q4*24</f>
        <v>15.166666666666666</v>
      </c>
      <c r="S4" s="140">
        <v>7.58</v>
      </c>
      <c r="T4" s="141">
        <f>IF(R4-S4=0,"0,000",R4-S4)</f>
        <v>7.586666666666666</v>
      </c>
      <c r="U4" s="126"/>
    </row>
    <row r="5" spans="1:21" s="1" customFormat="1" ht="15.75" x14ac:dyDescent="0.25">
      <c r="A5" s="3"/>
      <c r="B5" s="493">
        <v>41306</v>
      </c>
      <c r="C5" s="452" t="s">
        <v>55</v>
      </c>
      <c r="D5" s="239">
        <v>0.55069444444444449</v>
      </c>
      <c r="E5" s="239">
        <v>0.8666666666666667</v>
      </c>
      <c r="F5" s="240">
        <f t="shared" si="0"/>
        <v>0.31597222222222221</v>
      </c>
      <c r="G5" s="239">
        <v>0.55069444444444449</v>
      </c>
      <c r="H5" s="239">
        <v>0.8666666666666667</v>
      </c>
      <c r="I5" s="240">
        <f t="shared" si="1"/>
        <v>0.31597222222222221</v>
      </c>
      <c r="J5" s="271" t="str">
        <f>IF(COUNTA(D5:E5,G5:H5)=5,Prime!$E$4,IF(AND(D5&lt;="5:01"*1,D5&gt;"2:00"*1),Prime!$E$4,IF(AND(H5&gt;="22:00"*1,H5&lt;="26:01"*1),Prime!$E$4,"")))</f>
        <v/>
      </c>
      <c r="K5" s="231">
        <f>IF(COUNTA(D5:E5,G5:H5)=5,Prime!$E$4,IF(AND(E5&gt;="13:15"*1,G5&lt;""),Prime!$E$4,IF(AND(G5&gt;="11:00"*1,G5&lt;="12:15"*1),Prime!$E$4,"")))</f>
        <v>17.7056</v>
      </c>
      <c r="L5" s="286" t="str">
        <f>IF(H5&gt;"21:30"*1,Prime!$F$4,"")</f>
        <v/>
      </c>
      <c r="M5" s="293" t="str">
        <f>IF(AND(LEFT(C5,1)="d",OR(D5&gt;="7:00"*1,H5&gt;"22:00"*1)),Prime!$G$4,"")&amp;IF(AND(LEFT(C5,1)="s",H5&gt;="24:00"*1),Prime!$G$4,"")</f>
        <v/>
      </c>
      <c r="N5" s="271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0.63194444444444442</v>
      </c>
      <c r="R5" s="143">
        <f>Q5*24</f>
        <v>15.166666666666666</v>
      </c>
      <c r="S5" s="144">
        <v>7.58</v>
      </c>
      <c r="T5" s="141">
        <f t="shared" ref="T5:T31" si="4">IF(R5-S5=0,"0,000",R5-S5)</f>
        <v>7.586666666666666</v>
      </c>
      <c r="U5" s="126"/>
    </row>
    <row r="6" spans="1:21" s="1" customFormat="1" ht="15.75" x14ac:dyDescent="0.25">
      <c r="A6" s="3"/>
      <c r="B6" s="493">
        <v>41307</v>
      </c>
      <c r="C6" s="452" t="s">
        <v>55</v>
      </c>
      <c r="D6" s="239">
        <v>0.55069444444444449</v>
      </c>
      <c r="E6" s="239">
        <v>0.8666666666666667</v>
      </c>
      <c r="F6" s="240">
        <f t="shared" si="0"/>
        <v>0.31597222222222221</v>
      </c>
      <c r="G6" s="239">
        <v>0.55069444444444449</v>
      </c>
      <c r="H6" s="239">
        <v>0.8666666666666667</v>
      </c>
      <c r="I6" s="240">
        <f t="shared" si="1"/>
        <v>0.31597222222222221</v>
      </c>
      <c r="J6" s="271" t="str">
        <f>IF(COUNTA(D6:E6,G6:H6)=5,Prime!$E$4,IF(AND(D6&lt;="5:01"*1,D6&gt;"2:00"*1),Prime!$E$4,IF(AND(H6&gt;="22:00"*1,H6&lt;="26:01"*1),Prime!$E$4,"")))</f>
        <v/>
      </c>
      <c r="K6" s="231">
        <f>IF(COUNTA(D6:E6,G6:H6)=5,Prime!$E$4,IF(AND(E6&gt;="13:15"*1,G6&lt;""),Prime!$E$4,IF(AND(G6&gt;="11:00"*1,G6&lt;="12:15"*1),Prime!$E$4,"")))</f>
        <v>17.7056</v>
      </c>
      <c r="L6" s="286" t="str">
        <f>IF(H6&gt;"21:30"*1,Prime!$F$4,"")</f>
        <v/>
      </c>
      <c r="M6" s="293" t="str">
        <f>IF(AND(LEFT(C6,1)="d",OR(D6&gt;="7:00"*1,H6&gt;"22:00"*1)),Prime!$G$4,"")&amp;IF(AND(LEFT(C6,1)="s",H6&gt;="24:00"*1),Prime!$G$4,"")</f>
        <v/>
      </c>
      <c r="N6" s="271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0.63194444444444442</v>
      </c>
      <c r="R6" s="143">
        <f>Q6*24</f>
        <v>15.166666666666666</v>
      </c>
      <c r="S6" s="144">
        <v>8</v>
      </c>
      <c r="T6" s="141">
        <f t="shared" si="4"/>
        <v>7.1666666666666661</v>
      </c>
      <c r="U6" s="126"/>
    </row>
    <row r="7" spans="1:21" s="1" customFormat="1" ht="15.75" x14ac:dyDescent="0.25">
      <c r="A7" s="3"/>
      <c r="B7" s="493">
        <v>41308</v>
      </c>
      <c r="C7" s="452" t="s">
        <v>197</v>
      </c>
      <c r="D7" s="239"/>
      <c r="E7" s="239"/>
      <c r="F7" s="240">
        <f t="shared" si="0"/>
        <v>0</v>
      </c>
      <c r="G7" s="239">
        <v>0.5395833333333333</v>
      </c>
      <c r="H7" s="239">
        <v>0.84166666666666667</v>
      </c>
      <c r="I7" s="240">
        <f t="shared" si="1"/>
        <v>0.30208333333333337</v>
      </c>
      <c r="J7" s="271" t="str">
        <f>IF(COUNTA(D7:E7,G7:H7)=5,Prime!$E$4,IF(AND(D7&lt;="5:01"*1,D7&gt;"2:00"*1),Prime!$E$4,IF(AND(H7&gt;="22:00"*1,H7&lt;="26:01"*1),Prime!$E$4,"")))</f>
        <v/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293" t="str">
        <f>IF(AND(LEFT(C7,1)="d",OR(D7&gt;="7:00"*1,H7&gt;"22:00"*1)),Prime!$G$4,"")&amp;IF(AND(LEFT(C7,1)="s",H7&gt;="24:00"*1),Prime!$G$4,"")</f>
        <v/>
      </c>
      <c r="N7" s="271" t="str">
        <f>IF(ISNUMBER(FIND("F",C7)),Prime!$I$4,IF(ISNUMBER(FIND("CDS",C7)),Prime!$I$4,""))</f>
        <v/>
      </c>
      <c r="O7" s="241"/>
      <c r="P7" s="242" t="str">
        <f t="shared" si="2"/>
        <v/>
      </c>
      <c r="Q7" s="142">
        <f t="shared" si="3"/>
        <v>0.30208333333333337</v>
      </c>
      <c r="R7" s="143">
        <f t="shared" ref="R7:R31" si="5">Q7*24</f>
        <v>7.2500000000000009</v>
      </c>
      <c r="S7" s="144">
        <v>7.25</v>
      </c>
      <c r="T7" s="141">
        <f t="shared" si="4"/>
        <v>8.8817841970012523E-16</v>
      </c>
      <c r="U7" s="126"/>
    </row>
    <row r="8" spans="1:21" s="1" customFormat="1" ht="15.75" x14ac:dyDescent="0.25">
      <c r="A8" s="3"/>
      <c r="B8" s="493">
        <v>41309</v>
      </c>
      <c r="C8" s="452" t="s">
        <v>198</v>
      </c>
      <c r="D8" s="239">
        <v>0</v>
      </c>
      <c r="E8" s="239">
        <v>0</v>
      </c>
      <c r="F8" s="240">
        <f t="shared" si="0"/>
        <v>0</v>
      </c>
      <c r="G8" s="239"/>
      <c r="H8" s="239"/>
      <c r="I8" s="240">
        <f t="shared" si="1"/>
        <v>0</v>
      </c>
      <c r="J8" s="271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293" t="str">
        <f>IF(AND(LEFT(C8,1)="d",OR(D8&gt;="7:00"*1,H8&gt;"22:00"*1)),Prime!$G$4,"")&amp;IF(AND(LEFT(C8,1)="s",H8&gt;="24:00"*1),Prime!$G$4,"")</f>
        <v/>
      </c>
      <c r="N8" s="271" t="str">
        <f>IF(ISNUMBER(FIND("F",C8)),Prime!$I$4,IF(ISNUMBER(FIND("CDS",C8)),Prime!$I$4,""))</f>
        <v/>
      </c>
      <c r="O8" s="241"/>
      <c r="P8" s="242" t="str">
        <f t="shared" si="2"/>
        <v/>
      </c>
      <c r="Q8" s="142">
        <f t="shared" si="3"/>
        <v>0</v>
      </c>
      <c r="R8" s="143">
        <f t="shared" si="5"/>
        <v>0</v>
      </c>
      <c r="S8" s="144">
        <v>0</v>
      </c>
      <c r="T8" s="141" t="str">
        <f t="shared" si="4"/>
        <v>0,000</v>
      </c>
      <c r="U8" s="126"/>
    </row>
    <row r="9" spans="1:21" s="1" customFormat="1" ht="15.75" x14ac:dyDescent="0.25">
      <c r="A9" s="3"/>
      <c r="B9" s="493">
        <v>41310</v>
      </c>
      <c r="C9" s="452" t="s">
        <v>56</v>
      </c>
      <c r="D9" s="239">
        <v>0.26874999999999999</v>
      </c>
      <c r="E9" s="239">
        <v>0.54375000000000007</v>
      </c>
      <c r="F9" s="240">
        <f t="shared" si="0"/>
        <v>0.27500000000000008</v>
      </c>
      <c r="G9" s="239"/>
      <c r="H9" s="239"/>
      <c r="I9" s="240">
        <f t="shared" si="1"/>
        <v>0</v>
      </c>
      <c r="J9" s="271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293" t="str">
        <f>IF(AND(LEFT(C9,1)="d",OR(D9&gt;="7:00"*1,H9&gt;"22:00"*1)),Prime!$G$4,"")&amp;IF(AND(LEFT(C9,1)="s",H9&gt;="24:00"*1),Prime!$G$4,"")</f>
        <v/>
      </c>
      <c r="N9" s="271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0.27500000000000008</v>
      </c>
      <c r="R9" s="143">
        <f t="shared" si="5"/>
        <v>6.6000000000000014</v>
      </c>
      <c r="S9" s="144">
        <v>6.6</v>
      </c>
      <c r="T9" s="141">
        <f t="shared" si="4"/>
        <v>1.7763568394002505E-15</v>
      </c>
      <c r="U9" s="126"/>
    </row>
    <row r="10" spans="1:21" s="1" customFormat="1" ht="15.75" x14ac:dyDescent="0.25">
      <c r="A10" s="3"/>
      <c r="B10" s="493">
        <v>41311</v>
      </c>
      <c r="C10" s="452" t="s">
        <v>57</v>
      </c>
      <c r="D10" s="239">
        <v>0.21666666666666667</v>
      </c>
      <c r="E10" s="239">
        <v>0.5444444444444444</v>
      </c>
      <c r="F10" s="240">
        <f t="shared" si="0"/>
        <v>0.32777777777777772</v>
      </c>
      <c r="G10" s="239"/>
      <c r="H10" s="239"/>
      <c r="I10" s="240">
        <f t="shared" si="1"/>
        <v>0</v>
      </c>
      <c r="J10" s="271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293" t="str">
        <f>IF(AND(LEFT(C10,1)="d",OR(D10&gt;="7:00"*1,H10&gt;"22:00"*1)),Prime!$G$4,"")&amp;IF(AND(LEFT(C10,1)="s",H10&gt;="24:00"*1),Prime!$G$4,"")</f>
        <v/>
      </c>
      <c r="N10" s="271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0.32777777777777772</v>
      </c>
      <c r="R10" s="143">
        <f t="shared" si="5"/>
        <v>7.8666666666666654</v>
      </c>
      <c r="S10" s="144">
        <v>7.87</v>
      </c>
      <c r="T10" s="141">
        <f t="shared" si="4"/>
        <v>-3.3333333333347426E-3</v>
      </c>
      <c r="U10" s="126"/>
    </row>
    <row r="11" spans="1:21" s="1" customFormat="1" ht="15.75" x14ac:dyDescent="0.25">
      <c r="A11" s="3"/>
      <c r="B11" s="493">
        <v>41312</v>
      </c>
      <c r="C11" s="452" t="s">
        <v>58</v>
      </c>
      <c r="D11" s="239">
        <v>0.25</v>
      </c>
      <c r="E11" s="239">
        <v>0.55138888888888882</v>
      </c>
      <c r="F11" s="240">
        <f t="shared" si="0"/>
        <v>0.30138888888888882</v>
      </c>
      <c r="G11" s="239"/>
      <c r="H11" s="239"/>
      <c r="I11" s="240">
        <f t="shared" si="1"/>
        <v>0</v>
      </c>
      <c r="J11" s="271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86" t="str">
        <f>IF(H11&gt;"21:30"*1,Prime!$F$4,"")</f>
        <v/>
      </c>
      <c r="M11" s="293" t="str">
        <f>IF(AND(LEFT(C11,1)="d",OR(D11&gt;="7:00"*1,H11&gt;"22:00"*1)),Prime!$G$4,"")&amp;IF(AND(LEFT(C11,1)="s",H11&gt;="24:00"*1),Prime!$G$4,"")</f>
        <v/>
      </c>
      <c r="N11" s="271" t="str">
        <f>IF(ISNUMBER(FIND("F",C11)),Prime!$I$4,IF(ISNUMBER(FIND("CDS",C11)),Prime!$I$4,""))</f>
        <v/>
      </c>
      <c r="O11" s="241"/>
      <c r="P11" s="242" t="str">
        <f t="shared" si="2"/>
        <v/>
      </c>
      <c r="Q11" s="142">
        <f t="shared" si="3"/>
        <v>0.30138888888888882</v>
      </c>
      <c r="R11" s="143">
        <f t="shared" si="5"/>
        <v>7.2333333333333316</v>
      </c>
      <c r="S11" s="144">
        <v>7.23</v>
      </c>
      <c r="T11" s="141">
        <f t="shared" si="4"/>
        <v>3.3333333333311899E-3</v>
      </c>
      <c r="U11" s="126"/>
    </row>
    <row r="12" spans="1:21" s="1" customFormat="1" ht="15.75" x14ac:dyDescent="0.25">
      <c r="A12" s="3"/>
      <c r="B12" s="493">
        <v>41313</v>
      </c>
      <c r="C12" s="452" t="s">
        <v>59</v>
      </c>
      <c r="D12" s="239">
        <v>0.22430555555555556</v>
      </c>
      <c r="E12" s="239">
        <v>0.55763888888888891</v>
      </c>
      <c r="F12" s="240">
        <f t="shared" si="0"/>
        <v>0.33333333333333337</v>
      </c>
      <c r="G12" s="239"/>
      <c r="H12" s="239"/>
      <c r="I12" s="240">
        <f t="shared" si="1"/>
        <v>0</v>
      </c>
      <c r="J12" s="271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293" t="str">
        <f>IF(AND(LEFT(C12,1)="d",OR(D12&gt;="7:00"*1,H12&gt;"22:00"*1)),Prime!$G$4,"")&amp;IF(AND(LEFT(C12,1)="s",H12&gt;="24:00"*1),Prime!$G$4,"")</f>
        <v/>
      </c>
      <c r="N12" s="271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0.33333333333333337</v>
      </c>
      <c r="R12" s="143">
        <f t="shared" si="5"/>
        <v>8</v>
      </c>
      <c r="S12" s="144">
        <v>8</v>
      </c>
      <c r="T12" s="141" t="str">
        <f t="shared" si="4"/>
        <v>0,000</v>
      </c>
      <c r="U12" s="126"/>
    </row>
    <row r="13" spans="1:21" s="1" customFormat="1" ht="15.75" x14ac:dyDescent="0.25">
      <c r="A13" s="3"/>
      <c r="B13" s="493">
        <v>41314</v>
      </c>
      <c r="C13" s="453" t="s">
        <v>60</v>
      </c>
      <c r="D13" s="239">
        <v>0.22291666666666665</v>
      </c>
      <c r="E13" s="239">
        <v>0.54097222222222219</v>
      </c>
      <c r="F13" s="240">
        <f t="shared" si="0"/>
        <v>0.31805555555555554</v>
      </c>
      <c r="G13" s="239"/>
      <c r="H13" s="239"/>
      <c r="I13" s="240">
        <f t="shared" si="1"/>
        <v>0</v>
      </c>
      <c r="J13" s="271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293" t="str">
        <f>IF(AND(LEFT(C13,1)="d",OR(D13&gt;="7:00"*1,H13&gt;"22:00"*1)),Prime!$G$4,"")&amp;IF(AND(LEFT(C13,1)="s",H13&gt;="24:00"*1),Prime!$G$4,"")</f>
        <v/>
      </c>
      <c r="N13" s="271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0.31805555555555554</v>
      </c>
      <c r="R13" s="143">
        <f t="shared" si="5"/>
        <v>7.6333333333333329</v>
      </c>
      <c r="S13" s="144">
        <v>7.63</v>
      </c>
      <c r="T13" s="141">
        <f t="shared" si="4"/>
        <v>3.3333333333329662E-3</v>
      </c>
      <c r="U13" s="126"/>
    </row>
    <row r="14" spans="1:21" s="1" customFormat="1" ht="15.75" x14ac:dyDescent="0.25">
      <c r="A14" s="3"/>
      <c r="B14" s="493">
        <v>41315</v>
      </c>
      <c r="C14" s="452" t="s">
        <v>199</v>
      </c>
      <c r="D14" s="239">
        <v>0</v>
      </c>
      <c r="E14" s="239">
        <v>0</v>
      </c>
      <c r="F14" s="240">
        <f t="shared" si="0"/>
        <v>0</v>
      </c>
      <c r="G14" s="239"/>
      <c r="H14" s="239"/>
      <c r="I14" s="240">
        <f t="shared" si="1"/>
        <v>0</v>
      </c>
      <c r="J14" s="271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293" t="str">
        <f>IF(AND(LEFT(C14,1)="d",OR(D14&gt;="7:00"*1,H14&gt;"22:00"*1)),Prime!$G$4,"")&amp;IF(AND(LEFT(C14,1)="s",H14&gt;="24:00"*1),Prime!$G$4,"")</f>
        <v/>
      </c>
      <c r="N14" s="271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</v>
      </c>
      <c r="R14" s="143">
        <f t="shared" si="5"/>
        <v>0</v>
      </c>
      <c r="S14" s="144">
        <v>0</v>
      </c>
      <c r="T14" s="141" t="str">
        <f t="shared" si="4"/>
        <v>0,000</v>
      </c>
      <c r="U14" s="126"/>
    </row>
    <row r="15" spans="1:21" s="1" customFormat="1" ht="15.75" x14ac:dyDescent="0.25">
      <c r="A15" s="3"/>
      <c r="B15" s="493">
        <v>41316</v>
      </c>
      <c r="C15" s="452" t="s">
        <v>198</v>
      </c>
      <c r="D15" s="239">
        <v>0</v>
      </c>
      <c r="E15" s="239">
        <v>0</v>
      </c>
      <c r="F15" s="240">
        <f t="shared" si="0"/>
        <v>0</v>
      </c>
      <c r="G15" s="239"/>
      <c r="H15" s="239"/>
      <c r="I15" s="240">
        <f t="shared" si="1"/>
        <v>0</v>
      </c>
      <c r="J15" s="271" t="str">
        <f>IF(COUNTA(D15:E15,G15:H15)=5,Prime!$E$4,IF(AND(D15&lt;="5:01"*1,D15&gt;"2:00"*1),Prime!$E$4,IF(AND(H15&gt;="22:00"*1,H15&lt;="26:01"*1),Prime!$E$4,"")))</f>
        <v/>
      </c>
      <c r="K15" s="231" t="str">
        <f>IF(COUNTA(D15:E15,G15:H15)=5,Prime!$E$4,IF(AND(E15&gt;="13:15"*1,G15&lt;""),Prime!$E$4,IF(AND(G15&gt;="11:00"*1,G15&lt;="12:15"*1),Prime!$E$4,"")))</f>
        <v/>
      </c>
      <c r="L15" s="286" t="str">
        <f>IF(H15&gt;"21:30"*1,Prime!$F$4,"")</f>
        <v/>
      </c>
      <c r="M15" s="293" t="str">
        <f>IF(AND(LEFT(C15,1)="d",OR(D15&gt;="7:00"*1,H15&gt;"22:00"*1)),Prime!$G$4,"")&amp;IF(AND(LEFT(C15,1)="s",H15&gt;="24:00"*1),Prime!$G$4,"")</f>
        <v/>
      </c>
      <c r="N15" s="271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</v>
      </c>
      <c r="R15" s="143">
        <f t="shared" si="5"/>
        <v>0</v>
      </c>
      <c r="S15" s="144">
        <v>0</v>
      </c>
      <c r="T15" s="141" t="str">
        <f t="shared" si="4"/>
        <v>0,000</v>
      </c>
      <c r="U15" s="126"/>
    </row>
    <row r="16" spans="1:21" s="1" customFormat="1" ht="15.75" x14ac:dyDescent="0.25">
      <c r="A16" s="3"/>
      <c r="B16" s="493">
        <v>41317</v>
      </c>
      <c r="C16" s="452" t="s">
        <v>1</v>
      </c>
      <c r="D16" s="239">
        <v>0</v>
      </c>
      <c r="E16" s="239">
        <v>0</v>
      </c>
      <c r="F16" s="240">
        <f t="shared" si="0"/>
        <v>0</v>
      </c>
      <c r="G16" s="239"/>
      <c r="H16" s="239"/>
      <c r="I16" s="240">
        <f t="shared" si="1"/>
        <v>0</v>
      </c>
      <c r="J16" s="271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293" t="str">
        <f>IF(AND(LEFT(C16,1)="d",OR(D16&gt;="7:00"*1,H16&gt;"22:00"*1)),Prime!$G$4,"")&amp;IF(AND(LEFT(C16,1)="s",H16&gt;="24:00"*1),Prime!$G$4,"")</f>
        <v/>
      </c>
      <c r="N16" s="271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</v>
      </c>
      <c r="R16" s="143">
        <f t="shared" si="5"/>
        <v>0</v>
      </c>
      <c r="S16" s="144">
        <v>0</v>
      </c>
      <c r="T16" s="141" t="str">
        <f t="shared" si="4"/>
        <v>0,000</v>
      </c>
      <c r="U16" s="126"/>
    </row>
    <row r="17" spans="1:21" s="1" customFormat="1" ht="15.75" x14ac:dyDescent="0.25">
      <c r="A17" s="3"/>
      <c r="B17" s="493">
        <v>41318</v>
      </c>
      <c r="C17" s="452" t="s">
        <v>19</v>
      </c>
      <c r="D17" s="239">
        <v>0</v>
      </c>
      <c r="E17" s="239">
        <v>0</v>
      </c>
      <c r="F17" s="240">
        <f t="shared" si="0"/>
        <v>0</v>
      </c>
      <c r="G17" s="239"/>
      <c r="H17" s="239"/>
      <c r="I17" s="240">
        <f t="shared" si="1"/>
        <v>0</v>
      </c>
      <c r="J17" s="271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86" t="str">
        <f>IF(H17&gt;"21:30"*1,Prime!$F$4,"")</f>
        <v/>
      </c>
      <c r="M17" s="293" t="str">
        <f>IF(AND(LEFT(C17,1)="d",OR(D17&gt;="7:00"*1,H17&gt;"22:00"*1)),Prime!$G$4,"")&amp;IF(AND(LEFT(C17,1)="s",H17&gt;="24:00"*1),Prime!$G$4,"")</f>
        <v/>
      </c>
      <c r="N17" s="271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</v>
      </c>
      <c r="R17" s="143">
        <f t="shared" si="5"/>
        <v>0</v>
      </c>
      <c r="S17" s="144">
        <v>0</v>
      </c>
      <c r="T17" s="141" t="str">
        <f t="shared" si="4"/>
        <v>0,000</v>
      </c>
      <c r="U17" s="126"/>
    </row>
    <row r="18" spans="1:21" s="1" customFormat="1" ht="15.75" x14ac:dyDescent="0.25">
      <c r="A18" s="3"/>
      <c r="B18" s="493">
        <v>41319</v>
      </c>
      <c r="C18" s="452" t="s">
        <v>61</v>
      </c>
      <c r="D18" s="239">
        <v>0.3</v>
      </c>
      <c r="E18" s="239">
        <v>0.5180555555555556</v>
      </c>
      <c r="F18" s="240">
        <f t="shared" si="0"/>
        <v>0.21805555555555561</v>
      </c>
      <c r="G18" s="239">
        <v>0.61805555555555558</v>
      </c>
      <c r="H18" s="239">
        <v>0.75416666666666676</v>
      </c>
      <c r="I18" s="240">
        <f t="shared" si="1"/>
        <v>0.13611111111111118</v>
      </c>
      <c r="J18" s="271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293" t="str">
        <f>IF(AND(LEFT(C18,1)="d",OR(D18&gt;="7:00"*1,H18&gt;"22:00"*1)),Prime!$G$4,"")&amp;IF(AND(LEFT(C18,1)="s",H18&gt;="24:00"*1),Prime!$G$4,"")</f>
        <v/>
      </c>
      <c r="N18" s="271" t="str">
        <f>IF(ISNUMBER(FIND("F",C18)),Prime!$I$4,IF(ISNUMBER(FIND("CDS",C18)),Prime!$I$4,""))</f>
        <v/>
      </c>
      <c r="O18" s="241">
        <v>6.9444444444444441E-3</v>
      </c>
      <c r="P18" s="242">
        <f>IF(ISBLANK(O18),"",O18*24)</f>
        <v>0.16666666666666666</v>
      </c>
      <c r="Q18" s="142">
        <f t="shared" si="3"/>
        <v>0.3541666666666668</v>
      </c>
      <c r="R18" s="143">
        <f t="shared" si="5"/>
        <v>8.5000000000000036</v>
      </c>
      <c r="S18" s="144">
        <v>8.5500000000000007</v>
      </c>
      <c r="T18" s="141">
        <f t="shared" si="4"/>
        <v>-4.9999999999997158E-2</v>
      </c>
      <c r="U18" s="126"/>
    </row>
    <row r="19" spans="1:21" s="1" customFormat="1" ht="15.75" x14ac:dyDescent="0.25">
      <c r="A19" s="3"/>
      <c r="B19" s="493">
        <v>41320</v>
      </c>
      <c r="C19" s="452" t="s">
        <v>61</v>
      </c>
      <c r="D19" s="239">
        <v>0.3</v>
      </c>
      <c r="E19" s="239">
        <v>0.5180555555555556</v>
      </c>
      <c r="F19" s="240">
        <f>E19-D19</f>
        <v>0.21805555555555561</v>
      </c>
      <c r="G19" s="239">
        <v>0.61805555555555558</v>
      </c>
      <c r="H19" s="239">
        <v>0.75416666666666676</v>
      </c>
      <c r="I19" s="240">
        <f>H19-G19</f>
        <v>0.13611111111111118</v>
      </c>
      <c r="J19" s="271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293" t="str">
        <f>IF(AND(LEFT(C19,1)="d",OR(D19&gt;="7:00"*1,H19&gt;"22:00"*1)),Prime!$G$4,"")&amp;IF(AND(LEFT(C19,1)="s",H19&gt;="24:00"*1),Prime!$G$4,"")</f>
        <v/>
      </c>
      <c r="N19" s="271" t="str">
        <f>IF(ISNUMBER(FIND("F",C19)),Prime!$I$4,IF(ISNUMBER(FIND("CDS",C19)),Prime!$I$4,""))</f>
        <v/>
      </c>
      <c r="O19" s="241"/>
      <c r="P19" s="242" t="str">
        <f t="shared" ref="P19:P32" si="6">IF(ISBLANK(O19),"",O19*24)</f>
        <v/>
      </c>
      <c r="Q19" s="142">
        <f t="shared" si="3"/>
        <v>0.3541666666666668</v>
      </c>
      <c r="R19" s="143">
        <f t="shared" si="5"/>
        <v>8.5000000000000036</v>
      </c>
      <c r="S19" s="144">
        <v>8.5</v>
      </c>
      <c r="T19" s="141">
        <f t="shared" si="4"/>
        <v>3.5527136788005009E-15</v>
      </c>
      <c r="U19" s="126"/>
    </row>
    <row r="20" spans="1:21" s="1" customFormat="1" ht="15.75" x14ac:dyDescent="0.25">
      <c r="A20" s="3"/>
      <c r="B20" s="493">
        <v>41321</v>
      </c>
      <c r="C20" s="452" t="s">
        <v>178</v>
      </c>
      <c r="D20" s="239">
        <v>0.375</v>
      </c>
      <c r="E20" s="239">
        <v>0.54236111111111118</v>
      </c>
      <c r="F20" s="240">
        <f t="shared" si="0"/>
        <v>0.16736111111111118</v>
      </c>
      <c r="G20" s="239">
        <v>0.58333333333333337</v>
      </c>
      <c r="H20" s="239">
        <v>0.75</v>
      </c>
      <c r="I20" s="240">
        <f t="shared" si="1"/>
        <v>0.16666666666666663</v>
      </c>
      <c r="J20" s="271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293" t="str">
        <f>IF(AND(LEFT(C20,1)="d",OR(D20&gt;="7:00"*1,H20&gt;"22:00"*1)),Prime!$G$4,"")&amp;IF(AND(LEFT(C20,1)="s",H20&gt;="24:00"*1),Prime!$G$4,"")</f>
        <v/>
      </c>
      <c r="N20" s="271" t="str">
        <f>IF(ISNUMBER(FIND("F",C20)),Prime!$I$4,IF(ISNUMBER(FIND("CDS",C20)),Prime!$I$4,""))</f>
        <v/>
      </c>
      <c r="O20" s="241"/>
      <c r="P20" s="242" t="str">
        <f t="shared" si="6"/>
        <v/>
      </c>
      <c r="Q20" s="142">
        <f t="shared" si="3"/>
        <v>0.33402777777777781</v>
      </c>
      <c r="R20" s="143">
        <f t="shared" si="5"/>
        <v>8.0166666666666675</v>
      </c>
      <c r="S20" s="144">
        <v>7</v>
      </c>
      <c r="T20" s="141">
        <f t="shared" si="4"/>
        <v>1.0166666666666675</v>
      </c>
      <c r="U20" s="126"/>
    </row>
    <row r="21" spans="1:21" s="1" customFormat="1" ht="15.75" x14ac:dyDescent="0.25">
      <c r="A21" s="3"/>
      <c r="B21" s="493">
        <v>41322</v>
      </c>
      <c r="C21" s="452" t="s">
        <v>200</v>
      </c>
      <c r="D21" s="239">
        <v>0.34652777777777777</v>
      </c>
      <c r="E21" s="239">
        <v>0.48541666666666666</v>
      </c>
      <c r="F21" s="240">
        <f t="shared" si="0"/>
        <v>0.1388888888888889</v>
      </c>
      <c r="G21" s="239">
        <v>0.54652777777777783</v>
      </c>
      <c r="H21" s="239">
        <v>0.67986111111111114</v>
      </c>
      <c r="I21" s="240">
        <f t="shared" si="1"/>
        <v>0.1333333333333333</v>
      </c>
      <c r="J21" s="271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293" t="str">
        <f>IF(AND(LEFT(C21,1)="d",OR(D21&gt;="7:00"*1,H21&gt;"22:00"*1)),Prime!$G$4,"")&amp;IF(AND(LEFT(C21,1)="s",H21&gt;="24:00"*1),Prime!$G$4,"")</f>
        <v/>
      </c>
      <c r="N21" s="271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0.2722222222222222</v>
      </c>
      <c r="R21" s="143">
        <f t="shared" si="5"/>
        <v>6.5333333333333332</v>
      </c>
      <c r="S21" s="144">
        <v>6.5</v>
      </c>
      <c r="T21" s="141">
        <f t="shared" si="4"/>
        <v>3.3333333333333215E-2</v>
      </c>
      <c r="U21" s="126"/>
    </row>
    <row r="22" spans="1:21" s="1" customFormat="1" ht="15.75" x14ac:dyDescent="0.25">
      <c r="A22" s="3"/>
      <c r="B22" s="493">
        <v>41323</v>
      </c>
      <c r="C22" s="452" t="s">
        <v>198</v>
      </c>
      <c r="D22" s="239">
        <v>0</v>
      </c>
      <c r="E22" s="239">
        <v>0</v>
      </c>
      <c r="F22" s="240">
        <f t="shared" si="0"/>
        <v>0</v>
      </c>
      <c r="G22" s="239"/>
      <c r="H22" s="239"/>
      <c r="I22" s="240">
        <f t="shared" si="1"/>
        <v>0</v>
      </c>
      <c r="J22" s="271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293" t="str">
        <f>IF(AND(LEFT(C22,1)="d",OR(D22&gt;="7:00"*1,H22&gt;"22:00"*1)),Prime!$G$4,"")&amp;IF(AND(LEFT(C22,1)="s",H22&gt;="24:00"*1),Prime!$G$4,"")</f>
        <v/>
      </c>
      <c r="N22" s="271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</v>
      </c>
      <c r="R22" s="143">
        <f t="shared" si="5"/>
        <v>0</v>
      </c>
      <c r="S22" s="144">
        <v>0</v>
      </c>
      <c r="T22" s="141" t="str">
        <f t="shared" si="4"/>
        <v>0,000</v>
      </c>
      <c r="U22" s="126"/>
    </row>
    <row r="23" spans="1:21" s="1" customFormat="1" ht="15.75" x14ac:dyDescent="0.25">
      <c r="A23" s="3"/>
      <c r="B23" s="493">
        <v>41324</v>
      </c>
      <c r="C23" s="452" t="s">
        <v>62</v>
      </c>
      <c r="D23" s="239"/>
      <c r="E23" s="239"/>
      <c r="F23" s="240">
        <f t="shared" si="0"/>
        <v>0</v>
      </c>
      <c r="G23" s="239">
        <v>0.64027777777777783</v>
      </c>
      <c r="H23" s="239">
        <v>0.97222222222222221</v>
      </c>
      <c r="I23" s="240">
        <f t="shared" si="1"/>
        <v>0.33194444444444438</v>
      </c>
      <c r="J23" s="271">
        <f>IF(COUNTA(D23:E23,G23:H23)=5,Prime!$E$4,IF(AND(D23&lt;="5:01"*1,D23&gt;"2:00"*1),Prime!$E$4,IF(AND(H23&gt;="22:00"*1,H23&lt;="26:01"*1),Prime!$E$4,"")))</f>
        <v>17.7056</v>
      </c>
      <c r="K23" s="231" t="str">
        <f>IF(COUNTA(D23:E23,G23:H23)=5,Prime!$E$4,IF(AND(E23&gt;="13:15"*1,G23&lt;""),Prime!$E$4,IF(AND(G23&gt;="11:00"*1,G23&lt;="12:15"*1),Prime!$E$4,"")))</f>
        <v/>
      </c>
      <c r="L23" s="286">
        <f>IF(H23&gt;"21:30"*1,Prime!$F$4,"")</f>
        <v>17.7056</v>
      </c>
      <c r="M23" s="293" t="str">
        <f>IF(AND(LEFT(C23,1)="d",OR(D23&gt;="7:00"*1,H23&gt;"22:00"*1)),Prime!$G$4,"")&amp;IF(AND(LEFT(C23,1)="s",H23&gt;="24:00"*1),Prime!$G$4,"")</f>
        <v/>
      </c>
      <c r="N23" s="271" t="str">
        <f>IF(ISNUMBER(FIND("F",C23)),Prime!$I$4,IF(ISNUMBER(FIND("CDS",C23)),Prime!$I$4,""))</f>
        <v/>
      </c>
      <c r="O23" s="241"/>
      <c r="P23" s="242" t="str">
        <f t="shared" si="6"/>
        <v/>
      </c>
      <c r="Q23" s="142">
        <f t="shared" si="3"/>
        <v>0.33194444444444438</v>
      </c>
      <c r="R23" s="143">
        <f t="shared" si="5"/>
        <v>7.966666666666665</v>
      </c>
      <c r="S23" s="144">
        <v>7.97</v>
      </c>
      <c r="T23" s="141">
        <f t="shared" si="4"/>
        <v>-3.3333333333347426E-3</v>
      </c>
      <c r="U23" s="126"/>
    </row>
    <row r="24" spans="1:21" s="1" customFormat="1" ht="15.75" x14ac:dyDescent="0.25">
      <c r="A24" s="3"/>
      <c r="B24" s="493">
        <v>41325</v>
      </c>
      <c r="C24" s="452" t="s">
        <v>63</v>
      </c>
      <c r="D24" s="239">
        <v>0.54166666666666663</v>
      </c>
      <c r="E24" s="239">
        <v>0.87430555555555556</v>
      </c>
      <c r="F24" s="240">
        <f t="shared" si="0"/>
        <v>0.33263888888888893</v>
      </c>
      <c r="G24" s="239">
        <v>0.54166666666666663</v>
      </c>
      <c r="H24" s="239">
        <v>0.87430555555555556</v>
      </c>
      <c r="I24" s="240">
        <f t="shared" si="1"/>
        <v>0.33263888888888893</v>
      </c>
      <c r="J24" s="271" t="str">
        <f>IF(COUNTA(D24:E24,G24:H24)=5,Prime!$E$4,IF(AND(D24&lt;="5:01"*1,D24&gt;"2:00"*1),Prime!$E$4,IF(AND(H24&gt;="22:00"*1,H24&lt;="26:01"*1),Prime!$E$4,"")))</f>
        <v/>
      </c>
      <c r="K24" s="231">
        <f>IF(COUNTA(D24:E24,G24:H24)=5,Prime!$E$4,IF(AND(E24&gt;="13:15"*1,G24&lt;""),Prime!$E$4,IF(AND(G24&gt;="11:00"*1,G24&lt;="12:15"*1),Prime!$E$4,"")))</f>
        <v>17.7056</v>
      </c>
      <c r="L24" s="286" t="str">
        <f>IF(H24&gt;"21:30"*1,Prime!$F$4,"")</f>
        <v/>
      </c>
      <c r="M24" s="293" t="str">
        <f>IF(AND(LEFT(C24,1)="d",OR(D24&gt;="7:00"*1,H24&gt;"22:00"*1)),Prime!$G$4,"")&amp;IF(AND(LEFT(C24,1)="s",H24&gt;="24:00"*1),Prime!$G$4,"")</f>
        <v/>
      </c>
      <c r="N24" s="271" t="str">
        <f>IF(ISNUMBER(FIND("F",C24)),Prime!$I$4,IF(ISNUMBER(FIND("CDS",C24)),Prime!$I$4,""))</f>
        <v/>
      </c>
      <c r="O24" s="241"/>
      <c r="P24" s="242" t="str">
        <f t="shared" si="6"/>
        <v/>
      </c>
      <c r="Q24" s="142">
        <f t="shared" si="3"/>
        <v>0.66527777777777786</v>
      </c>
      <c r="R24" s="143">
        <f t="shared" si="5"/>
        <v>15.966666666666669</v>
      </c>
      <c r="S24" s="144">
        <v>7.98</v>
      </c>
      <c r="T24" s="141">
        <f t="shared" si="4"/>
        <v>7.9866666666666681</v>
      </c>
      <c r="U24" s="126"/>
    </row>
    <row r="25" spans="1:21" s="1" customFormat="1" ht="15.75" x14ac:dyDescent="0.25">
      <c r="A25" s="3"/>
      <c r="B25" s="493">
        <v>41326</v>
      </c>
      <c r="C25" s="452" t="s">
        <v>179</v>
      </c>
      <c r="D25" s="239">
        <v>0</v>
      </c>
      <c r="E25" s="239">
        <v>0</v>
      </c>
      <c r="F25" s="240">
        <f t="shared" si="0"/>
        <v>0</v>
      </c>
      <c r="G25" s="239"/>
      <c r="H25" s="239"/>
      <c r="I25" s="240">
        <f t="shared" si="1"/>
        <v>0</v>
      </c>
      <c r="J25" s="271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293" t="str">
        <f>IF(AND(LEFT(C25,1)="d",OR(D25&gt;="7:00"*1,H25&gt;"22:00"*1)),Prime!$G$4,"")&amp;IF(AND(LEFT(C25,1)="s",H25&gt;="24:00"*1),Prime!$G$4,"")</f>
        <v/>
      </c>
      <c r="N25" s="271" t="str">
        <f>IF(ISNUMBER(FIND("F",C25)),Prime!$I$4,IF(ISNUMBER(FIND("CDS",C25)),Prime!$I$4,""))</f>
        <v/>
      </c>
      <c r="O25" s="241">
        <v>0.31458333333333333</v>
      </c>
      <c r="P25" s="242">
        <f t="shared" si="6"/>
        <v>7.55</v>
      </c>
      <c r="Q25" s="142">
        <f t="shared" si="3"/>
        <v>0</v>
      </c>
      <c r="R25" s="143">
        <f t="shared" si="5"/>
        <v>0</v>
      </c>
      <c r="S25" s="144">
        <v>0</v>
      </c>
      <c r="T25" s="141" t="str">
        <f t="shared" si="4"/>
        <v>0,000</v>
      </c>
      <c r="U25" s="126"/>
    </row>
    <row r="26" spans="1:21" s="1" customFormat="1" ht="15.75" x14ac:dyDescent="0.25">
      <c r="A26" s="3"/>
      <c r="B26" s="493">
        <v>41327</v>
      </c>
      <c r="C26" s="452" t="s">
        <v>64</v>
      </c>
      <c r="D26" s="239"/>
      <c r="E26" s="239"/>
      <c r="F26" s="240">
        <f t="shared" si="0"/>
        <v>0</v>
      </c>
      <c r="G26" s="276">
        <v>0.50138888888888888</v>
      </c>
      <c r="H26" s="239">
        <v>0.82986111111111116</v>
      </c>
      <c r="I26" s="240">
        <f t="shared" si="1"/>
        <v>0.32847222222222228</v>
      </c>
      <c r="J26" s="271" t="str">
        <f>IF(COUNTA(D26:E26,G26:H26)=5,Prime!$E$4,IF(AND(D26&lt;="5:01"*1,D26&gt;"2:00"*1),Prime!$E$4,IF(AND(H26&gt;="22:00"*1,H26&lt;="26:01"*1),Prime!$E$4,"")))</f>
        <v/>
      </c>
      <c r="K26" s="231">
        <f>IF(COUNTA(D26:E26,G26:H26)=5,Prime!$E$4,IF(AND(E26&gt;="13:15"*1,G26&lt;""),Prime!$E$4,IF(AND(G26&gt;="11:00"*1,G26&lt;="12:15"*1),Prime!$E$4,"")))</f>
        <v>17.7056</v>
      </c>
      <c r="L26" s="286" t="str">
        <f>IF(H26&gt;"21:30"*1,Prime!$F$4,"")</f>
        <v/>
      </c>
      <c r="M26" s="293" t="str">
        <f>IF(AND(LEFT(C26,1)="d",OR(D26&gt;="7:00"*1,H26&gt;"22:00"*1)),Prime!$G$4,"")&amp;IF(AND(LEFT(C26,1)="s",H26&gt;="24:00"*1),Prime!$G$4,"")</f>
        <v/>
      </c>
      <c r="N26" s="271" t="str">
        <f>IF(ISNUMBER(FIND("F",C26)),Prime!$I$4,IF(ISNUMBER(FIND("CDS",C26)),Prime!$I$4,""))</f>
        <v/>
      </c>
      <c r="O26" s="241"/>
      <c r="P26" s="242" t="str">
        <f t="shared" si="6"/>
        <v/>
      </c>
      <c r="Q26" s="142">
        <f t="shared" si="3"/>
        <v>0.32847222222222228</v>
      </c>
      <c r="R26" s="143">
        <f t="shared" si="5"/>
        <v>7.8833333333333346</v>
      </c>
      <c r="S26" s="144">
        <v>7.93</v>
      </c>
      <c r="T26" s="141">
        <f t="shared" si="4"/>
        <v>-4.666666666666508E-2</v>
      </c>
      <c r="U26" s="126"/>
    </row>
    <row r="27" spans="1:21" s="1" customFormat="1" ht="15.75" x14ac:dyDescent="0.25">
      <c r="A27" s="3"/>
      <c r="B27" s="493">
        <v>41328</v>
      </c>
      <c r="C27" s="452" t="s">
        <v>65</v>
      </c>
      <c r="D27" s="239"/>
      <c r="E27" s="239"/>
      <c r="F27" s="240">
        <f t="shared" si="0"/>
        <v>0</v>
      </c>
      <c r="G27" s="239">
        <v>0.70000000000000007</v>
      </c>
      <c r="H27" s="239">
        <v>1.0201388888888889</v>
      </c>
      <c r="I27" s="240">
        <f t="shared" si="1"/>
        <v>0.32013888888888886</v>
      </c>
      <c r="J27" s="271">
        <f>IF(COUNTA(D27:E27,G27:H27)=5,Prime!$E$4,IF(AND(D27&lt;="5:01"*1,D27&gt;"2:00"*1),Prime!$E$4,IF(AND(H27&gt;="22:00"*1,H27&lt;="26:01"*1),Prime!$E$4,"")))</f>
        <v>17.7056</v>
      </c>
      <c r="K27" s="231" t="str">
        <f>IF(COUNTA(D27:E27,G27:H27)=5,Prime!$E$4,IF(AND(E27&gt;="13:15"*1,G27&lt;""),Prime!$E$4,IF(AND(G27&gt;="11:00"*1,G27&lt;="12:15"*1),Prime!$E$4,"")))</f>
        <v/>
      </c>
      <c r="L27" s="286">
        <f>IF(H27&gt;"21:30"*1,Prime!$F$4,"")</f>
        <v>17.7056</v>
      </c>
      <c r="M27" s="293" t="str">
        <f>IF(AND(LEFT(C27,1)="d",OR(D27&gt;="7:00"*1,H27&gt;"22:00"*1)),Prime!$G$4,"")&amp;IF(AND(LEFT(C27,1)="s",H27&gt;="24:00"*1),Prime!$G$4,"")</f>
        <v/>
      </c>
      <c r="N27" s="271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0.32013888888888886</v>
      </c>
      <c r="R27" s="143">
        <f t="shared" si="5"/>
        <v>7.6833333333333327</v>
      </c>
      <c r="S27" s="144">
        <v>7.68</v>
      </c>
      <c r="T27" s="141">
        <f t="shared" si="4"/>
        <v>3.3333333333329662E-3</v>
      </c>
      <c r="U27" s="126"/>
    </row>
    <row r="28" spans="1:21" s="1" customFormat="1" ht="15.75" x14ac:dyDescent="0.25">
      <c r="A28" s="3"/>
      <c r="B28" s="493">
        <v>41329</v>
      </c>
      <c r="C28" s="452" t="s">
        <v>201</v>
      </c>
      <c r="D28" s="239"/>
      <c r="E28" s="239"/>
      <c r="F28" s="240">
        <f t="shared" si="0"/>
        <v>0</v>
      </c>
      <c r="G28" s="239">
        <v>0.53541666666666665</v>
      </c>
      <c r="H28" s="239">
        <v>0.86597222222222225</v>
      </c>
      <c r="I28" s="240">
        <f t="shared" si="1"/>
        <v>0.3305555555555556</v>
      </c>
      <c r="J28" s="271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293" t="str">
        <f>IF(AND(LEFT(C28,1)="d",OR(D28&gt;="7:00"*1,H28&gt;"22:00"*1)),Prime!$G$4,"")&amp;IF(AND(LEFT(C28,1)="s",H28&gt;="24:00"*1),Prime!$G$4,"")</f>
        <v/>
      </c>
      <c r="N28" s="271" t="str">
        <f>IF(ISNUMBER(FIND("F",C28)),Prime!$I$4,IF(ISNUMBER(FIND("CDS",C28)),Prime!$I$4,""))</f>
        <v/>
      </c>
      <c r="O28" s="241"/>
      <c r="P28" s="242" t="str">
        <f t="shared" si="6"/>
        <v/>
      </c>
      <c r="Q28" s="142">
        <f t="shared" si="3"/>
        <v>0.3305555555555556</v>
      </c>
      <c r="R28" s="143">
        <f t="shared" si="5"/>
        <v>7.9333333333333345</v>
      </c>
      <c r="S28" s="144">
        <v>7.98</v>
      </c>
      <c r="T28" s="141">
        <f t="shared" si="4"/>
        <v>-4.6666666666665968E-2</v>
      </c>
      <c r="U28" s="126"/>
    </row>
    <row r="29" spans="1:21" s="1" customFormat="1" ht="15.75" x14ac:dyDescent="0.25">
      <c r="A29" s="3"/>
      <c r="B29" s="493">
        <v>41330</v>
      </c>
      <c r="C29" s="452" t="s">
        <v>198</v>
      </c>
      <c r="D29" s="239">
        <v>0</v>
      </c>
      <c r="E29" s="239">
        <v>0</v>
      </c>
      <c r="F29" s="240">
        <f t="shared" si="0"/>
        <v>0</v>
      </c>
      <c r="G29" s="239"/>
      <c r="H29" s="239"/>
      <c r="I29" s="240">
        <f t="shared" si="1"/>
        <v>0</v>
      </c>
      <c r="J29" s="271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293" t="str">
        <f>IF(AND(LEFT(C29,1)="d",OR(D29&gt;="7:00"*1,H29&gt;"22:00"*1)),Prime!$G$4,"")&amp;IF(AND(LEFT(C29,1)="s",H29&gt;="24:00"*1),Prime!$G$4,"")</f>
        <v/>
      </c>
      <c r="N29" s="271" t="str">
        <f>IF(ISNUMBER(FIND("F",C29)),Prime!$I$4,IF(ISNUMBER(FIND("CDS",C29)),Prime!$I$4,""))</f>
        <v/>
      </c>
      <c r="O29" s="241"/>
      <c r="P29" s="242" t="str">
        <f t="shared" si="6"/>
        <v/>
      </c>
      <c r="Q29" s="142">
        <f t="shared" si="3"/>
        <v>0</v>
      </c>
      <c r="R29" s="143">
        <f t="shared" si="5"/>
        <v>0</v>
      </c>
      <c r="S29" s="144">
        <v>0</v>
      </c>
      <c r="T29" s="141" t="str">
        <f t="shared" si="4"/>
        <v>0,000</v>
      </c>
      <c r="U29" s="126"/>
    </row>
    <row r="30" spans="1:21" s="1" customFormat="1" ht="15.75" x14ac:dyDescent="0.25">
      <c r="A30" s="3"/>
      <c r="B30" s="493">
        <v>41331</v>
      </c>
      <c r="C30" s="452" t="s">
        <v>66</v>
      </c>
      <c r="D30" s="239">
        <v>0.24652777777777779</v>
      </c>
      <c r="E30" s="239">
        <v>0.5756944444444444</v>
      </c>
      <c r="F30" s="240">
        <f t="shared" si="0"/>
        <v>0.32916666666666661</v>
      </c>
      <c r="G30" s="239"/>
      <c r="H30" s="239"/>
      <c r="I30" s="240">
        <f t="shared" si="1"/>
        <v>0</v>
      </c>
      <c r="J30" s="271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293" t="str">
        <f>IF(AND(LEFT(C30,1)="d",OR(D30&gt;="7:00"*1,H30&gt;"22:00"*1)),Prime!$G$4,"")&amp;IF(AND(LEFT(C30,1)="s",H30&gt;="24:00"*1),Prime!$G$4,"")</f>
        <v/>
      </c>
      <c r="N30" s="271" t="str">
        <f>IF(ISNUMBER(FIND("F",C30)),Prime!$I$4,IF(ISNUMBER(FIND("CDS",C30)),Prime!$I$4,""))</f>
        <v/>
      </c>
      <c r="O30" s="241"/>
      <c r="P30" s="242" t="str">
        <f t="shared" si="6"/>
        <v/>
      </c>
      <c r="Q30" s="142">
        <f t="shared" si="3"/>
        <v>0.32916666666666661</v>
      </c>
      <c r="R30" s="143">
        <f t="shared" si="5"/>
        <v>7.8999999999999986</v>
      </c>
      <c r="S30" s="144">
        <v>7.9</v>
      </c>
      <c r="T30" s="141">
        <f t="shared" si="4"/>
        <v>-1.7763568394002505E-15</v>
      </c>
      <c r="U30" s="126"/>
    </row>
    <row r="31" spans="1:21" s="1" customFormat="1" ht="15.75" x14ac:dyDescent="0.25">
      <c r="A31" s="3"/>
      <c r="B31" s="493">
        <v>41332</v>
      </c>
      <c r="C31" s="452" t="s">
        <v>66</v>
      </c>
      <c r="D31" s="239">
        <v>0.24652777777777779</v>
      </c>
      <c r="E31" s="239">
        <v>0.5756944444444444</v>
      </c>
      <c r="F31" s="240">
        <f t="shared" si="0"/>
        <v>0.32916666666666661</v>
      </c>
      <c r="G31" s="239"/>
      <c r="H31" s="239"/>
      <c r="I31" s="240">
        <f t="shared" si="1"/>
        <v>0</v>
      </c>
      <c r="J31" s="271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293" t="str">
        <f>IF(AND(LEFT(C31,1)="d",OR(D31&gt;="7:00"*1,H31&gt;"22:00"*1)),Prime!$G$4,"")&amp;IF(AND(LEFT(C31,1)="s",H31&gt;="24:00"*1),Prime!$G$4,"")</f>
        <v/>
      </c>
      <c r="N31" s="271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0.32916666666666661</v>
      </c>
      <c r="R31" s="143">
        <f t="shared" si="5"/>
        <v>7.8999999999999986</v>
      </c>
      <c r="S31" s="144">
        <v>7.9</v>
      </c>
      <c r="T31" s="141">
        <f t="shared" si="4"/>
        <v>-1.7763568394002505E-15</v>
      </c>
      <c r="U31" s="126"/>
    </row>
    <row r="32" spans="1:21" s="1" customFormat="1" ht="16.5" thickBot="1" x14ac:dyDescent="0.3">
      <c r="A32" s="3"/>
      <c r="B32" s="494"/>
      <c r="C32" s="454"/>
      <c r="D32" s="243"/>
      <c r="E32" s="243"/>
      <c r="F32" s="244"/>
      <c r="G32" s="243"/>
      <c r="H32" s="243"/>
      <c r="I32" s="244"/>
      <c r="J32" s="272" t="str">
        <f>IF(COUNTA(D32:E32,G32:H32)=5,Prime!$E$4,IF(AND(D32&lt;="5:01"*1,D32&gt;"2:00"*1),Prime!$E$4,IF(AND(H32&gt;="22:00"*1,H32&lt;="26:01"*1),Prime!$E$4,"")))</f>
        <v/>
      </c>
      <c r="K32" s="232" t="str">
        <f>IF(COUNTA(D32:E32,G32:H32)=5,Prime!$E$4,IF(AND(E32&gt;="13:15"*1,G32&lt;""),Prime!$E$4,IF(AND(G32&gt;="11:00"*1,G32&lt;="12:15"*1),Prime!$E$4,"")))</f>
        <v/>
      </c>
      <c r="L32" s="288" t="str">
        <f>IF(H32&gt;"21:30"*1,Prime!$F$4,"")</f>
        <v/>
      </c>
      <c r="M32" s="295" t="str">
        <f>IF(AND(LEFT(C32,1)="d",OR(D32&gt;="7:00"*1,H32&gt;"22:00"*1)),Prime!$G$4,"")&amp;IF(AND(LEFT(C32,1)="s",H32&gt;="24:00"*1),Prime!$G$4,"")</f>
        <v/>
      </c>
      <c r="N32" s="272" t="str">
        <f>IF(ISNUMBER(FIND("F",C32)),Prime!$I$4,IF(ISNUMBER(FIND("CDS",C32)),Prime!$I$4,""))</f>
        <v/>
      </c>
      <c r="O32" s="245"/>
      <c r="P32" s="246" t="str">
        <f t="shared" si="6"/>
        <v/>
      </c>
      <c r="Q32" s="145"/>
      <c r="R32" s="146"/>
      <c r="S32" s="147"/>
      <c r="T32" s="148"/>
      <c r="U32" s="126"/>
    </row>
    <row r="33" spans="1:21" s="1" customFormat="1" ht="15.75" x14ac:dyDescent="0.25">
      <c r="A33" s="3"/>
      <c r="B33" s="491"/>
      <c r="C33" s="4"/>
      <c r="D33" s="4"/>
      <c r="E33" s="3"/>
      <c r="F33" s="3"/>
      <c r="G33" s="3"/>
      <c r="H33" s="3"/>
      <c r="I33" s="3"/>
      <c r="J33" s="181"/>
      <c r="K33" s="220" t="str">
        <f>IF(AND(G33&gt;"11:30"*1,G33&lt;="12:30"*1),Prime!$E$4,"")</f>
        <v/>
      </c>
      <c r="L33" s="183"/>
      <c r="M33" s="302" t="str">
        <f t="shared" ref="M33" si="7">IF(AND(D33+G33&lt;&gt;0,WEEKDAY(B33,2)=7),8.8528*5,"")</f>
        <v/>
      </c>
      <c r="N33" s="150"/>
      <c r="O33" s="126"/>
      <c r="P33" s="193" t="str">
        <f>IF(ISBLANK(O33),"",O33/24)</f>
        <v/>
      </c>
      <c r="Q33" s="124"/>
      <c r="R33" s="20"/>
      <c r="S33" s="21"/>
      <c r="T33" s="151"/>
      <c r="U33" s="126"/>
    </row>
    <row r="34" spans="1:21" s="1" customFormat="1" ht="15.75" x14ac:dyDescent="0.25">
      <c r="A34" s="3"/>
      <c r="B34" s="495" t="s">
        <v>156</v>
      </c>
      <c r="C34" s="197">
        <f>COUNTIF(C4:C31,"&lt;&gt;")-(COUNTIF(C4:C31,"CH*")+COUNTIF(C4:C31,"RTT*")+COUNTIF(C4:C31,"CC*")+COUNTIF(C4:C31,"FERIÉ*")+COUNTIF(C4:C31,"CP*"))</f>
        <v>25</v>
      </c>
      <c r="D34" s="4"/>
      <c r="E34" s="3"/>
      <c r="F34" s="3"/>
      <c r="G34" s="3"/>
      <c r="H34" s="3"/>
      <c r="I34" s="3"/>
      <c r="J34" s="182">
        <f>SUM(J4:J32)</f>
        <v>35.411200000000001</v>
      </c>
      <c r="K34" s="308">
        <f>SUM(K4:K32)</f>
        <v>88.528000000000006</v>
      </c>
      <c r="L34" s="184">
        <f>SUM(L4:L31)</f>
        <v>35.411200000000001</v>
      </c>
      <c r="M34" s="184">
        <f t="shared" ref="M34:R34" si="8">SUM(M4:M32)</f>
        <v>0</v>
      </c>
      <c r="N34" s="317">
        <f>SUM(N4:N31)</f>
        <v>0</v>
      </c>
      <c r="O34" s="153">
        <f t="shared" si="8"/>
        <v>0.32152777777777775</v>
      </c>
      <c r="P34" s="194">
        <f t="shared" si="8"/>
        <v>7.7166666666666668</v>
      </c>
      <c r="Q34" s="154">
        <f t="shared" si="8"/>
        <v>7.7027777777777784</v>
      </c>
      <c r="R34" s="63">
        <f t="shared" si="8"/>
        <v>184.86666666666667</v>
      </c>
      <c r="S34" s="64">
        <f>SUM(S3:S32)</f>
        <v>153.63</v>
      </c>
      <c r="T34" s="151">
        <f>R34-S34</f>
        <v>31.236666666666679</v>
      </c>
      <c r="U34" s="155"/>
    </row>
    <row r="35" spans="1:21" s="1" customFormat="1" ht="15.75" x14ac:dyDescent="0.25">
      <c r="A35" s="3"/>
      <c r="B35" s="491"/>
      <c r="D35" s="4"/>
      <c r="E35" s="3"/>
      <c r="F35" s="3"/>
      <c r="G35" s="3"/>
      <c r="H35" s="3"/>
      <c r="I35" s="3"/>
      <c r="J35" s="3"/>
      <c r="K35" s="3"/>
      <c r="L35" s="3"/>
      <c r="M35" s="126"/>
      <c r="N35" s="18"/>
    </row>
    <row r="36" spans="1:21" s="1" customFormat="1" ht="15.75" customHeight="1" x14ac:dyDescent="0.25">
      <c r="B36" s="496"/>
      <c r="C36" s="170"/>
      <c r="N36" s="525" t="s">
        <v>100</v>
      </c>
      <c r="O36" s="525"/>
      <c r="P36" s="178"/>
      <c r="Q36" s="156">
        <v>6.1895833333333341</v>
      </c>
      <c r="R36" s="65">
        <v>148.19999999999999</v>
      </c>
    </row>
    <row r="37" spans="1:21" s="1" customFormat="1" x14ac:dyDescent="0.25">
      <c r="B37" s="496"/>
    </row>
    <row r="38" spans="1:21" ht="15.75" x14ac:dyDescent="0.25">
      <c r="N38" s="521" t="s">
        <v>39</v>
      </c>
      <c r="O38" s="521"/>
      <c r="P38" s="177"/>
      <c r="Q38" s="68">
        <f>(Q34-Q36)</f>
        <v>1.5131944444444443</v>
      </c>
      <c r="R38" s="69">
        <f>Q38*24</f>
        <v>36.316666666666663</v>
      </c>
    </row>
    <row r="39" spans="1:21" ht="15.75" x14ac:dyDescent="0.25">
      <c r="J39" s="3"/>
      <c r="K39" s="3"/>
      <c r="L39" s="3"/>
      <c r="M39" s="3"/>
      <c r="N39" s="61"/>
    </row>
    <row r="40" spans="1:21" ht="15.75" x14ac:dyDescent="0.25">
      <c r="K40" s="3"/>
      <c r="L40" s="3"/>
    </row>
    <row r="41" spans="1:21" ht="15.75" x14ac:dyDescent="0.25">
      <c r="H41" s="188"/>
      <c r="K41" s="3"/>
      <c r="L41" s="3"/>
    </row>
    <row r="42" spans="1:21" ht="15.75" x14ac:dyDescent="0.25">
      <c r="K42" s="3"/>
      <c r="L42" s="3"/>
    </row>
    <row r="43" spans="1:21" ht="15.75" x14ac:dyDescent="0.25">
      <c r="K43" s="3"/>
      <c r="L43" s="3"/>
    </row>
    <row r="44" spans="1:21" ht="15.75" x14ac:dyDescent="0.25">
      <c r="K44" s="3"/>
      <c r="L44" s="3"/>
    </row>
    <row r="45" spans="1:21" ht="15.75" x14ac:dyDescent="0.25">
      <c r="K45" s="3"/>
      <c r="L45" s="3"/>
    </row>
    <row r="46" spans="1:21" ht="15.75" x14ac:dyDescent="0.25">
      <c r="K46" s="3"/>
      <c r="L46" s="3"/>
    </row>
  </sheetData>
  <mergeCells count="7">
    <mergeCell ref="Q2:T2"/>
    <mergeCell ref="N38:O38"/>
    <mergeCell ref="D3:E3"/>
    <mergeCell ref="G3:H3"/>
    <mergeCell ref="B1:M1"/>
    <mergeCell ref="N36:O36"/>
    <mergeCell ref="O3:P3"/>
  </mergeCells>
  <conditionalFormatting sqref="Q38">
    <cfRule type="cellIs" dxfId="55" priority="5" operator="lessThan">
      <formula>0</formula>
    </cfRule>
  </conditionalFormatting>
  <conditionalFormatting sqref="T4:T32">
    <cfRule type="cellIs" dxfId="54" priority="3" operator="greaterThanOrEqual">
      <formula>0.001</formula>
    </cfRule>
    <cfRule type="cellIs" dxfId="53" priority="4" operator="lessThan">
      <formula>0</formula>
    </cfRule>
  </conditionalFormatting>
  <conditionalFormatting sqref="T33:T34">
    <cfRule type="cellIs" dxfId="52" priority="1" operator="greaterThanOrEqual">
      <formula>0.001</formula>
    </cfRule>
    <cfRule type="cellIs" dxfId="51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U41"/>
  <sheetViews>
    <sheetView workbookViewId="0">
      <selection activeCell="B4" sqref="B4:B34"/>
    </sheetView>
  </sheetViews>
  <sheetFormatPr baseColWidth="10" defaultRowHeight="15" x14ac:dyDescent="0.25"/>
  <cols>
    <col min="1" max="1" width="2.7109375" customWidth="1"/>
    <col min="2" max="2" width="15.7109375" style="447" customWidth="1"/>
    <col min="3" max="3" width="14.7109375" style="1" customWidth="1"/>
    <col min="4" max="8" width="14.7109375" customWidth="1"/>
    <col min="9" max="12" width="14.7109375" style="1" customWidth="1"/>
    <col min="13" max="13" width="14.7109375" customWidth="1"/>
    <col min="14" max="14" width="14.7109375" style="1" customWidth="1"/>
    <col min="15" max="16" width="14.7109375" style="22" customWidth="1"/>
    <col min="17" max="17" width="14.7109375" customWidth="1"/>
  </cols>
  <sheetData>
    <row r="1" spans="1:21" s="1" customFormat="1" ht="16.5" thickBot="1" x14ac:dyDescent="0.3">
      <c r="A1" s="3"/>
      <c r="B1" s="524" t="s">
        <v>3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446" t="s">
        <v>135</v>
      </c>
      <c r="C3" s="5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ht="15.75" x14ac:dyDescent="0.25">
      <c r="A4" s="3"/>
      <c r="B4" s="492">
        <v>41333</v>
      </c>
      <c r="C4" s="498" t="s">
        <v>67</v>
      </c>
      <c r="D4" s="234">
        <v>0.19930555555555554</v>
      </c>
      <c r="E4" s="234">
        <v>0.52986111111111112</v>
      </c>
      <c r="F4" s="235">
        <f t="shared" ref="F4:F34" si="0">E4-D4</f>
        <v>0.3305555555555556</v>
      </c>
      <c r="G4" s="234"/>
      <c r="H4" s="234"/>
      <c r="I4" s="235">
        <f t="shared" ref="I4:I34" si="1">H4-G4</f>
        <v>0</v>
      </c>
      <c r="J4" s="236">
        <f>IF(COUNTA(D4:E4,G4:H4)=5,Prime!$E$4,IF(AND(D4&lt;="5:01"*1,D4&gt;"2:00"*1),Prime!$E$4,IF(AND(H4&gt;="22:00"*1,H4&lt;="26:01"*1),Prime!$E$4,"")))</f>
        <v>17.7056</v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331" t="str">
        <f>IF(AND(LEFT(C4,1)="d",OR(D4&gt;="7:00"*1,H4&gt;"22:00"*1)),Prime!$G$4,"")&amp;IF(AND(LEFT(C4,1)="s",H4&gt;="24:00"*1),Prime!$G$4,"")</f>
        <v/>
      </c>
      <c r="N4" s="318" t="str">
        <f>IF(ISNUMBER(FIND("F",C4)),Prime!$I$4,IF(ISNUMBER(FIND("CDS",C4)),Prime!$I$4,""))</f>
        <v/>
      </c>
      <c r="O4" s="237"/>
      <c r="P4" s="238" t="str">
        <f t="shared" ref="P4:P17" si="2">IF(ISBLANK(O4),"",O4*24)</f>
        <v/>
      </c>
      <c r="Q4" s="138">
        <f t="shared" ref="Q4:Q34" si="3">(E4-D4)+(H4-G4)</f>
        <v>0.3305555555555556</v>
      </c>
      <c r="R4" s="139">
        <f>Q4*24</f>
        <v>7.9333333333333345</v>
      </c>
      <c r="S4" s="140">
        <v>7.93</v>
      </c>
      <c r="T4" s="141">
        <f>IF(R4-S4=0,"0,000",R4-S4)</f>
        <v>3.3333333333347426E-3</v>
      </c>
      <c r="U4" s="126"/>
    </row>
    <row r="5" spans="1:21" s="1" customFormat="1" ht="15.75" x14ac:dyDescent="0.25">
      <c r="A5" s="3"/>
      <c r="B5" s="493">
        <v>41334</v>
      </c>
      <c r="C5" s="499" t="s">
        <v>67</v>
      </c>
      <c r="D5" s="239">
        <v>0.19930555555555554</v>
      </c>
      <c r="E5" s="239">
        <v>0.52986111111111112</v>
      </c>
      <c r="F5" s="240">
        <f t="shared" si="0"/>
        <v>0.3305555555555556</v>
      </c>
      <c r="G5" s="239"/>
      <c r="H5" s="239"/>
      <c r="I5" s="240">
        <f t="shared" si="1"/>
        <v>0</v>
      </c>
      <c r="J5" s="271">
        <f>IF(COUNTA(D5:E5,G5:H5)=5,Prime!$E$4,IF(AND(D5&lt;="5:01"*1,D5&gt;"2:00"*1),Prime!$E$4,IF(AND(H5&gt;="22:00"*1,H5&lt;="26:01"*1),Prime!$E$4,"")))</f>
        <v>17.7056</v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332" t="str">
        <f>IF(AND(LEFT(C5,1)="d",OR(D5&gt;="7:00"*1,H5&gt;"22:00"*1)),Prime!$G$4,"")&amp;IF(AND(LEFT(C5,1)="s",H5&gt;="24:00"*1),Prime!$G$4,"")</f>
        <v/>
      </c>
      <c r="N5" s="31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0.3305555555555556</v>
      </c>
      <c r="R5" s="143">
        <f>Q5*24</f>
        <v>7.9333333333333345</v>
      </c>
      <c r="S5" s="144">
        <v>7.93</v>
      </c>
      <c r="T5" s="141">
        <f t="shared" ref="T5:T34" si="4">IF(R5-S5=0,"0,000",R5-S5)</f>
        <v>3.3333333333347426E-3</v>
      </c>
      <c r="U5" s="126"/>
    </row>
    <row r="6" spans="1:21" s="1" customFormat="1" ht="15.75" x14ac:dyDescent="0.25">
      <c r="A6" s="3"/>
      <c r="B6" s="493">
        <v>41335</v>
      </c>
      <c r="C6" s="499" t="s">
        <v>68</v>
      </c>
      <c r="D6" s="239">
        <v>0.21249999999999999</v>
      </c>
      <c r="E6" s="239">
        <v>0.54027777777777775</v>
      </c>
      <c r="F6" s="240">
        <f t="shared" si="0"/>
        <v>0.32777777777777772</v>
      </c>
      <c r="G6" s="239"/>
      <c r="H6" s="239"/>
      <c r="I6" s="240">
        <f t="shared" si="1"/>
        <v>0</v>
      </c>
      <c r="J6" s="271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IF(H6&gt;"21:30"*1,Prime!$F$4,"")</f>
        <v/>
      </c>
      <c r="M6" s="332" t="str">
        <f>IF(AND(LEFT(C6,1)="d",OR(D6&gt;="7:00"*1,H6&gt;"22:00"*1)),Prime!$G$4,"")&amp;IF(AND(LEFT(C6,1)="s",H6&gt;="24:00"*1),Prime!$G$4,"")</f>
        <v/>
      </c>
      <c r="N6" s="319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0.32777777777777772</v>
      </c>
      <c r="R6" s="143">
        <f>Q6*24</f>
        <v>7.8666666666666654</v>
      </c>
      <c r="S6" s="144">
        <v>7.87</v>
      </c>
      <c r="T6" s="141">
        <f t="shared" si="4"/>
        <v>-3.3333333333347426E-3</v>
      </c>
      <c r="U6" s="126"/>
    </row>
    <row r="7" spans="1:21" s="1" customFormat="1" ht="15.75" x14ac:dyDescent="0.25">
      <c r="A7" s="3"/>
      <c r="B7" s="493">
        <v>41336</v>
      </c>
      <c r="C7" s="499" t="s">
        <v>199</v>
      </c>
      <c r="D7" s="239">
        <v>0</v>
      </c>
      <c r="E7" s="239">
        <v>0</v>
      </c>
      <c r="F7" s="240">
        <f t="shared" si="0"/>
        <v>0</v>
      </c>
      <c r="G7" s="239"/>
      <c r="H7" s="239"/>
      <c r="I7" s="240">
        <f t="shared" si="1"/>
        <v>0</v>
      </c>
      <c r="J7" s="271" t="str">
        <f>IF(COUNTA(D7:E7,G7:H7)=5,Prime!$E$4,IF(AND(D7&lt;="5:01"*1,D7&gt;"2:00"*1),Prime!$E$4,IF(AND(H7&gt;="22:00"*1,H7&lt;="26:01"*1),Prime!$E$4,"")))</f>
        <v/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332" t="str">
        <f>IF(AND(LEFT(C7,1)="d",OR(D7&gt;="7:00"*1,H7&gt;"22:00"*1)),Prime!$G$4,"")&amp;IF(AND(LEFT(C7,1)="s",H7&gt;="24:00"*1),Prime!$G$4,"")</f>
        <v/>
      </c>
      <c r="N7" s="319" t="str">
        <f>IF(ISNUMBER(FIND("F",C7)),Prime!$I$4,IF(ISNUMBER(FIND("CDS",C7)),Prime!$I$4,""))</f>
        <v/>
      </c>
      <c r="O7" s="241"/>
      <c r="P7" s="242" t="str">
        <f t="shared" si="2"/>
        <v/>
      </c>
      <c r="Q7" s="142">
        <f t="shared" si="3"/>
        <v>0</v>
      </c>
      <c r="R7" s="143">
        <f t="shared" ref="R7:R34" si="5">Q7*24</f>
        <v>0</v>
      </c>
      <c r="S7" s="144">
        <v>0</v>
      </c>
      <c r="T7" s="141" t="str">
        <f t="shared" si="4"/>
        <v>0,000</v>
      </c>
      <c r="U7" s="126"/>
    </row>
    <row r="8" spans="1:21" s="1" customFormat="1" ht="15.75" x14ac:dyDescent="0.25">
      <c r="A8" s="3"/>
      <c r="B8" s="493">
        <v>41337</v>
      </c>
      <c r="C8" s="499" t="s">
        <v>198</v>
      </c>
      <c r="D8" s="239">
        <v>0</v>
      </c>
      <c r="E8" s="239">
        <v>0</v>
      </c>
      <c r="F8" s="240">
        <f t="shared" si="0"/>
        <v>0</v>
      </c>
      <c r="G8" s="239"/>
      <c r="H8" s="239"/>
      <c r="I8" s="240">
        <f t="shared" si="1"/>
        <v>0</v>
      </c>
      <c r="J8" s="271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332" t="str">
        <f>IF(AND(LEFT(C8,1)="d",OR(D8&gt;="7:00"*1,H8&gt;"22:00"*1)),Prime!$G$4,"")&amp;IF(AND(LEFT(C8,1)="s",H8&gt;="24:00"*1),Prime!$G$4,"")</f>
        <v/>
      </c>
      <c r="N8" s="319" t="str">
        <f>IF(ISNUMBER(FIND("F",C8)),Prime!$I$4,IF(ISNUMBER(FIND("CDS",C8)),Prime!$I$4,""))</f>
        <v/>
      </c>
      <c r="O8" s="241"/>
      <c r="P8" s="242" t="str">
        <f t="shared" si="2"/>
        <v/>
      </c>
      <c r="Q8" s="142">
        <f t="shared" si="3"/>
        <v>0</v>
      </c>
      <c r="R8" s="143">
        <f t="shared" si="5"/>
        <v>0</v>
      </c>
      <c r="S8" s="144">
        <v>0</v>
      </c>
      <c r="T8" s="141" t="str">
        <f t="shared" si="4"/>
        <v>0,000</v>
      </c>
      <c r="U8" s="126"/>
    </row>
    <row r="9" spans="1:21" s="1" customFormat="1" ht="15.75" x14ac:dyDescent="0.25">
      <c r="A9" s="3"/>
      <c r="B9" s="493">
        <v>41338</v>
      </c>
      <c r="C9" s="499" t="s">
        <v>69</v>
      </c>
      <c r="D9" s="239">
        <v>0.22569444444444445</v>
      </c>
      <c r="E9" s="239">
        <v>0.55277777777777781</v>
      </c>
      <c r="F9" s="240">
        <f t="shared" si="0"/>
        <v>0.32708333333333339</v>
      </c>
      <c r="G9" s="239"/>
      <c r="H9" s="239"/>
      <c r="I9" s="240">
        <f t="shared" si="1"/>
        <v>0</v>
      </c>
      <c r="J9" s="271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332" t="str">
        <f>IF(AND(LEFT(C9,1)="d",OR(D9&gt;="7:00"*1,H9&gt;"22:00"*1)),Prime!$G$4,"")&amp;IF(AND(LEFT(C9,1)="s",H9&gt;="24:00"*1),Prime!$G$4,"")</f>
        <v/>
      </c>
      <c r="N9" s="31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0.32708333333333339</v>
      </c>
      <c r="R9" s="143">
        <f t="shared" si="5"/>
        <v>7.8500000000000014</v>
      </c>
      <c r="S9" s="144">
        <v>7.83</v>
      </c>
      <c r="T9" s="141">
        <f t="shared" si="4"/>
        <v>2.000000000000135E-2</v>
      </c>
      <c r="U9" s="126"/>
    </row>
    <row r="10" spans="1:21" s="1" customFormat="1" ht="15.75" x14ac:dyDescent="0.25">
      <c r="A10" s="3"/>
      <c r="B10" s="493">
        <v>41339</v>
      </c>
      <c r="C10" s="499" t="s">
        <v>69</v>
      </c>
      <c r="D10" s="239">
        <v>0.22569444444444445</v>
      </c>
      <c r="E10" s="239">
        <v>0.55277777777777781</v>
      </c>
      <c r="F10" s="240">
        <f t="shared" si="0"/>
        <v>0.32708333333333339</v>
      </c>
      <c r="G10" s="239"/>
      <c r="H10" s="239"/>
      <c r="I10" s="240">
        <f t="shared" si="1"/>
        <v>0</v>
      </c>
      <c r="J10" s="271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332" t="str">
        <f>IF(AND(LEFT(C10,1)="d",OR(D10&gt;="7:00"*1,H10&gt;"22:00"*1)),Prime!$G$4,"")&amp;IF(AND(LEFT(C10,1)="s",H10&gt;="24:00"*1),Prime!$G$4,"")</f>
        <v/>
      </c>
      <c r="N10" s="319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0.32708333333333339</v>
      </c>
      <c r="R10" s="143">
        <f t="shared" si="5"/>
        <v>7.8500000000000014</v>
      </c>
      <c r="S10" s="144">
        <v>7.83</v>
      </c>
      <c r="T10" s="141">
        <f t="shared" si="4"/>
        <v>2.000000000000135E-2</v>
      </c>
      <c r="U10" s="126"/>
    </row>
    <row r="11" spans="1:21" s="1" customFormat="1" ht="15.75" x14ac:dyDescent="0.25">
      <c r="A11" s="3"/>
      <c r="B11" s="493">
        <v>41340</v>
      </c>
      <c r="C11" s="499" t="s">
        <v>19</v>
      </c>
      <c r="D11" s="239">
        <v>0</v>
      </c>
      <c r="E11" s="239">
        <v>0</v>
      </c>
      <c r="F11" s="240">
        <f t="shared" si="0"/>
        <v>0</v>
      </c>
      <c r="G11" s="239"/>
      <c r="H11" s="239"/>
      <c r="I11" s="240">
        <f t="shared" si="1"/>
        <v>0</v>
      </c>
      <c r="J11" s="271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86" t="str">
        <f>IF(H11&gt;"21:30"*1,Prime!$F$4,"")</f>
        <v/>
      </c>
      <c r="M11" s="332" t="str">
        <f>IF(AND(LEFT(C11,1)="d",OR(D11&gt;="7:00"*1,H11&gt;"22:00"*1)),Prime!$G$4,"")&amp;IF(AND(LEFT(C11,1)="s",H11&gt;="24:00"*1),Prime!$G$4,"")</f>
        <v/>
      </c>
      <c r="N11" s="319" t="str">
        <f>IF(ISNUMBER(FIND("F",C11)),Prime!$I$4,IF(ISNUMBER(FIND("CDS",C11)),Prime!$I$4,""))</f>
        <v/>
      </c>
      <c r="O11" s="241"/>
      <c r="P11" s="242" t="str">
        <f t="shared" si="2"/>
        <v/>
      </c>
      <c r="Q11" s="142">
        <f t="shared" si="3"/>
        <v>0</v>
      </c>
      <c r="R11" s="143">
        <f t="shared" si="5"/>
        <v>0</v>
      </c>
      <c r="S11" s="144">
        <v>0</v>
      </c>
      <c r="T11" s="141" t="str">
        <f t="shared" si="4"/>
        <v>0,000</v>
      </c>
      <c r="U11" s="126"/>
    </row>
    <row r="12" spans="1:21" s="1" customFormat="1" ht="15.75" x14ac:dyDescent="0.25">
      <c r="A12" s="3"/>
      <c r="B12" s="493">
        <v>41341</v>
      </c>
      <c r="C12" s="499" t="s">
        <v>1</v>
      </c>
      <c r="D12" s="239">
        <v>0</v>
      </c>
      <c r="E12" s="239">
        <v>0</v>
      </c>
      <c r="F12" s="240">
        <f t="shared" si="0"/>
        <v>0</v>
      </c>
      <c r="G12" s="239"/>
      <c r="H12" s="239"/>
      <c r="I12" s="240">
        <f t="shared" si="1"/>
        <v>0</v>
      </c>
      <c r="J12" s="271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332" t="str">
        <f>IF(AND(LEFT(C12,1)="d",OR(D12&gt;="7:00"*1,H12&gt;"22:00"*1)),Prime!$G$4,"")&amp;IF(AND(LEFT(C12,1)="s",H12&gt;="24:00"*1),Prime!$G$4,"")</f>
        <v/>
      </c>
      <c r="N12" s="31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</v>
      </c>
      <c r="R12" s="143">
        <f t="shared" si="5"/>
        <v>0</v>
      </c>
      <c r="S12" s="144">
        <v>0</v>
      </c>
      <c r="T12" s="141" t="str">
        <f t="shared" si="4"/>
        <v>0,000</v>
      </c>
      <c r="U12" s="126"/>
    </row>
    <row r="13" spans="1:21" s="1" customFormat="1" ht="15.75" x14ac:dyDescent="0.25">
      <c r="A13" s="3"/>
      <c r="B13" s="493">
        <v>41342</v>
      </c>
      <c r="C13" s="499" t="s">
        <v>0</v>
      </c>
      <c r="D13" s="239">
        <v>0</v>
      </c>
      <c r="E13" s="239">
        <v>0</v>
      </c>
      <c r="F13" s="240">
        <f t="shared" si="0"/>
        <v>0</v>
      </c>
      <c r="G13" s="239"/>
      <c r="H13" s="239"/>
      <c r="I13" s="240">
        <f t="shared" si="1"/>
        <v>0</v>
      </c>
      <c r="J13" s="271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332" t="str">
        <f>IF(AND(LEFT(C13,1)="d",OR(D13&gt;="7:00"*1,H13&gt;"22:00"*1)),Prime!$G$4,"")&amp;IF(AND(LEFT(C13,1)="s",H13&gt;="24:00"*1),Prime!$G$4,"")</f>
        <v/>
      </c>
      <c r="N13" s="31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</v>
      </c>
      <c r="R13" s="143">
        <f t="shared" si="5"/>
        <v>0</v>
      </c>
      <c r="S13" s="144">
        <v>0</v>
      </c>
      <c r="T13" s="141" t="str">
        <f t="shared" si="4"/>
        <v>0,000</v>
      </c>
      <c r="U13" s="126"/>
    </row>
    <row r="14" spans="1:21" s="1" customFormat="1" ht="15.75" x14ac:dyDescent="0.25">
      <c r="A14" s="3"/>
      <c r="B14" s="493">
        <v>41343</v>
      </c>
      <c r="C14" s="499" t="s">
        <v>202</v>
      </c>
      <c r="D14" s="239"/>
      <c r="E14" s="239"/>
      <c r="F14" s="240">
        <f t="shared" si="0"/>
        <v>0</v>
      </c>
      <c r="G14" s="239">
        <v>0.6972222222222223</v>
      </c>
      <c r="H14" s="239">
        <v>1.0215277777777778</v>
      </c>
      <c r="I14" s="240">
        <f t="shared" si="1"/>
        <v>0.32430555555555551</v>
      </c>
      <c r="J14" s="271">
        <f>IF(COUNTA(D14:E14,G14:H14)=5,Prime!$E$4,IF(AND(D14&lt;="5:01"*1,D14&gt;"2:00"*1),Prime!$E$4,IF(AND(H14&gt;="22:00"*1,H14&lt;="26:01"*1),Prime!$E$4,"")))</f>
        <v>17.7056</v>
      </c>
      <c r="K14" s="231" t="str">
        <f>IF(COUNTA(D14:E14,G14:H14)=5,Prime!$E$4,IF(AND(E14&gt;="13:15"*1,G14&lt;""),Prime!$E$4,IF(AND(G14&gt;="11:00"*1,G14&lt;="12:15"*1),Prime!$E$4,"")))</f>
        <v/>
      </c>
      <c r="L14" s="286">
        <f>IF(H14&gt;"21:30"*1,Prime!$F$4,"")</f>
        <v>17.7056</v>
      </c>
      <c r="M14" s="332" t="str">
        <f>IF(AND(LEFT(C14,1)="d",OR(D14&gt;="7:00"*1,H14&gt;"22:00"*1)),Prime!$G$4,"")&amp;IF(AND(LEFT(C14,1)="s",H14&gt;="24:00"*1),Prime!$G$4,"")</f>
        <v>44,264</v>
      </c>
      <c r="N14" s="31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0.32430555555555551</v>
      </c>
      <c r="R14" s="143">
        <f t="shared" si="5"/>
        <v>7.7833333333333323</v>
      </c>
      <c r="S14" s="144">
        <v>7.87</v>
      </c>
      <c r="T14" s="141">
        <f t="shared" si="4"/>
        <v>-8.666666666666778E-2</v>
      </c>
      <c r="U14" s="126"/>
    </row>
    <row r="15" spans="1:21" s="1" customFormat="1" ht="15.75" x14ac:dyDescent="0.25">
      <c r="A15" s="3"/>
      <c r="B15" s="493">
        <v>41344</v>
      </c>
      <c r="C15" s="499" t="s">
        <v>203</v>
      </c>
      <c r="D15" s="239"/>
      <c r="E15" s="239"/>
      <c r="F15" s="240">
        <f t="shared" si="0"/>
        <v>0</v>
      </c>
      <c r="G15" s="239">
        <v>0.73402777777777783</v>
      </c>
      <c r="H15" s="239">
        <v>0.97222222222222221</v>
      </c>
      <c r="I15" s="240">
        <f t="shared" si="1"/>
        <v>0.23819444444444438</v>
      </c>
      <c r="J15" s="271">
        <f>IF(COUNTA(D15:E15,G15:H15)=5,Prime!$E$4,IF(AND(D15&lt;="5:01"*1,D15&gt;"2:00"*1),Prime!$E$4,IF(AND(H15&gt;="22:00"*1,H15&lt;="26:01"*1),Prime!$E$4,"")))</f>
        <v>17.7056</v>
      </c>
      <c r="K15" s="231" t="str">
        <f>IF(COUNTA(D15:E15,G15:H15)=5,Prime!$E$4,IF(AND(E15&gt;="13:15"*1,G15&lt;""),Prime!$E$4,IF(AND(G15&gt;="11:00"*1,G15&lt;="12:15"*1),Prime!$E$4,"")))</f>
        <v/>
      </c>
      <c r="L15" s="286">
        <f>IF(H15&gt;"21:30"*1,Prime!$F$4,"")</f>
        <v>17.7056</v>
      </c>
      <c r="M15" s="332" t="str">
        <f>IF(AND(LEFT(C15,1)="d",OR(D15&gt;="7:00"*1,H15&gt;"22:00"*1)),Prime!$G$4,"")&amp;IF(AND(LEFT(C15,1)="s",H15&gt;="24:00"*1),Prime!$G$4,"")</f>
        <v>44,264</v>
      </c>
      <c r="N15" s="319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0.23819444444444438</v>
      </c>
      <c r="R15" s="143">
        <f t="shared" si="5"/>
        <v>5.716666666666665</v>
      </c>
      <c r="S15" s="144">
        <v>5.72</v>
      </c>
      <c r="T15" s="141">
        <f t="shared" si="4"/>
        <v>-3.3333333333347426E-3</v>
      </c>
      <c r="U15" s="126"/>
    </row>
    <row r="16" spans="1:21" s="1" customFormat="1" ht="15.75" x14ac:dyDescent="0.25">
      <c r="A16" s="3"/>
      <c r="B16" s="493">
        <v>41345</v>
      </c>
      <c r="C16" s="499" t="s">
        <v>70</v>
      </c>
      <c r="D16" s="239">
        <v>0.43888888888888888</v>
      </c>
      <c r="E16" s="239">
        <v>0.5444444444444444</v>
      </c>
      <c r="F16" s="240">
        <f t="shared" si="0"/>
        <v>0.10555555555555551</v>
      </c>
      <c r="G16" s="239">
        <v>0.63750000000000007</v>
      </c>
      <c r="H16" s="239">
        <v>0.87916666666666676</v>
      </c>
      <c r="I16" s="240">
        <f t="shared" si="1"/>
        <v>0.2416666666666667</v>
      </c>
      <c r="J16" s="271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332" t="str">
        <f>IF(AND(LEFT(C16,1)="d",OR(D16&gt;="7:00"*1,H16&gt;"22:00"*1)),Prime!$G$4,"")&amp;IF(AND(LEFT(C16,1)="s",H16&gt;="24:00"*1),Prime!$G$4,"")</f>
        <v/>
      </c>
      <c r="N16" s="31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0.34722222222222221</v>
      </c>
      <c r="R16" s="143">
        <f t="shared" si="5"/>
        <v>8.3333333333333321</v>
      </c>
      <c r="S16" s="144">
        <v>8.33</v>
      </c>
      <c r="T16" s="141">
        <f t="shared" si="4"/>
        <v>3.333333333332078E-3</v>
      </c>
      <c r="U16" s="126"/>
    </row>
    <row r="17" spans="1:21" s="1" customFormat="1" ht="15.75" x14ac:dyDescent="0.25">
      <c r="A17" s="3"/>
      <c r="B17" s="493">
        <v>41346</v>
      </c>
      <c r="C17" s="499" t="s">
        <v>1</v>
      </c>
      <c r="D17" s="239">
        <v>0</v>
      </c>
      <c r="E17" s="239">
        <v>0</v>
      </c>
      <c r="F17" s="240">
        <f t="shared" si="0"/>
        <v>0</v>
      </c>
      <c r="G17" s="239"/>
      <c r="H17" s="239"/>
      <c r="I17" s="240">
        <f t="shared" si="1"/>
        <v>0</v>
      </c>
      <c r="J17" s="271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86" t="str">
        <f>IF(H17&gt;"21:30"*1,Prime!$F$4,"")</f>
        <v/>
      </c>
      <c r="M17" s="332" t="str">
        <f>IF(AND(LEFT(C17,1)="d",OR(D17&gt;="7:00"*1,H17&gt;"22:00"*1)),Prime!$G$4,"")&amp;IF(AND(LEFT(C17,1)="s",H17&gt;="24:00"*1),Prime!$G$4,"")</f>
        <v/>
      </c>
      <c r="N17" s="31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</v>
      </c>
      <c r="R17" s="143">
        <f t="shared" si="5"/>
        <v>0</v>
      </c>
      <c r="S17" s="144">
        <v>0</v>
      </c>
      <c r="T17" s="141" t="str">
        <f t="shared" si="4"/>
        <v>0,000</v>
      </c>
      <c r="U17" s="126"/>
    </row>
    <row r="18" spans="1:21" s="1" customFormat="1" ht="15.75" x14ac:dyDescent="0.25">
      <c r="A18" s="3"/>
      <c r="B18" s="493">
        <v>41347</v>
      </c>
      <c r="C18" s="499" t="s">
        <v>53</v>
      </c>
      <c r="D18" s="239">
        <v>0.24166666666666667</v>
      </c>
      <c r="E18" s="239">
        <v>0.4375</v>
      </c>
      <c r="F18" s="240">
        <f t="shared" si="0"/>
        <v>0.19583333333333333</v>
      </c>
      <c r="G18" s="239">
        <v>0.53749999999999998</v>
      </c>
      <c r="H18" s="239">
        <v>0.67222222222222217</v>
      </c>
      <c r="I18" s="240">
        <f t="shared" si="1"/>
        <v>0.13472222222222219</v>
      </c>
      <c r="J18" s="271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332" t="str">
        <f>IF(AND(LEFT(C18,1)="d",OR(D18&gt;="7:00"*1,H18&gt;"22:00"*1)),Prime!$G$4,"")&amp;IF(AND(LEFT(C18,1)="s",H18&gt;="24:00"*1),Prime!$G$4,"")</f>
        <v/>
      </c>
      <c r="N18" s="319" t="str">
        <f>IF(ISNUMBER(FIND("F",C18)),Prime!$I$4,IF(ISNUMBER(FIND("CDS",C18)),Prime!$I$4,""))</f>
        <v/>
      </c>
      <c r="O18" s="241"/>
      <c r="P18" s="242" t="str">
        <f>IF(ISBLANK(O18),"",O18*24)</f>
        <v/>
      </c>
      <c r="Q18" s="142">
        <f t="shared" si="3"/>
        <v>0.33055555555555549</v>
      </c>
      <c r="R18" s="143">
        <f t="shared" si="5"/>
        <v>7.9333333333333318</v>
      </c>
      <c r="S18" s="144">
        <v>8.18</v>
      </c>
      <c r="T18" s="141">
        <f t="shared" si="4"/>
        <v>-0.24666666666666792</v>
      </c>
      <c r="U18" s="126"/>
    </row>
    <row r="19" spans="1:21" s="1" customFormat="1" ht="15.75" x14ac:dyDescent="0.25">
      <c r="A19" s="3"/>
      <c r="B19" s="493">
        <v>41348</v>
      </c>
      <c r="C19" s="499" t="s">
        <v>75</v>
      </c>
      <c r="D19" s="239">
        <v>0.22222222222222221</v>
      </c>
      <c r="E19" s="239">
        <v>0.54375000000000007</v>
      </c>
      <c r="F19" s="240">
        <f t="shared" si="0"/>
        <v>0.32152777777777786</v>
      </c>
      <c r="G19" s="239"/>
      <c r="H19" s="239"/>
      <c r="I19" s="240">
        <f t="shared" si="1"/>
        <v>0</v>
      </c>
      <c r="J19" s="271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332" t="str">
        <f>IF(AND(LEFT(C19,1)="d",OR(D19&gt;="7:00"*1,H19&gt;"22:00"*1)),Prime!$G$4,"")&amp;IF(AND(LEFT(C19,1)="s",H19&gt;="24:00"*1),Prime!$G$4,"")</f>
        <v/>
      </c>
      <c r="N19" s="319" t="str">
        <f>IF(ISNUMBER(FIND("F",C19)),Prime!$I$4,IF(ISNUMBER(FIND("CDS",C19)),Prime!$I$4,""))</f>
        <v/>
      </c>
      <c r="O19" s="241"/>
      <c r="P19" s="242" t="str">
        <f t="shared" ref="P19:P32" si="6">IF(ISBLANK(O19),"",O19*24)</f>
        <v/>
      </c>
      <c r="Q19" s="142">
        <f t="shared" si="3"/>
        <v>0.32152777777777786</v>
      </c>
      <c r="R19" s="143">
        <f t="shared" si="5"/>
        <v>7.7166666666666686</v>
      </c>
      <c r="S19" s="144">
        <v>7.7</v>
      </c>
      <c r="T19" s="141">
        <f t="shared" si="4"/>
        <v>1.6666666666668384E-2</v>
      </c>
      <c r="U19" s="126"/>
    </row>
    <row r="20" spans="1:21" s="1" customFormat="1" ht="15.75" x14ac:dyDescent="0.25">
      <c r="A20" s="3"/>
      <c r="B20" s="493">
        <v>41349</v>
      </c>
      <c r="C20" s="499" t="s">
        <v>31</v>
      </c>
      <c r="D20" s="239">
        <v>0.49305555555555558</v>
      </c>
      <c r="E20" s="239">
        <v>0.80555555555555547</v>
      </c>
      <c r="F20" s="240">
        <f t="shared" si="0"/>
        <v>0.31249999999999989</v>
      </c>
      <c r="G20" s="239"/>
      <c r="H20" s="239"/>
      <c r="I20" s="240">
        <f t="shared" si="1"/>
        <v>0</v>
      </c>
      <c r="J20" s="271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332" t="str">
        <f>IF(AND(LEFT(C20,1)="d",OR(D20&gt;="7:00"*1,H20&gt;"22:00"*1)),Prime!$G$4,"")&amp;IF(AND(LEFT(C20,1)="s",H20&gt;="24:00"*1),Prime!$G$4,"")</f>
        <v/>
      </c>
      <c r="N20" s="319" t="str">
        <f>IF(ISNUMBER(FIND("F",C20)),Prime!$I$4,IF(ISNUMBER(FIND("CDS",C20)),Prime!$I$4,""))</f>
        <v/>
      </c>
      <c r="O20" s="241"/>
      <c r="P20" s="242" t="str">
        <f t="shared" si="6"/>
        <v/>
      </c>
      <c r="Q20" s="142">
        <f t="shared" si="3"/>
        <v>0.31249999999999989</v>
      </c>
      <c r="R20" s="143">
        <f t="shared" si="5"/>
        <v>7.4999999999999973</v>
      </c>
      <c r="S20" s="144">
        <v>7.5</v>
      </c>
      <c r="T20" s="141">
        <f t="shared" si="4"/>
        <v>-2.6645352591003757E-15</v>
      </c>
      <c r="U20" s="126"/>
    </row>
    <row r="21" spans="1:21" s="1" customFormat="1" ht="15.75" x14ac:dyDescent="0.25">
      <c r="A21" s="3"/>
      <c r="B21" s="493">
        <v>41350</v>
      </c>
      <c r="C21" s="499" t="s">
        <v>204</v>
      </c>
      <c r="D21" s="239">
        <v>0.26666666666666666</v>
      </c>
      <c r="E21" s="239">
        <v>0.55069444444444449</v>
      </c>
      <c r="F21" s="240">
        <f t="shared" si="0"/>
        <v>0.28402777777777782</v>
      </c>
      <c r="G21" s="239"/>
      <c r="H21" s="239"/>
      <c r="I21" s="240">
        <f t="shared" si="1"/>
        <v>0</v>
      </c>
      <c r="J21" s="271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332" t="str">
        <f>IF(AND(LEFT(C21,1)="d",OR(D21&gt;="7:00"*1,H21&gt;"22:00"*1)),Prime!$G$4,"")&amp;IF(AND(LEFT(C21,1)="s",H21&gt;="24:00"*1),Prime!$G$4,"")</f>
        <v/>
      </c>
      <c r="N21" s="319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0.28402777777777782</v>
      </c>
      <c r="R21" s="143">
        <f t="shared" si="5"/>
        <v>6.8166666666666682</v>
      </c>
      <c r="S21" s="144">
        <v>6.82</v>
      </c>
      <c r="T21" s="141">
        <f t="shared" si="4"/>
        <v>-3.333333333332078E-3</v>
      </c>
      <c r="U21" s="126"/>
    </row>
    <row r="22" spans="1:21" s="1" customFormat="1" ht="15.75" x14ac:dyDescent="0.25">
      <c r="A22" s="3"/>
      <c r="B22" s="493">
        <v>41351</v>
      </c>
      <c r="C22" s="499" t="s">
        <v>198</v>
      </c>
      <c r="D22" s="239">
        <v>0</v>
      </c>
      <c r="E22" s="239">
        <v>0</v>
      </c>
      <c r="F22" s="240">
        <f t="shared" si="0"/>
        <v>0</v>
      </c>
      <c r="G22" s="239">
        <v>0.5625</v>
      </c>
      <c r="H22" s="239">
        <v>0.70833333333333337</v>
      </c>
      <c r="I22" s="240">
        <f t="shared" si="1"/>
        <v>0.14583333333333337</v>
      </c>
      <c r="J22" s="271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332" t="str">
        <f>IF(AND(LEFT(C22,1)="d",OR(D22&gt;="7:00"*1,H22&gt;"22:00"*1)),Prime!$G$4,"")&amp;IF(AND(LEFT(C22,1)="s",H22&gt;="24:00"*1),Prime!$G$4,"")</f>
        <v/>
      </c>
      <c r="N22" s="319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0.14583333333333337</v>
      </c>
      <c r="R22" s="143">
        <f t="shared" si="5"/>
        <v>3.5000000000000009</v>
      </c>
      <c r="S22" s="144">
        <v>0</v>
      </c>
      <c r="T22" s="141">
        <f t="shared" si="4"/>
        <v>3.5000000000000009</v>
      </c>
      <c r="U22" s="126"/>
    </row>
    <row r="23" spans="1:21" s="1" customFormat="1" ht="15.75" x14ac:dyDescent="0.25">
      <c r="A23" s="3"/>
      <c r="B23" s="493">
        <v>41352</v>
      </c>
      <c r="C23" s="499" t="s">
        <v>71</v>
      </c>
      <c r="D23" s="239">
        <v>0.375</v>
      </c>
      <c r="E23" s="239">
        <v>0.52083333333333337</v>
      </c>
      <c r="F23" s="240">
        <f>E23-D23</f>
        <v>0.14583333333333337</v>
      </c>
      <c r="G23" s="239">
        <v>0.5625</v>
      </c>
      <c r="H23" s="239">
        <v>0.70833333333333337</v>
      </c>
      <c r="I23" s="240">
        <f t="shared" si="1"/>
        <v>0.14583333333333337</v>
      </c>
      <c r="J23" s="271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332" t="str">
        <f>IF(AND(LEFT(C23,1)="d",OR(D23&gt;="7:00"*1,H23&gt;"22:00"*1)),Prime!$G$4,"")&amp;IF(AND(LEFT(C23,1)="s",H23&gt;="24:00"*1),Prime!$G$4,"")</f>
        <v/>
      </c>
      <c r="N23" s="319">
        <f>IF(ISNUMBER(FIND("F",C23)),Prime!$I$4,IF(ISNUMBER(FIND("CDS",C23)),Prime!$I$4,""))</f>
        <v>104.9325</v>
      </c>
      <c r="O23" s="241"/>
      <c r="P23" s="242" t="str">
        <f t="shared" si="6"/>
        <v/>
      </c>
      <c r="Q23" s="142">
        <f t="shared" si="3"/>
        <v>0.29166666666666674</v>
      </c>
      <c r="R23" s="143">
        <f t="shared" si="5"/>
        <v>7.0000000000000018</v>
      </c>
      <c r="S23" s="144">
        <v>7</v>
      </c>
      <c r="T23" s="141">
        <f t="shared" si="4"/>
        <v>1.7763568394002505E-15</v>
      </c>
      <c r="U23" s="126"/>
    </row>
    <row r="24" spans="1:21" s="1" customFormat="1" ht="15.75" x14ac:dyDescent="0.25">
      <c r="A24" s="3"/>
      <c r="B24" s="493">
        <v>41353</v>
      </c>
      <c r="C24" s="499" t="s">
        <v>71</v>
      </c>
      <c r="D24" s="239">
        <v>0.375</v>
      </c>
      <c r="E24" s="239">
        <v>0.52083333333333337</v>
      </c>
      <c r="F24" s="240">
        <f>E24-D24</f>
        <v>0.14583333333333337</v>
      </c>
      <c r="G24" s="239">
        <v>0.5625</v>
      </c>
      <c r="H24" s="239">
        <v>0.70833333333333337</v>
      </c>
      <c r="I24" s="240">
        <f t="shared" si="1"/>
        <v>0.14583333333333337</v>
      </c>
      <c r="J24" s="271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332" t="str">
        <f>IF(AND(LEFT(C24,1)="d",OR(D24&gt;="7:00"*1,H24&gt;"22:00"*1)),Prime!$G$4,"")&amp;IF(AND(LEFT(C24,1)="s",H24&gt;="24:00"*1),Prime!$G$4,"")</f>
        <v/>
      </c>
      <c r="N24" s="319">
        <f>IF(ISNUMBER(FIND("F",C24)),Prime!$I$4,IF(ISNUMBER(FIND("CDS",C24)),Prime!$I$4,""))</f>
        <v>104.9325</v>
      </c>
      <c r="O24" s="241"/>
      <c r="P24" s="242" t="str">
        <f t="shared" si="6"/>
        <v/>
      </c>
      <c r="Q24" s="142">
        <f t="shared" si="3"/>
        <v>0.29166666666666674</v>
      </c>
      <c r="R24" s="143">
        <f t="shared" si="5"/>
        <v>7.0000000000000018</v>
      </c>
      <c r="S24" s="144">
        <v>7</v>
      </c>
      <c r="T24" s="141">
        <f t="shared" si="4"/>
        <v>1.7763568394002505E-15</v>
      </c>
      <c r="U24" s="126"/>
    </row>
    <row r="25" spans="1:21" s="1" customFormat="1" ht="15.75" x14ac:dyDescent="0.25">
      <c r="A25" s="3"/>
      <c r="B25" s="493">
        <v>41354</v>
      </c>
      <c r="C25" s="499" t="s">
        <v>72</v>
      </c>
      <c r="D25" s="239">
        <v>0.28333333333333333</v>
      </c>
      <c r="E25" s="239">
        <v>0.51111111111111118</v>
      </c>
      <c r="F25" s="240">
        <f>E25-D25</f>
        <v>0.22777777777777786</v>
      </c>
      <c r="G25" s="239">
        <v>0.69374999999999998</v>
      </c>
      <c r="H25" s="239">
        <v>0.81597222222222221</v>
      </c>
      <c r="I25" s="240">
        <f>H25-G25</f>
        <v>0.12222222222222223</v>
      </c>
      <c r="J25" s="271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332" t="str">
        <f>IF(AND(LEFT(C25,1)="d",OR(D25&gt;="7:00"*1,H25&gt;"22:00"*1)),Prime!$G$4,"")&amp;IF(AND(LEFT(C25,1)="s",H25&gt;="24:00"*1),Prime!$G$4,"")</f>
        <v/>
      </c>
      <c r="N25" s="319" t="str">
        <f>IF(ISNUMBER(FIND("F",C25)),Prime!$I$4,IF(ISNUMBER(FIND("CDS",C25)),Prime!$I$4,""))</f>
        <v/>
      </c>
      <c r="O25" s="241"/>
      <c r="P25" s="242" t="str">
        <f t="shared" si="6"/>
        <v/>
      </c>
      <c r="Q25" s="142">
        <f t="shared" si="3"/>
        <v>0.35000000000000009</v>
      </c>
      <c r="R25" s="143">
        <f t="shared" si="5"/>
        <v>8.4000000000000021</v>
      </c>
      <c r="S25" s="144">
        <v>8.4</v>
      </c>
      <c r="T25" s="141">
        <f t="shared" si="4"/>
        <v>1.7763568394002505E-15</v>
      </c>
      <c r="U25" s="126"/>
    </row>
    <row r="26" spans="1:21" s="1" customFormat="1" ht="15.75" x14ac:dyDescent="0.25">
      <c r="A26" s="3"/>
      <c r="B26" s="493">
        <v>41355</v>
      </c>
      <c r="C26" s="499" t="s">
        <v>45</v>
      </c>
      <c r="D26" s="239"/>
      <c r="E26" s="239"/>
      <c r="F26" s="240">
        <f t="shared" si="0"/>
        <v>0</v>
      </c>
      <c r="G26" s="239">
        <v>0.48541666666666666</v>
      </c>
      <c r="H26" s="239">
        <v>0.81874999999999998</v>
      </c>
      <c r="I26" s="240">
        <f t="shared" si="1"/>
        <v>0.33333333333333331</v>
      </c>
      <c r="J26" s="271" t="str">
        <f>IF(COUNTA(D26:E26,G26:H26)=5,Prime!$E$4,IF(AND(D26&lt;="5:01"*1,D26&gt;"2:00"*1),Prime!$E$4,IF(AND(H26&gt;="22:00"*1,H26&lt;="26:01"*1),Prime!$E$4,"")))</f>
        <v/>
      </c>
      <c r="K26" s="231">
        <f>IF(COUNTA(D26:E26,G26:H26)=5,Prime!$E$4,IF(AND(E26&gt;="13:15"*1,G26&lt;""),Prime!$E$4,IF(AND(G26&gt;="11:00"*1,G26&lt;="12:15"*1),Prime!$E$4,"")))</f>
        <v>17.7056</v>
      </c>
      <c r="L26" s="286" t="str">
        <f>IF(H26&gt;"21:30"*1,Prime!$F$4,"")</f>
        <v/>
      </c>
      <c r="M26" s="332" t="str">
        <f>IF(AND(LEFT(C26,1)="d",OR(D26&gt;="7:00"*1,H26&gt;"22:00"*1)),Prime!$G$4,"")&amp;IF(AND(LEFT(C26,1)="s",H26&gt;="24:00"*1),Prime!$G$4,"")</f>
        <v/>
      </c>
      <c r="N26" s="319" t="str">
        <f>IF(ISNUMBER(FIND("F",C26)),Prime!$I$4,IF(ISNUMBER(FIND("CDS",C26)),Prime!$I$4,""))</f>
        <v/>
      </c>
      <c r="O26" s="241">
        <v>6.9444444444444447E-4</v>
      </c>
      <c r="P26" s="242">
        <f t="shared" si="6"/>
        <v>1.6666666666666666E-2</v>
      </c>
      <c r="Q26" s="142">
        <f t="shared" si="3"/>
        <v>0.33333333333333331</v>
      </c>
      <c r="R26" s="143">
        <f t="shared" si="5"/>
        <v>8</v>
      </c>
      <c r="S26" s="144">
        <v>8.0500000000000007</v>
      </c>
      <c r="T26" s="141">
        <f t="shared" si="4"/>
        <v>-5.0000000000000711E-2</v>
      </c>
      <c r="U26" s="126"/>
    </row>
    <row r="27" spans="1:21" s="1" customFormat="1" ht="15.75" x14ac:dyDescent="0.25">
      <c r="A27" s="3"/>
      <c r="B27" s="493">
        <v>41356</v>
      </c>
      <c r="C27" s="499" t="s">
        <v>73</v>
      </c>
      <c r="D27" s="239">
        <v>0.28263888888888888</v>
      </c>
      <c r="E27" s="239">
        <v>0.39374999999999999</v>
      </c>
      <c r="F27" s="240">
        <f t="shared" si="0"/>
        <v>0.1111111111111111</v>
      </c>
      <c r="G27" s="239">
        <v>0.66249999999999998</v>
      </c>
      <c r="H27" s="239">
        <v>0.8222222222222223</v>
      </c>
      <c r="I27" s="240">
        <f t="shared" si="1"/>
        <v>0.15972222222222232</v>
      </c>
      <c r="J27" s="271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332" t="str">
        <f>IF(AND(LEFT(C27,1)="d",OR(D27&gt;="7:00"*1,H27&gt;"22:00"*1)),Prime!$G$4,"")&amp;IF(AND(LEFT(C27,1)="s",H27&gt;="24:00"*1),Prime!$G$4,"")</f>
        <v/>
      </c>
      <c r="N27" s="319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0.27083333333333343</v>
      </c>
      <c r="R27" s="143">
        <f t="shared" si="5"/>
        <v>6.5000000000000018</v>
      </c>
      <c r="S27" s="144">
        <v>6.55</v>
      </c>
      <c r="T27" s="141">
        <f t="shared" si="4"/>
        <v>-4.9999999999998046E-2</v>
      </c>
      <c r="U27" s="126"/>
    </row>
    <row r="28" spans="1:21" s="1" customFormat="1" ht="15.75" x14ac:dyDescent="0.25">
      <c r="A28" s="3"/>
      <c r="B28" s="493">
        <v>41357</v>
      </c>
      <c r="C28" s="499" t="s">
        <v>199</v>
      </c>
      <c r="D28" s="239">
        <v>0</v>
      </c>
      <c r="E28" s="239">
        <v>0</v>
      </c>
      <c r="F28" s="240">
        <f t="shared" si="0"/>
        <v>0</v>
      </c>
      <c r="G28" s="239"/>
      <c r="H28" s="239"/>
      <c r="I28" s="240">
        <f t="shared" si="1"/>
        <v>0</v>
      </c>
      <c r="J28" s="271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332" t="str">
        <f>IF(AND(LEFT(C28,1)="d",OR(D28&gt;="7:00"*1,H28&gt;"22:00"*1)),Prime!$G$4,"")&amp;IF(AND(LEFT(C28,1)="s",H28&gt;="24:00"*1),Prime!$G$4,"")</f>
        <v/>
      </c>
      <c r="N28" s="319" t="str">
        <f>IF(ISNUMBER(FIND("F",C28)),Prime!$I$4,IF(ISNUMBER(FIND("CDS",C28)),Prime!$I$4,""))</f>
        <v/>
      </c>
      <c r="O28" s="241"/>
      <c r="P28" s="242" t="str">
        <f t="shared" si="6"/>
        <v/>
      </c>
      <c r="Q28" s="142">
        <f t="shared" si="3"/>
        <v>0</v>
      </c>
      <c r="R28" s="143">
        <f t="shared" si="5"/>
        <v>0</v>
      </c>
      <c r="S28" s="144">
        <v>0</v>
      </c>
      <c r="T28" s="141" t="str">
        <f t="shared" si="4"/>
        <v>0,000</v>
      </c>
      <c r="U28" s="126"/>
    </row>
    <row r="29" spans="1:21" s="1" customFormat="1" ht="15.75" x14ac:dyDescent="0.25">
      <c r="A29" s="3"/>
      <c r="B29" s="493">
        <v>41358</v>
      </c>
      <c r="C29" s="499" t="s">
        <v>198</v>
      </c>
      <c r="D29" s="239">
        <v>0</v>
      </c>
      <c r="E29" s="239">
        <v>0</v>
      </c>
      <c r="F29" s="240">
        <f t="shared" si="0"/>
        <v>0</v>
      </c>
      <c r="G29" s="239"/>
      <c r="H29" s="239"/>
      <c r="I29" s="240">
        <f t="shared" si="1"/>
        <v>0</v>
      </c>
      <c r="J29" s="271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332" t="str">
        <f>IF(AND(LEFT(C29,1)="d",OR(D29&gt;="7:00"*1,H29&gt;"22:00"*1)),Prime!$G$4,"")&amp;IF(AND(LEFT(C29,1)="s",H29&gt;="24:00"*1),Prime!$G$4,"")</f>
        <v/>
      </c>
      <c r="N29" s="319" t="str">
        <f>IF(ISNUMBER(FIND("F",C29)),Prime!$I$4,IF(ISNUMBER(FIND("CDS",C29)),Prime!$I$4,""))</f>
        <v/>
      </c>
      <c r="O29" s="241"/>
      <c r="P29" s="242" t="str">
        <f t="shared" si="6"/>
        <v/>
      </c>
      <c r="Q29" s="142">
        <f t="shared" si="3"/>
        <v>0</v>
      </c>
      <c r="R29" s="143">
        <f t="shared" si="5"/>
        <v>0</v>
      </c>
      <c r="S29" s="144">
        <v>0</v>
      </c>
      <c r="T29" s="141" t="str">
        <f t="shared" si="4"/>
        <v>0,000</v>
      </c>
      <c r="U29" s="126"/>
    </row>
    <row r="30" spans="1:21" s="1" customFormat="1" ht="15.75" x14ac:dyDescent="0.25">
      <c r="A30" s="3"/>
      <c r="B30" s="493">
        <v>41359</v>
      </c>
      <c r="C30" s="499" t="s">
        <v>74</v>
      </c>
      <c r="D30" s="239">
        <v>0.24513888888888888</v>
      </c>
      <c r="E30" s="239">
        <v>0.56874999999999998</v>
      </c>
      <c r="F30" s="240">
        <f t="shared" si="0"/>
        <v>0.32361111111111107</v>
      </c>
      <c r="G30" s="239"/>
      <c r="H30" s="239"/>
      <c r="I30" s="240">
        <f t="shared" si="1"/>
        <v>0</v>
      </c>
      <c r="J30" s="271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332" t="str">
        <f>IF(AND(LEFT(C30,1)="d",OR(D30&gt;="7:00"*1,H30&gt;"22:00"*1)),Prime!$G$4,"")&amp;IF(AND(LEFT(C30,1)="s",H30&gt;="24:00"*1),Prime!$G$4,"")</f>
        <v/>
      </c>
      <c r="N30" s="319" t="str">
        <f>IF(ISNUMBER(FIND("F",C30)),Prime!$I$4,IF(ISNUMBER(FIND("CDS",C30)),Prime!$I$4,""))</f>
        <v/>
      </c>
      <c r="O30" s="241"/>
      <c r="P30" s="242" t="str">
        <f t="shared" si="6"/>
        <v/>
      </c>
      <c r="Q30" s="142">
        <f t="shared" si="3"/>
        <v>0.32361111111111107</v>
      </c>
      <c r="R30" s="143">
        <f t="shared" si="5"/>
        <v>7.7666666666666657</v>
      </c>
      <c r="S30" s="144">
        <v>7.77</v>
      </c>
      <c r="T30" s="141">
        <f t="shared" si="4"/>
        <v>-3.3333333333338544E-3</v>
      </c>
      <c r="U30" s="126"/>
    </row>
    <row r="31" spans="1:21" s="1" customFormat="1" ht="15.75" x14ac:dyDescent="0.25">
      <c r="A31" s="3"/>
      <c r="B31" s="493">
        <v>41360</v>
      </c>
      <c r="C31" s="499" t="s">
        <v>58</v>
      </c>
      <c r="D31" s="239">
        <v>0.25</v>
      </c>
      <c r="E31" s="239">
        <v>0.55138888888888882</v>
      </c>
      <c r="F31" s="240">
        <f t="shared" si="0"/>
        <v>0.30138888888888882</v>
      </c>
      <c r="G31" s="239"/>
      <c r="H31" s="239"/>
      <c r="I31" s="240">
        <f t="shared" si="1"/>
        <v>0</v>
      </c>
      <c r="J31" s="271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332" t="str">
        <f>IF(AND(LEFT(C31,1)="d",OR(D31&gt;="7:00"*1,H31&gt;"22:00"*1)),Prime!$G$4,"")&amp;IF(AND(LEFT(C31,1)="s",H31&gt;="24:00"*1),Prime!$G$4,"")</f>
        <v/>
      </c>
      <c r="N31" s="319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0.30138888888888882</v>
      </c>
      <c r="R31" s="143">
        <f t="shared" si="5"/>
        <v>7.2333333333333316</v>
      </c>
      <c r="S31" s="144">
        <v>7.28</v>
      </c>
      <c r="T31" s="141">
        <f t="shared" si="4"/>
        <v>-4.6666666666668633E-2</v>
      </c>
      <c r="U31" s="126"/>
    </row>
    <row r="32" spans="1:21" s="1" customFormat="1" ht="15.75" x14ac:dyDescent="0.25">
      <c r="A32" s="3"/>
      <c r="B32" s="493">
        <v>41361</v>
      </c>
      <c r="C32" s="499" t="s">
        <v>179</v>
      </c>
      <c r="D32" s="239">
        <v>0</v>
      </c>
      <c r="E32" s="239">
        <v>0</v>
      </c>
      <c r="F32" s="240">
        <f t="shared" si="0"/>
        <v>0</v>
      </c>
      <c r="G32" s="239"/>
      <c r="H32" s="239"/>
      <c r="I32" s="240">
        <f t="shared" si="1"/>
        <v>0</v>
      </c>
      <c r="J32" s="271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332" t="str">
        <f>IF(AND(LEFT(C32,1)="d",OR(D32&gt;="7:00"*1,H32&gt;"22:00"*1)),Prime!$G$4,"")&amp;IF(AND(LEFT(C32,1)="s",H32&gt;="24:00"*1),Prime!$G$4,"")</f>
        <v/>
      </c>
      <c r="N32" s="319" t="str">
        <f>IF(ISNUMBER(FIND("F",C32)),Prime!$I$4,IF(ISNUMBER(FIND("CDS",C32)),Prime!$I$4,""))</f>
        <v/>
      </c>
      <c r="O32" s="241">
        <v>0.22569444444444445</v>
      </c>
      <c r="P32" s="242">
        <f t="shared" si="6"/>
        <v>5.416666666666667</v>
      </c>
      <c r="Q32" s="142">
        <f t="shared" si="3"/>
        <v>0</v>
      </c>
      <c r="R32" s="143">
        <f t="shared" si="5"/>
        <v>0</v>
      </c>
      <c r="S32" s="144">
        <v>0</v>
      </c>
      <c r="T32" s="141" t="str">
        <f t="shared" si="4"/>
        <v>0,000</v>
      </c>
      <c r="U32" s="126"/>
    </row>
    <row r="33" spans="1:21" s="1" customFormat="1" ht="15.75" x14ac:dyDescent="0.25">
      <c r="A33" s="3"/>
      <c r="B33" s="493">
        <v>41362</v>
      </c>
      <c r="C33" s="499" t="s">
        <v>19</v>
      </c>
      <c r="D33" s="239">
        <v>0</v>
      </c>
      <c r="E33" s="239">
        <v>0</v>
      </c>
      <c r="F33" s="240">
        <f t="shared" si="0"/>
        <v>0</v>
      </c>
      <c r="G33" s="239"/>
      <c r="H33" s="239"/>
      <c r="I33" s="240">
        <f t="shared" si="1"/>
        <v>0</v>
      </c>
      <c r="J33" s="271" t="str">
        <f>IF(COUNTA(D33:E33,G33:H33)=5,Prime!$E$4,IF(AND(D33&lt;="5:01"*1,D33&gt;"2:00"*1),Prime!$E$4,IF(AND(H33&gt;="22:00"*1,H33&lt;="26:01"*1),Prime!$E$4,"")))</f>
        <v/>
      </c>
      <c r="K33" s="231" t="str">
        <f>IF(COUNTA(D33:E33,G33:H33)=5,Prime!$E$4,IF(AND(E33&gt;="13:15"*1,G33&lt;""),Prime!$E$4,IF(AND(G33&gt;="11:00"*1,G33&lt;="12:15"*1),Prime!$E$4,"")))</f>
        <v/>
      </c>
      <c r="L33" s="286" t="str">
        <f>IF(H33&gt;"21:30"*1,Prime!$F$4,"")</f>
        <v/>
      </c>
      <c r="M33" s="332" t="str">
        <f>IF(AND(LEFT(C33,1)="d",OR(D33&gt;="7:00"*1,H33&gt;"22:00"*1)),Prime!$G$4,"")&amp;IF(AND(LEFT(C33,1)="s",H33&gt;="24:00"*1),Prime!$G$4,"")</f>
        <v/>
      </c>
      <c r="N33" s="319" t="str">
        <f>IF(ISNUMBER(FIND("F",C33)),Prime!$I$4,IF(ISNUMBER(FIND("CDS",C33)),Prime!$I$4,""))</f>
        <v/>
      </c>
      <c r="O33" s="241"/>
      <c r="P33" s="242" t="str">
        <f>IF(ISBLANK(O33),"",O33/24)</f>
        <v/>
      </c>
      <c r="Q33" s="142">
        <f t="shared" si="3"/>
        <v>0</v>
      </c>
      <c r="R33" s="143">
        <f t="shared" si="5"/>
        <v>0</v>
      </c>
      <c r="S33" s="144">
        <v>0</v>
      </c>
      <c r="T33" s="141" t="str">
        <f t="shared" si="4"/>
        <v>0,000</v>
      </c>
      <c r="U33" s="126"/>
    </row>
    <row r="34" spans="1:21" s="1" customFormat="1" ht="16.5" thickBot="1" x14ac:dyDescent="0.3">
      <c r="A34" s="3"/>
      <c r="B34" s="501">
        <v>41363</v>
      </c>
      <c r="C34" s="500" t="s">
        <v>75</v>
      </c>
      <c r="D34" s="243">
        <v>0.24236111111111111</v>
      </c>
      <c r="E34" s="243">
        <v>0.57291666666666663</v>
      </c>
      <c r="F34" s="244">
        <f t="shared" si="0"/>
        <v>0.33055555555555549</v>
      </c>
      <c r="G34" s="243"/>
      <c r="H34" s="243"/>
      <c r="I34" s="244">
        <f t="shared" si="1"/>
        <v>0</v>
      </c>
      <c r="J34" s="272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88" t="str">
        <f>IF(H34&gt;"21:30"*1,Prime!$F$4,"")</f>
        <v/>
      </c>
      <c r="M34" s="333" t="str">
        <f>IF(AND(LEFT(C34,1)="d",OR(D34&gt;="7:00"*1,H34&gt;"22:00"*1)),Prime!$G$4,"")&amp;IF(AND(LEFT(C34,1)="s",H34&gt;="24:00"*1),Prime!$G$4,"")</f>
        <v/>
      </c>
      <c r="N34" s="320" t="str">
        <f>IF(ISNUMBER(FIND("F",C34)),Prime!$I$4,IF(ISNUMBER(FIND("CDS",C34)),Prime!$I$4,""))</f>
        <v/>
      </c>
      <c r="O34" s="245"/>
      <c r="P34" s="247"/>
      <c r="Q34" s="145">
        <f t="shared" si="3"/>
        <v>0.33055555555555549</v>
      </c>
      <c r="R34" s="146">
        <f t="shared" si="5"/>
        <v>7.9333333333333318</v>
      </c>
      <c r="S34" s="147">
        <v>7.93</v>
      </c>
      <c r="T34" s="148">
        <f t="shared" si="4"/>
        <v>3.333333333332078E-3</v>
      </c>
      <c r="U34" s="126"/>
    </row>
    <row r="35" spans="1:21" s="1" customFormat="1" ht="15.75" x14ac:dyDescent="0.25">
      <c r="A35" s="3"/>
      <c r="B35" s="4"/>
      <c r="C35" s="4"/>
      <c r="D35" s="4"/>
      <c r="E35" s="3"/>
      <c r="F35" s="3"/>
      <c r="G35" s="3"/>
      <c r="H35" s="3"/>
      <c r="I35" s="3"/>
      <c r="J35" s="185"/>
      <c r="K35" s="181"/>
      <c r="L35" s="303"/>
      <c r="M35" s="20"/>
      <c r="N35" s="20"/>
      <c r="O35" s="196"/>
      <c r="Q35" s="67"/>
    </row>
    <row r="36" spans="1:21" s="1" customFormat="1" ht="15.75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25</v>
      </c>
      <c r="D36" s="4"/>
      <c r="E36" s="3"/>
      <c r="F36" s="3"/>
      <c r="G36" s="3"/>
      <c r="H36" s="3"/>
      <c r="I36" s="3"/>
      <c r="J36" s="306">
        <f t="shared" ref="J36:O36" si="7">SUM(J4:J34)</f>
        <v>70.822400000000002</v>
      </c>
      <c r="K36" s="307">
        <f t="shared" si="7"/>
        <v>17.7056</v>
      </c>
      <c r="L36" s="184">
        <f t="shared" si="7"/>
        <v>35.411200000000001</v>
      </c>
      <c r="M36" s="309">
        <f t="shared" si="7"/>
        <v>0</v>
      </c>
      <c r="N36" s="317">
        <f t="shared" si="7"/>
        <v>209.86500000000001</v>
      </c>
      <c r="O36" s="153">
        <f t="shared" si="7"/>
        <v>0.22638888888888889</v>
      </c>
      <c r="P36" s="194">
        <f>SUM(P4:P32)</f>
        <v>5.4333333333333336</v>
      </c>
      <c r="Q36" s="154">
        <f>SUM(Q5:Q35)</f>
        <v>6.1097222222222225</v>
      </c>
      <c r="R36" s="63">
        <f>SUM(R5:R35)</f>
        <v>146.6333333333333</v>
      </c>
      <c r="S36" s="64">
        <f>SUM(S4:S35)</f>
        <v>151.49</v>
      </c>
    </row>
    <row r="37" spans="1:21" s="1" customFormat="1" ht="15.75" x14ac:dyDescent="0.25">
      <c r="A37" s="3"/>
      <c r="B37" s="3"/>
      <c r="D37" s="4"/>
      <c r="E37" s="3"/>
      <c r="F37" s="3"/>
      <c r="G37" s="3"/>
      <c r="H37" s="3"/>
      <c r="I37" s="3"/>
      <c r="J37" s="3"/>
      <c r="K37" s="3"/>
      <c r="L37" s="3"/>
    </row>
    <row r="38" spans="1:21" s="1" customFormat="1" x14ac:dyDescent="0.25">
      <c r="B38" s="447"/>
      <c r="M38" s="529" t="s">
        <v>100</v>
      </c>
      <c r="N38" s="529"/>
      <c r="O38" s="529"/>
      <c r="P38" s="176"/>
      <c r="Q38" s="156">
        <v>6.1895833333333341</v>
      </c>
      <c r="R38" s="65">
        <v>148.19999999999999</v>
      </c>
      <c r="S38" s="126"/>
    </row>
    <row r="39" spans="1:21" x14ac:dyDescent="0.25">
      <c r="M39" s="126"/>
      <c r="N39" s="126"/>
      <c r="O39" s="126"/>
      <c r="P39" s="126"/>
      <c r="Q39" s="126"/>
      <c r="R39" s="126"/>
      <c r="S39" s="126"/>
    </row>
    <row r="40" spans="1:21" ht="15.75" x14ac:dyDescent="0.25">
      <c r="J40" s="3"/>
      <c r="K40" s="3"/>
      <c r="L40" s="3"/>
      <c r="M40" s="528" t="s">
        <v>39</v>
      </c>
      <c r="N40" s="528"/>
      <c r="O40" s="528"/>
      <c r="P40" s="175"/>
      <c r="Q40" s="157">
        <f>(Q36-Q38)</f>
        <v>-7.9861111111111605E-2</v>
      </c>
      <c r="R40" s="158">
        <f>Q40*24</f>
        <v>-1.9166666666666785</v>
      </c>
      <c r="S40" s="125"/>
    </row>
    <row r="41" spans="1:21" x14ac:dyDescent="0.25">
      <c r="M41" s="527"/>
      <c r="N41" s="527"/>
      <c r="O41" s="527"/>
      <c r="P41" s="179"/>
      <c r="Q41" s="168"/>
      <c r="R41" s="169"/>
      <c r="S41" s="125"/>
    </row>
  </sheetData>
  <mergeCells count="7">
    <mergeCell ref="B1:L1"/>
    <mergeCell ref="Q2:T2"/>
    <mergeCell ref="M41:O41"/>
    <mergeCell ref="M40:O40"/>
    <mergeCell ref="M38:O38"/>
    <mergeCell ref="D3:E3"/>
    <mergeCell ref="G3:H3"/>
  </mergeCells>
  <conditionalFormatting sqref="Q35 T4:T34">
    <cfRule type="cellIs" dxfId="50" priority="12" operator="greaterThanOrEqual">
      <formula>0.001</formula>
    </cfRule>
    <cfRule type="cellIs" dxfId="49" priority="13" operator="lessThan">
      <formula>0</formula>
    </cfRule>
  </conditionalFormatting>
  <conditionalFormatting sqref="Q41">
    <cfRule type="cellIs" dxfId="48" priority="3" operator="lessThan">
      <formula>0</formula>
    </cfRule>
  </conditionalFormatting>
  <conditionalFormatting sqref="Q40">
    <cfRule type="cellIs" dxfId="47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0"/>
  <sheetViews>
    <sheetView workbookViewId="0">
      <selection activeCell="B3" sqref="B3:B34"/>
    </sheetView>
  </sheetViews>
  <sheetFormatPr baseColWidth="10" defaultRowHeight="15.75" x14ac:dyDescent="0.25"/>
  <cols>
    <col min="1" max="1" width="2.7109375" customWidth="1"/>
    <col min="2" max="2" width="15.7109375" style="3" customWidth="1"/>
    <col min="3" max="11" width="14.7109375" style="2" customWidth="1"/>
    <col min="12" max="13" width="14.7109375" customWidth="1"/>
    <col min="14" max="14" width="14.7109375" style="1" customWidth="1"/>
    <col min="15" max="16" width="14.7109375" style="22" customWidth="1"/>
    <col min="17" max="17" width="14.7109375" customWidth="1"/>
  </cols>
  <sheetData>
    <row r="1" spans="1:21" s="1" customFormat="1" ht="16.5" thickBot="1" x14ac:dyDescent="0.3">
      <c r="A1" s="3"/>
      <c r="B1" s="524" t="s">
        <v>4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503" t="s">
        <v>135</v>
      </c>
      <c r="C3" s="502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x14ac:dyDescent="0.25">
      <c r="A4" s="3"/>
      <c r="B4" s="493">
        <v>41364</v>
      </c>
      <c r="C4" s="498" t="s">
        <v>205</v>
      </c>
      <c r="D4" s="234">
        <v>0.24027777777777778</v>
      </c>
      <c r="E4" s="234">
        <v>0.56319444444444444</v>
      </c>
      <c r="F4" s="235">
        <f t="shared" ref="F4:F34" si="0">E4-D4</f>
        <v>0.32291666666666663</v>
      </c>
      <c r="G4" s="234"/>
      <c r="H4" s="234"/>
      <c r="I4" s="235">
        <f t="shared" ref="I4:I34" si="1">H4-G4</f>
        <v>0</v>
      </c>
      <c r="J4" s="299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285" t="str">
        <f>IF(AND(LEFT(C4,1)="d",OR(D4&gt;="7:00"*1,H4&gt;"22:00"*1)),Prime!$G$4,"")&amp;IF(AND(LEFT(C4,1)="s",H4&gt;="24:00"*1),Prime!$G$4,"")</f>
        <v/>
      </c>
      <c r="N4" s="318" t="str">
        <f>IF(ISNUMBER(FIND("F",C4)),Prime!$I$4,IF(ISNUMBER(FIND("CDS",C4)),Prime!$I$4,""))</f>
        <v/>
      </c>
      <c r="O4" s="237"/>
      <c r="P4" s="238" t="str">
        <f t="shared" ref="P4:P17" si="2">IF(ISBLANK(O4),"",O4*24)</f>
        <v/>
      </c>
      <c r="Q4" s="138">
        <f t="shared" ref="Q4:Q34" si="3">(E4-D4)+(H4-G4)</f>
        <v>0.32291666666666663</v>
      </c>
      <c r="R4" s="139">
        <f>Q4*24</f>
        <v>7.7499999999999991</v>
      </c>
      <c r="S4" s="140">
        <v>7.75</v>
      </c>
      <c r="T4" s="141">
        <f>IF(R4-S4=0,"0,000",R4-S4)</f>
        <v>-8.8817841970012523E-16</v>
      </c>
      <c r="U4" s="126"/>
    </row>
    <row r="5" spans="1:21" s="1" customFormat="1" x14ac:dyDescent="0.25">
      <c r="A5" s="3"/>
      <c r="B5" s="493">
        <v>41365</v>
      </c>
      <c r="C5" s="499" t="s">
        <v>198</v>
      </c>
      <c r="D5" s="239">
        <v>0</v>
      </c>
      <c r="E5" s="239">
        <v>0</v>
      </c>
      <c r="F5" s="240">
        <f t="shared" si="0"/>
        <v>0</v>
      </c>
      <c r="G5" s="239"/>
      <c r="H5" s="239"/>
      <c r="I5" s="240">
        <f t="shared" si="1"/>
        <v>0</v>
      </c>
      <c r="J5" s="300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287" t="str">
        <f>IF(AND(LEFT(C5,1)="d",OR(D5&gt;="7:00"*1,H5&gt;"22:00"*1)),Prime!$G$4,"")&amp;IF(AND(LEFT(C5,1)="s",H5&gt;="24:00"*1),Prime!$G$4,"")</f>
        <v/>
      </c>
      <c r="N5" s="31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</v>
      </c>
      <c r="R5" s="143">
        <f>Q5*24</f>
        <v>0</v>
      </c>
      <c r="S5" s="144">
        <v>0</v>
      </c>
      <c r="T5" s="141" t="str">
        <f t="shared" ref="T5:T34" si="4">IF(R5-S5=0,"0,000",R5-S5)</f>
        <v>0,000</v>
      </c>
      <c r="U5" s="126"/>
    </row>
    <row r="6" spans="1:21" s="1" customFormat="1" x14ac:dyDescent="0.25">
      <c r="A6" s="3"/>
      <c r="B6" s="493">
        <v>41366</v>
      </c>
      <c r="C6" s="499" t="s">
        <v>1</v>
      </c>
      <c r="D6" s="239">
        <v>0</v>
      </c>
      <c r="E6" s="239">
        <v>0</v>
      </c>
      <c r="F6" s="240">
        <f t="shared" si="0"/>
        <v>0</v>
      </c>
      <c r="G6" s="239"/>
      <c r="H6" s="239"/>
      <c r="I6" s="240">
        <f t="shared" si="1"/>
        <v>0</v>
      </c>
      <c r="J6" s="300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IF(H6&gt;"21:30"*1,Prime!$F$4,"")</f>
        <v/>
      </c>
      <c r="M6" s="287" t="str">
        <f>IF(AND(LEFT(C6,1)="d",OR(D6&gt;="7:00"*1,H6&gt;"22:00"*1)),Prime!$G$4,"")&amp;IF(AND(LEFT(C6,1)="s",H6&gt;="24:00"*1),Prime!$G$4,"")</f>
        <v/>
      </c>
      <c r="N6" s="319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</v>
      </c>
      <c r="R6" s="143">
        <f>Q6*24</f>
        <v>0</v>
      </c>
      <c r="S6" s="144">
        <v>0</v>
      </c>
      <c r="T6" s="141" t="str">
        <f t="shared" si="4"/>
        <v>0,000</v>
      </c>
      <c r="U6" s="126"/>
    </row>
    <row r="7" spans="1:21" s="1" customFormat="1" x14ac:dyDescent="0.25">
      <c r="A7" s="3"/>
      <c r="B7" s="493">
        <v>41367</v>
      </c>
      <c r="C7" s="499" t="s">
        <v>76</v>
      </c>
      <c r="D7" s="239">
        <v>0.29652777777777778</v>
      </c>
      <c r="E7" s="239">
        <v>0.56319444444444444</v>
      </c>
      <c r="F7" s="240">
        <f t="shared" si="0"/>
        <v>0.26666666666666666</v>
      </c>
      <c r="G7" s="239"/>
      <c r="H7" s="239"/>
      <c r="I7" s="240">
        <f t="shared" si="1"/>
        <v>0</v>
      </c>
      <c r="J7" s="300" t="str">
        <f>IF(COUNTA(D7:E7,G7:H7)=5,Prime!$E$4,IF(AND(D7&lt;="5:01"*1,D7&gt;"2:00"*1),Prime!$E$4,IF(AND(H7&gt;="22:00"*1,H7&lt;="26:01"*1),Prime!$E$4,"")))</f>
        <v/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287" t="str">
        <f>IF(AND(LEFT(C7,1)="d",OR(D7&gt;="7:00"*1,H7&gt;"22:00"*1)),Prime!$G$4,"")&amp;IF(AND(LEFT(C7,1)="s",H7&gt;="24:00"*1),Prime!$G$4,"")</f>
        <v/>
      </c>
      <c r="N7" s="319" t="str">
        <f>IF(ISNUMBER(FIND("F",C7)),Prime!$I$4,IF(ISNUMBER(FIND("CDS",C7)),Prime!$I$4,""))</f>
        <v/>
      </c>
      <c r="O7" s="241">
        <v>0.18958333333333333</v>
      </c>
      <c r="P7" s="242">
        <f t="shared" si="2"/>
        <v>4.55</v>
      </c>
      <c r="Q7" s="142">
        <f t="shared" si="3"/>
        <v>0.26666666666666666</v>
      </c>
      <c r="R7" s="143">
        <f t="shared" ref="R7:R34" si="5">Q7*24</f>
        <v>6.4</v>
      </c>
      <c r="S7" s="144">
        <v>5.95</v>
      </c>
      <c r="T7" s="141">
        <f t="shared" si="4"/>
        <v>0.45000000000000018</v>
      </c>
      <c r="U7" s="126"/>
    </row>
    <row r="8" spans="1:21" s="1" customFormat="1" x14ac:dyDescent="0.25">
      <c r="A8" s="3"/>
      <c r="B8" s="493">
        <v>41368</v>
      </c>
      <c r="C8" s="499" t="s">
        <v>70</v>
      </c>
      <c r="D8" s="239">
        <v>0.43888888888888888</v>
      </c>
      <c r="E8" s="239">
        <v>0.5444444444444444</v>
      </c>
      <c r="F8" s="240">
        <f t="shared" si="0"/>
        <v>0.10555555555555551</v>
      </c>
      <c r="G8" s="239">
        <v>0.63750000000000007</v>
      </c>
      <c r="H8" s="239">
        <v>0.87916666666666676</v>
      </c>
      <c r="I8" s="240">
        <f t="shared" si="1"/>
        <v>0.2416666666666667</v>
      </c>
      <c r="J8" s="300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287" t="str">
        <f>IF(AND(LEFT(C8,1)="d",OR(D8&gt;="7:00"*1,H8&gt;"22:00"*1)),Prime!$G$4,"")&amp;IF(AND(LEFT(C8,1)="s",H8&gt;="24:00"*1),Prime!$G$4,"")</f>
        <v/>
      </c>
      <c r="N8" s="319" t="str">
        <f>IF(ISNUMBER(FIND("F",C8)),Prime!$I$4,IF(ISNUMBER(FIND("CDS",C8)),Prime!$I$4,""))</f>
        <v/>
      </c>
      <c r="O8" s="241">
        <v>7.6388888888888886E-3</v>
      </c>
      <c r="P8" s="242">
        <f t="shared" si="2"/>
        <v>0.18333333333333332</v>
      </c>
      <c r="Q8" s="142">
        <f t="shared" si="3"/>
        <v>0.34722222222222221</v>
      </c>
      <c r="R8" s="143">
        <f t="shared" si="5"/>
        <v>8.3333333333333321</v>
      </c>
      <c r="S8" s="144">
        <v>8.33</v>
      </c>
      <c r="T8" s="141">
        <f t="shared" si="4"/>
        <v>3.333333333332078E-3</v>
      </c>
      <c r="U8" s="126"/>
    </row>
    <row r="9" spans="1:21" s="1" customFormat="1" x14ac:dyDescent="0.25">
      <c r="A9" s="3"/>
      <c r="B9" s="493">
        <v>41369</v>
      </c>
      <c r="C9" s="499" t="s">
        <v>77</v>
      </c>
      <c r="D9" s="239"/>
      <c r="E9" s="239"/>
      <c r="F9" s="240">
        <f>E9-D9</f>
        <v>0</v>
      </c>
      <c r="G9" s="239">
        <v>0.48888888888888887</v>
      </c>
      <c r="H9" s="239">
        <v>0.79236111111111107</v>
      </c>
      <c r="I9" s="240">
        <f t="shared" si="1"/>
        <v>0.3034722222222222</v>
      </c>
      <c r="J9" s="300" t="str">
        <f>IF(COUNTA(D9:E9,G9:H9)=5,Prime!$E$4,IF(AND(D9&lt;="5:01"*1,D9&gt;"2:00"*1),Prime!$E$4,IF(AND(H9&gt;="22:00"*1,H9&lt;="26:01"*1),Prime!$E$4,"")))</f>
        <v/>
      </c>
      <c r="K9" s="231">
        <f>IF(COUNTA(D9:E9,G9:H9)=5,Prime!$E$4,IF(AND(E9&gt;="13:15"*1,G9&lt;""),Prime!$E$4,IF(AND(G9&gt;="11:00"*1,G9&lt;="12:15"*1),Prime!$E$4,"")))</f>
        <v>17.7056</v>
      </c>
      <c r="L9" s="286" t="str">
        <f>IF(H9&gt;"21:30"*1,Prime!$F$4,"")</f>
        <v/>
      </c>
      <c r="M9" s="287" t="str">
        <f>IF(AND(LEFT(C9,1)="d",OR(D9&gt;="7:00"*1,H9&gt;"22:00"*1)),Prime!$G$4,"")&amp;IF(AND(LEFT(C9,1)="s",H9&gt;="24:00"*1),Prime!$G$4,"")</f>
        <v/>
      </c>
      <c r="N9" s="31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0.3034722222222222</v>
      </c>
      <c r="R9" s="143">
        <f t="shared" si="5"/>
        <v>7.2833333333333332</v>
      </c>
      <c r="S9" s="144">
        <v>7.28</v>
      </c>
      <c r="T9" s="141">
        <f t="shared" si="4"/>
        <v>3.3333333333329662E-3</v>
      </c>
      <c r="U9" s="126"/>
    </row>
    <row r="10" spans="1:21" s="1" customFormat="1" x14ac:dyDescent="0.25">
      <c r="A10" s="3"/>
      <c r="B10" s="493">
        <v>41370</v>
      </c>
      <c r="C10" s="499" t="s">
        <v>78</v>
      </c>
      <c r="D10" s="239"/>
      <c r="E10" s="239"/>
      <c r="F10" s="240">
        <f>E10-D10</f>
        <v>0</v>
      </c>
      <c r="G10" s="239">
        <v>0.52430555555555558</v>
      </c>
      <c r="H10" s="239">
        <v>0.85625000000000007</v>
      </c>
      <c r="I10" s="240">
        <f t="shared" si="1"/>
        <v>0.33194444444444449</v>
      </c>
      <c r="J10" s="300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287" t="str">
        <f>IF(AND(LEFT(C10,1)="d",OR(D10&gt;="7:00"*1,H10&gt;"22:00"*1)),Prime!$G$4,"")&amp;IF(AND(LEFT(C10,1)="s",H10&gt;="24:00"*1),Prime!$G$4,"")</f>
        <v/>
      </c>
      <c r="N10" s="319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0.33194444444444449</v>
      </c>
      <c r="R10" s="143">
        <f t="shared" si="5"/>
        <v>7.9666666666666677</v>
      </c>
      <c r="S10" s="144">
        <v>7.97</v>
      </c>
      <c r="T10" s="141">
        <f t="shared" si="4"/>
        <v>-3.333333333332078E-3</v>
      </c>
      <c r="U10" s="126"/>
    </row>
    <row r="11" spans="1:21" s="1" customFormat="1" x14ac:dyDescent="0.25">
      <c r="A11" s="3"/>
      <c r="B11" s="493">
        <v>41371</v>
      </c>
      <c r="C11" s="499" t="s">
        <v>206</v>
      </c>
      <c r="D11" s="239">
        <v>0.27847222222222223</v>
      </c>
      <c r="E11" s="239">
        <v>0.41666666666666669</v>
      </c>
      <c r="F11" s="240">
        <f>E11-D11</f>
        <v>0.13819444444444445</v>
      </c>
      <c r="G11" s="239">
        <v>0.53749999999999998</v>
      </c>
      <c r="H11" s="239">
        <v>0.69652777777777775</v>
      </c>
      <c r="I11" s="240">
        <f t="shared" si="1"/>
        <v>0.15902777777777777</v>
      </c>
      <c r="J11" s="300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86" t="str">
        <f>IF(H11&gt;"21:30"*1,Prime!$F$4,"")</f>
        <v/>
      </c>
      <c r="M11" s="287" t="str">
        <f>IF(AND(LEFT(C11,1)="d",OR(D11&gt;="7:00"*1,H11&gt;"22:00"*1)),Prime!$G$4,"")&amp;IF(AND(LEFT(C11,1)="s",H11&gt;="24:00"*1),Prime!$G$4,"")</f>
        <v/>
      </c>
      <c r="N11" s="319" t="str">
        <f>IF(ISNUMBER(FIND("F",C11)),Prime!$I$4,IF(ISNUMBER(FIND("CDS",C11)),Prime!$I$4,""))</f>
        <v/>
      </c>
      <c r="O11" s="241">
        <v>0.10416666666666667</v>
      </c>
      <c r="P11" s="242">
        <f t="shared" si="2"/>
        <v>2.5</v>
      </c>
      <c r="Q11" s="142">
        <f t="shared" si="3"/>
        <v>0.29722222222222222</v>
      </c>
      <c r="R11" s="143">
        <f t="shared" si="5"/>
        <v>7.1333333333333329</v>
      </c>
      <c r="S11" s="144">
        <v>7.13</v>
      </c>
      <c r="T11" s="141">
        <f t="shared" si="4"/>
        <v>3.3333333333329662E-3</v>
      </c>
      <c r="U11" s="126"/>
    </row>
    <row r="12" spans="1:21" s="1" customFormat="1" x14ac:dyDescent="0.25">
      <c r="A12" s="3"/>
      <c r="B12" s="493">
        <v>41372</v>
      </c>
      <c r="C12" s="499" t="s">
        <v>198</v>
      </c>
      <c r="D12" s="239">
        <v>0</v>
      </c>
      <c r="E12" s="239">
        <v>0</v>
      </c>
      <c r="F12" s="240">
        <f t="shared" si="0"/>
        <v>0</v>
      </c>
      <c r="G12" s="239"/>
      <c r="H12" s="239"/>
      <c r="I12" s="240">
        <f t="shared" si="1"/>
        <v>0</v>
      </c>
      <c r="J12" s="300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287" t="str">
        <f>IF(AND(LEFT(C12,1)="d",OR(D12&gt;="7:00"*1,H12&gt;"22:00"*1)),Prime!$G$4,"")&amp;IF(AND(LEFT(C12,1)="s",H12&gt;="24:00"*1),Prime!$G$4,"")</f>
        <v/>
      </c>
      <c r="N12" s="31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</v>
      </c>
      <c r="R12" s="143">
        <f t="shared" si="5"/>
        <v>0</v>
      </c>
      <c r="S12" s="144">
        <v>0</v>
      </c>
      <c r="T12" s="141" t="str">
        <f t="shared" si="4"/>
        <v>0,000</v>
      </c>
      <c r="U12" s="126"/>
    </row>
    <row r="13" spans="1:21" s="1" customFormat="1" x14ac:dyDescent="0.25">
      <c r="A13" s="3"/>
      <c r="B13" s="493">
        <v>41373</v>
      </c>
      <c r="C13" s="499" t="s">
        <v>79</v>
      </c>
      <c r="D13" s="239">
        <v>0.29305555555555557</v>
      </c>
      <c r="E13" s="239">
        <v>0.41736111111111113</v>
      </c>
      <c r="F13" s="240">
        <f t="shared" si="0"/>
        <v>0.12430555555555556</v>
      </c>
      <c r="G13" s="239">
        <v>0.54236111111111118</v>
      </c>
      <c r="H13" s="239">
        <v>0.73333333333333339</v>
      </c>
      <c r="I13" s="240">
        <f t="shared" si="1"/>
        <v>0.19097222222222221</v>
      </c>
      <c r="J13" s="300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287" t="str">
        <f>IF(AND(LEFT(C13,1)="d",OR(D13&gt;="7:00"*1,H13&gt;"22:00"*1)),Prime!$G$4,"")&amp;IF(AND(LEFT(C13,1)="s",H13&gt;="24:00"*1),Prime!$G$4,"")</f>
        <v/>
      </c>
      <c r="N13" s="31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0.31527777777777777</v>
      </c>
      <c r="R13" s="143">
        <f t="shared" si="5"/>
        <v>7.5666666666666664</v>
      </c>
      <c r="S13" s="144">
        <v>7.57</v>
      </c>
      <c r="T13" s="141">
        <f t="shared" si="4"/>
        <v>-3.3333333333338544E-3</v>
      </c>
      <c r="U13" s="126"/>
    </row>
    <row r="14" spans="1:21" s="1" customFormat="1" x14ac:dyDescent="0.25">
      <c r="A14" s="3"/>
      <c r="B14" s="493">
        <v>41374</v>
      </c>
      <c r="C14" s="499" t="s">
        <v>80</v>
      </c>
      <c r="D14" s="239">
        <v>0.30416666666666664</v>
      </c>
      <c r="E14" s="239">
        <v>0.4375</v>
      </c>
      <c r="F14" s="240">
        <f t="shared" si="0"/>
        <v>0.13333333333333336</v>
      </c>
      <c r="G14" s="239">
        <v>0.54513888888888895</v>
      </c>
      <c r="H14" s="239">
        <v>0.6958333333333333</v>
      </c>
      <c r="I14" s="240">
        <f t="shared" si="1"/>
        <v>0.15069444444444435</v>
      </c>
      <c r="J14" s="300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287" t="str">
        <f>IF(AND(LEFT(C14,1)="d",OR(D14&gt;="7:00"*1,H14&gt;"22:00"*1)),Prime!$G$4,"")&amp;IF(AND(LEFT(C14,1)="s",H14&gt;="24:00"*1),Prime!$G$4,"")</f>
        <v/>
      </c>
      <c r="N14" s="31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0.28402777777777771</v>
      </c>
      <c r="R14" s="143">
        <f t="shared" si="5"/>
        <v>6.8166666666666647</v>
      </c>
      <c r="S14" s="144">
        <v>6.82</v>
      </c>
      <c r="T14" s="141">
        <f t="shared" si="4"/>
        <v>-3.3333333333356308E-3</v>
      </c>
      <c r="U14" s="126"/>
    </row>
    <row r="15" spans="1:21" s="1" customFormat="1" x14ac:dyDescent="0.25">
      <c r="A15" s="3"/>
      <c r="B15" s="493">
        <v>41375</v>
      </c>
      <c r="C15" s="499" t="s">
        <v>81</v>
      </c>
      <c r="D15" s="239">
        <v>0.25</v>
      </c>
      <c r="E15" s="239">
        <v>0.43402777777777773</v>
      </c>
      <c r="F15" s="240">
        <f t="shared" si="0"/>
        <v>0.18402777777777773</v>
      </c>
      <c r="G15" s="239">
        <v>0.50972222222222219</v>
      </c>
      <c r="H15" s="239">
        <v>0.68194444444444446</v>
      </c>
      <c r="I15" s="240">
        <f t="shared" si="1"/>
        <v>0.17222222222222228</v>
      </c>
      <c r="J15" s="300" t="str">
        <f>IF(COUNTA(D15:E15,G15:H15)=5,Prime!$E$4,IF(AND(D15&lt;="5:01"*1,D15&gt;"2:00"*1),Prime!$E$4,IF(AND(H15&gt;="22:00"*1,H15&lt;="26:01"*1),Prime!$E$4,"")))</f>
        <v/>
      </c>
      <c r="K15" s="231">
        <f>IF(COUNTA(D15:E15,G15:H15)=5,Prime!$E$4,IF(AND(E15&gt;="13:15"*1,G15&lt;""),Prime!$E$4,IF(AND(G15&gt;="11:00"*1,G15&lt;="12:15"*1),Prime!$E$4,"")))</f>
        <v>17.7056</v>
      </c>
      <c r="L15" s="286" t="str">
        <f>IF(H15&gt;"21:30"*1,Prime!$F$4,"")</f>
        <v/>
      </c>
      <c r="M15" s="287" t="str">
        <f>IF(AND(LEFT(C15,1)="d",OR(D15&gt;="7:00"*1,H15&gt;"22:00"*1)),Prime!$G$4,"")&amp;IF(AND(LEFT(C15,1)="s",H15&gt;="24:00"*1),Prime!$G$4,"")</f>
        <v/>
      </c>
      <c r="N15" s="319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0.35625000000000001</v>
      </c>
      <c r="R15" s="143">
        <f t="shared" si="5"/>
        <v>8.5500000000000007</v>
      </c>
      <c r="S15" s="144">
        <v>7.12</v>
      </c>
      <c r="T15" s="141">
        <f t="shared" si="4"/>
        <v>1.4300000000000006</v>
      </c>
      <c r="U15" s="126"/>
    </row>
    <row r="16" spans="1:21" s="1" customFormat="1" x14ac:dyDescent="0.25">
      <c r="A16" s="3"/>
      <c r="B16" s="493">
        <v>41376</v>
      </c>
      <c r="C16" s="499" t="s">
        <v>82</v>
      </c>
      <c r="D16" s="239">
        <v>0.25694444444444448</v>
      </c>
      <c r="E16" s="239">
        <v>0.39583333333333331</v>
      </c>
      <c r="F16" s="240">
        <f t="shared" si="0"/>
        <v>0.13888888888888884</v>
      </c>
      <c r="G16" s="239">
        <v>0.49305555555555558</v>
      </c>
      <c r="H16" s="239">
        <v>0.6972222222222223</v>
      </c>
      <c r="I16" s="240">
        <f t="shared" si="1"/>
        <v>0.20416666666666672</v>
      </c>
      <c r="J16" s="300" t="str">
        <f>IF(COUNTA(D16:E16,G16:H16)=5,Prime!$E$4,IF(AND(D16&lt;="5:01"*1,D16&gt;"2:00"*1),Prime!$E$4,IF(AND(H16&gt;="22:00"*1,H16&lt;="26:01"*1),Prime!$E$4,"")))</f>
        <v/>
      </c>
      <c r="K16" s="231">
        <f>IF(COUNTA(D16:E16,G16:H16)=5,Prime!$E$4,IF(AND(E16&gt;="13:15"*1,G16&lt;""),Prime!$E$4,IF(AND(G16&gt;="11:00"*1,G16&lt;="12:15"*1),Prime!$E$4,"")))</f>
        <v>17.7056</v>
      </c>
      <c r="L16" s="286" t="str">
        <f>IF(H16&gt;"21:30"*1,Prime!$F$4,"")</f>
        <v/>
      </c>
      <c r="M16" s="287" t="str">
        <f>IF(AND(LEFT(C16,1)="d",OR(D16&gt;="7:00"*1,H16&gt;"22:00"*1)),Prime!$G$4,"")&amp;IF(AND(LEFT(C16,1)="s",H16&gt;="24:00"*1),Prime!$G$4,"")</f>
        <v/>
      </c>
      <c r="N16" s="31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0.34305555555555556</v>
      </c>
      <c r="R16" s="143">
        <f t="shared" si="5"/>
        <v>8.2333333333333343</v>
      </c>
      <c r="S16" s="144">
        <v>8.2799999999999994</v>
      </c>
      <c r="T16" s="141">
        <f t="shared" si="4"/>
        <v>-4.666666666666508E-2</v>
      </c>
      <c r="U16" s="126"/>
    </row>
    <row r="17" spans="1:21" s="1" customFormat="1" x14ac:dyDescent="0.25">
      <c r="A17" s="3"/>
      <c r="B17" s="493">
        <v>41377</v>
      </c>
      <c r="C17" s="499" t="s">
        <v>83</v>
      </c>
      <c r="D17" s="239">
        <v>0.30486111111111108</v>
      </c>
      <c r="E17" s="239">
        <v>0.52916666666666667</v>
      </c>
      <c r="F17" s="240">
        <f t="shared" si="0"/>
        <v>0.22430555555555559</v>
      </c>
      <c r="G17" s="239">
        <v>0.64652777777777781</v>
      </c>
      <c r="H17" s="239">
        <v>0.75277777777777777</v>
      </c>
      <c r="I17" s="240">
        <f t="shared" si="1"/>
        <v>0.10624999999999996</v>
      </c>
      <c r="J17" s="300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86" t="str">
        <f>IF(H17&gt;"21:30"*1,Prime!$F$4,"")</f>
        <v/>
      </c>
      <c r="M17" s="287" t="str">
        <f>IF(AND(LEFT(C17,1)="d",OR(D17&gt;="7:00"*1,H17&gt;"22:00"*1)),Prime!$G$4,"")&amp;IF(AND(LEFT(C17,1)="s",H17&gt;="24:00"*1),Prime!$G$4,"")</f>
        <v/>
      </c>
      <c r="N17" s="31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0.33055555555555555</v>
      </c>
      <c r="R17" s="143">
        <f t="shared" si="5"/>
        <v>7.9333333333333336</v>
      </c>
      <c r="S17" s="144">
        <v>8.0500000000000007</v>
      </c>
      <c r="T17" s="141">
        <f t="shared" si="4"/>
        <v>-0.11666666666666714</v>
      </c>
      <c r="U17" s="126"/>
    </row>
    <row r="18" spans="1:21" s="1" customFormat="1" x14ac:dyDescent="0.25">
      <c r="A18" s="3"/>
      <c r="B18" s="493">
        <v>41378</v>
      </c>
      <c r="C18" s="499" t="s">
        <v>199</v>
      </c>
      <c r="D18" s="239">
        <v>0</v>
      </c>
      <c r="E18" s="239">
        <v>0</v>
      </c>
      <c r="F18" s="240">
        <f t="shared" si="0"/>
        <v>0</v>
      </c>
      <c r="G18" s="239"/>
      <c r="H18" s="239"/>
      <c r="I18" s="240">
        <f t="shared" si="1"/>
        <v>0</v>
      </c>
      <c r="J18" s="300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287" t="str">
        <f>IF(AND(LEFT(C18,1)="d",OR(D18&gt;="7:00"*1,H18&gt;"22:00"*1)),Prime!$G$4,"")&amp;IF(AND(LEFT(C18,1)="s",H18&gt;="24:00"*1),Prime!$G$4,"")</f>
        <v/>
      </c>
      <c r="N18" s="319" t="str">
        <f>IF(ISNUMBER(FIND("F",C18)),Prime!$I$4,IF(ISNUMBER(FIND("CDS",C18)),Prime!$I$4,""))</f>
        <v/>
      </c>
      <c r="O18" s="241"/>
      <c r="P18" s="242" t="str">
        <f>IF(ISBLANK(O18),"",O18*24)</f>
        <v/>
      </c>
      <c r="Q18" s="142">
        <f t="shared" si="3"/>
        <v>0</v>
      </c>
      <c r="R18" s="143">
        <f t="shared" si="5"/>
        <v>0</v>
      </c>
      <c r="S18" s="144">
        <v>0</v>
      </c>
      <c r="T18" s="141" t="str">
        <f t="shared" si="4"/>
        <v>0,000</v>
      </c>
      <c r="U18" s="126"/>
    </row>
    <row r="19" spans="1:21" s="1" customFormat="1" x14ac:dyDescent="0.25">
      <c r="A19" s="3"/>
      <c r="B19" s="493">
        <v>41379</v>
      </c>
      <c r="C19" s="499" t="s">
        <v>198</v>
      </c>
      <c r="D19" s="239">
        <v>0</v>
      </c>
      <c r="E19" s="239">
        <v>0</v>
      </c>
      <c r="F19" s="240">
        <f t="shared" si="0"/>
        <v>0</v>
      </c>
      <c r="G19" s="239"/>
      <c r="H19" s="239"/>
      <c r="I19" s="240">
        <f t="shared" si="1"/>
        <v>0</v>
      </c>
      <c r="J19" s="300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287" t="str">
        <f>IF(AND(LEFT(C19,1)="d",OR(D19&gt;="7:00"*1,H19&gt;"22:00"*1)),Prime!$G$4,"")&amp;IF(AND(LEFT(C19,1)="s",H19&gt;="24:00"*1),Prime!$G$4,"")</f>
        <v/>
      </c>
      <c r="N19" s="319" t="str">
        <f>IF(ISNUMBER(FIND("F",C19)),Prime!$I$4,IF(ISNUMBER(FIND("CDS",C19)),Prime!$I$4,""))</f>
        <v/>
      </c>
      <c r="O19" s="241"/>
      <c r="P19" s="242" t="str">
        <f t="shared" ref="P19:P32" si="6">IF(ISBLANK(O19),"",O19*24)</f>
        <v/>
      </c>
      <c r="Q19" s="142">
        <f t="shared" si="3"/>
        <v>0</v>
      </c>
      <c r="R19" s="143">
        <f t="shared" si="5"/>
        <v>0</v>
      </c>
      <c r="S19" s="144">
        <v>0</v>
      </c>
      <c r="T19" s="141" t="str">
        <f t="shared" si="4"/>
        <v>0,000</v>
      </c>
      <c r="U19" s="126"/>
    </row>
    <row r="20" spans="1:21" s="1" customFormat="1" x14ac:dyDescent="0.25">
      <c r="A20" s="3"/>
      <c r="B20" s="493">
        <v>41380</v>
      </c>
      <c r="C20" s="499" t="s">
        <v>84</v>
      </c>
      <c r="D20" s="239">
        <v>0</v>
      </c>
      <c r="E20" s="239">
        <v>0</v>
      </c>
      <c r="F20" s="240">
        <f t="shared" si="0"/>
        <v>0</v>
      </c>
      <c r="G20" s="239"/>
      <c r="H20" s="239"/>
      <c r="I20" s="240">
        <f t="shared" si="1"/>
        <v>0</v>
      </c>
      <c r="J20" s="300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287" t="str">
        <f>IF(AND(LEFT(C20,1)="d",OR(D20&gt;="7:00"*1,H20&gt;"22:00"*1)),Prime!$G$4,"")&amp;IF(AND(LEFT(C20,1)="s",H20&gt;="24:00"*1),Prime!$G$4,"")</f>
        <v/>
      </c>
      <c r="N20" s="319">
        <f>IF(ISNUMBER(FIND("F",C20)),Prime!$I$4,IF(ISNUMBER(FIND("CDS",C20)),Prime!$I$4,""))</f>
        <v>104.9325</v>
      </c>
      <c r="O20" s="241"/>
      <c r="P20" s="242" t="str">
        <f t="shared" si="6"/>
        <v/>
      </c>
      <c r="Q20" s="142">
        <f t="shared" si="3"/>
        <v>0</v>
      </c>
      <c r="R20" s="143">
        <f t="shared" si="5"/>
        <v>0</v>
      </c>
      <c r="S20" s="144">
        <v>0</v>
      </c>
      <c r="T20" s="141" t="str">
        <f t="shared" si="4"/>
        <v>0,000</v>
      </c>
      <c r="U20" s="126"/>
    </row>
    <row r="21" spans="1:21" s="1" customFormat="1" x14ac:dyDescent="0.25">
      <c r="A21" s="3"/>
      <c r="B21" s="493">
        <v>41381</v>
      </c>
      <c r="C21" s="499" t="s">
        <v>19</v>
      </c>
      <c r="D21" s="239">
        <v>0</v>
      </c>
      <c r="E21" s="239">
        <v>0</v>
      </c>
      <c r="F21" s="240">
        <f t="shared" si="0"/>
        <v>0</v>
      </c>
      <c r="G21" s="239"/>
      <c r="H21" s="239"/>
      <c r="I21" s="240">
        <f t="shared" si="1"/>
        <v>0</v>
      </c>
      <c r="J21" s="300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287" t="str">
        <f>IF(AND(LEFT(C21,1)="d",OR(D21&gt;="7:00"*1,H21&gt;"22:00"*1)),Prime!$G$4,"")&amp;IF(AND(LEFT(C21,1)="s",H21&gt;="24:00"*1),Prime!$G$4,"")</f>
        <v/>
      </c>
      <c r="N21" s="319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</v>
      </c>
      <c r="R21" s="143">
        <f t="shared" si="5"/>
        <v>0</v>
      </c>
      <c r="S21" s="144">
        <v>0</v>
      </c>
      <c r="T21" s="141" t="str">
        <f t="shared" si="4"/>
        <v>0,000</v>
      </c>
      <c r="U21" s="126"/>
    </row>
    <row r="22" spans="1:21" s="1" customFormat="1" x14ac:dyDescent="0.25">
      <c r="A22" s="3"/>
      <c r="B22" s="493">
        <v>41382</v>
      </c>
      <c r="C22" s="499" t="s">
        <v>19</v>
      </c>
      <c r="D22" s="239">
        <v>0</v>
      </c>
      <c r="E22" s="239">
        <v>0</v>
      </c>
      <c r="F22" s="240">
        <f t="shared" si="0"/>
        <v>0</v>
      </c>
      <c r="G22" s="239"/>
      <c r="H22" s="239"/>
      <c r="I22" s="240">
        <f t="shared" si="1"/>
        <v>0</v>
      </c>
      <c r="J22" s="300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287" t="str">
        <f>IF(AND(LEFT(C22,1)="d",OR(D22&gt;="7:00"*1,H22&gt;"22:00"*1)),Prime!$G$4,"")&amp;IF(AND(LEFT(C22,1)="s",H22&gt;="24:00"*1),Prime!$G$4,"")</f>
        <v/>
      </c>
      <c r="N22" s="319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</v>
      </c>
      <c r="R22" s="143">
        <f t="shared" si="5"/>
        <v>0</v>
      </c>
      <c r="S22" s="144">
        <v>0</v>
      </c>
      <c r="T22" s="141" t="str">
        <f t="shared" si="4"/>
        <v>0,000</v>
      </c>
      <c r="U22" s="126"/>
    </row>
    <row r="23" spans="1:21" s="1" customFormat="1" x14ac:dyDescent="0.25">
      <c r="A23" s="3"/>
      <c r="B23" s="493">
        <v>41383</v>
      </c>
      <c r="C23" s="499" t="s">
        <v>19</v>
      </c>
      <c r="D23" s="239">
        <v>0</v>
      </c>
      <c r="E23" s="239">
        <v>0</v>
      </c>
      <c r="F23" s="240">
        <f t="shared" si="0"/>
        <v>0</v>
      </c>
      <c r="G23" s="239"/>
      <c r="H23" s="239"/>
      <c r="I23" s="240">
        <f t="shared" si="1"/>
        <v>0</v>
      </c>
      <c r="J23" s="300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287" t="str">
        <f>IF(AND(LEFT(C23,1)="d",OR(D23&gt;="7:00"*1,H23&gt;"22:00"*1)),Prime!$G$4,"")&amp;IF(AND(LEFT(C23,1)="s",H23&gt;="24:00"*1),Prime!$G$4,"")</f>
        <v/>
      </c>
      <c r="N23" s="319" t="str">
        <f>IF(ISNUMBER(FIND("F",C23)),Prime!$I$4,IF(ISNUMBER(FIND("CDS",C23)),Prime!$I$4,""))</f>
        <v/>
      </c>
      <c r="O23" s="241"/>
      <c r="P23" s="242" t="str">
        <f t="shared" si="6"/>
        <v/>
      </c>
      <c r="Q23" s="142">
        <f t="shared" si="3"/>
        <v>0</v>
      </c>
      <c r="R23" s="143">
        <f t="shared" si="5"/>
        <v>0</v>
      </c>
      <c r="S23" s="144">
        <v>0</v>
      </c>
      <c r="T23" s="141" t="str">
        <f t="shared" si="4"/>
        <v>0,000</v>
      </c>
      <c r="U23" s="126"/>
    </row>
    <row r="24" spans="1:21" s="1" customFormat="1" x14ac:dyDescent="0.25">
      <c r="A24" s="3"/>
      <c r="B24" s="493">
        <v>41384</v>
      </c>
      <c r="C24" s="499" t="s">
        <v>19</v>
      </c>
      <c r="D24" s="239">
        <v>0</v>
      </c>
      <c r="E24" s="239">
        <v>0</v>
      </c>
      <c r="F24" s="240">
        <f t="shared" si="0"/>
        <v>0</v>
      </c>
      <c r="G24" s="239"/>
      <c r="H24" s="239"/>
      <c r="I24" s="240">
        <f t="shared" si="1"/>
        <v>0</v>
      </c>
      <c r="J24" s="300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287" t="str">
        <f>IF(AND(LEFT(C24,1)="d",OR(D24&gt;="7:00"*1,H24&gt;"22:00"*1)),Prime!$G$4,"")&amp;IF(AND(LEFT(C24,1)="s",H24&gt;="24:00"*1),Prime!$G$4,"")</f>
        <v/>
      </c>
      <c r="N24" s="319" t="str">
        <f>IF(ISNUMBER(FIND("F",C24)),Prime!$I$4,IF(ISNUMBER(FIND("CDS",C24)),Prime!$I$4,""))</f>
        <v/>
      </c>
      <c r="O24" s="241"/>
      <c r="P24" s="242" t="str">
        <f t="shared" si="6"/>
        <v/>
      </c>
      <c r="Q24" s="142">
        <f t="shared" si="3"/>
        <v>0</v>
      </c>
      <c r="R24" s="143">
        <f t="shared" si="5"/>
        <v>0</v>
      </c>
      <c r="S24" s="144">
        <v>0</v>
      </c>
      <c r="T24" s="141" t="str">
        <f t="shared" si="4"/>
        <v>0,000</v>
      </c>
      <c r="U24" s="126"/>
    </row>
    <row r="25" spans="1:21" s="1" customFormat="1" x14ac:dyDescent="0.25">
      <c r="A25" s="3"/>
      <c r="B25" s="493">
        <v>41385</v>
      </c>
      <c r="C25" s="499" t="s">
        <v>207</v>
      </c>
      <c r="D25" s="239">
        <v>0</v>
      </c>
      <c r="E25" s="239">
        <v>0</v>
      </c>
      <c r="F25" s="240">
        <f t="shared" si="0"/>
        <v>0</v>
      </c>
      <c r="G25" s="239"/>
      <c r="H25" s="239"/>
      <c r="I25" s="240">
        <f t="shared" si="1"/>
        <v>0</v>
      </c>
      <c r="J25" s="300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287" t="str">
        <f>IF(AND(LEFT(C25,1)="d",OR(D25&gt;="7:00"*1,H25&gt;"22:00"*1)),Prime!$G$4,"")&amp;IF(AND(LEFT(C25,1)="s",H25&gt;="24:00"*1),Prime!$G$4,"")</f>
        <v/>
      </c>
      <c r="N25" s="319" t="str">
        <f>IF(ISNUMBER(FIND("F",C25)),Prime!$I$4,IF(ISNUMBER(FIND("CDS",C25)),Prime!$I$4,""))</f>
        <v/>
      </c>
      <c r="O25" s="241"/>
      <c r="P25" s="242" t="str">
        <f t="shared" si="6"/>
        <v/>
      </c>
      <c r="Q25" s="142">
        <f t="shared" si="3"/>
        <v>0</v>
      </c>
      <c r="R25" s="143">
        <f t="shared" si="5"/>
        <v>0</v>
      </c>
      <c r="S25" s="144">
        <v>0</v>
      </c>
      <c r="T25" s="141" t="str">
        <f t="shared" si="4"/>
        <v>0,000</v>
      </c>
      <c r="U25" s="126"/>
    </row>
    <row r="26" spans="1:21" s="1" customFormat="1" x14ac:dyDescent="0.25">
      <c r="A26" s="3"/>
      <c r="B26" s="493">
        <v>41386</v>
      </c>
      <c r="C26" s="499" t="s">
        <v>208</v>
      </c>
      <c r="D26" s="239">
        <v>0</v>
      </c>
      <c r="E26" s="239">
        <v>0</v>
      </c>
      <c r="F26" s="240">
        <f t="shared" si="0"/>
        <v>0</v>
      </c>
      <c r="G26" s="239"/>
      <c r="H26" s="239"/>
      <c r="I26" s="240">
        <f t="shared" si="1"/>
        <v>0</v>
      </c>
      <c r="J26" s="300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287" t="str">
        <f>IF(AND(LEFT(C26,1)="d",OR(D26&gt;="7:00"*1,H26&gt;"22:00"*1)),Prime!$G$4,"")&amp;IF(AND(LEFT(C26,1)="s",H26&gt;="24:00"*1),Prime!$G$4,"")</f>
        <v/>
      </c>
      <c r="N26" s="319" t="str">
        <f>IF(ISNUMBER(FIND("F",C26)),Prime!$I$4,IF(ISNUMBER(FIND("CDS",C26)),Prime!$I$4,""))</f>
        <v/>
      </c>
      <c r="O26" s="241"/>
      <c r="P26" s="242" t="str">
        <f t="shared" si="6"/>
        <v/>
      </c>
      <c r="Q26" s="142">
        <f t="shared" si="3"/>
        <v>0</v>
      </c>
      <c r="R26" s="143">
        <f t="shared" si="5"/>
        <v>0</v>
      </c>
      <c r="S26" s="144">
        <v>0</v>
      </c>
      <c r="T26" s="141" t="str">
        <f t="shared" si="4"/>
        <v>0,000</v>
      </c>
      <c r="U26" s="126"/>
    </row>
    <row r="27" spans="1:21" s="1" customFormat="1" x14ac:dyDescent="0.25">
      <c r="A27" s="3"/>
      <c r="B27" s="493">
        <v>41387</v>
      </c>
      <c r="C27" s="499" t="s">
        <v>52</v>
      </c>
      <c r="D27" s="239">
        <v>0</v>
      </c>
      <c r="E27" s="239">
        <v>0</v>
      </c>
      <c r="F27" s="240">
        <f t="shared" si="0"/>
        <v>0</v>
      </c>
      <c r="G27" s="239"/>
      <c r="H27" s="239"/>
      <c r="I27" s="240">
        <f t="shared" si="1"/>
        <v>0</v>
      </c>
      <c r="J27" s="300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287" t="str">
        <f>IF(AND(LEFT(C27,1)="d",OR(D27&gt;="7:00"*1,H27&gt;"22:00"*1)),Prime!$G$4,"")&amp;IF(AND(LEFT(C27,1)="s",H27&gt;="24:00"*1),Prime!$G$4,"")</f>
        <v/>
      </c>
      <c r="N27" s="319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</v>
      </c>
      <c r="R27" s="143">
        <f t="shared" si="5"/>
        <v>0</v>
      </c>
      <c r="S27" s="144">
        <v>0</v>
      </c>
      <c r="T27" s="141" t="str">
        <f t="shared" si="4"/>
        <v>0,000</v>
      </c>
      <c r="U27" s="126"/>
    </row>
    <row r="28" spans="1:21" s="1" customFormat="1" x14ac:dyDescent="0.25">
      <c r="A28" s="3"/>
      <c r="B28" s="493">
        <v>41388</v>
      </c>
      <c r="C28" s="499" t="s">
        <v>52</v>
      </c>
      <c r="D28" s="239">
        <v>0</v>
      </c>
      <c r="E28" s="239">
        <v>0</v>
      </c>
      <c r="F28" s="240">
        <f t="shared" si="0"/>
        <v>0</v>
      </c>
      <c r="G28" s="239"/>
      <c r="H28" s="239"/>
      <c r="I28" s="240">
        <f t="shared" si="1"/>
        <v>0</v>
      </c>
      <c r="J28" s="300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287" t="str">
        <f>IF(AND(LEFT(C28,1)="d",OR(D28&gt;="7:00"*1,H28&gt;"22:00"*1)),Prime!$G$4,"")&amp;IF(AND(LEFT(C28,1)="s",H28&gt;="24:00"*1),Prime!$G$4,"")</f>
        <v/>
      </c>
      <c r="N28" s="319" t="str">
        <f>IF(ISNUMBER(FIND("F",C28)),Prime!$I$4,IF(ISNUMBER(FIND("CDS",C28)),Prime!$I$4,""))</f>
        <v/>
      </c>
      <c r="O28" s="241">
        <v>0.3125</v>
      </c>
      <c r="P28" s="242">
        <f t="shared" si="6"/>
        <v>7.5</v>
      </c>
      <c r="Q28" s="142">
        <f t="shared" si="3"/>
        <v>0</v>
      </c>
      <c r="R28" s="143">
        <f t="shared" si="5"/>
        <v>0</v>
      </c>
      <c r="S28" s="144">
        <v>0</v>
      </c>
      <c r="T28" s="141" t="str">
        <f t="shared" si="4"/>
        <v>0,000</v>
      </c>
      <c r="U28" s="126"/>
    </row>
    <row r="29" spans="1:21" s="1" customFormat="1" x14ac:dyDescent="0.25">
      <c r="A29" s="3"/>
      <c r="B29" s="493">
        <v>41389</v>
      </c>
      <c r="C29" s="499" t="s">
        <v>52</v>
      </c>
      <c r="D29" s="239">
        <v>0</v>
      </c>
      <c r="E29" s="239">
        <v>0</v>
      </c>
      <c r="F29" s="240">
        <f t="shared" si="0"/>
        <v>0</v>
      </c>
      <c r="G29" s="239"/>
      <c r="H29" s="239"/>
      <c r="I29" s="240">
        <f t="shared" si="1"/>
        <v>0</v>
      </c>
      <c r="J29" s="300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287" t="str">
        <f>IF(AND(LEFT(C29,1)="d",OR(D29&gt;="7:00"*1,H29&gt;"22:00"*1)),Prime!$G$4,"")&amp;IF(AND(LEFT(C29,1)="s",H29&gt;="24:00"*1),Prime!$G$4,"")</f>
        <v/>
      </c>
      <c r="N29" s="319" t="str">
        <f>IF(ISNUMBER(FIND("F",C29)),Prime!$I$4,IF(ISNUMBER(FIND("CDS",C29)),Prime!$I$4,""))</f>
        <v/>
      </c>
      <c r="O29" s="241">
        <v>0.29375000000000001</v>
      </c>
      <c r="P29" s="242">
        <f t="shared" si="6"/>
        <v>7.0500000000000007</v>
      </c>
      <c r="Q29" s="142">
        <f t="shared" si="3"/>
        <v>0</v>
      </c>
      <c r="R29" s="143">
        <f t="shared" si="5"/>
        <v>0</v>
      </c>
      <c r="S29" s="144">
        <v>0</v>
      </c>
      <c r="T29" s="141" t="str">
        <f t="shared" si="4"/>
        <v>0,000</v>
      </c>
      <c r="U29" s="126"/>
    </row>
    <row r="30" spans="1:21" s="1" customFormat="1" x14ac:dyDescent="0.25">
      <c r="A30" s="3"/>
      <c r="B30" s="493">
        <v>41390</v>
      </c>
      <c r="C30" s="499" t="s">
        <v>52</v>
      </c>
      <c r="D30" s="239">
        <v>0</v>
      </c>
      <c r="E30" s="239">
        <v>0</v>
      </c>
      <c r="F30" s="240">
        <f>E30-D30</f>
        <v>0</v>
      </c>
      <c r="G30" s="239"/>
      <c r="H30" s="239"/>
      <c r="I30" s="240">
        <f>H30-G30</f>
        <v>0</v>
      </c>
      <c r="J30" s="300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287" t="str">
        <f>IF(AND(LEFT(C30,1)="d",OR(D30&gt;="7:00"*1,H30&gt;"22:00"*1)),Prime!$G$4,"")&amp;IF(AND(LEFT(C30,1)="s",H30&gt;="24:00"*1),Prime!$G$4,"")</f>
        <v/>
      </c>
      <c r="N30" s="319" t="str">
        <f>IF(ISNUMBER(FIND("F",C30)),Prime!$I$4,IF(ISNUMBER(FIND("CDS",C30)),Prime!$I$4,""))</f>
        <v/>
      </c>
      <c r="O30" s="241"/>
      <c r="P30" s="242" t="str">
        <f t="shared" si="6"/>
        <v/>
      </c>
      <c r="Q30" s="142">
        <f t="shared" si="3"/>
        <v>0</v>
      </c>
      <c r="R30" s="143">
        <f t="shared" si="5"/>
        <v>0</v>
      </c>
      <c r="S30" s="144">
        <v>0</v>
      </c>
      <c r="T30" s="141" t="str">
        <f t="shared" si="4"/>
        <v>0,000</v>
      </c>
      <c r="U30" s="126"/>
    </row>
    <row r="31" spans="1:21" s="1" customFormat="1" x14ac:dyDescent="0.25">
      <c r="A31" s="3"/>
      <c r="B31" s="493">
        <v>41391</v>
      </c>
      <c r="C31" s="499" t="s">
        <v>52</v>
      </c>
      <c r="D31" s="239">
        <v>0</v>
      </c>
      <c r="E31" s="239">
        <v>0</v>
      </c>
      <c r="F31" s="240">
        <f t="shared" si="0"/>
        <v>0</v>
      </c>
      <c r="G31" s="239"/>
      <c r="H31" s="239"/>
      <c r="I31" s="240">
        <f t="shared" si="1"/>
        <v>0</v>
      </c>
      <c r="J31" s="300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287" t="str">
        <f>IF(AND(LEFT(C31,1)="d",OR(D31&gt;="7:00"*1,H31&gt;"22:00"*1)),Prime!$G$4,"")&amp;IF(AND(LEFT(C31,1)="s",H31&gt;="24:00"*1),Prime!$G$4,"")</f>
        <v/>
      </c>
      <c r="N31" s="319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</v>
      </c>
      <c r="R31" s="143">
        <f t="shared" si="5"/>
        <v>0</v>
      </c>
      <c r="S31" s="144">
        <v>0</v>
      </c>
      <c r="T31" s="141" t="str">
        <f t="shared" si="4"/>
        <v>0,000</v>
      </c>
      <c r="U31" s="126"/>
    </row>
    <row r="32" spans="1:21" s="1" customFormat="1" x14ac:dyDescent="0.25">
      <c r="A32" s="3"/>
      <c r="B32" s="493">
        <v>41392</v>
      </c>
      <c r="C32" s="499" t="s">
        <v>209</v>
      </c>
      <c r="D32" s="239">
        <v>0</v>
      </c>
      <c r="E32" s="239">
        <v>0</v>
      </c>
      <c r="F32" s="240">
        <f t="shared" si="0"/>
        <v>0</v>
      </c>
      <c r="G32" s="239"/>
      <c r="H32" s="239"/>
      <c r="I32" s="240">
        <f t="shared" si="1"/>
        <v>0</v>
      </c>
      <c r="J32" s="300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287" t="str">
        <f>IF(AND(LEFT(C32,1)="d",OR(D32&gt;="7:00"*1,H32&gt;"22:00"*1)),Prime!$G$4,"")&amp;IF(AND(LEFT(C32,1)="s",H32&gt;="24:00"*1),Prime!$G$4,"")</f>
        <v/>
      </c>
      <c r="N32" s="319" t="str">
        <f>IF(ISNUMBER(FIND("F",C32)),Prime!$I$4,IF(ISNUMBER(FIND("CDS",C32)),Prime!$I$4,""))</f>
        <v/>
      </c>
      <c r="O32" s="241"/>
      <c r="P32" s="242" t="str">
        <f t="shared" si="6"/>
        <v/>
      </c>
      <c r="Q32" s="142">
        <f t="shared" si="3"/>
        <v>0</v>
      </c>
      <c r="R32" s="143">
        <f t="shared" si="5"/>
        <v>0</v>
      </c>
      <c r="S32" s="144">
        <v>0</v>
      </c>
      <c r="T32" s="141" t="str">
        <f t="shared" si="4"/>
        <v>0,000</v>
      </c>
      <c r="U32" s="126"/>
    </row>
    <row r="33" spans="1:21" s="1" customFormat="1" x14ac:dyDescent="0.25">
      <c r="A33" s="3"/>
      <c r="B33" s="493">
        <v>41393</v>
      </c>
      <c r="C33" s="499" t="s">
        <v>210</v>
      </c>
      <c r="D33" s="239">
        <v>0</v>
      </c>
      <c r="E33" s="239">
        <v>0</v>
      </c>
      <c r="F33" s="240">
        <f t="shared" si="0"/>
        <v>0</v>
      </c>
      <c r="G33" s="239"/>
      <c r="H33" s="239"/>
      <c r="I33" s="240">
        <f t="shared" si="1"/>
        <v>0</v>
      </c>
      <c r="J33" s="300" t="str">
        <f>IF(COUNTA(D33:E33,G33:H33)=5,Prime!$E$4,IF(AND(D33&lt;="5:01"*1,D33&gt;"2:00"*1),Prime!$E$4,IF(AND(H33&gt;="22:00"*1,H33&lt;="26:01"*1),Prime!$E$4,"")))</f>
        <v/>
      </c>
      <c r="K33" s="231" t="str">
        <f>IF(COUNTA(D33:E33,G33:H33)=5,Prime!$E$4,IF(AND(E33&gt;="13:15"*1,G33&lt;""),Prime!$E$4,IF(AND(G33&gt;="11:00"*1,G33&lt;="12:15"*1),Prime!$E$4,"")))</f>
        <v/>
      </c>
      <c r="L33" s="286" t="str">
        <f>IF(H33&gt;"21:30"*1,Prime!$F$4,"")</f>
        <v/>
      </c>
      <c r="M33" s="287" t="str">
        <f>IF(AND(LEFT(C33,1)="d",OR(D33&gt;="7:00"*1,H33&gt;"22:00"*1)),Prime!$G$4,"")&amp;IF(AND(LEFT(C33,1)="s",H33&gt;="24:00"*1),Prime!$G$4,"")</f>
        <v/>
      </c>
      <c r="N33" s="319" t="str">
        <f>IF(ISNUMBER(FIND("F",C33)),Prime!$I$4,IF(ISNUMBER(FIND("CDS",C33)),Prime!$I$4,""))</f>
        <v/>
      </c>
      <c r="O33" s="241"/>
      <c r="P33" s="242" t="str">
        <f>IF(ISBLANK(O33),"",O33/24)</f>
        <v/>
      </c>
      <c r="Q33" s="142">
        <f t="shared" si="3"/>
        <v>0</v>
      </c>
      <c r="R33" s="143">
        <f t="shared" si="5"/>
        <v>0</v>
      </c>
      <c r="S33" s="144">
        <v>0</v>
      </c>
      <c r="T33" s="141" t="str">
        <f t="shared" si="4"/>
        <v>0,000</v>
      </c>
      <c r="U33" s="126"/>
    </row>
    <row r="34" spans="1:21" s="1" customFormat="1" ht="16.5" thickBot="1" x14ac:dyDescent="0.3">
      <c r="A34" s="3"/>
      <c r="B34" s="504"/>
      <c r="C34" s="500"/>
      <c r="D34" s="243"/>
      <c r="E34" s="243"/>
      <c r="F34" s="244">
        <f t="shared" si="0"/>
        <v>0</v>
      </c>
      <c r="G34" s="243"/>
      <c r="H34" s="243"/>
      <c r="I34" s="244">
        <f t="shared" si="1"/>
        <v>0</v>
      </c>
      <c r="J34" s="301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88" t="str">
        <f>IF(H34&gt;"21:30"*1,Prime!$F$4,"")</f>
        <v/>
      </c>
      <c r="M34" s="289" t="str">
        <f>IF(AND(LEFT(C34,1)="d",OR(D34&gt;="7:00"*1,H34&gt;"22:00"*1)),Prime!$G$4,"")&amp;IF(AND(LEFT(C34,1)="s",H34&gt;="24:00"*1),Prime!$G$4,"")</f>
        <v/>
      </c>
      <c r="N34" s="320" t="str">
        <f>IF(ISNUMBER(FIND("F",C34)),Prime!$I$4,IF(ISNUMBER(FIND("CDS",C34)),Prime!$I$4,""))</f>
        <v/>
      </c>
      <c r="O34" s="245"/>
      <c r="P34" s="247"/>
      <c r="Q34" s="145">
        <f t="shared" si="3"/>
        <v>0</v>
      </c>
      <c r="R34" s="146">
        <f t="shared" si="5"/>
        <v>0</v>
      </c>
      <c r="S34" s="147">
        <v>0</v>
      </c>
      <c r="T34" s="148" t="str">
        <f t="shared" si="4"/>
        <v>0,000</v>
      </c>
      <c r="U34" s="126"/>
    </row>
    <row r="35" spans="1:21" s="1" customFormat="1" x14ac:dyDescent="0.25">
      <c r="A35" s="3"/>
      <c r="B35" s="4"/>
      <c r="C35" s="4"/>
      <c r="D35" s="4"/>
      <c r="E35" s="3"/>
      <c r="F35" s="3"/>
      <c r="G35" s="3"/>
      <c r="H35" s="3"/>
      <c r="I35" s="3"/>
      <c r="J35" s="181"/>
      <c r="K35" s="183"/>
      <c r="L35" s="186"/>
      <c r="M35" s="150"/>
      <c r="N35" s="150"/>
      <c r="O35" s="126"/>
      <c r="Q35" s="124"/>
      <c r="R35" s="20"/>
      <c r="S35" s="21"/>
      <c r="T35" s="151"/>
      <c r="U35" s="126"/>
    </row>
    <row r="36" spans="1:21" s="1" customFormat="1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19</v>
      </c>
      <c r="D36" s="4"/>
      <c r="E36" s="3"/>
      <c r="F36" s="3"/>
      <c r="G36" s="3"/>
      <c r="H36" s="3"/>
      <c r="I36" s="3"/>
      <c r="J36" s="182">
        <f>SUM(J4:J34)</f>
        <v>0</v>
      </c>
      <c r="K36" s="308">
        <f>SUM(K4:K33)</f>
        <v>53.116799999999998</v>
      </c>
      <c r="L36" s="184">
        <f>SUM(L4:L34)</f>
        <v>0</v>
      </c>
      <c r="M36" s="304">
        <f>SUM(M4:M34)</f>
        <v>0</v>
      </c>
      <c r="N36" s="317">
        <f>SUM(N4:N34)</f>
        <v>104.9325</v>
      </c>
      <c r="O36" s="153">
        <f>SUM(O4:O34)</f>
        <v>0.90763888888888888</v>
      </c>
      <c r="P36" s="194">
        <f>SUM(P4:P32)</f>
        <v>21.783333333333335</v>
      </c>
      <c r="Q36" s="154">
        <f>SUM(Q4:Q34)</f>
        <v>3.4986111111111118</v>
      </c>
      <c r="R36" s="63">
        <f>SUM(R4:R34)</f>
        <v>83.966666666666669</v>
      </c>
      <c r="S36" s="64">
        <f>SUM(S3:S34)</f>
        <v>82.25</v>
      </c>
      <c r="T36" s="151">
        <f>R36-S36</f>
        <v>1.7166666666666686</v>
      </c>
      <c r="U36" s="155"/>
    </row>
    <row r="37" spans="1:21" s="1" customFormat="1" x14ac:dyDescent="0.25">
      <c r="A37" s="3"/>
      <c r="B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  <c r="Q37" s="24"/>
    </row>
    <row r="38" spans="1:21" s="1" customFormat="1" x14ac:dyDescent="0.25">
      <c r="B38" s="447"/>
      <c r="M38" s="525" t="s">
        <v>100</v>
      </c>
      <c r="N38" s="525"/>
      <c r="O38" s="525"/>
      <c r="P38" s="178"/>
      <c r="Q38" s="156">
        <v>6.1895833333333341</v>
      </c>
      <c r="R38" s="65">
        <v>148.19999999999999</v>
      </c>
    </row>
    <row r="39" spans="1:21" s="1" customFormat="1" ht="15" x14ac:dyDescent="0.25">
      <c r="B39" s="447"/>
    </row>
    <row r="40" spans="1:21" x14ac:dyDescent="0.25">
      <c r="M40" s="521" t="s">
        <v>39</v>
      </c>
      <c r="N40" s="521"/>
      <c r="O40" s="521"/>
      <c r="P40" s="177"/>
      <c r="Q40" s="68">
        <f>(Q36-Q38)</f>
        <v>-2.6909722222222223</v>
      </c>
      <c r="R40" s="69">
        <f>Q40*24</f>
        <v>-64.583333333333343</v>
      </c>
    </row>
  </sheetData>
  <mergeCells count="6">
    <mergeCell ref="Q2:T2"/>
    <mergeCell ref="M40:O40"/>
    <mergeCell ref="D3:E3"/>
    <mergeCell ref="G3:H3"/>
    <mergeCell ref="B1:L1"/>
    <mergeCell ref="M38:O38"/>
  </mergeCells>
  <conditionalFormatting sqref="Q40">
    <cfRule type="cellIs" dxfId="46" priority="5" operator="lessThan">
      <formula>0</formula>
    </cfRule>
  </conditionalFormatting>
  <conditionalFormatting sqref="T4:T34">
    <cfRule type="cellIs" dxfId="45" priority="3" operator="greaterThanOrEqual">
      <formula>0.001</formula>
    </cfRule>
    <cfRule type="cellIs" dxfId="44" priority="4" operator="lessThan">
      <formula>0</formula>
    </cfRule>
  </conditionalFormatting>
  <conditionalFormatting sqref="T35:T36">
    <cfRule type="cellIs" dxfId="43" priority="1" operator="greaterThanOrEqual">
      <formula>0.001</formula>
    </cfRule>
    <cfRule type="cellIs" dxfId="42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0"/>
  <sheetViews>
    <sheetView workbookViewId="0">
      <selection activeCell="B3" sqref="B3:B34"/>
    </sheetView>
  </sheetViews>
  <sheetFormatPr baseColWidth="10" defaultRowHeight="15.75" x14ac:dyDescent="0.25"/>
  <cols>
    <col min="1" max="1" width="2.7109375" customWidth="1"/>
    <col min="2" max="2" width="15.7109375" style="3" customWidth="1"/>
    <col min="3" max="11" width="14.7109375" style="3" customWidth="1"/>
    <col min="12" max="13" width="14.7109375" customWidth="1"/>
    <col min="14" max="14" width="14.7109375" style="1" customWidth="1"/>
    <col min="15" max="16" width="14.7109375" style="22" customWidth="1"/>
  </cols>
  <sheetData>
    <row r="1" spans="1:21" s="1" customFormat="1" ht="16.5" thickBot="1" x14ac:dyDescent="0.3">
      <c r="A1" s="3"/>
      <c r="B1" s="524" t="s">
        <v>5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503" t="s">
        <v>135</v>
      </c>
      <c r="C3" s="502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x14ac:dyDescent="0.25">
      <c r="A4" s="3"/>
      <c r="B4" s="493">
        <v>41394</v>
      </c>
      <c r="C4" s="498" t="s">
        <v>84</v>
      </c>
      <c r="D4" s="234">
        <v>0</v>
      </c>
      <c r="E4" s="234">
        <v>0</v>
      </c>
      <c r="F4" s="235">
        <f t="shared" ref="F4:F34" si="0">E4-D4</f>
        <v>0</v>
      </c>
      <c r="G4" s="234"/>
      <c r="H4" s="234"/>
      <c r="I4" s="235">
        <f t="shared" ref="I4:I34" si="1">H4-G4</f>
        <v>0</v>
      </c>
      <c r="J4" s="265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90" t="str">
        <f>IF(H4&gt;"21:30"*1,Prime!$F$4,"")</f>
        <v/>
      </c>
      <c r="M4" s="291" t="str">
        <f>IF(AND(LEFT(C4,1)="d",OR(D4&gt;="7:00"*1,H4&gt;"22:00"*1)),Prime!$G$4,"")&amp;IF(AND(LEFT(C4,1)="s",H4&gt;="24:00"*1),Prime!$G$4,"")</f>
        <v/>
      </c>
      <c r="N4" s="318">
        <f>IF(ISNUMBER(FIND("F",C4)),Prime!$I$4,IF(ISNUMBER(FIND("CDS",C4)),Prime!$I$4,""))</f>
        <v>104.9325</v>
      </c>
      <c r="O4" s="237"/>
      <c r="P4" s="238" t="str">
        <f t="shared" ref="P4:P17" si="2">IF(ISBLANK(O4),"",O4*24)</f>
        <v/>
      </c>
      <c r="Q4" s="138">
        <f t="shared" ref="Q4:Q34" si="3">(E4-D4)+(H4-G4)</f>
        <v>0</v>
      </c>
      <c r="R4" s="139">
        <f>Q4*24</f>
        <v>0</v>
      </c>
      <c r="S4" s="140">
        <v>0</v>
      </c>
      <c r="T4" s="141" t="str">
        <f>IF(R4-S4=0,"0,000",R4-S4)</f>
        <v>0,000</v>
      </c>
      <c r="U4" s="126"/>
    </row>
    <row r="5" spans="1:21" s="1" customFormat="1" x14ac:dyDescent="0.25">
      <c r="A5" s="3"/>
      <c r="B5" s="493">
        <v>41395</v>
      </c>
      <c r="C5" s="499" t="s">
        <v>85</v>
      </c>
      <c r="D5" s="239"/>
      <c r="E5" s="239"/>
      <c r="F5" s="240">
        <f t="shared" si="0"/>
        <v>0</v>
      </c>
      <c r="G5" s="239">
        <v>0.61805555555555558</v>
      </c>
      <c r="H5" s="239">
        <v>0.94305555555555554</v>
      </c>
      <c r="I5" s="240">
        <f t="shared" si="1"/>
        <v>0.32499999999999996</v>
      </c>
      <c r="J5" s="266">
        <f>IF(COUNTA(D5:E5,G5:H5)=5,Prime!$E$4,IF(AND(D5&lt;="5:01"*1,D5&gt;"2:00"*1),Prime!$E$4,IF(AND(H5&gt;="22:00"*1,H5&lt;="26:01"*1),Prime!$E$4,"")))</f>
        <v>17.7056</v>
      </c>
      <c r="K5" s="231" t="str">
        <f>IF(COUNTA(D5:E5,G5:H5)=5,Prime!$E$4,IF(AND(E5&gt;="13:15"*1,G5&lt;""),Prime!$E$4,IF(AND(G5&gt;="11:00"*1,G5&lt;="12:15"*1),Prime!$E$4,"")))</f>
        <v/>
      </c>
      <c r="L5" s="292">
        <f>IF(H5&gt;"21:30"*1,Prime!$F$4,"")</f>
        <v>17.7056</v>
      </c>
      <c r="M5" s="293" t="str">
        <f>IF(AND(LEFT(C5,1)="d",OR(D5&gt;="7:00"*1,H5&gt;"22:00"*1)),Prime!$G$4,"")&amp;IF(AND(LEFT(C5,1)="s",H5&gt;="24:00"*1),Prime!$G$4,"")</f>
        <v/>
      </c>
      <c r="N5" s="31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0.32499999999999996</v>
      </c>
      <c r="R5" s="143">
        <f>Q5*24</f>
        <v>7.7999999999999989</v>
      </c>
      <c r="S5" s="144">
        <v>7.8</v>
      </c>
      <c r="T5" s="141">
        <f t="shared" ref="T5:T34" si="4">IF(R5-S5=0,"0,000",R5-S5)</f>
        <v>-8.8817841970012523E-16</v>
      </c>
      <c r="U5" s="126"/>
    </row>
    <row r="6" spans="1:21" s="1" customFormat="1" x14ac:dyDescent="0.25">
      <c r="A6" s="3"/>
      <c r="B6" s="493">
        <v>41396</v>
      </c>
      <c r="C6" s="499" t="s">
        <v>86</v>
      </c>
      <c r="D6" s="239"/>
      <c r="E6" s="239"/>
      <c r="F6" s="240">
        <f t="shared" si="0"/>
        <v>0</v>
      </c>
      <c r="G6" s="239">
        <v>0.51180555555555551</v>
      </c>
      <c r="H6" s="239">
        <v>0.83472222222222225</v>
      </c>
      <c r="I6" s="240">
        <f t="shared" si="1"/>
        <v>0.32291666666666674</v>
      </c>
      <c r="J6" s="266" t="str">
        <f>IF(COUNTA(D6:E6,G6:H6)=5,Prime!$E$4,IF(AND(D6&lt;="5:01"*1,D6&gt;"2:00"*1),Prime!$E$4,IF(AND(H6&gt;="22:00"*1,H6&lt;="26:01"*1),Prime!$E$4,"")))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92" t="str">
        <f>IF(H6&gt;"21:30"*1,Prime!$F$4,"")</f>
        <v/>
      </c>
      <c r="M6" s="293" t="str">
        <f>IF(AND(LEFT(C6,1)="d",OR(D6&gt;="7:00"*1,H6&gt;"22:00"*1)),Prime!$G$4,"")&amp;IF(AND(LEFT(C6,1)="s",H6&gt;="24:00"*1),Prime!$G$4,"")</f>
        <v/>
      </c>
      <c r="N6" s="319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0.32291666666666674</v>
      </c>
      <c r="R6" s="143">
        <f>Q6*24</f>
        <v>7.7500000000000018</v>
      </c>
      <c r="S6" s="144">
        <v>7.75</v>
      </c>
      <c r="T6" s="141">
        <f t="shared" si="4"/>
        <v>1.7763568394002505E-15</v>
      </c>
      <c r="U6" s="126"/>
    </row>
    <row r="7" spans="1:21" s="1" customFormat="1" x14ac:dyDescent="0.25">
      <c r="A7" s="3"/>
      <c r="B7" s="493">
        <v>41397</v>
      </c>
      <c r="C7" s="499" t="s">
        <v>87</v>
      </c>
      <c r="D7" s="239"/>
      <c r="E7" s="239"/>
      <c r="F7" s="240">
        <f t="shared" si="0"/>
        <v>0</v>
      </c>
      <c r="G7" s="239">
        <v>0.66805555555555562</v>
      </c>
      <c r="H7" s="239">
        <v>0.97986111111111107</v>
      </c>
      <c r="I7" s="240">
        <f t="shared" si="1"/>
        <v>0.31180555555555545</v>
      </c>
      <c r="J7" s="266">
        <f>IF(COUNTA(D7:E7,G7:H7)=5,Prime!$E$4,IF(AND(D7&lt;="5:01"*1,D7&gt;"2:00"*1),Prime!$E$4,IF(AND(H7&gt;="22:00"*1,H7&lt;="26:01"*1),Prime!$E$4,"")))</f>
        <v>17.7056</v>
      </c>
      <c r="K7" s="231" t="str">
        <f>IF(COUNTA(D7:E7,G7:H7)=5,Prime!$E$4,IF(AND(E7&gt;="13:15"*1,G7&lt;""),Prime!$E$4,IF(AND(G7&gt;="11:00"*1,G7&lt;="12:15"*1),Prime!$E$4,"")))</f>
        <v/>
      </c>
      <c r="L7" s="292">
        <f>IF(H7&gt;"21:30"*1,Prime!$F$4,"")</f>
        <v>17.7056</v>
      </c>
      <c r="M7" s="293" t="str">
        <f>IF(AND(LEFT(C7,1)="d",OR(D7&gt;="7:00"*1,H7&gt;"22:00"*1)),Prime!$G$4,"")&amp;IF(AND(LEFT(C7,1)="s",H7&gt;="24:00"*1),Prime!$G$4,"")</f>
        <v/>
      </c>
      <c r="N7" s="319" t="str">
        <f>IF(ISNUMBER(FIND("F",C7)),Prime!$I$4,IF(ISNUMBER(FIND("CDS",C7)),Prime!$I$4,""))</f>
        <v/>
      </c>
      <c r="O7" s="241"/>
      <c r="P7" s="242" t="str">
        <f t="shared" si="2"/>
        <v/>
      </c>
      <c r="Q7" s="142">
        <f t="shared" si="3"/>
        <v>0.31180555555555545</v>
      </c>
      <c r="R7" s="143">
        <f t="shared" ref="R7:R34" si="5">Q7*24</f>
        <v>7.4833333333333307</v>
      </c>
      <c r="S7" s="144">
        <v>7.48</v>
      </c>
      <c r="T7" s="141">
        <f t="shared" si="4"/>
        <v>3.3333333333303017E-3</v>
      </c>
      <c r="U7" s="126"/>
    </row>
    <row r="8" spans="1:21" s="1" customFormat="1" x14ac:dyDescent="0.25">
      <c r="A8" s="3"/>
      <c r="B8" s="493">
        <v>41398</v>
      </c>
      <c r="C8" s="499" t="s">
        <v>88</v>
      </c>
      <c r="D8" s="239"/>
      <c r="E8" s="239"/>
      <c r="F8" s="240">
        <f t="shared" si="0"/>
        <v>0</v>
      </c>
      <c r="G8" s="239">
        <v>0.57916666666666672</v>
      </c>
      <c r="H8" s="239">
        <v>0.91111111111111109</v>
      </c>
      <c r="I8" s="240">
        <f t="shared" si="1"/>
        <v>0.33194444444444438</v>
      </c>
      <c r="J8" s="266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92">
        <f>IF(H8&gt;"21:30"*1,Prime!$F$4,"")</f>
        <v>17.7056</v>
      </c>
      <c r="M8" s="293" t="str">
        <f>IF(AND(LEFT(C8,1)="d",OR(D8&gt;="7:00"*1,H8&gt;"22:00"*1)),Prime!$G$4,"")&amp;IF(AND(LEFT(C8,1)="s",H8&gt;="24:00"*1),Prime!$G$4,"")</f>
        <v/>
      </c>
      <c r="N8" s="319" t="str">
        <f>IF(ISNUMBER(FIND("F",C8)),Prime!$I$4,IF(ISNUMBER(FIND("CDS",C8)),Prime!$I$4,""))</f>
        <v/>
      </c>
      <c r="O8" s="241"/>
      <c r="P8" s="242" t="str">
        <f t="shared" si="2"/>
        <v/>
      </c>
      <c r="Q8" s="142">
        <f t="shared" si="3"/>
        <v>0.33194444444444438</v>
      </c>
      <c r="R8" s="143">
        <f t="shared" si="5"/>
        <v>7.966666666666665</v>
      </c>
      <c r="S8" s="144">
        <v>7.97</v>
      </c>
      <c r="T8" s="141">
        <f t="shared" si="4"/>
        <v>-3.3333333333347426E-3</v>
      </c>
      <c r="U8" s="126"/>
    </row>
    <row r="9" spans="1:21" s="1" customFormat="1" x14ac:dyDescent="0.25">
      <c r="A9" s="3"/>
      <c r="B9" s="493">
        <v>41399</v>
      </c>
      <c r="C9" s="499" t="s">
        <v>211</v>
      </c>
      <c r="D9" s="239"/>
      <c r="E9" s="239"/>
      <c r="F9" s="240">
        <f t="shared" si="0"/>
        <v>0</v>
      </c>
      <c r="G9" s="239">
        <v>0.52152777777777781</v>
      </c>
      <c r="H9" s="239">
        <v>0.84166666666666667</v>
      </c>
      <c r="I9" s="240">
        <f t="shared" si="1"/>
        <v>0.32013888888888886</v>
      </c>
      <c r="J9" s="266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92" t="str">
        <f>IF(H9&gt;"21:30"*1,Prime!$F$4,"")</f>
        <v/>
      </c>
      <c r="M9" s="293" t="str">
        <f>IF(AND(LEFT(C9,1)="d",OR(D9&gt;="7:00"*1,H9&gt;"22:00"*1)),Prime!$G$4,"")&amp;IF(AND(LEFT(C9,1)="s",H9&gt;="24:00"*1),Prime!$G$4,"")</f>
        <v/>
      </c>
      <c r="N9" s="31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0.32013888888888886</v>
      </c>
      <c r="R9" s="143">
        <f t="shared" si="5"/>
        <v>7.6833333333333327</v>
      </c>
      <c r="S9" s="144">
        <v>7.68</v>
      </c>
      <c r="T9" s="141">
        <f t="shared" si="4"/>
        <v>3.3333333333329662E-3</v>
      </c>
      <c r="U9" s="126"/>
    </row>
    <row r="10" spans="1:21" s="1" customFormat="1" x14ac:dyDescent="0.25">
      <c r="A10" s="3"/>
      <c r="B10" s="493">
        <v>41400</v>
      </c>
      <c r="C10" s="499" t="s">
        <v>198</v>
      </c>
      <c r="D10" s="239">
        <v>0</v>
      </c>
      <c r="E10" s="239">
        <v>0</v>
      </c>
      <c r="F10" s="240">
        <f t="shared" si="0"/>
        <v>0</v>
      </c>
      <c r="G10" s="239"/>
      <c r="H10" s="239"/>
      <c r="I10" s="240">
        <f t="shared" si="1"/>
        <v>0</v>
      </c>
      <c r="J10" s="266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92" t="str">
        <f>IF(H10&gt;"21:30"*1,Prime!$F$4,"")</f>
        <v/>
      </c>
      <c r="M10" s="293" t="str">
        <f>IF(AND(LEFT(C10,1)="d",OR(D10&gt;="7:00"*1,H10&gt;"22:00"*1)),Prime!$G$4,"")&amp;IF(AND(LEFT(C10,1)="s",H10&gt;="24:00"*1),Prime!$G$4,"")</f>
        <v/>
      </c>
      <c r="N10" s="319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</v>
      </c>
      <c r="R10" s="143">
        <f t="shared" si="5"/>
        <v>0</v>
      </c>
      <c r="S10" s="144">
        <v>0</v>
      </c>
      <c r="T10" s="141" t="str">
        <f t="shared" si="4"/>
        <v>0,000</v>
      </c>
      <c r="U10" s="126"/>
    </row>
    <row r="11" spans="1:21" s="1" customFormat="1" x14ac:dyDescent="0.25">
      <c r="A11" s="3"/>
      <c r="B11" s="493">
        <v>41401</v>
      </c>
      <c r="C11" s="499" t="s">
        <v>84</v>
      </c>
      <c r="D11" s="239">
        <v>0</v>
      </c>
      <c r="E11" s="239">
        <v>0</v>
      </c>
      <c r="F11" s="240">
        <f>E11-D11</f>
        <v>0</v>
      </c>
      <c r="G11" s="239"/>
      <c r="H11" s="239"/>
      <c r="I11" s="240">
        <f t="shared" si="1"/>
        <v>0</v>
      </c>
      <c r="J11" s="266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92" t="str">
        <f>IF(H11&gt;"21:30"*1,Prime!$F$4,"")</f>
        <v/>
      </c>
      <c r="M11" s="293" t="str">
        <f>IF(AND(LEFT(C11,1)="d",OR(D11&gt;="7:00"*1,H11&gt;"22:00"*1)),Prime!$G$4,"")&amp;IF(AND(LEFT(C11,1)="s",H11&gt;="24:00"*1),Prime!$G$4,"")</f>
        <v/>
      </c>
      <c r="N11" s="319">
        <f>IF(ISNUMBER(FIND("F",C11)),Prime!$I$4,IF(ISNUMBER(FIND("CDS",C11)),Prime!$I$4,""))</f>
        <v>104.9325</v>
      </c>
      <c r="O11" s="241"/>
      <c r="P11" s="242" t="str">
        <f t="shared" si="2"/>
        <v/>
      </c>
      <c r="Q11" s="142">
        <f t="shared" si="3"/>
        <v>0</v>
      </c>
      <c r="R11" s="143">
        <f t="shared" si="5"/>
        <v>0</v>
      </c>
      <c r="S11" s="144">
        <v>0</v>
      </c>
      <c r="T11" s="141" t="str">
        <f t="shared" si="4"/>
        <v>0,000</v>
      </c>
      <c r="U11" s="126"/>
    </row>
    <row r="12" spans="1:21" s="1" customFormat="1" x14ac:dyDescent="0.25">
      <c r="A12" s="3"/>
      <c r="B12" s="493">
        <v>41402</v>
      </c>
      <c r="C12" s="499" t="s">
        <v>89</v>
      </c>
      <c r="D12" s="239">
        <v>0.30208333333333331</v>
      </c>
      <c r="E12" s="239">
        <v>0.43888888888888888</v>
      </c>
      <c r="F12" s="240">
        <f>E12-D12</f>
        <v>0.13680555555555557</v>
      </c>
      <c r="G12" s="239">
        <v>0.50624999999999998</v>
      </c>
      <c r="H12" s="239">
        <v>0.69652777777777775</v>
      </c>
      <c r="I12" s="240">
        <f t="shared" si="1"/>
        <v>0.19027777777777777</v>
      </c>
      <c r="J12" s="266" t="str">
        <f>IF(COUNTA(D12:E12,G12:H12)=5,Prime!$E$4,IF(AND(D12&lt;="5:01"*1,D12&gt;"2:00"*1),Prime!$E$4,IF(AND(H12&gt;="22:00"*1,H12&lt;="26:01"*1),Prime!$E$4,"")))</f>
        <v/>
      </c>
      <c r="K12" s="231">
        <f>IF(COUNTA(D12:E12,G12:H12)=5,Prime!$E$4,IF(AND(E12&gt;="13:15"*1,G12&lt;""),Prime!$E$4,IF(AND(G12&gt;="11:00"*1,G12&lt;="12:15"*1),Prime!$E$4,"")))</f>
        <v>17.7056</v>
      </c>
      <c r="L12" s="292" t="str">
        <f>IF(H12&gt;"21:30"*1,Prime!$F$4,"")</f>
        <v/>
      </c>
      <c r="M12" s="293" t="str">
        <f>IF(AND(LEFT(C12,1)="d",OR(D12&gt;="7:00"*1,H12&gt;"22:00"*1)),Prime!$G$4,"")&amp;IF(AND(LEFT(C12,1)="s",H12&gt;="24:00"*1),Prime!$G$4,"")</f>
        <v/>
      </c>
      <c r="N12" s="31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0.32708333333333334</v>
      </c>
      <c r="R12" s="143">
        <f t="shared" si="5"/>
        <v>7.85</v>
      </c>
      <c r="S12" s="144">
        <v>7.85</v>
      </c>
      <c r="T12" s="141" t="str">
        <f t="shared" si="4"/>
        <v>0,000</v>
      </c>
      <c r="U12" s="126"/>
    </row>
    <row r="13" spans="1:21" s="1" customFormat="1" x14ac:dyDescent="0.25">
      <c r="A13" s="3"/>
      <c r="B13" s="493">
        <v>41403</v>
      </c>
      <c r="C13" s="499" t="s">
        <v>90</v>
      </c>
      <c r="D13" s="239">
        <v>0.21111111111111111</v>
      </c>
      <c r="E13" s="239">
        <v>0.54027777777777775</v>
      </c>
      <c r="F13" s="240">
        <f t="shared" si="0"/>
        <v>0.32916666666666661</v>
      </c>
      <c r="G13" s="239"/>
      <c r="H13" s="239"/>
      <c r="I13" s="240">
        <f t="shared" si="1"/>
        <v>0</v>
      </c>
      <c r="J13" s="266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92" t="str">
        <f>IF(H13&gt;"21:30"*1,Prime!$F$4,"")</f>
        <v/>
      </c>
      <c r="M13" s="293" t="str">
        <f>IF(AND(LEFT(C13,1)="d",OR(D13&gt;="7:00"*1,H13&gt;"22:00"*1)),Prime!$G$4,"")&amp;IF(AND(LEFT(C13,1)="s",H13&gt;="24:00"*1),Prime!$G$4,"")</f>
        <v/>
      </c>
      <c r="N13" s="31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0.32916666666666661</v>
      </c>
      <c r="R13" s="143">
        <f t="shared" si="5"/>
        <v>7.8999999999999986</v>
      </c>
      <c r="S13" s="144">
        <v>7.9</v>
      </c>
      <c r="T13" s="141">
        <f t="shared" si="4"/>
        <v>-1.7763568394002505E-15</v>
      </c>
      <c r="U13" s="126"/>
    </row>
    <row r="14" spans="1:21" s="1" customFormat="1" x14ac:dyDescent="0.25">
      <c r="A14" s="3"/>
      <c r="B14" s="493">
        <v>41404</v>
      </c>
      <c r="C14" s="499" t="s">
        <v>53</v>
      </c>
      <c r="D14" s="239">
        <v>0.23472222222222219</v>
      </c>
      <c r="E14" s="239">
        <v>0.4375</v>
      </c>
      <c r="F14" s="240">
        <f t="shared" si="0"/>
        <v>0.20277777777777781</v>
      </c>
      <c r="G14" s="239">
        <v>0.53749999999999998</v>
      </c>
      <c r="H14" s="239">
        <v>0.67222222222222217</v>
      </c>
      <c r="I14" s="240">
        <f t="shared" si="1"/>
        <v>0.13472222222222219</v>
      </c>
      <c r="J14" s="266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92" t="str">
        <f>IF(H14&gt;"21:30"*1,Prime!$F$4,"")</f>
        <v/>
      </c>
      <c r="M14" s="293" t="str">
        <f>IF(AND(LEFT(C14,1)="d",OR(D14&gt;="7:00"*1,H14&gt;"22:00"*1)),Prime!$G$4,"")&amp;IF(AND(LEFT(C14,1)="s",H14&gt;="24:00"*1),Prime!$G$4,"")</f>
        <v/>
      </c>
      <c r="N14" s="31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0.33750000000000002</v>
      </c>
      <c r="R14" s="143">
        <f t="shared" si="5"/>
        <v>8.1000000000000014</v>
      </c>
      <c r="S14" s="144">
        <v>8.18</v>
      </c>
      <c r="T14" s="141">
        <f t="shared" si="4"/>
        <v>-7.9999999999998295E-2</v>
      </c>
      <c r="U14" s="126"/>
    </row>
    <row r="15" spans="1:21" s="1" customFormat="1" x14ac:dyDescent="0.25">
      <c r="A15" s="3"/>
      <c r="B15" s="493">
        <v>41405</v>
      </c>
      <c r="C15" s="499" t="s">
        <v>91</v>
      </c>
      <c r="D15" s="239">
        <v>0.24166666666666667</v>
      </c>
      <c r="E15" s="239">
        <v>0.39374999999999999</v>
      </c>
      <c r="F15" s="240">
        <f t="shared" si="0"/>
        <v>0.15208333333333332</v>
      </c>
      <c r="G15" s="239">
        <v>0.49236111111111108</v>
      </c>
      <c r="H15" s="239">
        <v>0.70694444444444438</v>
      </c>
      <c r="I15" s="240">
        <f t="shared" si="1"/>
        <v>0.21458333333333329</v>
      </c>
      <c r="J15" s="266" t="str">
        <f>IF(COUNTA(D15:E15,G15:H15)=5,Prime!$E$4,IF(AND(D15&lt;="5:01"*1,D15&gt;"2:00"*1),Prime!$E$4,IF(AND(H15&gt;="22:00"*1,H15&lt;="26:01"*1),Prime!$E$4,"")))</f>
        <v/>
      </c>
      <c r="K15" s="231">
        <f>IF(COUNTA(D15:E15,G15:H15)=5,Prime!$E$4,IF(AND(E15&gt;="13:15"*1,G15&lt;""),Prime!$E$4,IF(AND(G15&gt;="11:00"*1,G15&lt;="12:15"*1),Prime!$E$4,"")))</f>
        <v>17.7056</v>
      </c>
      <c r="L15" s="292" t="str">
        <f>IF(H15&gt;"21:30"*1,Prime!$F$4,"")</f>
        <v/>
      </c>
      <c r="M15" s="293" t="str">
        <f>IF(AND(LEFT(C15,1)="d",OR(D15&gt;="7:00"*1,H15&gt;"22:00"*1)),Prime!$G$4,"")&amp;IF(AND(LEFT(C15,1)="s",H15&gt;="24:00"*1),Prime!$G$4,"")</f>
        <v/>
      </c>
      <c r="N15" s="319" t="str">
        <f>IF(ISNUMBER(FIND("F",C15)),Prime!$I$4,IF(ISNUMBER(FIND("CDS",C15)),Prime!$I$4,""))</f>
        <v/>
      </c>
      <c r="O15" s="241">
        <v>2.4999999999999998E-2</v>
      </c>
      <c r="P15" s="242">
        <f t="shared" si="2"/>
        <v>0.6</v>
      </c>
      <c r="Q15" s="142">
        <f t="shared" si="3"/>
        <v>0.36666666666666659</v>
      </c>
      <c r="R15" s="143">
        <f t="shared" si="5"/>
        <v>8.7999999999999972</v>
      </c>
      <c r="S15" s="144">
        <v>7.8</v>
      </c>
      <c r="T15" s="141">
        <f t="shared" si="4"/>
        <v>0.99999999999999734</v>
      </c>
      <c r="U15" s="126"/>
    </row>
    <row r="16" spans="1:21" s="1" customFormat="1" x14ac:dyDescent="0.25">
      <c r="A16" s="3"/>
      <c r="B16" s="493">
        <v>41406</v>
      </c>
      <c r="C16" s="499" t="s">
        <v>206</v>
      </c>
      <c r="D16" s="239">
        <v>0.27847222222222223</v>
      </c>
      <c r="E16" s="239">
        <v>0.41666666666666669</v>
      </c>
      <c r="F16" s="240">
        <f t="shared" si="0"/>
        <v>0.13819444444444445</v>
      </c>
      <c r="G16" s="239">
        <v>0.53749999999999998</v>
      </c>
      <c r="H16" s="239">
        <v>0.69861111111111107</v>
      </c>
      <c r="I16" s="240">
        <f t="shared" si="1"/>
        <v>0.16111111111111109</v>
      </c>
      <c r="J16" s="266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92" t="str">
        <f>IF(H16&gt;"21:30"*1,Prime!$F$4,"")</f>
        <v/>
      </c>
      <c r="M16" s="293" t="str">
        <f>IF(AND(LEFT(C16,1)="d",OR(D16&gt;="7:00"*1,H16&gt;"22:00"*1)),Prime!$G$4,"")&amp;IF(AND(LEFT(C16,1)="s",H16&gt;="24:00"*1),Prime!$G$4,"")</f>
        <v/>
      </c>
      <c r="N16" s="31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0.29930555555555555</v>
      </c>
      <c r="R16" s="143">
        <f t="shared" si="5"/>
        <v>7.1833333333333336</v>
      </c>
      <c r="S16" s="144">
        <v>7.18</v>
      </c>
      <c r="T16" s="141">
        <f t="shared" si="4"/>
        <v>3.3333333333338544E-3</v>
      </c>
      <c r="U16" s="126"/>
    </row>
    <row r="17" spans="1:21" s="1" customFormat="1" x14ac:dyDescent="0.25">
      <c r="A17" s="3"/>
      <c r="B17" s="493">
        <v>41407</v>
      </c>
      <c r="C17" s="499" t="s">
        <v>198</v>
      </c>
      <c r="D17" s="239">
        <v>0</v>
      </c>
      <c r="E17" s="239">
        <v>0</v>
      </c>
      <c r="F17" s="240">
        <f t="shared" si="0"/>
        <v>0</v>
      </c>
      <c r="G17" s="239"/>
      <c r="H17" s="239"/>
      <c r="I17" s="240">
        <f t="shared" si="1"/>
        <v>0</v>
      </c>
      <c r="J17" s="266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92" t="str">
        <f>IF(H17&gt;"21:30"*1,Prime!$F$4,"")</f>
        <v/>
      </c>
      <c r="M17" s="293" t="str">
        <f>IF(AND(LEFT(C17,1)="d",OR(D17&gt;="7:00"*1,H17&gt;"22:00"*1)),Prime!$G$4,"")&amp;IF(AND(LEFT(C17,1)="s",H17&gt;="24:00"*1),Prime!$G$4,"")</f>
        <v/>
      </c>
      <c r="N17" s="31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</v>
      </c>
      <c r="R17" s="143">
        <f t="shared" si="5"/>
        <v>0</v>
      </c>
      <c r="S17" s="144">
        <v>0</v>
      </c>
      <c r="T17" s="141" t="str">
        <f t="shared" si="4"/>
        <v>0,000</v>
      </c>
      <c r="U17" s="126"/>
    </row>
    <row r="18" spans="1:21" s="1" customFormat="1" x14ac:dyDescent="0.25">
      <c r="A18" s="3"/>
      <c r="B18" s="493">
        <v>41408</v>
      </c>
      <c r="C18" s="499" t="s">
        <v>1</v>
      </c>
      <c r="D18" s="239">
        <v>0</v>
      </c>
      <c r="E18" s="239">
        <v>0</v>
      </c>
      <c r="F18" s="240">
        <f t="shared" si="0"/>
        <v>0</v>
      </c>
      <c r="G18" s="239"/>
      <c r="H18" s="239"/>
      <c r="I18" s="240">
        <f t="shared" si="1"/>
        <v>0</v>
      </c>
      <c r="J18" s="266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92" t="str">
        <f>IF(H18&gt;"21:30"*1,Prime!$F$4,"")</f>
        <v/>
      </c>
      <c r="M18" s="293" t="str">
        <f>IF(AND(LEFT(C18,1)="d",OR(D18&gt;="7:00"*1,H18&gt;"22:00"*1)),Prime!$G$4,"")&amp;IF(AND(LEFT(C18,1)="s",H18&gt;="24:00"*1),Prime!$G$4,"")</f>
        <v/>
      </c>
      <c r="N18" s="319" t="str">
        <f>IF(ISNUMBER(FIND("F",C18)),Prime!$I$4,IF(ISNUMBER(FIND("CDS",C18)),Prime!$I$4,""))</f>
        <v/>
      </c>
      <c r="O18" s="241"/>
      <c r="P18" s="242" t="str">
        <f>IF(ISBLANK(O18),"",O18*24)</f>
        <v/>
      </c>
      <c r="Q18" s="142">
        <f t="shared" si="3"/>
        <v>0</v>
      </c>
      <c r="R18" s="143">
        <f t="shared" si="5"/>
        <v>0</v>
      </c>
      <c r="S18" s="144">
        <v>0</v>
      </c>
      <c r="T18" s="141" t="str">
        <f t="shared" si="4"/>
        <v>0,000</v>
      </c>
      <c r="U18" s="126"/>
    </row>
    <row r="19" spans="1:21" s="1" customFormat="1" x14ac:dyDescent="0.25">
      <c r="A19" s="3"/>
      <c r="B19" s="493">
        <v>41409</v>
      </c>
      <c r="C19" s="499" t="s">
        <v>72</v>
      </c>
      <c r="D19" s="239">
        <v>0.28333333333333333</v>
      </c>
      <c r="E19" s="239">
        <v>0.51111111111111118</v>
      </c>
      <c r="F19" s="240">
        <f t="shared" si="0"/>
        <v>0.22777777777777786</v>
      </c>
      <c r="G19" s="239">
        <v>0.69374999999999998</v>
      </c>
      <c r="H19" s="239">
        <v>0.81597222222222221</v>
      </c>
      <c r="I19" s="240">
        <f t="shared" si="1"/>
        <v>0.12222222222222223</v>
      </c>
      <c r="J19" s="266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92" t="str">
        <f>IF(H19&gt;"21:30"*1,Prime!$F$4,"")</f>
        <v/>
      </c>
      <c r="M19" s="293" t="str">
        <f>IF(AND(LEFT(C19,1)="d",OR(D19&gt;="7:00"*1,H19&gt;"22:00"*1)),Prime!$G$4,"")&amp;IF(AND(LEFT(C19,1)="s",H19&gt;="24:00"*1),Prime!$G$4,"")</f>
        <v/>
      </c>
      <c r="N19" s="319" t="str">
        <f>IF(ISNUMBER(FIND("F",C19)),Prime!$I$4,IF(ISNUMBER(FIND("CDS",C19)),Prime!$I$4,""))</f>
        <v/>
      </c>
      <c r="O19" s="241"/>
      <c r="P19" s="242" t="str">
        <f t="shared" ref="P19:P33" si="6">IF(ISBLANK(O19),"",O19*24)</f>
        <v/>
      </c>
      <c r="Q19" s="142">
        <f t="shared" si="3"/>
        <v>0.35000000000000009</v>
      </c>
      <c r="R19" s="143">
        <f t="shared" si="5"/>
        <v>8.4000000000000021</v>
      </c>
      <c r="S19" s="144">
        <v>8.4</v>
      </c>
      <c r="T19" s="141">
        <f t="shared" si="4"/>
        <v>1.7763568394002505E-15</v>
      </c>
      <c r="U19" s="126"/>
    </row>
    <row r="20" spans="1:21" s="1" customFormat="1" x14ac:dyDescent="0.25">
      <c r="A20" s="3"/>
      <c r="B20" s="493">
        <v>41410</v>
      </c>
      <c r="C20" s="499" t="s">
        <v>42</v>
      </c>
      <c r="D20" s="239"/>
      <c r="E20" s="239"/>
      <c r="F20" s="240">
        <f t="shared" si="0"/>
        <v>0</v>
      </c>
      <c r="G20" s="239">
        <v>0.49652777777777773</v>
      </c>
      <c r="H20" s="239">
        <v>0.82986111111111116</v>
      </c>
      <c r="I20" s="240">
        <f t="shared" si="1"/>
        <v>0.33333333333333343</v>
      </c>
      <c r="J20" s="266" t="str">
        <f>IF(COUNTA(D20:E20,G20:H20)=5,Prime!$E$4,IF(AND(D20&lt;="5:01"*1,D20&gt;"2:00"*1),Prime!$E$4,IF(AND(H20&gt;="22:00"*1,H20&lt;="26:01"*1),Prime!$E$4,"")))</f>
        <v/>
      </c>
      <c r="K20" s="231">
        <f>IF(COUNTA(D20:E20,G20:H20)=5,Prime!$E$4,IF(AND(E20&gt;="13:15"*1,G20&lt;""),Prime!$E$4,IF(AND(G20&gt;="11:00"*1,G20&lt;="12:15"*1),Prime!$E$4,"")))</f>
        <v>17.7056</v>
      </c>
      <c r="L20" s="292" t="str">
        <f>IF(H20&gt;"21:30"*1,Prime!$F$4,"")</f>
        <v/>
      </c>
      <c r="M20" s="293" t="str">
        <f>IF(AND(LEFT(C20,1)="d",OR(D20&gt;="7:00"*1,H20&gt;"22:00"*1)),Prime!$G$4,"")&amp;IF(AND(LEFT(C20,1)="s",H20&gt;="24:00"*1),Prime!$G$4,"")</f>
        <v/>
      </c>
      <c r="N20" s="319" t="str">
        <f>IF(ISNUMBER(FIND("F",C20)),Prime!$I$4,IF(ISNUMBER(FIND("CDS",C20)),Prime!$I$4,""))</f>
        <v/>
      </c>
      <c r="O20" s="241"/>
      <c r="P20" s="242" t="str">
        <f t="shared" si="6"/>
        <v/>
      </c>
      <c r="Q20" s="142">
        <f t="shared" si="3"/>
        <v>0.33333333333333343</v>
      </c>
      <c r="R20" s="143">
        <f t="shared" si="5"/>
        <v>8.0000000000000018</v>
      </c>
      <c r="S20" s="144">
        <v>8</v>
      </c>
      <c r="T20" s="141">
        <f t="shared" si="4"/>
        <v>1.7763568394002505E-15</v>
      </c>
      <c r="U20" s="126"/>
    </row>
    <row r="21" spans="1:21" s="1" customFormat="1" x14ac:dyDescent="0.25">
      <c r="A21" s="3"/>
      <c r="B21" s="493">
        <v>41411</v>
      </c>
      <c r="C21" s="499" t="s">
        <v>42</v>
      </c>
      <c r="D21" s="239"/>
      <c r="E21" s="239"/>
      <c r="F21" s="240">
        <f t="shared" si="0"/>
        <v>0</v>
      </c>
      <c r="G21" s="239">
        <v>0.49652777777777773</v>
      </c>
      <c r="H21" s="239">
        <v>0.82986111111111116</v>
      </c>
      <c r="I21" s="240">
        <f t="shared" si="1"/>
        <v>0.33333333333333343</v>
      </c>
      <c r="J21" s="266" t="str">
        <f>IF(COUNTA(D21:E21,G21:H21)=5,Prime!$E$4,IF(AND(D21&lt;="5:01"*1,D21&gt;"2:00"*1),Prime!$E$4,IF(AND(H21&gt;="22:00"*1,H21&lt;="26:01"*1),Prime!$E$4,"")))</f>
        <v/>
      </c>
      <c r="K21" s="231">
        <f>IF(COUNTA(D21:E21,G21:H21)=5,Prime!$E$4,IF(AND(E21&gt;="13:15"*1,G21&lt;""),Prime!$E$4,IF(AND(G21&gt;="11:00"*1,G21&lt;="12:15"*1),Prime!$E$4,"")))</f>
        <v>17.7056</v>
      </c>
      <c r="L21" s="292" t="str">
        <f>IF(H21&gt;"21:30"*1,Prime!$F$4,"")</f>
        <v/>
      </c>
      <c r="M21" s="293" t="str">
        <f>IF(AND(LEFT(C21,1)="d",OR(D21&gt;="7:00"*1,H21&gt;"22:00"*1)),Prime!$G$4,"")&amp;IF(AND(LEFT(C21,1)="s",H21&gt;="24:00"*1),Prime!$G$4,"")</f>
        <v/>
      </c>
      <c r="N21" s="319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0.33333333333333343</v>
      </c>
      <c r="R21" s="143">
        <f t="shared" si="5"/>
        <v>8.0000000000000018</v>
      </c>
      <c r="S21" s="144">
        <v>8</v>
      </c>
      <c r="T21" s="141">
        <f t="shared" si="4"/>
        <v>1.7763568394002505E-15</v>
      </c>
      <c r="U21" s="126"/>
    </row>
    <row r="22" spans="1:21" s="1" customFormat="1" x14ac:dyDescent="0.25">
      <c r="A22" s="3"/>
      <c r="B22" s="493">
        <v>41412</v>
      </c>
      <c r="C22" s="499" t="s">
        <v>92</v>
      </c>
      <c r="D22" s="239"/>
      <c r="E22" s="239"/>
      <c r="F22" s="240">
        <f t="shared" si="0"/>
        <v>0</v>
      </c>
      <c r="G22" s="239">
        <v>0.5625</v>
      </c>
      <c r="H22" s="239">
        <v>0.89722222222222225</v>
      </c>
      <c r="I22" s="240">
        <f t="shared" si="1"/>
        <v>0.33472222222222225</v>
      </c>
      <c r="J22" s="266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92">
        <f>IF(H22&gt;"21:30"*1,Prime!$F$4,"")</f>
        <v>17.7056</v>
      </c>
      <c r="M22" s="293" t="str">
        <f>IF(AND(LEFT(C22,1)="d",OR(D22&gt;="7:00"*1,H22&gt;"22:00"*1)),Prime!$G$4,"")&amp;IF(AND(LEFT(C22,1)="s",H22&gt;="24:00"*1),Prime!$G$4,"")</f>
        <v/>
      </c>
      <c r="N22" s="319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0.33472222222222225</v>
      </c>
      <c r="R22" s="143">
        <f t="shared" si="5"/>
        <v>8.033333333333335</v>
      </c>
      <c r="S22" s="144">
        <v>7.95</v>
      </c>
      <c r="T22" s="141">
        <f t="shared" si="4"/>
        <v>8.3333333333334814E-2</v>
      </c>
      <c r="U22" s="126"/>
    </row>
    <row r="23" spans="1:21" s="1" customFormat="1" x14ac:dyDescent="0.25">
      <c r="A23" s="3"/>
      <c r="B23" s="493">
        <v>41413</v>
      </c>
      <c r="C23" s="499" t="s">
        <v>212</v>
      </c>
      <c r="D23" s="239"/>
      <c r="E23" s="239"/>
      <c r="F23" s="240">
        <f t="shared" si="0"/>
        <v>0</v>
      </c>
      <c r="G23" s="239">
        <v>0.58124999999999993</v>
      </c>
      <c r="H23" s="239">
        <v>0.90555555555555556</v>
      </c>
      <c r="I23" s="240">
        <f t="shared" si="1"/>
        <v>0.32430555555555562</v>
      </c>
      <c r="J23" s="266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92">
        <f>IF(H23&gt;"21:30"*1,Prime!$F$4,"")</f>
        <v>17.7056</v>
      </c>
      <c r="M23" s="293" t="str">
        <f>IF(AND(LEFT(C23,1)="d",OR(D23&gt;="7:00"*1,H23&gt;"22:00"*1)),Prime!$G$4,"")&amp;IF(AND(LEFT(C23,1)="s",H23&gt;="24:00"*1),Prime!$G$4,"")</f>
        <v/>
      </c>
      <c r="N23" s="319" t="str">
        <f>IF(ISNUMBER(FIND("F",C23)),Prime!$I$4,IF(ISNUMBER(FIND("CDS",C23)),Prime!$I$4,""))</f>
        <v/>
      </c>
      <c r="O23" s="241"/>
      <c r="P23" s="242" t="str">
        <f t="shared" si="6"/>
        <v/>
      </c>
      <c r="Q23" s="142">
        <f t="shared" si="3"/>
        <v>0.32430555555555562</v>
      </c>
      <c r="R23" s="143">
        <f t="shared" si="5"/>
        <v>7.783333333333335</v>
      </c>
      <c r="S23" s="144">
        <v>7.78</v>
      </c>
      <c r="T23" s="141">
        <f t="shared" si="4"/>
        <v>3.3333333333347426E-3</v>
      </c>
      <c r="U23" s="126"/>
    </row>
    <row r="24" spans="1:21" s="1" customFormat="1" x14ac:dyDescent="0.25">
      <c r="A24" s="3"/>
      <c r="B24" s="493">
        <v>41414</v>
      </c>
      <c r="C24" s="499" t="s">
        <v>198</v>
      </c>
      <c r="D24" s="239">
        <v>0</v>
      </c>
      <c r="E24" s="239">
        <v>0</v>
      </c>
      <c r="F24" s="240">
        <f t="shared" si="0"/>
        <v>0</v>
      </c>
      <c r="G24" s="239"/>
      <c r="H24" s="239"/>
      <c r="I24" s="240">
        <f t="shared" si="1"/>
        <v>0</v>
      </c>
      <c r="J24" s="266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92" t="str">
        <f>IF(H24&gt;"21:30"*1,Prime!$F$4,"")</f>
        <v/>
      </c>
      <c r="M24" s="293" t="str">
        <f>IF(AND(LEFT(C24,1)="d",OR(D24&gt;="7:00"*1,H24&gt;"22:00"*1)),Prime!$G$4,"")&amp;IF(AND(LEFT(C24,1)="s",H24&gt;="24:00"*1),Prime!$G$4,"")</f>
        <v/>
      </c>
      <c r="N24" s="319" t="str">
        <f>IF(ISNUMBER(FIND("F",C24)),Prime!$I$4,IF(ISNUMBER(FIND("CDS",C24)),Prime!$I$4,""))</f>
        <v/>
      </c>
      <c r="O24" s="241"/>
      <c r="P24" s="242" t="str">
        <f t="shared" si="6"/>
        <v/>
      </c>
      <c r="Q24" s="142">
        <f t="shared" si="3"/>
        <v>0</v>
      </c>
      <c r="R24" s="143">
        <f t="shared" si="5"/>
        <v>0</v>
      </c>
      <c r="S24" s="144">
        <v>0</v>
      </c>
      <c r="T24" s="141" t="str">
        <f t="shared" si="4"/>
        <v>0,000</v>
      </c>
      <c r="U24" s="126"/>
    </row>
    <row r="25" spans="1:21" s="1" customFormat="1" x14ac:dyDescent="0.25">
      <c r="A25" s="3"/>
      <c r="B25" s="493">
        <v>41415</v>
      </c>
      <c r="C25" s="499" t="s">
        <v>93</v>
      </c>
      <c r="D25" s="239">
        <v>0.25</v>
      </c>
      <c r="E25" s="239">
        <v>0.58194444444444449</v>
      </c>
      <c r="F25" s="240">
        <f t="shared" si="0"/>
        <v>0.33194444444444449</v>
      </c>
      <c r="G25" s="239"/>
      <c r="H25" s="239"/>
      <c r="I25" s="240">
        <f t="shared" si="1"/>
        <v>0</v>
      </c>
      <c r="J25" s="266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92" t="str">
        <f>IF(H25&gt;"21:30"*1,Prime!$F$4,"")</f>
        <v/>
      </c>
      <c r="M25" s="293" t="str">
        <f>IF(AND(LEFT(C25,1)="d",OR(D25&gt;="7:00"*1,H25&gt;"22:00"*1)),Prime!$G$4,"")&amp;IF(AND(LEFT(C25,1)="s",H25&gt;="24:00"*1),Prime!$G$4,"")</f>
        <v/>
      </c>
      <c r="N25" s="319" t="str">
        <f>IF(ISNUMBER(FIND("F",C25)),Prime!$I$4,IF(ISNUMBER(FIND("CDS",C25)),Prime!$I$4,""))</f>
        <v/>
      </c>
      <c r="O25" s="241"/>
      <c r="P25" s="242" t="str">
        <f t="shared" si="6"/>
        <v/>
      </c>
      <c r="Q25" s="142">
        <f t="shared" si="3"/>
        <v>0.33194444444444449</v>
      </c>
      <c r="R25" s="143">
        <f t="shared" si="5"/>
        <v>7.9666666666666677</v>
      </c>
      <c r="S25" s="144">
        <v>7.97</v>
      </c>
      <c r="T25" s="141">
        <f t="shared" si="4"/>
        <v>-3.333333333332078E-3</v>
      </c>
      <c r="U25" s="126"/>
    </row>
    <row r="26" spans="1:21" s="1" customFormat="1" x14ac:dyDescent="0.25">
      <c r="A26" s="3"/>
      <c r="B26" s="493">
        <v>41416</v>
      </c>
      <c r="C26" s="499" t="s">
        <v>94</v>
      </c>
      <c r="D26" s="239">
        <v>0.24652777777777779</v>
      </c>
      <c r="E26" s="239">
        <v>0.5756944444444444</v>
      </c>
      <c r="F26" s="240">
        <f t="shared" si="0"/>
        <v>0.32916666666666661</v>
      </c>
      <c r="G26" s="239"/>
      <c r="H26" s="239"/>
      <c r="I26" s="240">
        <f t="shared" si="1"/>
        <v>0</v>
      </c>
      <c r="J26" s="266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92" t="str">
        <f>IF(H26&gt;"21:30"*1,Prime!$F$4,"")</f>
        <v/>
      </c>
      <c r="M26" s="293" t="str">
        <f>IF(AND(LEFT(C26,1)="d",OR(D26&gt;="7:00"*1,H26&gt;"22:00"*1)),Prime!$G$4,"")&amp;IF(AND(LEFT(C26,1)="s",H26&gt;="24:00"*1),Prime!$G$4,"")</f>
        <v/>
      </c>
      <c r="N26" s="319" t="str">
        <f>IF(ISNUMBER(FIND("F",C26)),Prime!$I$4,IF(ISNUMBER(FIND("CDS",C26)),Prime!$I$4,""))</f>
        <v/>
      </c>
      <c r="O26" s="241"/>
      <c r="P26" s="242" t="str">
        <f t="shared" si="6"/>
        <v/>
      </c>
      <c r="Q26" s="142">
        <f t="shared" si="3"/>
        <v>0.32916666666666661</v>
      </c>
      <c r="R26" s="143">
        <f t="shared" si="5"/>
        <v>7.8999999999999986</v>
      </c>
      <c r="S26" s="144">
        <v>7.87</v>
      </c>
      <c r="T26" s="141">
        <f t="shared" si="4"/>
        <v>2.9999999999998472E-2</v>
      </c>
      <c r="U26" s="126"/>
    </row>
    <row r="27" spans="1:21" s="1" customFormat="1" x14ac:dyDescent="0.25">
      <c r="A27" s="3"/>
      <c r="B27" s="493">
        <v>41417</v>
      </c>
      <c r="C27" s="499" t="s">
        <v>95</v>
      </c>
      <c r="D27" s="239">
        <v>0.25277777777777777</v>
      </c>
      <c r="E27" s="239">
        <v>0.55833333333333335</v>
      </c>
      <c r="F27" s="240">
        <f t="shared" si="0"/>
        <v>0.30555555555555558</v>
      </c>
      <c r="G27" s="239"/>
      <c r="H27" s="239"/>
      <c r="I27" s="240">
        <f t="shared" si="1"/>
        <v>0</v>
      </c>
      <c r="J27" s="266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92" t="str">
        <f>IF(H27&gt;"21:30"*1,Prime!$F$4,"")</f>
        <v/>
      </c>
      <c r="M27" s="293" t="str">
        <f>IF(AND(LEFT(C27,1)="d",OR(D27&gt;="7:00"*1,H27&gt;"22:00"*1)),Prime!$G$4,"")&amp;IF(AND(LEFT(C27,1)="s",H27&gt;="24:00"*1),Prime!$G$4,"")</f>
        <v/>
      </c>
      <c r="N27" s="319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0.30555555555555558</v>
      </c>
      <c r="R27" s="143">
        <f t="shared" si="5"/>
        <v>7.3333333333333339</v>
      </c>
      <c r="S27" s="144">
        <v>0</v>
      </c>
      <c r="T27" s="141">
        <f t="shared" si="4"/>
        <v>7.3333333333333339</v>
      </c>
      <c r="U27" s="126"/>
    </row>
    <row r="28" spans="1:21" s="1" customFormat="1" x14ac:dyDescent="0.25">
      <c r="A28" s="3"/>
      <c r="B28" s="493">
        <v>41418</v>
      </c>
      <c r="C28" s="499" t="s">
        <v>84</v>
      </c>
      <c r="D28" s="239">
        <v>0</v>
      </c>
      <c r="E28" s="239">
        <v>0</v>
      </c>
      <c r="F28" s="240">
        <f t="shared" si="0"/>
        <v>0</v>
      </c>
      <c r="G28" s="239"/>
      <c r="H28" s="239"/>
      <c r="I28" s="240">
        <f t="shared" si="1"/>
        <v>0</v>
      </c>
      <c r="J28" s="266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92" t="str">
        <f>IF(H28&gt;"21:30"*1,Prime!$F$4,"")</f>
        <v/>
      </c>
      <c r="M28" s="293" t="str">
        <f>IF(AND(LEFT(C28,1)="d",OR(D28&gt;="7:00"*1,H28&gt;"22:00"*1)),Prime!$G$4,"")&amp;IF(AND(LEFT(C28,1)="s",H28&gt;="24:00"*1),Prime!$G$4,"")</f>
        <v/>
      </c>
      <c r="N28" s="319">
        <f>IF(ISNUMBER(FIND("F",C28)),Prime!$I$4,IF(ISNUMBER(FIND("CDS",C28)),Prime!$I$4,""))</f>
        <v>104.9325</v>
      </c>
      <c r="O28" s="241"/>
      <c r="P28" s="242" t="str">
        <f t="shared" si="6"/>
        <v/>
      </c>
      <c r="Q28" s="142">
        <f t="shared" si="3"/>
        <v>0</v>
      </c>
      <c r="R28" s="143">
        <f t="shared" si="5"/>
        <v>0</v>
      </c>
      <c r="S28" s="144">
        <v>0</v>
      </c>
      <c r="T28" s="141" t="str">
        <f t="shared" si="4"/>
        <v>0,000</v>
      </c>
      <c r="U28" s="126"/>
    </row>
    <row r="29" spans="1:21" s="1" customFormat="1" x14ac:dyDescent="0.25">
      <c r="A29" s="3"/>
      <c r="B29" s="493">
        <v>41419</v>
      </c>
      <c r="C29" s="499" t="s">
        <v>58</v>
      </c>
      <c r="D29" s="239">
        <v>0.26527777777777778</v>
      </c>
      <c r="E29" s="239">
        <v>0.58402777777777781</v>
      </c>
      <c r="F29" s="240">
        <f t="shared" si="0"/>
        <v>0.31875000000000003</v>
      </c>
      <c r="G29" s="239"/>
      <c r="H29" s="239"/>
      <c r="I29" s="240">
        <f t="shared" si="1"/>
        <v>0</v>
      </c>
      <c r="J29" s="266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92" t="str">
        <f>IF(H29&gt;"21:30"*1,Prime!$F$4,"")</f>
        <v/>
      </c>
      <c r="M29" s="293" t="str">
        <f>IF(AND(LEFT(C29,1)="d",OR(D29&gt;="7:00"*1,H29&gt;"22:00"*1)),Prime!$G$4,"")&amp;IF(AND(LEFT(C29,1)="s",H29&gt;="24:00"*1),Prime!$G$4,"")</f>
        <v/>
      </c>
      <c r="N29" s="319" t="str">
        <f>IF(ISNUMBER(FIND("F",C29)),Prime!$I$4,IF(ISNUMBER(FIND("CDS",C29)),Prime!$I$4,""))</f>
        <v/>
      </c>
      <c r="O29" s="241"/>
      <c r="P29" s="242" t="str">
        <f t="shared" si="6"/>
        <v/>
      </c>
      <c r="Q29" s="142">
        <f t="shared" si="3"/>
        <v>0.31875000000000003</v>
      </c>
      <c r="R29" s="143">
        <f t="shared" si="5"/>
        <v>7.65</v>
      </c>
      <c r="S29" s="144">
        <v>7.7</v>
      </c>
      <c r="T29" s="141">
        <f t="shared" si="4"/>
        <v>-4.9999999999999822E-2</v>
      </c>
      <c r="U29" s="126"/>
    </row>
    <row r="30" spans="1:21" s="1" customFormat="1" x14ac:dyDescent="0.25">
      <c r="A30" s="3"/>
      <c r="B30" s="493">
        <v>41420</v>
      </c>
      <c r="C30" s="499" t="s">
        <v>199</v>
      </c>
      <c r="D30" s="239">
        <v>0</v>
      </c>
      <c r="E30" s="239">
        <v>0</v>
      </c>
      <c r="F30" s="240">
        <f t="shared" si="0"/>
        <v>0</v>
      </c>
      <c r="G30" s="239"/>
      <c r="H30" s="239"/>
      <c r="I30" s="240">
        <f t="shared" si="1"/>
        <v>0</v>
      </c>
      <c r="J30" s="266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92" t="str">
        <f>IF(H30&gt;"21:30"*1,Prime!$F$4,"")</f>
        <v/>
      </c>
      <c r="M30" s="293" t="str">
        <f>IF(AND(LEFT(C30,1)="d",OR(D30&gt;="7:00"*1,H30&gt;"22:00"*1)),Prime!$G$4,"")&amp;IF(AND(LEFT(C30,1)="s",H30&gt;="24:00"*1),Prime!$G$4,"")</f>
        <v/>
      </c>
      <c r="N30" s="319" t="str">
        <f>IF(ISNUMBER(FIND("F",C30)),Prime!$I$4,IF(ISNUMBER(FIND("CDS",C30)),Prime!$I$4,""))</f>
        <v/>
      </c>
      <c r="O30" s="241"/>
      <c r="P30" s="242" t="str">
        <f t="shared" si="6"/>
        <v/>
      </c>
      <c r="Q30" s="142">
        <f t="shared" si="3"/>
        <v>0</v>
      </c>
      <c r="R30" s="143">
        <f t="shared" si="5"/>
        <v>0</v>
      </c>
      <c r="S30" s="144">
        <v>0</v>
      </c>
      <c r="T30" s="141" t="str">
        <f t="shared" si="4"/>
        <v>0,000</v>
      </c>
      <c r="U30" s="126"/>
    </row>
    <row r="31" spans="1:21" s="1" customFormat="1" x14ac:dyDescent="0.25">
      <c r="A31" s="3"/>
      <c r="B31" s="493">
        <v>41421</v>
      </c>
      <c r="C31" s="499" t="s">
        <v>198</v>
      </c>
      <c r="D31" s="239">
        <v>0</v>
      </c>
      <c r="E31" s="239">
        <v>0</v>
      </c>
      <c r="F31" s="240">
        <f t="shared" si="0"/>
        <v>0</v>
      </c>
      <c r="G31" s="239"/>
      <c r="H31" s="239"/>
      <c r="I31" s="240">
        <f t="shared" si="1"/>
        <v>0</v>
      </c>
      <c r="J31" s="266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92" t="str">
        <f>IF(H31&gt;"21:30"*1,Prime!$F$4,"")</f>
        <v/>
      </c>
      <c r="M31" s="293" t="str">
        <f>IF(AND(LEFT(C31,1)="d",OR(D31&gt;="7:00"*1,H31&gt;"22:00"*1)),Prime!$G$4,"")&amp;IF(AND(LEFT(C31,1)="s",H31&gt;="24:00"*1),Prime!$G$4,"")</f>
        <v/>
      </c>
      <c r="N31" s="319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</v>
      </c>
      <c r="R31" s="143">
        <f t="shared" si="5"/>
        <v>0</v>
      </c>
      <c r="S31" s="144">
        <v>0</v>
      </c>
      <c r="T31" s="141" t="str">
        <f t="shared" si="4"/>
        <v>0,000</v>
      </c>
      <c r="U31" s="126"/>
    </row>
    <row r="32" spans="1:21" s="1" customFormat="1" x14ac:dyDescent="0.25">
      <c r="A32" s="3"/>
      <c r="B32" s="493">
        <v>41422</v>
      </c>
      <c r="C32" s="499" t="s">
        <v>96</v>
      </c>
      <c r="D32" s="239">
        <v>0.26250000000000001</v>
      </c>
      <c r="E32" s="239">
        <v>0.58472222222222225</v>
      </c>
      <c r="F32" s="240">
        <f t="shared" si="0"/>
        <v>0.32222222222222224</v>
      </c>
      <c r="G32" s="239"/>
      <c r="H32" s="239"/>
      <c r="I32" s="240">
        <f t="shared" si="1"/>
        <v>0</v>
      </c>
      <c r="J32" s="266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92" t="str">
        <f>IF(H32&gt;"21:30"*1,Prime!$F$4,"")</f>
        <v/>
      </c>
      <c r="M32" s="293" t="str">
        <f>IF(AND(LEFT(C32,1)="d",OR(D32&gt;="7:00"*1,H32&gt;"22:00"*1)),Prime!$G$4,"")&amp;IF(AND(LEFT(C32,1)="s",H32&gt;="24:00"*1),Prime!$G$4,"")</f>
        <v/>
      </c>
      <c r="N32" s="319" t="str">
        <f>IF(ISNUMBER(FIND("F",C32)),Prime!$I$4,IF(ISNUMBER(FIND("CDS",C32)),Prime!$I$4,""))</f>
        <v/>
      </c>
      <c r="O32" s="241"/>
      <c r="P32" s="242" t="str">
        <f t="shared" si="6"/>
        <v/>
      </c>
      <c r="Q32" s="142">
        <f t="shared" si="3"/>
        <v>0.32222222222222224</v>
      </c>
      <c r="R32" s="143">
        <f t="shared" si="5"/>
        <v>7.7333333333333343</v>
      </c>
      <c r="S32" s="144">
        <v>7.73</v>
      </c>
      <c r="T32" s="141">
        <f t="shared" si="4"/>
        <v>3.3333333333338544E-3</v>
      </c>
      <c r="U32" s="126"/>
    </row>
    <row r="33" spans="1:21" s="1" customFormat="1" x14ac:dyDescent="0.25">
      <c r="A33" s="3"/>
      <c r="B33" s="493">
        <v>41423</v>
      </c>
      <c r="C33" s="499" t="s">
        <v>97</v>
      </c>
      <c r="D33" s="239">
        <v>0.19791666666666666</v>
      </c>
      <c r="E33" s="239">
        <v>0.52777777777777779</v>
      </c>
      <c r="F33" s="240">
        <f t="shared" si="0"/>
        <v>0.32986111111111116</v>
      </c>
      <c r="G33" s="239"/>
      <c r="H33" s="239"/>
      <c r="I33" s="240">
        <f t="shared" si="1"/>
        <v>0</v>
      </c>
      <c r="J33" s="266">
        <f>IF(COUNTA(D33:E33,G33:H33)=5,Prime!$E$4,IF(AND(D33&lt;="5:01"*1,D33&gt;"2:00"*1),Prime!$E$4,IF(AND(H33&gt;="22:00"*1,H33&lt;="26:01"*1),Prime!$E$4,"")))</f>
        <v>17.7056</v>
      </c>
      <c r="K33" s="231" t="str">
        <f>IF(COUNTA(D33:E33,G33:H33)=5,Prime!$E$4,IF(AND(E33&gt;="13:15"*1,G33&lt;""),Prime!$E$4,IF(AND(G33&gt;="11:00"*1,G33&lt;="12:15"*1),Prime!$E$4,"")))</f>
        <v/>
      </c>
      <c r="L33" s="292" t="str">
        <f>IF(H33&gt;"21:30"*1,Prime!$F$4,"")</f>
        <v/>
      </c>
      <c r="M33" s="293" t="str">
        <f>IF(AND(LEFT(C33,1)="d",OR(D33&gt;="7:00"*1,H33&gt;"22:00"*1)),Prime!$G$4,"")&amp;IF(AND(LEFT(C33,1)="s",H33&gt;="24:00"*1),Prime!$G$4,"")</f>
        <v/>
      </c>
      <c r="N33" s="319" t="str">
        <f>IF(ISNUMBER(FIND("F",C33)),Prime!$I$4,IF(ISNUMBER(FIND("CDS",C33)),Prime!$I$4,""))</f>
        <v/>
      </c>
      <c r="O33" s="241">
        <v>6.9444444444444441E-3</v>
      </c>
      <c r="P33" s="242">
        <f t="shared" si="6"/>
        <v>0.16666666666666666</v>
      </c>
      <c r="Q33" s="142">
        <f t="shared" si="3"/>
        <v>0.32986111111111116</v>
      </c>
      <c r="R33" s="143">
        <f t="shared" si="5"/>
        <v>7.9166666666666679</v>
      </c>
      <c r="S33" s="144">
        <v>7.97</v>
      </c>
      <c r="T33" s="141">
        <f t="shared" si="4"/>
        <v>-5.33333333333319E-2</v>
      </c>
      <c r="U33" s="126"/>
    </row>
    <row r="34" spans="1:21" s="1" customFormat="1" ht="16.5" thickBot="1" x14ac:dyDescent="0.3">
      <c r="A34" s="3"/>
      <c r="B34" s="501">
        <v>41424</v>
      </c>
      <c r="C34" s="500" t="s">
        <v>98</v>
      </c>
      <c r="D34" s="243"/>
      <c r="E34" s="243"/>
      <c r="F34" s="244">
        <f t="shared" si="0"/>
        <v>0</v>
      </c>
      <c r="G34" s="243">
        <v>0.52777777777777779</v>
      </c>
      <c r="H34" s="243">
        <v>0.85902777777777783</v>
      </c>
      <c r="I34" s="244">
        <f t="shared" si="1"/>
        <v>0.33125000000000004</v>
      </c>
      <c r="J34" s="267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94" t="str">
        <f>IF(H34&gt;"21:30"*1,Prime!$F$4,"")</f>
        <v/>
      </c>
      <c r="M34" s="295" t="str">
        <f>IF(AND(LEFT(C34,1)="d",OR(D34&gt;="7:00"*1,H34&gt;"22:00"*1)),Prime!$G$4,"")&amp;IF(AND(LEFT(C34,1)="s",H34&gt;="24:00"*1),Prime!$G$4,"")</f>
        <v/>
      </c>
      <c r="N34" s="320" t="str">
        <f>IF(ISNUMBER(FIND("F",C34)),Prime!$I$4,IF(ISNUMBER(FIND("CDS",C34)),Prime!$I$4,""))</f>
        <v/>
      </c>
      <c r="O34" s="245"/>
      <c r="P34" s="247"/>
      <c r="Q34" s="145">
        <f t="shared" si="3"/>
        <v>0.33125000000000004</v>
      </c>
      <c r="R34" s="146">
        <f t="shared" si="5"/>
        <v>7.9500000000000011</v>
      </c>
      <c r="S34" s="147">
        <v>7.95</v>
      </c>
      <c r="T34" s="148">
        <f t="shared" si="4"/>
        <v>8.8817841970012523E-16</v>
      </c>
      <c r="U34" s="126"/>
    </row>
    <row r="35" spans="1:21" s="1" customFormat="1" x14ac:dyDescent="0.25">
      <c r="A35" s="3"/>
      <c r="B35" s="4"/>
      <c r="C35" s="4"/>
      <c r="D35" s="4"/>
      <c r="E35" s="3"/>
      <c r="F35" s="3"/>
      <c r="G35" s="3"/>
      <c r="H35" s="3"/>
      <c r="I35" s="3"/>
      <c r="J35" s="181"/>
      <c r="K35" s="183"/>
      <c r="L35" s="186"/>
      <c r="M35" s="150"/>
      <c r="N35" s="150"/>
      <c r="O35" s="126"/>
      <c r="Q35" s="124"/>
      <c r="R35" s="20"/>
      <c r="S35" s="21"/>
      <c r="T35" s="151"/>
      <c r="U35" s="126"/>
    </row>
    <row r="36" spans="1:21" s="1" customFormat="1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27</v>
      </c>
      <c r="D36" s="4"/>
      <c r="E36" s="3"/>
      <c r="F36" s="3"/>
      <c r="G36" s="3"/>
      <c r="H36" s="3"/>
      <c r="I36" s="3"/>
      <c r="J36" s="182">
        <f>SUM(J4:J34)</f>
        <v>53.116799999999998</v>
      </c>
      <c r="K36" s="308">
        <f>SUM(K4:K34)</f>
        <v>70.822400000000002</v>
      </c>
      <c r="L36" s="184">
        <f>SUM(L4:L34)</f>
        <v>88.528000000000006</v>
      </c>
      <c r="M36" s="152">
        <f>SUM(M4:M34)</f>
        <v>0</v>
      </c>
      <c r="N36" s="317">
        <f>SUM(N4:N34)</f>
        <v>314.79750000000001</v>
      </c>
      <c r="O36" s="153">
        <f>SUM(O4:O34)/24</f>
        <v>1.3310185185185185E-3</v>
      </c>
      <c r="P36" s="194">
        <f>SUM(P4:P32)</f>
        <v>0.6</v>
      </c>
      <c r="Q36" s="154">
        <f>SUM(Q4:Q34)</f>
        <v>7.2159722222222227</v>
      </c>
      <c r="R36" s="63">
        <f>SUM(R4:R34)</f>
        <v>173.18333333333331</v>
      </c>
      <c r="S36" s="64">
        <f>SUM(S3:S34)</f>
        <v>164.90999999999997</v>
      </c>
      <c r="T36" s="151">
        <f>R36-S36</f>
        <v>8.2733333333333405</v>
      </c>
      <c r="U36" s="155"/>
    </row>
    <row r="37" spans="1:21" s="1" customFormat="1" x14ac:dyDescent="0.25">
      <c r="A37" s="3"/>
      <c r="B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  <c r="Q37" s="24"/>
    </row>
    <row r="38" spans="1:21" s="1" customFormat="1" x14ac:dyDescent="0.25">
      <c r="B38" s="447"/>
      <c r="M38" s="525" t="s">
        <v>100</v>
      </c>
      <c r="N38" s="525"/>
      <c r="O38" s="525"/>
      <c r="P38" s="178"/>
      <c r="Q38" s="156">
        <v>6.1895833333333341</v>
      </c>
      <c r="R38" s="65">
        <v>148.19999999999999</v>
      </c>
    </row>
    <row r="39" spans="1:21" s="1" customFormat="1" ht="15" x14ac:dyDescent="0.25">
      <c r="B39" s="447"/>
    </row>
    <row r="40" spans="1:21" x14ac:dyDescent="0.25">
      <c r="M40" s="521" t="s">
        <v>39</v>
      </c>
      <c r="N40" s="521"/>
      <c r="O40" s="521"/>
      <c r="P40" s="177"/>
      <c r="Q40" s="68">
        <f>(Q36-Q38)</f>
        <v>1.0263888888888886</v>
      </c>
      <c r="R40" s="69">
        <f>Q40*24</f>
        <v>24.633333333333326</v>
      </c>
    </row>
  </sheetData>
  <mergeCells count="6">
    <mergeCell ref="Q2:T2"/>
    <mergeCell ref="M40:O40"/>
    <mergeCell ref="D3:E3"/>
    <mergeCell ref="G3:H3"/>
    <mergeCell ref="B1:L1"/>
    <mergeCell ref="M38:O38"/>
  </mergeCells>
  <conditionalFormatting sqref="Q40">
    <cfRule type="cellIs" dxfId="41" priority="5" operator="lessThan">
      <formula>0</formula>
    </cfRule>
  </conditionalFormatting>
  <conditionalFormatting sqref="T4:T34">
    <cfRule type="cellIs" dxfId="40" priority="3" operator="greaterThanOrEqual">
      <formula>0.001</formula>
    </cfRule>
    <cfRule type="cellIs" dxfId="39" priority="4" operator="lessThan">
      <formula>0</formula>
    </cfRule>
  </conditionalFormatting>
  <conditionalFormatting sqref="T35:T36">
    <cfRule type="cellIs" dxfId="38" priority="1" operator="greaterThanOrEqual">
      <formula>0.001</formula>
    </cfRule>
    <cfRule type="cellIs" dxfId="37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U41"/>
  <sheetViews>
    <sheetView workbookViewId="0">
      <selection activeCell="B3" sqref="B3:B34"/>
    </sheetView>
  </sheetViews>
  <sheetFormatPr baseColWidth="10" defaultRowHeight="15" x14ac:dyDescent="0.25"/>
  <cols>
    <col min="1" max="1" width="2.7109375" customWidth="1"/>
    <col min="2" max="2" width="15.7109375" style="447" customWidth="1"/>
    <col min="3" max="3" width="14.7109375" style="1" customWidth="1"/>
    <col min="4" max="9" width="14.7109375" customWidth="1"/>
    <col min="10" max="10" width="14.7109375" style="1" customWidth="1"/>
    <col min="11" max="13" width="14.7109375" customWidth="1"/>
    <col min="14" max="14" width="14.7109375" style="1" customWidth="1"/>
    <col min="15" max="16" width="14.7109375" style="22" customWidth="1"/>
  </cols>
  <sheetData>
    <row r="1" spans="1:21" s="1" customFormat="1" ht="16.5" thickBot="1" x14ac:dyDescent="0.3">
      <c r="A1" s="3"/>
      <c r="B1" s="524" t="s">
        <v>6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s="1" customFormat="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s="1" customFormat="1" ht="16.5" thickBot="1" x14ac:dyDescent="0.3">
      <c r="A3" s="3"/>
      <c r="B3" s="507" t="s">
        <v>135</v>
      </c>
      <c r="C3" s="502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s="1" customFormat="1" ht="15.75" x14ac:dyDescent="0.25">
      <c r="A4" s="3"/>
      <c r="B4" s="493">
        <v>41425</v>
      </c>
      <c r="C4" s="498" t="s">
        <v>0</v>
      </c>
      <c r="D4" s="234">
        <v>0</v>
      </c>
      <c r="E4" s="234">
        <v>0</v>
      </c>
      <c r="F4" s="235">
        <f t="shared" ref="F4:F27" si="0">E4-D4</f>
        <v>0</v>
      </c>
      <c r="G4" s="234"/>
      <c r="H4" s="234"/>
      <c r="I4" s="235">
        <f t="shared" ref="I4:I27" si="1">H4-G4</f>
        <v>0</v>
      </c>
      <c r="J4" s="296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285" t="str">
        <f>IF(AND(LEFT(C4,1)="d",OR(D4&gt;="7:00"*1,H4&gt;"22:00"*1)),Prime!$G$4,"")&amp;IF(AND(LEFT(C4,1)="s",H4&gt;="24:00"*1),Prime!$G$4,"")</f>
        <v/>
      </c>
      <c r="N4" s="318" t="str">
        <f>IF(ISNUMBER(FIND("F",C4)),Prime!$I$4,IF(ISNUMBER(FIND("CDS",C4)),Prime!$I$4,""))</f>
        <v/>
      </c>
      <c r="O4" s="237"/>
      <c r="P4" s="238" t="str">
        <f t="shared" ref="P4:P17" si="2">IF(ISBLANK(O4),"",O4*24)</f>
        <v/>
      </c>
      <c r="Q4" s="138">
        <f t="shared" ref="Q4:Q34" si="3">(E4-D4)+(H4-G4)</f>
        <v>0</v>
      </c>
      <c r="R4" s="139">
        <f>Q4*24</f>
        <v>0</v>
      </c>
      <c r="S4" s="140">
        <v>0</v>
      </c>
      <c r="T4" s="141" t="str">
        <f>IF(R4-S4=0,"0,000",R4-S4)</f>
        <v>0,000</v>
      </c>
      <c r="U4" s="126"/>
    </row>
    <row r="5" spans="1:21" s="1" customFormat="1" ht="15.75" x14ac:dyDescent="0.25">
      <c r="A5" s="3"/>
      <c r="B5" s="493">
        <v>41426</v>
      </c>
      <c r="C5" s="499" t="s">
        <v>19</v>
      </c>
      <c r="D5" s="239">
        <v>0</v>
      </c>
      <c r="E5" s="239">
        <v>0</v>
      </c>
      <c r="F5" s="240">
        <f t="shared" si="0"/>
        <v>0</v>
      </c>
      <c r="G5" s="239"/>
      <c r="H5" s="239"/>
      <c r="I5" s="240">
        <f t="shared" si="1"/>
        <v>0</v>
      </c>
      <c r="J5" s="297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287" t="str">
        <f>IF(AND(LEFT(C5,1)="d",OR(D5&gt;="7:00"*1,H5&gt;"22:00"*1)),Prime!$G$4,"")&amp;IF(AND(LEFT(C5,1)="s",H5&gt;="24:00"*1),Prime!$G$4,"")</f>
        <v/>
      </c>
      <c r="N5" s="31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</v>
      </c>
      <c r="R5" s="143">
        <f>Q5*24</f>
        <v>0</v>
      </c>
      <c r="S5" s="144">
        <v>0</v>
      </c>
      <c r="T5" s="141" t="str">
        <f t="shared" ref="T5:T34" si="4">IF(R5-S5=0,"0,000",R5-S5)</f>
        <v>0,000</v>
      </c>
      <c r="U5" s="126"/>
    </row>
    <row r="6" spans="1:21" s="1" customFormat="1" ht="15.75" x14ac:dyDescent="0.25">
      <c r="A6" s="3"/>
      <c r="B6" s="493">
        <v>41427</v>
      </c>
      <c r="C6" s="499" t="s">
        <v>213</v>
      </c>
      <c r="D6" s="239"/>
      <c r="E6" s="239"/>
      <c r="F6" s="240">
        <f t="shared" si="0"/>
        <v>0</v>
      </c>
      <c r="G6" s="239">
        <v>0.52986111111111112</v>
      </c>
      <c r="H6" s="239">
        <v>0.86249999999999993</v>
      </c>
      <c r="I6" s="240">
        <f t="shared" si="1"/>
        <v>0.33263888888888882</v>
      </c>
      <c r="J6" s="297" t="str">
        <f>IF(COUNTA(D6:E6,G6:G6)=5,Prime!$E$4,IF(AND(D6&lt;="5:01"*1,D6&gt;"2:00"*1),Prime!$E$4,IF(AND(G6&gt;="22:00"*1,G6&lt;="26:01"*1),Prime!$E$4,"")))</f>
        <v/>
      </c>
      <c r="K6" s="231" t="str">
        <f>IF(COUNTA(D6:E6,G6:H6)=5,Prime!$E$4,IF(AND(E6&gt;="13:15"*1,G6&lt;""),Prime!$E$4,IF(AND(G6&gt;="11:00"*1,G6&lt;="12:15"*1),Prime!$E$4,"")))</f>
        <v/>
      </c>
      <c r="L6" s="286" t="str">
        <f>IF(G6&gt;"21:30"*1,Prime!$F$4,"")</f>
        <v/>
      </c>
      <c r="M6" s="287" t="str">
        <f>IF(AND(LEFT(C6,1)="d",OR(D6&gt;="7:00"*1,H6&gt;"22:00"*1)),Prime!$G$4,"")&amp;IF(AND(LEFT(C6,1)="s",H6&gt;="24:00"*1),Prime!$G$4,"")</f>
        <v/>
      </c>
      <c r="N6" s="319" t="str">
        <f>IF(ISNUMBER(FIND("F",C6)),Prime!$I$4,IF(ISNUMBER(FIND("CDS",C6)),Prime!$I$4,""))</f>
        <v/>
      </c>
      <c r="O6" s="241"/>
      <c r="P6" s="242" t="str">
        <f t="shared" si="2"/>
        <v/>
      </c>
      <c r="Q6" s="142" t="e">
        <f>(E6-D6)+(G6-#REF!)</f>
        <v>#REF!</v>
      </c>
      <c r="R6" s="143" t="e">
        <f>Q6*24</f>
        <v>#REF!</v>
      </c>
      <c r="S6" s="144">
        <v>7.98</v>
      </c>
      <c r="T6" s="141" t="e">
        <f t="shared" si="4"/>
        <v>#REF!</v>
      </c>
      <c r="U6" s="126"/>
    </row>
    <row r="7" spans="1:21" s="1" customFormat="1" ht="15.75" x14ac:dyDescent="0.25">
      <c r="A7" s="3"/>
      <c r="B7" s="493">
        <v>41428</v>
      </c>
      <c r="C7" s="499" t="s">
        <v>214</v>
      </c>
      <c r="D7" s="239"/>
      <c r="E7" s="239"/>
      <c r="F7" s="240">
        <f t="shared" si="0"/>
        <v>0</v>
      </c>
      <c r="G7" s="239">
        <v>0.71111111111111114</v>
      </c>
      <c r="H7" s="239">
        <v>0.94652777777777775</v>
      </c>
      <c r="I7" s="240">
        <f t="shared" si="1"/>
        <v>0.23541666666666661</v>
      </c>
      <c r="J7" s="297" t="str">
        <f>IF(COUNTA(D7:E7,G7:G7)=5,Prime!$E$4,IF(AND(D7&lt;="5:01"*1,D7&gt;"2:00"*1),Prime!$E$4,IF(AND(G7&gt;="22:00"*1,G7&lt;="26:01"*1),Prime!$E$4,"")))</f>
        <v/>
      </c>
      <c r="K7" s="231" t="str">
        <f>IF(COUNTA(D7:E7,G7:H7)=5,Prime!$E$4,IF(AND(E7&gt;="13:15"*1,G7&lt;""),Prime!$E$4,IF(AND(G7&gt;="11:00"*1,G7&lt;="12:15"*1),Prime!$E$4,"")))</f>
        <v/>
      </c>
      <c r="L7" s="286" t="str">
        <f>IF(G7&gt;"21:30"*1,Prime!$F$4,"")</f>
        <v/>
      </c>
      <c r="M7" s="287" t="str">
        <f>IF(AND(LEFT(C7,1)="d",OR(D7&gt;="7:00"*1,H7&gt;"22:00"*1)),Prime!$G$4,"")&amp;IF(AND(LEFT(C7,1)="s",H7&gt;="24:00"*1),Prime!$G$4,"")</f>
        <v>44,264</v>
      </c>
      <c r="N7" s="319" t="str">
        <f>IF(ISNUMBER(FIND("F",C7)),Prime!$I$4,IF(ISNUMBER(FIND("CDS",C7)),Prime!$I$4,""))</f>
        <v/>
      </c>
      <c r="O7" s="241"/>
      <c r="P7" s="242" t="str">
        <f t="shared" si="2"/>
        <v/>
      </c>
      <c r="Q7" s="142" t="e">
        <f>(E7-D7)+(G7-#REF!)</f>
        <v>#REF!</v>
      </c>
      <c r="R7" s="143" t="e">
        <f t="shared" ref="R7:R34" si="5">Q7*24</f>
        <v>#REF!</v>
      </c>
      <c r="S7" s="144">
        <v>5.65</v>
      </c>
      <c r="T7" s="141" t="e">
        <f t="shared" si="4"/>
        <v>#REF!</v>
      </c>
      <c r="U7" s="126"/>
    </row>
    <row r="8" spans="1:21" s="1" customFormat="1" ht="15.75" x14ac:dyDescent="0.25">
      <c r="A8" s="3"/>
      <c r="B8" s="493">
        <v>41429</v>
      </c>
      <c r="C8" s="499" t="s">
        <v>84</v>
      </c>
      <c r="D8" s="239">
        <v>0</v>
      </c>
      <c r="E8" s="239">
        <v>0</v>
      </c>
      <c r="F8" s="240">
        <f t="shared" si="0"/>
        <v>0</v>
      </c>
      <c r="G8" s="239"/>
      <c r="H8" s="239"/>
      <c r="I8" s="240">
        <f t="shared" si="1"/>
        <v>0</v>
      </c>
      <c r="J8" s="297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287" t="str">
        <f>IF(AND(LEFT(C8,1)="d",OR(D8&gt;="7:00"*1,H8&gt;"22:00"*1)),Prime!$G$4,"")&amp;IF(AND(LEFT(C8,1)="s",H8&gt;="24:00"*1),Prime!$G$4,"")</f>
        <v/>
      </c>
      <c r="N8" s="319">
        <f>IF(ISNUMBER(FIND("F",C8)),Prime!$I$4,IF(ISNUMBER(FIND("CDS",C8)),Prime!$I$4,""))</f>
        <v>104.9325</v>
      </c>
      <c r="O8" s="241"/>
      <c r="P8" s="242" t="str">
        <f t="shared" si="2"/>
        <v/>
      </c>
      <c r="Q8" s="142">
        <f t="shared" si="3"/>
        <v>0</v>
      </c>
      <c r="R8" s="143">
        <f t="shared" si="5"/>
        <v>0</v>
      </c>
      <c r="S8" s="144">
        <v>0</v>
      </c>
      <c r="T8" s="141" t="str">
        <f t="shared" si="4"/>
        <v>0,000</v>
      </c>
      <c r="U8" s="126"/>
    </row>
    <row r="9" spans="1:21" s="1" customFormat="1" ht="15.75" x14ac:dyDescent="0.25">
      <c r="A9" s="3"/>
      <c r="B9" s="493">
        <v>41430</v>
      </c>
      <c r="C9" s="505" t="s">
        <v>101</v>
      </c>
      <c r="D9" s="239"/>
      <c r="E9" s="239"/>
      <c r="F9" s="240">
        <f t="shared" si="0"/>
        <v>0</v>
      </c>
      <c r="G9" s="239">
        <v>0.54583333333333328</v>
      </c>
      <c r="H9" s="239">
        <v>0.8256944444444444</v>
      </c>
      <c r="I9" s="240">
        <f t="shared" si="1"/>
        <v>0.27986111111111112</v>
      </c>
      <c r="J9" s="297" t="str">
        <f>IF(COUNTA(D9:E9,G9:H9)=5,Prime!$E$4,IF(AND(D9&lt;="5:01"*1,D9&gt;"2:00"*1),Prime!$E$4,IF(AND(H9&gt;="22:00"*1,H9&lt;="26:01"*1),Prime!$E$4,"")))</f>
        <v/>
      </c>
      <c r="K9" s="231" t="str">
        <f>IF(COUNTA(D9:E9,G9:H9)=5,Prime!$E$4,IF(AND(E9&gt;="13:15"*1,G9&lt;""),Prime!$E$4,IF(AND(G9&gt;="11:00"*1,G9&lt;="12:15"*1),Prime!$E$4,"")))</f>
        <v/>
      </c>
      <c r="L9" s="286" t="str">
        <f>IF(H9&gt;"21:30"*1,Prime!$F$4,"")</f>
        <v/>
      </c>
      <c r="M9" s="287" t="str">
        <f>IF(AND(LEFT(C9,1)="d",OR(D9&gt;="7:00"*1,H9&gt;"22:00"*1)),Prime!$G$4,"")&amp;IF(AND(LEFT(C9,1)="s",H9&gt;="24:00"*1),Prime!$G$4,"")</f>
        <v/>
      </c>
      <c r="N9" s="31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0.27986111111111112</v>
      </c>
      <c r="R9" s="143">
        <f t="shared" si="5"/>
        <v>6.7166666666666668</v>
      </c>
      <c r="S9" s="144">
        <v>6.72</v>
      </c>
      <c r="T9" s="141">
        <f t="shared" si="4"/>
        <v>-3.3333333333329662E-3</v>
      </c>
      <c r="U9" s="126"/>
    </row>
    <row r="10" spans="1:21" s="1" customFormat="1" ht="15.75" x14ac:dyDescent="0.25">
      <c r="A10" s="3"/>
      <c r="B10" s="493">
        <v>41431</v>
      </c>
      <c r="C10" s="499" t="s">
        <v>1</v>
      </c>
      <c r="D10" s="239">
        <v>0</v>
      </c>
      <c r="E10" s="239">
        <v>0</v>
      </c>
      <c r="F10" s="240">
        <f t="shared" si="0"/>
        <v>0</v>
      </c>
      <c r="G10" s="239"/>
      <c r="H10" s="239"/>
      <c r="I10" s="240">
        <f t="shared" si="1"/>
        <v>0</v>
      </c>
      <c r="J10" s="297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287" t="str">
        <f>IF(AND(LEFT(C10,1)="d",OR(D10&gt;="7:00"*1,H10&gt;"22:00"*1)),Prime!$G$4,"")&amp;IF(AND(LEFT(C10,1)="s",H10&gt;="24:00"*1),Prime!$G$4,"")</f>
        <v/>
      </c>
      <c r="N10" s="319" t="str">
        <f>IF(ISNUMBER(FIND("F",C10)),Prime!$I$4,IF(ISNUMBER(FIND("CDS",C10)),Prime!$I$4,""))</f>
        <v/>
      </c>
      <c r="O10" s="241"/>
      <c r="P10" s="242" t="str">
        <f t="shared" si="2"/>
        <v/>
      </c>
      <c r="Q10" s="142">
        <f t="shared" si="3"/>
        <v>0</v>
      </c>
      <c r="R10" s="143">
        <f t="shared" si="5"/>
        <v>0</v>
      </c>
      <c r="S10" s="144">
        <v>0</v>
      </c>
      <c r="T10" s="141" t="str">
        <f t="shared" si="4"/>
        <v>0,000</v>
      </c>
      <c r="U10" s="126"/>
    </row>
    <row r="11" spans="1:21" s="1" customFormat="1" ht="15.75" x14ac:dyDescent="0.25">
      <c r="A11" s="3"/>
      <c r="B11" s="493">
        <v>41432</v>
      </c>
      <c r="C11" s="499" t="s">
        <v>102</v>
      </c>
      <c r="D11" s="239"/>
      <c r="E11" s="239"/>
      <c r="F11" s="240">
        <f t="shared" si="0"/>
        <v>0</v>
      </c>
      <c r="G11" s="239">
        <v>0.50138888888888888</v>
      </c>
      <c r="H11" s="239">
        <v>0.82986111111111116</v>
      </c>
      <c r="I11" s="240">
        <f t="shared" si="1"/>
        <v>0.32847222222222228</v>
      </c>
      <c r="J11" s="297" t="str">
        <f>IF(COUNTA(D11:E11,G11:H11)=5,Prime!$E$4,IF(AND(D11&lt;="5:01"*1,D11&gt;"2:00"*1),Prime!$E$4,IF(AND(H11&gt;="22:00"*1,H11&lt;="26:01"*1),Prime!$E$4,"")))</f>
        <v/>
      </c>
      <c r="K11" s="231">
        <f>IF(COUNTA(D11:E11,G11:H11)=5,Prime!$E$4,IF(AND(E11&gt;="13:15"*1,G11&lt;""),Prime!$E$4,IF(AND(G11&gt;="11:00"*1,G11&lt;="12:15"*1),Prime!$E$4,"")))</f>
        <v>17.7056</v>
      </c>
      <c r="L11" s="286" t="str">
        <f>IF(H11&gt;"21:30"*1,Prime!$F$4,"")</f>
        <v/>
      </c>
      <c r="M11" s="287" t="str">
        <f>IF(AND(LEFT(C11,1)="d",OR(D11&gt;="7:00"*1,H11&gt;"22:00"*1)),Prime!$G$4,"")&amp;IF(AND(LEFT(C11,1)="s",H11&gt;="24:00"*1),Prime!$G$4,"")</f>
        <v/>
      </c>
      <c r="N11" s="319" t="str">
        <f>IF(ISNUMBER(FIND("F",C11)),Prime!$I$4,IF(ISNUMBER(FIND("CDS",C11)),Prime!$I$4,""))</f>
        <v/>
      </c>
      <c r="O11" s="241"/>
      <c r="P11" s="242" t="str">
        <f t="shared" si="2"/>
        <v/>
      </c>
      <c r="Q11" s="142">
        <f t="shared" si="3"/>
        <v>0.32847222222222228</v>
      </c>
      <c r="R11" s="143">
        <f t="shared" si="5"/>
        <v>7.8833333333333346</v>
      </c>
      <c r="S11" s="144">
        <v>7.88</v>
      </c>
      <c r="T11" s="141">
        <f t="shared" si="4"/>
        <v>3.3333333333347426E-3</v>
      </c>
      <c r="U11" s="126"/>
    </row>
    <row r="12" spans="1:21" s="1" customFormat="1" ht="15.75" x14ac:dyDescent="0.25">
      <c r="A12" s="3"/>
      <c r="B12" s="493">
        <v>41433</v>
      </c>
      <c r="C12" s="499" t="s">
        <v>103</v>
      </c>
      <c r="D12" s="239"/>
      <c r="E12" s="239"/>
      <c r="F12" s="240">
        <f t="shared" si="0"/>
        <v>0</v>
      </c>
      <c r="G12" s="239">
        <v>0.49236111111111108</v>
      </c>
      <c r="H12" s="239">
        <v>0.8256944444444444</v>
      </c>
      <c r="I12" s="240">
        <f t="shared" si="1"/>
        <v>0.33333333333333331</v>
      </c>
      <c r="J12" s="297" t="str">
        <f>IF(COUNTA(D12:E12,G12:H12)=5,Prime!$E$4,IF(AND(D12&lt;="5:01"*1,D12&gt;"2:00"*1),Prime!$E$4,IF(AND(H12&gt;="22:00"*1,H12&lt;="26:01"*1),Prime!$E$4,"")))</f>
        <v/>
      </c>
      <c r="K12" s="231">
        <f>IF(COUNTA(D12:E12,G12:H12)=5,Prime!$E$4,IF(AND(E12&gt;="13:15"*1,G12&lt;""),Prime!$E$4,IF(AND(G12&gt;="11:00"*1,G12&lt;="12:15"*1),Prime!$E$4,"")))</f>
        <v>17.7056</v>
      </c>
      <c r="L12" s="286" t="str">
        <f>IF(H12&gt;"21:30"*1,Prime!$F$4,"")</f>
        <v/>
      </c>
      <c r="M12" s="287" t="str">
        <f>IF(AND(LEFT(C12,1)="d",OR(D12&gt;="7:00"*1,H12&gt;"22:00"*1)),Prime!$G$4,"")&amp;IF(AND(LEFT(C12,1)="s",H12&gt;="24:00"*1),Prime!$G$4,"")</f>
        <v/>
      </c>
      <c r="N12" s="31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0.33333333333333331</v>
      </c>
      <c r="R12" s="143">
        <f t="shared" si="5"/>
        <v>8</v>
      </c>
      <c r="S12" s="144">
        <v>7.88</v>
      </c>
      <c r="T12" s="141">
        <f t="shared" si="4"/>
        <v>0.12000000000000011</v>
      </c>
      <c r="U12" s="126"/>
    </row>
    <row r="13" spans="1:21" s="1" customFormat="1" ht="15.75" x14ac:dyDescent="0.25">
      <c r="A13" s="3"/>
      <c r="B13" s="493">
        <v>41434</v>
      </c>
      <c r="C13" s="499" t="s">
        <v>215</v>
      </c>
      <c r="D13" s="239"/>
      <c r="E13" s="239"/>
      <c r="F13" s="240">
        <f t="shared" si="0"/>
        <v>0</v>
      </c>
      <c r="G13" s="239">
        <v>0.52222222222222225</v>
      </c>
      <c r="H13" s="239">
        <v>0.84930555555555554</v>
      </c>
      <c r="I13" s="240">
        <f t="shared" si="1"/>
        <v>0.32708333333333328</v>
      </c>
      <c r="J13" s="297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287" t="str">
        <f>IF(AND(LEFT(C13,1)="d",OR(D13&gt;="7:00"*1,H13&gt;"22:00"*1)),Prime!$G$4,"")&amp;IF(AND(LEFT(C13,1)="s",H13&gt;="24:00"*1),Prime!$G$4,"")</f>
        <v/>
      </c>
      <c r="N13" s="31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0.32708333333333328</v>
      </c>
      <c r="R13" s="143">
        <f t="shared" si="5"/>
        <v>7.8499999999999988</v>
      </c>
      <c r="S13" s="144">
        <v>7.85</v>
      </c>
      <c r="T13" s="141">
        <f t="shared" si="4"/>
        <v>-8.8817841970012523E-16</v>
      </c>
      <c r="U13" s="126"/>
    </row>
    <row r="14" spans="1:21" s="1" customFormat="1" ht="15.75" x14ac:dyDescent="0.25">
      <c r="A14" s="3"/>
      <c r="B14" s="493">
        <v>41435</v>
      </c>
      <c r="C14" s="499" t="s">
        <v>198</v>
      </c>
      <c r="D14" s="239">
        <v>0</v>
      </c>
      <c r="E14" s="239">
        <v>0</v>
      </c>
      <c r="F14" s="240">
        <f t="shared" si="0"/>
        <v>0</v>
      </c>
      <c r="G14" s="239"/>
      <c r="H14" s="239"/>
      <c r="I14" s="240">
        <f t="shared" si="1"/>
        <v>0</v>
      </c>
      <c r="J14" s="297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287" t="str">
        <f>IF(AND(LEFT(C14,1)="d",OR(D14&gt;="7:00"*1,H14&gt;"22:00"*1)),Prime!$G$4,"")&amp;IF(AND(LEFT(C14,1)="s",H14&gt;="24:00"*1),Prime!$G$4,"")</f>
        <v/>
      </c>
      <c r="N14" s="31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</v>
      </c>
      <c r="R14" s="143">
        <f t="shared" si="5"/>
        <v>0</v>
      </c>
      <c r="S14" s="144">
        <v>0</v>
      </c>
      <c r="T14" s="141" t="str">
        <f t="shared" si="4"/>
        <v>0,000</v>
      </c>
      <c r="U14" s="126"/>
    </row>
    <row r="15" spans="1:21" s="1" customFormat="1" ht="15.75" x14ac:dyDescent="0.25">
      <c r="A15" s="3"/>
      <c r="B15" s="493">
        <v>41436</v>
      </c>
      <c r="C15" s="499" t="s">
        <v>42</v>
      </c>
      <c r="D15" s="239"/>
      <c r="E15" s="239"/>
      <c r="F15" s="240">
        <f t="shared" si="0"/>
        <v>0</v>
      </c>
      <c r="G15" s="239">
        <v>0.49652777777777773</v>
      </c>
      <c r="H15" s="239">
        <v>0.82986111111111116</v>
      </c>
      <c r="I15" s="240">
        <f t="shared" si="1"/>
        <v>0.33333333333333343</v>
      </c>
      <c r="J15" s="297" t="str">
        <f>IF(COUNTA(D15:E15,G15:H15)=5,Prime!$E$4,IF(AND(D15&lt;="5:01"*1,D15&gt;"2:00"*1),Prime!$E$4,IF(AND(H15&gt;="22:00"*1,H15&lt;="26:01"*1),Prime!$E$4,"")))</f>
        <v/>
      </c>
      <c r="K15" s="231">
        <f>IF(COUNTA(D15:E15,G15:H15)=5,Prime!$E$4,IF(AND(E15&gt;="13:15"*1,G15&lt;""),Prime!$E$4,IF(AND(G15&gt;="11:00"*1,G15&lt;="12:15"*1),Prime!$E$4,"")))</f>
        <v>17.7056</v>
      </c>
      <c r="L15" s="286" t="str">
        <f>IF(H15&gt;"21:30"*1,Prime!$F$4,"")</f>
        <v/>
      </c>
      <c r="M15" s="287" t="str">
        <f>IF(AND(LEFT(C15,1)="d",OR(D15&gt;="7:00"*1,H15&gt;"22:00"*1)),Prime!$G$4,"")&amp;IF(AND(LEFT(C15,1)="s",H15&gt;="24:00"*1),Prime!$G$4,"")</f>
        <v/>
      </c>
      <c r="N15" s="319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0.33333333333333343</v>
      </c>
      <c r="R15" s="143">
        <f t="shared" si="5"/>
        <v>8.0000000000000018</v>
      </c>
      <c r="S15" s="144">
        <v>8</v>
      </c>
      <c r="T15" s="141">
        <f t="shared" si="4"/>
        <v>1.7763568394002505E-15</v>
      </c>
      <c r="U15" s="126"/>
    </row>
    <row r="16" spans="1:21" s="1" customFormat="1" ht="15.75" x14ac:dyDescent="0.25">
      <c r="A16" s="3"/>
      <c r="B16" s="493">
        <v>41437</v>
      </c>
      <c r="C16" s="499" t="s">
        <v>104</v>
      </c>
      <c r="D16" s="239"/>
      <c r="E16" s="239"/>
      <c r="F16" s="240">
        <f t="shared" si="0"/>
        <v>0</v>
      </c>
      <c r="G16" s="239">
        <v>0.54027777777777775</v>
      </c>
      <c r="H16" s="239">
        <v>0.86875000000000002</v>
      </c>
      <c r="I16" s="240">
        <f t="shared" si="1"/>
        <v>0.32847222222222228</v>
      </c>
      <c r="J16" s="297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287" t="str">
        <f>IF(AND(LEFT(C16,1)="d",OR(D16&gt;="7:00"*1,H16&gt;"22:00"*1)),Prime!$G$4,"")&amp;IF(AND(LEFT(C16,1)="s",H16&gt;="24:00"*1),Prime!$G$4,"")</f>
        <v/>
      </c>
      <c r="N16" s="31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0.32847222222222228</v>
      </c>
      <c r="R16" s="143">
        <f t="shared" si="5"/>
        <v>7.8833333333333346</v>
      </c>
      <c r="S16" s="144">
        <v>7.88</v>
      </c>
      <c r="T16" s="141">
        <f t="shared" si="4"/>
        <v>3.3333333333347426E-3</v>
      </c>
      <c r="U16" s="126"/>
    </row>
    <row r="17" spans="1:21" s="1" customFormat="1" ht="15.75" x14ac:dyDescent="0.25">
      <c r="A17" s="3"/>
      <c r="B17" s="493">
        <v>41438</v>
      </c>
      <c r="C17" s="499" t="s">
        <v>105</v>
      </c>
      <c r="D17" s="239"/>
      <c r="E17" s="239"/>
      <c r="F17" s="240">
        <f t="shared" si="0"/>
        <v>0</v>
      </c>
      <c r="G17" s="239">
        <v>0.49444444444444446</v>
      </c>
      <c r="H17" s="239">
        <v>0.82638888888888884</v>
      </c>
      <c r="I17" s="240">
        <f t="shared" si="1"/>
        <v>0.33194444444444438</v>
      </c>
      <c r="J17" s="297" t="str">
        <f>IF(COUNTA(D17:E17,G17:H17)=5,Prime!$E$4,IF(AND(D17&lt;="5:01"*1,D17&gt;"2:00"*1),Prime!$E$4,IF(AND(H17&gt;="22:00"*1,H17&lt;="26:01"*1),Prime!$E$4,"")))</f>
        <v/>
      </c>
      <c r="K17" s="231">
        <f>IF(COUNTA(D17:E17,G17:H17)=5,Prime!$E$4,IF(AND(E17&gt;="13:15"*1,G17&lt;""),Prime!$E$4,IF(AND(G17&gt;="11:00"*1,G17&lt;="12:15"*1),Prime!$E$4,"")))</f>
        <v>17.7056</v>
      </c>
      <c r="L17" s="286" t="str">
        <f>IF(H17&gt;"21:30"*1,Prime!$F$4,"")</f>
        <v/>
      </c>
      <c r="M17" s="287" t="str">
        <f>IF(AND(LEFT(C17,1)="d",OR(D17&gt;="7:00"*1,H17&gt;"22:00"*1)),Prime!$G$4,"")&amp;IF(AND(LEFT(C17,1)="s",H17&gt;="24:00"*1),Prime!$G$4,"")</f>
        <v/>
      </c>
      <c r="N17" s="31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0.33194444444444438</v>
      </c>
      <c r="R17" s="143">
        <f t="shared" si="5"/>
        <v>7.966666666666665</v>
      </c>
      <c r="S17" s="144">
        <v>7.97</v>
      </c>
      <c r="T17" s="141">
        <f t="shared" si="4"/>
        <v>-3.3333333333347426E-3</v>
      </c>
      <c r="U17" s="126"/>
    </row>
    <row r="18" spans="1:21" s="1" customFormat="1" ht="15.75" x14ac:dyDescent="0.25">
      <c r="A18" s="3"/>
      <c r="B18" s="493">
        <v>41439</v>
      </c>
      <c r="C18" s="499" t="s">
        <v>106</v>
      </c>
      <c r="D18" s="239"/>
      <c r="E18" s="239"/>
      <c r="F18" s="240">
        <f t="shared" si="0"/>
        <v>0</v>
      </c>
      <c r="G18" s="239">
        <v>0.53888888888888886</v>
      </c>
      <c r="H18" s="239">
        <v>0.86805555555555547</v>
      </c>
      <c r="I18" s="240">
        <f t="shared" si="1"/>
        <v>0.32916666666666661</v>
      </c>
      <c r="J18" s="297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287" t="str">
        <f>IF(AND(LEFT(C18,1)="d",OR(D18&gt;="7:00"*1,H18&gt;"22:00"*1)),Prime!$G$4,"")&amp;IF(AND(LEFT(C18,1)="s",H18&gt;="24:00"*1),Prime!$G$4,"")</f>
        <v/>
      </c>
      <c r="N18" s="319" t="str">
        <f>IF(ISNUMBER(FIND("F",C18)),Prime!$I$4,IF(ISNUMBER(FIND("CDS",C18)),Prime!$I$4,""))</f>
        <v/>
      </c>
      <c r="O18" s="241"/>
      <c r="P18" s="242" t="str">
        <f>IF(ISBLANK(O18),"",O18*24)</f>
        <v/>
      </c>
      <c r="Q18" s="142">
        <f t="shared" si="3"/>
        <v>0.32916666666666661</v>
      </c>
      <c r="R18" s="143">
        <f t="shared" si="5"/>
        <v>7.8999999999999986</v>
      </c>
      <c r="S18" s="144">
        <v>7.9</v>
      </c>
      <c r="T18" s="141">
        <f t="shared" si="4"/>
        <v>-1.7763568394002505E-15</v>
      </c>
      <c r="U18" s="126"/>
    </row>
    <row r="19" spans="1:21" s="1" customFormat="1" ht="15.75" x14ac:dyDescent="0.25">
      <c r="A19" s="3"/>
      <c r="B19" s="493">
        <v>41440</v>
      </c>
      <c r="C19" s="499" t="s">
        <v>107</v>
      </c>
      <c r="D19" s="239">
        <v>0.29652777777777778</v>
      </c>
      <c r="E19" s="239">
        <v>0.4777777777777778</v>
      </c>
      <c r="F19" s="240">
        <f t="shared" si="0"/>
        <v>0.18125000000000002</v>
      </c>
      <c r="G19" s="239">
        <v>0.66805555555555562</v>
      </c>
      <c r="H19" s="239">
        <v>0.82291666666666663</v>
      </c>
      <c r="I19" s="240">
        <f t="shared" si="1"/>
        <v>0.15486111111111101</v>
      </c>
      <c r="J19" s="297" t="str">
        <f>IF(COUNTA(D19:E19,G19:H19)=5,Prime!$E$4,IF(AND(D19&lt;="5:01"*1,D19&gt;"2:00"*1),Prime!$E$4,IF(AND(H19&gt;="22:00"*1,H19&lt;="26:01"*1),Prime!$E$4,"")))</f>
        <v/>
      </c>
      <c r="K19" s="231" t="str">
        <f>IF(COUNTA(D19:E19,G19:H19)=5,Prime!$E$4,IF(AND(E19&gt;="13:15"*1,G19&lt;""),Prime!$E$4,IF(AND(G19&gt;="11:00"*1,G19&lt;="12:15"*1),Prime!$E$4,"")))</f>
        <v/>
      </c>
      <c r="L19" s="286" t="str">
        <f>IF(H19&gt;"21:30"*1,Prime!$F$4,"")</f>
        <v/>
      </c>
      <c r="M19" s="287" t="str">
        <f>IF(AND(LEFT(C19,1)="d",OR(D19&gt;="7:00"*1,H19&gt;"22:00"*1)),Prime!$G$4,"")&amp;IF(AND(LEFT(C19,1)="s",H19&gt;="24:00"*1),Prime!$G$4,"")</f>
        <v/>
      </c>
      <c r="N19" s="319" t="str">
        <f>IF(ISNUMBER(FIND("F",C19)),Prime!$I$4,IF(ISNUMBER(FIND("CDS",C19)),Prime!$I$4,""))</f>
        <v/>
      </c>
      <c r="O19" s="241"/>
      <c r="P19" s="242" t="str">
        <f t="shared" ref="P19:P32" si="6">IF(ISBLANK(O19),"",O19*24)</f>
        <v/>
      </c>
      <c r="Q19" s="142">
        <f t="shared" si="3"/>
        <v>0.33611111111111103</v>
      </c>
      <c r="R19" s="143">
        <f t="shared" si="5"/>
        <v>8.0666666666666647</v>
      </c>
      <c r="S19" s="144">
        <v>8.07</v>
      </c>
      <c r="T19" s="141">
        <f t="shared" si="4"/>
        <v>-3.3333333333356308E-3</v>
      </c>
      <c r="U19" s="126"/>
    </row>
    <row r="20" spans="1:21" s="1" customFormat="1" ht="15.75" x14ac:dyDescent="0.25">
      <c r="A20" s="3"/>
      <c r="B20" s="493">
        <v>41441</v>
      </c>
      <c r="C20" s="499" t="s">
        <v>201</v>
      </c>
      <c r="D20" s="239"/>
      <c r="E20" s="239"/>
      <c r="F20" s="240">
        <f t="shared" si="0"/>
        <v>0</v>
      </c>
      <c r="G20" s="239">
        <v>0.53541666666666665</v>
      </c>
      <c r="H20" s="239">
        <v>0.86597222222222225</v>
      </c>
      <c r="I20" s="240">
        <f t="shared" si="1"/>
        <v>0.3305555555555556</v>
      </c>
      <c r="J20" s="297" t="str">
        <f>IF(COUNTA(D20:E20,G20:H20)=5,Prime!$E$4,IF(AND(D20&lt;="5:01"*1,D20&gt;"2:00"*1),Prime!$E$4,IF(AND(H20&gt;="22:00"*1,H20&lt;="26:01"*1),Prime!$E$4,"")))</f>
        <v/>
      </c>
      <c r="K20" s="231" t="str">
        <f>IF(COUNTA(D20:E20,G20:H20)=5,Prime!$E$4,IF(AND(E20&gt;="13:15"*1,G20&lt;""),Prime!$E$4,IF(AND(G20&gt;="11:00"*1,G20&lt;="12:15"*1),Prime!$E$4,"")))</f>
        <v/>
      </c>
      <c r="L20" s="286" t="str">
        <f>IF(H20&gt;"21:30"*1,Prime!$F$4,"")</f>
        <v/>
      </c>
      <c r="M20" s="287" t="str">
        <f>IF(AND(LEFT(C20,1)="d",OR(D20&gt;="7:00"*1,H20&gt;"22:00"*1)),Prime!$G$4,"")&amp;IF(AND(LEFT(C20,1)="s",H20&gt;="24:00"*1),Prime!$G$4,"")</f>
        <v/>
      </c>
      <c r="N20" s="319" t="str">
        <f>IF(ISNUMBER(FIND("F",C20)),Prime!$I$4,IF(ISNUMBER(FIND("CDS",C20)),Prime!$I$4,""))</f>
        <v/>
      </c>
      <c r="O20" s="241"/>
      <c r="P20" s="242" t="str">
        <f t="shared" si="6"/>
        <v/>
      </c>
      <c r="Q20" s="142">
        <f t="shared" si="3"/>
        <v>0.3305555555555556</v>
      </c>
      <c r="R20" s="143">
        <f t="shared" si="5"/>
        <v>7.9333333333333345</v>
      </c>
      <c r="S20" s="144">
        <v>7.93</v>
      </c>
      <c r="T20" s="141">
        <f t="shared" si="4"/>
        <v>3.3333333333347426E-3</v>
      </c>
      <c r="U20" s="126"/>
    </row>
    <row r="21" spans="1:21" s="1" customFormat="1" ht="15.75" x14ac:dyDescent="0.25">
      <c r="A21" s="3"/>
      <c r="B21" s="493">
        <v>41442</v>
      </c>
      <c r="C21" s="499" t="s">
        <v>198</v>
      </c>
      <c r="D21" s="239">
        <v>0</v>
      </c>
      <c r="E21" s="239">
        <v>0</v>
      </c>
      <c r="F21" s="240">
        <f t="shared" si="0"/>
        <v>0</v>
      </c>
      <c r="G21" s="239"/>
      <c r="H21" s="239"/>
      <c r="I21" s="240">
        <f t="shared" si="1"/>
        <v>0</v>
      </c>
      <c r="J21" s="297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287" t="str">
        <f>IF(AND(LEFT(C21,1)="d",OR(D21&gt;="7:00"*1,H21&gt;"22:00"*1)),Prime!$G$4,"")&amp;IF(AND(LEFT(C21,1)="s",H21&gt;="24:00"*1),Prime!$G$4,"")</f>
        <v/>
      </c>
      <c r="N21" s="319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</v>
      </c>
      <c r="R21" s="143">
        <f t="shared" si="5"/>
        <v>0</v>
      </c>
      <c r="S21" s="144">
        <v>0</v>
      </c>
      <c r="T21" s="141" t="str">
        <f t="shared" si="4"/>
        <v>0,000</v>
      </c>
      <c r="U21" s="126"/>
    </row>
    <row r="22" spans="1:21" s="1" customFormat="1" ht="15.75" x14ac:dyDescent="0.25">
      <c r="A22" s="3"/>
      <c r="B22" s="493">
        <v>41443</v>
      </c>
      <c r="C22" s="499" t="s">
        <v>1</v>
      </c>
      <c r="D22" s="239">
        <v>0</v>
      </c>
      <c r="E22" s="239">
        <v>0</v>
      </c>
      <c r="F22" s="240">
        <f t="shared" si="0"/>
        <v>0</v>
      </c>
      <c r="G22" s="239"/>
      <c r="H22" s="239"/>
      <c r="I22" s="240">
        <f t="shared" si="1"/>
        <v>0</v>
      </c>
      <c r="J22" s="297" t="str">
        <f>IF(COUNTA(D22:E22,G22:H22)=5,Prime!$E$4,IF(AND(D22&lt;="5:01"*1,D22&gt;"2:00"*1),Prime!$E$4,IF(AND(H22&gt;="22:00"*1,H22&lt;="26:01"*1),Prime!$E$4,"")))</f>
        <v/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287" t="str">
        <f>IF(AND(LEFT(C22,1)="d",OR(D22&gt;="7:00"*1,H22&gt;"22:00"*1)),Prime!$G$4,"")&amp;IF(AND(LEFT(C22,1)="s",H22&gt;="24:00"*1),Prime!$G$4,"")</f>
        <v/>
      </c>
      <c r="N22" s="319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</v>
      </c>
      <c r="R22" s="143">
        <f t="shared" si="5"/>
        <v>0</v>
      </c>
      <c r="S22" s="144">
        <v>0</v>
      </c>
      <c r="T22" s="141" t="str">
        <f t="shared" si="4"/>
        <v>0,000</v>
      </c>
      <c r="U22" s="126"/>
    </row>
    <row r="23" spans="1:21" s="1" customFormat="1" ht="15.75" x14ac:dyDescent="0.25">
      <c r="A23" s="3"/>
      <c r="B23" s="493">
        <v>41444</v>
      </c>
      <c r="C23" s="499" t="s">
        <v>108</v>
      </c>
      <c r="D23" s="239">
        <v>0.25347222222222221</v>
      </c>
      <c r="E23" s="239">
        <v>0.58402777777777781</v>
      </c>
      <c r="F23" s="240">
        <f t="shared" si="0"/>
        <v>0.3305555555555556</v>
      </c>
      <c r="G23" s="239"/>
      <c r="H23" s="239"/>
      <c r="I23" s="240">
        <f t="shared" si="1"/>
        <v>0</v>
      </c>
      <c r="J23" s="297" t="str">
        <f>IF(COUNTA(D23:E23,G23:H23)=5,Prime!$E$4,IF(AND(D23&lt;="5:01"*1,D23&gt;"2:00"*1),Prime!$E$4,IF(AND(H23&gt;="22:00"*1,H23&lt;="26:01"*1),Prime!$E$4,"")))</f>
        <v/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287" t="str">
        <f>IF(AND(LEFT(C23,1)="d",OR(D23&gt;="7:00"*1,H23&gt;"22:00"*1)),Prime!$G$4,"")&amp;IF(AND(LEFT(C23,1)="s",H23&gt;="24:00"*1),Prime!$G$4,"")</f>
        <v/>
      </c>
      <c r="N23" s="319" t="str">
        <f>IF(ISNUMBER(FIND("F",C23)),Prime!$I$4,IF(ISNUMBER(FIND("CDS",C23)),Prime!$I$4,""))</f>
        <v/>
      </c>
      <c r="O23" s="241"/>
      <c r="P23" s="242" t="str">
        <f t="shared" si="6"/>
        <v/>
      </c>
      <c r="Q23" s="142">
        <f t="shared" si="3"/>
        <v>0.3305555555555556</v>
      </c>
      <c r="R23" s="143">
        <f t="shared" si="5"/>
        <v>7.9333333333333345</v>
      </c>
      <c r="S23" s="144">
        <v>7.98</v>
      </c>
      <c r="T23" s="141">
        <f t="shared" si="4"/>
        <v>-4.6666666666665968E-2</v>
      </c>
      <c r="U23" s="126"/>
    </row>
    <row r="24" spans="1:21" s="1" customFormat="1" ht="15.75" x14ac:dyDescent="0.25">
      <c r="A24" s="3"/>
      <c r="B24" s="493">
        <v>41445</v>
      </c>
      <c r="C24" s="499" t="s">
        <v>110</v>
      </c>
      <c r="D24" s="239">
        <v>0</v>
      </c>
      <c r="E24" s="239">
        <v>0</v>
      </c>
      <c r="F24" s="240">
        <f t="shared" si="0"/>
        <v>0</v>
      </c>
      <c r="G24" s="239"/>
      <c r="H24" s="239"/>
      <c r="I24" s="240">
        <f t="shared" si="1"/>
        <v>0</v>
      </c>
      <c r="J24" s="297" t="str">
        <f>IF(COUNTA(D24:E24,G24:H24)=5,Prime!$E$4,IF(AND(D24&lt;="5:01"*1,D24&gt;"2:00"*1),Prime!$E$4,IF(AND(H24&gt;="22:00"*1,H24&lt;="26:01"*1),Prime!$E$4,"")))</f>
        <v/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287" t="str">
        <f>IF(AND(LEFT(C24,1)="d",OR(D24&gt;="7:00"*1,H24&gt;"22:00"*1)),Prime!$G$4,"")&amp;IF(AND(LEFT(C24,1)="s",H24&gt;="24:00"*1),Prime!$G$4,"")</f>
        <v/>
      </c>
      <c r="N24" s="319" t="str">
        <f>IF(ISNUMBER(FIND("F",C24)),Prime!$I$4,IF(ISNUMBER(FIND("CDS",C24)),Prime!$I$4,""))</f>
        <v/>
      </c>
      <c r="O24" s="241"/>
      <c r="P24" s="242" t="str">
        <f t="shared" si="6"/>
        <v/>
      </c>
      <c r="Q24" s="142">
        <f t="shared" si="3"/>
        <v>0</v>
      </c>
      <c r="R24" s="143">
        <f t="shared" si="5"/>
        <v>0</v>
      </c>
      <c r="S24" s="144">
        <v>0</v>
      </c>
      <c r="T24" s="141" t="str">
        <f t="shared" si="4"/>
        <v>0,000</v>
      </c>
      <c r="U24" s="126"/>
    </row>
    <row r="25" spans="1:21" s="1" customFormat="1" ht="15.75" x14ac:dyDescent="0.25">
      <c r="A25" s="3"/>
      <c r="B25" s="493">
        <v>41446</v>
      </c>
      <c r="C25" s="499" t="s">
        <v>109</v>
      </c>
      <c r="D25" s="239">
        <v>0.24236111111111111</v>
      </c>
      <c r="E25" s="239">
        <v>0.56874999999999998</v>
      </c>
      <c r="F25" s="240">
        <f t="shared" si="0"/>
        <v>0.32638888888888884</v>
      </c>
      <c r="G25" s="239"/>
      <c r="H25" s="239"/>
      <c r="I25" s="240">
        <f t="shared" si="1"/>
        <v>0</v>
      </c>
      <c r="J25" s="297" t="str">
        <f>IF(COUNTA(D25:E25,G25:H25)=5,Prime!$E$4,IF(AND(D25&lt;="5:01"*1,D25&gt;"2:00"*1),Prime!$E$4,IF(AND(H25&gt;="22:00"*1,H25&lt;="26:01"*1),Prime!$E$4,"")))</f>
        <v/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287" t="str">
        <f>IF(AND(LEFT(C25,1)="d",OR(D25&gt;="7:00"*1,H25&gt;"22:00"*1)),Prime!$G$4,"")&amp;IF(AND(LEFT(C25,1)="s",H25&gt;="24:00"*1),Prime!$G$4,"")</f>
        <v/>
      </c>
      <c r="N25" s="319" t="str">
        <f>IF(ISNUMBER(FIND("F",C25)),Prime!$I$4,IF(ISNUMBER(FIND("CDS",C25)),Prime!$I$4,""))</f>
        <v/>
      </c>
      <c r="O25" s="241"/>
      <c r="P25" s="242" t="str">
        <f t="shared" si="6"/>
        <v/>
      </c>
      <c r="Q25" s="142">
        <f t="shared" si="3"/>
        <v>0.32638888888888884</v>
      </c>
      <c r="R25" s="143">
        <f t="shared" si="5"/>
        <v>7.8333333333333321</v>
      </c>
      <c r="S25" s="144">
        <v>7.72</v>
      </c>
      <c r="T25" s="141">
        <f t="shared" si="4"/>
        <v>0.1133333333333324</v>
      </c>
      <c r="U25" s="126"/>
    </row>
    <row r="26" spans="1:21" s="1" customFormat="1" ht="15.75" x14ac:dyDescent="0.25">
      <c r="A26" s="3"/>
      <c r="B26" s="493">
        <v>41447</v>
      </c>
      <c r="C26" s="499" t="s">
        <v>90</v>
      </c>
      <c r="D26" s="239">
        <v>0.20972222222222223</v>
      </c>
      <c r="E26" s="239">
        <v>0.53472222222222221</v>
      </c>
      <c r="F26" s="240">
        <f t="shared" si="0"/>
        <v>0.32499999999999996</v>
      </c>
      <c r="G26" s="239">
        <v>0.4375</v>
      </c>
      <c r="H26" s="239">
        <v>0.67222222222222217</v>
      </c>
      <c r="I26" s="240">
        <f t="shared" si="1"/>
        <v>0.23472222222222217</v>
      </c>
      <c r="J26" s="297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287" t="str">
        <f>IF(AND(LEFT(C26,1)="d",OR(D26&gt;="7:00"*1,H26&gt;"22:00"*1)),Prime!$G$4,"")&amp;IF(AND(LEFT(C26,1)="s",H26&gt;="24:00"*1),Prime!$G$4,"")</f>
        <v/>
      </c>
      <c r="N26" s="319" t="str">
        <f>IF(ISNUMBER(FIND("F",C26)),Prime!$I$4,IF(ISNUMBER(FIND("CDS",C26)),Prime!$I$4,""))</f>
        <v/>
      </c>
      <c r="O26" s="241"/>
      <c r="P26" s="242" t="str">
        <f t="shared" si="6"/>
        <v/>
      </c>
      <c r="Q26" s="142">
        <f t="shared" si="3"/>
        <v>0.55972222222222212</v>
      </c>
      <c r="R26" s="143">
        <f t="shared" si="5"/>
        <v>13.43333333333333</v>
      </c>
      <c r="S26" s="144">
        <v>7.78</v>
      </c>
      <c r="T26" s="141">
        <f t="shared" si="4"/>
        <v>5.6533333333333298</v>
      </c>
      <c r="U26" s="126"/>
    </row>
    <row r="27" spans="1:21" s="1" customFormat="1" ht="15.75" x14ac:dyDescent="0.25">
      <c r="A27" s="3"/>
      <c r="B27" s="493">
        <v>41448</v>
      </c>
      <c r="C27" s="499" t="s">
        <v>216</v>
      </c>
      <c r="D27" s="239">
        <v>0.22916666666666666</v>
      </c>
      <c r="E27" s="239">
        <v>0.55694444444444446</v>
      </c>
      <c r="F27" s="240">
        <f t="shared" si="0"/>
        <v>0.32777777777777783</v>
      </c>
      <c r="G27" s="239"/>
      <c r="H27" s="239"/>
      <c r="I27" s="240">
        <f t="shared" si="1"/>
        <v>0</v>
      </c>
      <c r="J27" s="297" t="str">
        <f>IF(COUNTA(D27:E27,G27:H27)=5,Prime!$E$4,IF(AND(D27&lt;="5:01"*1,D27&gt;"2:00"*1),Prime!$E$4,IF(AND(H27&gt;="22:00"*1,H27&lt;="26:01"*1),Prime!$E$4,"")))</f>
        <v/>
      </c>
      <c r="K27" s="231" t="str">
        <f>IF(COUNTA(D27:E27,G27:H27)=5,Prime!$E$4,IF(AND(E27&gt;="13:15"*1,G27&lt;""),Prime!$E$4,IF(AND(G27&gt;="11:00"*1,G27&lt;="12:15"*1),Prime!$E$4,"")))</f>
        <v/>
      </c>
      <c r="L27" s="286" t="str">
        <f>IF(H27&gt;"21:30"*1,Prime!$F$4,"")</f>
        <v/>
      </c>
      <c r="M27" s="287" t="str">
        <f>IF(AND(LEFT(C27,1)="d",OR(D27&gt;="7:00"*1,H27&gt;"22:00"*1)),Prime!$G$4,"")&amp;IF(AND(LEFT(C27,1)="s",H27&gt;="24:00"*1),Prime!$G$4,"")</f>
        <v/>
      </c>
      <c r="N27" s="319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0.32777777777777783</v>
      </c>
      <c r="R27" s="143">
        <f t="shared" si="5"/>
        <v>7.866666666666668</v>
      </c>
      <c r="S27" s="144">
        <v>7.92</v>
      </c>
      <c r="T27" s="141">
        <f t="shared" si="4"/>
        <v>-5.33333333333319E-2</v>
      </c>
      <c r="U27" s="126"/>
    </row>
    <row r="28" spans="1:21" s="1" customFormat="1" ht="15.75" x14ac:dyDescent="0.25">
      <c r="A28" s="3"/>
      <c r="B28" s="493">
        <v>41449</v>
      </c>
      <c r="C28" s="499" t="s">
        <v>198</v>
      </c>
      <c r="D28" s="239">
        <v>0</v>
      </c>
      <c r="E28" s="239">
        <v>0</v>
      </c>
      <c r="F28" s="240">
        <f t="shared" ref="F28:F33" si="7">E28-D28</f>
        <v>0</v>
      </c>
      <c r="G28" s="239"/>
      <c r="H28" s="239"/>
      <c r="I28" s="240">
        <f t="shared" ref="I28:I33" si="8">H28-G28</f>
        <v>0</v>
      </c>
      <c r="J28" s="297" t="str">
        <f>IF(COUNTA(D28:E28,G28:H28)=5,Prime!$E$4,IF(AND(D28&lt;="5:01"*1,D28&gt;"2:00"*1),Prime!$E$4,IF(AND(H28&gt;="22:00"*1,H28&lt;="26:01"*1),Prime!$E$4,"")))</f>
        <v/>
      </c>
      <c r="K28" s="231" t="str">
        <f>IF(COUNTA(D28:E28,G28:H28)=5,Prime!$E$4,IF(AND(E28&gt;="13:15"*1,G28&lt;""),Prime!$E$4,IF(AND(G28&gt;="11:00"*1,G28&lt;="12:15"*1),Prime!$E$4,"")))</f>
        <v/>
      </c>
      <c r="L28" s="286" t="str">
        <f>IF(H28&gt;"21:30"*1,Prime!$F$4,"")</f>
        <v/>
      </c>
      <c r="M28" s="287" t="str">
        <f>IF(AND(LEFT(C28,1)="d",OR(D28&gt;="7:00"*1,H28&gt;"22:00"*1)),Prime!$G$4,"")&amp;IF(AND(LEFT(C28,1)="s",H28&gt;="24:00"*1),Prime!$G$4,"")</f>
        <v/>
      </c>
      <c r="N28" s="319" t="str">
        <f>IF(ISNUMBER(FIND("F",C28)),Prime!$I$4,IF(ISNUMBER(FIND("CDS",C28)),Prime!$I$4,""))</f>
        <v/>
      </c>
      <c r="O28" s="241"/>
      <c r="P28" s="242" t="str">
        <f t="shared" si="6"/>
        <v/>
      </c>
      <c r="Q28" s="142">
        <f t="shared" si="3"/>
        <v>0</v>
      </c>
      <c r="R28" s="143">
        <f t="shared" si="5"/>
        <v>0</v>
      </c>
      <c r="S28" s="144">
        <v>0</v>
      </c>
      <c r="T28" s="141" t="str">
        <f t="shared" si="4"/>
        <v>0,000</v>
      </c>
      <c r="U28" s="126"/>
    </row>
    <row r="29" spans="1:21" s="1" customFormat="1" ht="15.75" x14ac:dyDescent="0.25">
      <c r="A29" s="3"/>
      <c r="B29" s="493">
        <v>41450</v>
      </c>
      <c r="C29" s="499" t="s">
        <v>111</v>
      </c>
      <c r="D29" s="239"/>
      <c r="E29" s="239"/>
      <c r="F29" s="240">
        <f t="shared" si="7"/>
        <v>0</v>
      </c>
      <c r="G29" s="239">
        <v>0.54513888888888895</v>
      </c>
      <c r="H29" s="239">
        <v>0.8569444444444444</v>
      </c>
      <c r="I29" s="240">
        <f t="shared" si="8"/>
        <v>0.31180555555555545</v>
      </c>
      <c r="J29" s="297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287" t="str">
        <f>IF(AND(LEFT(C29,1)="d",OR(D29&gt;="7:00"*1,H29&gt;"22:00"*1)),Prime!$G$4,"")&amp;IF(AND(LEFT(C29,1)="s",H29&gt;="24:00"*1),Prime!$G$4,"")</f>
        <v/>
      </c>
      <c r="N29" s="319" t="str">
        <f>IF(ISNUMBER(FIND("F",C29)),Prime!$I$4,IF(ISNUMBER(FIND("CDS",C29)),Prime!$I$4,""))</f>
        <v/>
      </c>
      <c r="O29" s="241"/>
      <c r="P29" s="242" t="str">
        <f t="shared" si="6"/>
        <v/>
      </c>
      <c r="Q29" s="142">
        <f t="shared" si="3"/>
        <v>0.31180555555555545</v>
      </c>
      <c r="R29" s="143">
        <f t="shared" si="5"/>
        <v>7.4833333333333307</v>
      </c>
      <c r="S29" s="144">
        <v>7.47</v>
      </c>
      <c r="T29" s="141">
        <f t="shared" si="4"/>
        <v>1.3333333333330977E-2</v>
      </c>
      <c r="U29" s="126"/>
    </row>
    <row r="30" spans="1:21" s="1" customFormat="1" ht="15.75" x14ac:dyDescent="0.25">
      <c r="A30" s="3"/>
      <c r="B30" s="493">
        <v>41451</v>
      </c>
      <c r="C30" s="499" t="s">
        <v>111</v>
      </c>
      <c r="D30" s="239"/>
      <c r="E30" s="239"/>
      <c r="F30" s="240">
        <f t="shared" si="7"/>
        <v>0</v>
      </c>
      <c r="G30" s="239">
        <v>0.54513888888888895</v>
      </c>
      <c r="H30" s="239">
        <v>0.8569444444444444</v>
      </c>
      <c r="I30" s="240">
        <f t="shared" si="8"/>
        <v>0.31180555555555545</v>
      </c>
      <c r="J30" s="297" t="str">
        <f>IF(COUNTA(D30:E30,G30:H30)=5,Prime!$E$4,IF(AND(D30&lt;="5:01"*1,D30&gt;"2:00"*1),Prime!$E$4,IF(AND(H30&gt;="22:00"*1,H30&lt;="26:01"*1),Prime!$E$4,"")))</f>
        <v/>
      </c>
      <c r="K30" s="231" t="str">
        <f>IF(COUNTA(D30:E30,G30:H30)=5,Prime!$E$4,IF(AND(E30&gt;="13:15"*1,G30&lt;""),Prime!$E$4,IF(AND(G30&gt;="11:00"*1,G30&lt;="12:15"*1),Prime!$E$4,"")))</f>
        <v/>
      </c>
      <c r="L30" s="286" t="str">
        <f>IF(H30&gt;"21:30"*1,Prime!$F$4,"")</f>
        <v/>
      </c>
      <c r="M30" s="287" t="str">
        <f>IF(AND(LEFT(C30,1)="d",OR(D30&gt;="7:00"*1,H30&gt;"22:00"*1)),Prime!$G$4,"")&amp;IF(AND(LEFT(C30,1)="s",H30&gt;="24:00"*1),Prime!$G$4,"")</f>
        <v/>
      </c>
      <c r="N30" s="319" t="str">
        <f>IF(ISNUMBER(FIND("F",C30)),Prime!$I$4,IF(ISNUMBER(FIND("CDS",C30)),Prime!$I$4,""))</f>
        <v/>
      </c>
      <c r="O30" s="241">
        <v>4.5833333333333337E-2</v>
      </c>
      <c r="P30" s="242">
        <f t="shared" si="6"/>
        <v>1.1000000000000001</v>
      </c>
      <c r="Q30" s="142">
        <f t="shared" si="3"/>
        <v>0.31180555555555545</v>
      </c>
      <c r="R30" s="143">
        <f t="shared" si="5"/>
        <v>7.4833333333333307</v>
      </c>
      <c r="S30" s="144">
        <v>7.52</v>
      </c>
      <c r="T30" s="141">
        <f t="shared" si="4"/>
        <v>-3.6666666666668846E-2</v>
      </c>
      <c r="U30" s="126"/>
    </row>
    <row r="31" spans="1:21" s="1" customFormat="1" ht="15.75" x14ac:dyDescent="0.25">
      <c r="A31" s="3"/>
      <c r="B31" s="493">
        <v>41452</v>
      </c>
      <c r="C31" s="499" t="s">
        <v>111</v>
      </c>
      <c r="D31" s="239"/>
      <c r="E31" s="239"/>
      <c r="F31" s="240">
        <f t="shared" si="7"/>
        <v>0</v>
      </c>
      <c r="G31" s="239">
        <v>0.54513888888888895</v>
      </c>
      <c r="H31" s="239">
        <v>0.8569444444444444</v>
      </c>
      <c r="I31" s="240">
        <f t="shared" si="8"/>
        <v>0.31180555555555545</v>
      </c>
      <c r="J31" s="297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287" t="str">
        <f>IF(AND(LEFT(C31,1)="d",OR(D31&gt;="7:00"*1,H31&gt;"22:00"*1)),Prime!$G$4,"")&amp;IF(AND(LEFT(C31,1)="s",H31&gt;="24:00"*1),Prime!$G$4,"")</f>
        <v/>
      </c>
      <c r="N31" s="319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0.31180555555555545</v>
      </c>
      <c r="R31" s="143">
        <f t="shared" si="5"/>
        <v>7.4833333333333307</v>
      </c>
      <c r="S31" s="144">
        <v>7.47</v>
      </c>
      <c r="T31" s="141">
        <f t="shared" si="4"/>
        <v>1.3333333333330977E-2</v>
      </c>
      <c r="U31" s="126"/>
    </row>
    <row r="32" spans="1:21" s="1" customFormat="1" ht="15.75" x14ac:dyDescent="0.25">
      <c r="A32" s="3"/>
      <c r="B32" s="493">
        <v>41453</v>
      </c>
      <c r="C32" s="499" t="s">
        <v>1</v>
      </c>
      <c r="D32" s="239">
        <v>0</v>
      </c>
      <c r="E32" s="239">
        <v>0</v>
      </c>
      <c r="F32" s="240">
        <f t="shared" si="7"/>
        <v>0</v>
      </c>
      <c r="G32" s="239"/>
      <c r="H32" s="239"/>
      <c r="I32" s="240">
        <f t="shared" si="8"/>
        <v>0</v>
      </c>
      <c r="J32" s="297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287" t="str">
        <f>IF(AND(LEFT(C32,1)="d",OR(D32&gt;="7:00"*1,H32&gt;"22:00"*1)),Prime!$G$4,"")&amp;IF(AND(LEFT(C32,1)="s",H32&gt;="24:00"*1),Prime!$G$4,"")</f>
        <v/>
      </c>
      <c r="N32" s="319" t="str">
        <f>IF(ISNUMBER(FIND("F",C32)),Prime!$I$4,IF(ISNUMBER(FIND("CDS",C32)),Prime!$I$4,""))</f>
        <v/>
      </c>
      <c r="O32" s="241"/>
      <c r="P32" s="242" t="str">
        <f t="shared" si="6"/>
        <v/>
      </c>
      <c r="Q32" s="142">
        <f t="shared" si="3"/>
        <v>0</v>
      </c>
      <c r="R32" s="143">
        <f t="shared" si="5"/>
        <v>0</v>
      </c>
      <c r="S32" s="144">
        <v>0</v>
      </c>
      <c r="T32" s="141" t="str">
        <f t="shared" si="4"/>
        <v>0,000</v>
      </c>
      <c r="U32" s="126"/>
    </row>
    <row r="33" spans="1:21" s="1" customFormat="1" ht="15.75" x14ac:dyDescent="0.25">
      <c r="A33" s="3"/>
      <c r="B33" s="493">
        <v>41454</v>
      </c>
      <c r="C33" s="505" t="s">
        <v>112</v>
      </c>
      <c r="D33" s="239"/>
      <c r="E33" s="239"/>
      <c r="F33" s="240">
        <f t="shared" si="7"/>
        <v>0</v>
      </c>
      <c r="G33" s="239">
        <v>0.54513888888888895</v>
      </c>
      <c r="H33" s="239">
        <v>0.8569444444444444</v>
      </c>
      <c r="I33" s="240">
        <f t="shared" si="8"/>
        <v>0.31180555555555545</v>
      </c>
      <c r="J33" s="297" t="str">
        <f>IF(COUNTA(D33:E33,G33:H33)=5,Prime!$E$4,IF(AND(D33&lt;="5:01"*1,D33&gt;"2:00"*1),Prime!$E$4,IF(AND(H33&gt;="22:00"*1,H33&lt;="26:01"*1),Prime!$E$4,"")))</f>
        <v/>
      </c>
      <c r="K33" s="231" t="str">
        <f>IF(COUNTA(D33:E33,G33:H33)=5,Prime!$E$4,IF(AND(E33&gt;="13:15"*1,G33&lt;""),Prime!$E$4,IF(AND(G33&gt;="11:00"*1,G33&lt;="12:15"*1),Prime!$E$4,"")))</f>
        <v/>
      </c>
      <c r="L33" s="286" t="str">
        <f>IF(H33&gt;"21:30"*1,Prime!$F$4,"")</f>
        <v/>
      </c>
      <c r="M33" s="287" t="str">
        <f>IF(AND(LEFT(C33,1)="d",OR(D33&gt;="7:00"*1,H33&gt;"22:00"*1)),Prime!$G$4,"")&amp;IF(AND(LEFT(C33,1)="s",H33&gt;="24:00"*1),Prime!$G$4,"")</f>
        <v/>
      </c>
      <c r="N33" s="319" t="str">
        <f>IF(ISNUMBER(FIND("F",C33)),Prime!$I$4,IF(ISNUMBER(FIND("CDS",C33)),Prime!$I$4,""))</f>
        <v/>
      </c>
      <c r="O33" s="241"/>
      <c r="P33" s="242" t="str">
        <f>IF(ISBLANK(O33),"",O33/24)</f>
        <v/>
      </c>
      <c r="Q33" s="142">
        <f t="shared" si="3"/>
        <v>0.31180555555555545</v>
      </c>
      <c r="R33" s="143">
        <f t="shared" si="5"/>
        <v>7.4833333333333307</v>
      </c>
      <c r="S33" s="144">
        <v>7.47</v>
      </c>
      <c r="T33" s="141">
        <f t="shared" si="4"/>
        <v>1.3333333333330977E-2</v>
      </c>
      <c r="U33" s="126"/>
    </row>
    <row r="34" spans="1:21" s="1" customFormat="1" ht="16.5" thickBot="1" x14ac:dyDescent="0.3">
      <c r="A34" s="3"/>
      <c r="B34" s="504"/>
      <c r="C34" s="506"/>
      <c r="D34" s="243"/>
      <c r="E34" s="243"/>
      <c r="F34" s="244"/>
      <c r="G34" s="248"/>
      <c r="H34" s="243"/>
      <c r="I34" s="244"/>
      <c r="J34" s="298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88" t="str">
        <f>IF(H34&gt;"21:30"*1,Prime!$F$4,"")</f>
        <v/>
      </c>
      <c r="M34" s="289" t="str">
        <f>IF(AND(LEFT(C34,1)="d",OR(D34&gt;="7:00"*1,H34&gt;"22:00"*1)),Prime!$G$4,"")&amp;IF(AND(LEFT(C34,1)="s",H34&gt;="24:00"*1),Prime!$G$4,"")</f>
        <v/>
      </c>
      <c r="N34" s="320" t="str">
        <f>IF(ISNUMBER(FIND("F",C34)),Prime!$I$4,IF(ISNUMBER(FIND("CDS",C34)),Prime!$I$4,""))</f>
        <v/>
      </c>
      <c r="O34" s="245"/>
      <c r="P34" s="247"/>
      <c r="Q34" s="145">
        <f t="shared" si="3"/>
        <v>0</v>
      </c>
      <c r="R34" s="146">
        <f t="shared" si="5"/>
        <v>0</v>
      </c>
      <c r="S34" s="147">
        <v>0</v>
      </c>
      <c r="T34" s="148" t="str">
        <f t="shared" si="4"/>
        <v>0,000</v>
      </c>
      <c r="U34" s="126"/>
    </row>
    <row r="35" spans="1:21" s="1" customFormat="1" ht="15.75" x14ac:dyDescent="0.25">
      <c r="A35" s="3"/>
      <c r="B35" s="4"/>
      <c r="C35" s="4"/>
      <c r="D35" s="4"/>
      <c r="E35" s="3"/>
      <c r="F35" s="3"/>
      <c r="G35" s="3"/>
      <c r="H35" s="3"/>
      <c r="I35" s="3"/>
      <c r="J35" s="183"/>
      <c r="K35" s="183"/>
      <c r="L35" s="186"/>
      <c r="M35" s="152"/>
      <c r="N35" s="152"/>
      <c r="U35" s="155"/>
    </row>
    <row r="36" spans="1:21" s="1" customFormat="1" ht="15.75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24</v>
      </c>
      <c r="D36" s="4"/>
      <c r="E36" s="3"/>
      <c r="F36" s="3"/>
      <c r="G36" s="3"/>
      <c r="H36" s="3"/>
      <c r="I36" s="3"/>
      <c r="J36" s="185">
        <f>SUM(J4:J33)</f>
        <v>0</v>
      </c>
      <c r="K36" s="307">
        <f>SUM(K4:K33)</f>
        <v>70.822400000000002</v>
      </c>
      <c r="L36" s="184">
        <f>SUM(L4:L34)</f>
        <v>0</v>
      </c>
      <c r="M36" s="63">
        <f>SUM(M4:M33)</f>
        <v>0</v>
      </c>
      <c r="N36" s="324">
        <f>SUM(N4:N34)</f>
        <v>104.9325</v>
      </c>
      <c r="O36" s="153">
        <f>SUM(O4:O34)</f>
        <v>4.5833333333333337E-2</v>
      </c>
      <c r="P36" s="194">
        <f>SUM(P4:P32)</f>
        <v>1.1000000000000001</v>
      </c>
      <c r="Q36" s="154" t="e">
        <f>SUM(Q4:Q34)</f>
        <v>#REF!</v>
      </c>
      <c r="R36" s="63" t="e">
        <f>SUM(R4:R34)</f>
        <v>#REF!</v>
      </c>
      <c r="S36" s="64">
        <f>SUM(S3:S34)</f>
        <v>153.04000000000002</v>
      </c>
      <c r="T36" s="151" t="e">
        <f>R36-S36</f>
        <v>#REF!</v>
      </c>
    </row>
    <row r="37" spans="1:21" s="1" customFormat="1" ht="15.75" x14ac:dyDescent="0.25">
      <c r="A37" s="3"/>
      <c r="B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</row>
    <row r="38" spans="1:21" s="1" customFormat="1" ht="15.75" x14ac:dyDescent="0.25">
      <c r="B38" s="447"/>
      <c r="M38" s="525" t="s">
        <v>100</v>
      </c>
      <c r="N38" s="525"/>
      <c r="O38" s="525"/>
      <c r="P38" s="178"/>
      <c r="Q38" s="156">
        <v>6.1895833333333341</v>
      </c>
      <c r="R38" s="65">
        <v>148.19999999999999</v>
      </c>
    </row>
    <row r="39" spans="1:21" s="1" customFormat="1" x14ac:dyDescent="0.25">
      <c r="B39" s="447"/>
    </row>
    <row r="40" spans="1:21" ht="15.75" x14ac:dyDescent="0.25">
      <c r="M40" s="521" t="s">
        <v>39</v>
      </c>
      <c r="N40" s="521"/>
      <c r="O40" s="521"/>
      <c r="P40" s="177"/>
      <c r="Q40" s="68" t="e">
        <f>(Q36-Q38)</f>
        <v>#REF!</v>
      </c>
      <c r="R40" s="69" t="e">
        <f>Q40*24</f>
        <v>#REF!</v>
      </c>
    </row>
    <row r="41" spans="1:21" x14ac:dyDescent="0.25">
      <c r="M41" s="1"/>
      <c r="O41"/>
      <c r="P41" s="1"/>
    </row>
  </sheetData>
  <mergeCells count="6">
    <mergeCell ref="Q2:T2"/>
    <mergeCell ref="M40:O40"/>
    <mergeCell ref="D3:E3"/>
    <mergeCell ref="G3:H3"/>
    <mergeCell ref="B1:L1"/>
    <mergeCell ref="M38:O38"/>
  </mergeCells>
  <conditionalFormatting sqref="T36">
    <cfRule type="cellIs" dxfId="36" priority="10" operator="greaterThanOrEqual">
      <formula>0.001</formula>
    </cfRule>
    <cfRule type="cellIs" dxfId="35" priority="11" operator="lessThan">
      <formula>0</formula>
    </cfRule>
  </conditionalFormatting>
  <conditionalFormatting sqref="Q40">
    <cfRule type="cellIs" dxfId="34" priority="5" operator="lessThan">
      <formula>0</formula>
    </cfRule>
  </conditionalFormatting>
  <conditionalFormatting sqref="T4:T34">
    <cfRule type="cellIs" dxfId="33" priority="3" operator="greaterThanOrEqual">
      <formula>0.001</formula>
    </cfRule>
    <cfRule type="cellIs" dxfId="32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U40"/>
  <sheetViews>
    <sheetView workbookViewId="0">
      <selection activeCell="B3" sqref="B3:B34"/>
    </sheetView>
  </sheetViews>
  <sheetFormatPr baseColWidth="10" defaultRowHeight="15" x14ac:dyDescent="0.25"/>
  <cols>
    <col min="1" max="1" width="2.7109375" customWidth="1"/>
    <col min="2" max="2" width="15.7109375" style="447" customWidth="1"/>
    <col min="3" max="3" width="14.7109375" style="1" customWidth="1"/>
    <col min="4" max="9" width="14.7109375" customWidth="1"/>
    <col min="10" max="10" width="14.7109375" style="1" customWidth="1"/>
    <col min="11" max="13" width="14.7109375" customWidth="1"/>
    <col min="14" max="14" width="14.7109375" style="1" customWidth="1"/>
    <col min="15" max="15" width="14.7109375" customWidth="1"/>
    <col min="16" max="16" width="14.7109375" style="1" customWidth="1"/>
    <col min="17" max="17" width="14.7109375" customWidth="1"/>
  </cols>
  <sheetData>
    <row r="1" spans="1:21" s="1" customFormat="1" ht="16.5" thickBot="1" x14ac:dyDescent="0.3">
      <c r="A1" s="3"/>
      <c r="B1" s="524" t="s">
        <v>7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8"/>
      <c r="N1" s="203"/>
    </row>
    <row r="2" spans="1:21" ht="16.5" thickBot="1" x14ac:dyDescent="0.3">
      <c r="A2" s="3"/>
      <c r="B2" s="3"/>
      <c r="C2" s="3"/>
      <c r="D2" s="3"/>
      <c r="E2" s="3"/>
      <c r="F2" s="3"/>
      <c r="G2" s="3"/>
      <c r="H2" s="3"/>
      <c r="I2" s="3"/>
      <c r="J2" s="124"/>
      <c r="K2" s="124"/>
      <c r="L2" s="124"/>
      <c r="M2" s="124"/>
      <c r="N2" s="124"/>
      <c r="O2" s="124"/>
      <c r="P2" s="124"/>
      <c r="Q2" s="516" t="s">
        <v>17</v>
      </c>
      <c r="R2" s="517"/>
      <c r="S2" s="517"/>
      <c r="T2" s="518"/>
      <c r="U2" s="126"/>
    </row>
    <row r="3" spans="1:21" ht="16.5" thickBot="1" x14ac:dyDescent="0.3">
      <c r="A3" s="3"/>
      <c r="B3" s="503" t="s">
        <v>135</v>
      </c>
      <c r="C3" s="502" t="s">
        <v>18</v>
      </c>
      <c r="D3" s="522" t="s">
        <v>13</v>
      </c>
      <c r="E3" s="523"/>
      <c r="F3" s="14" t="s">
        <v>16</v>
      </c>
      <c r="G3" s="523" t="s">
        <v>14</v>
      </c>
      <c r="H3" s="523"/>
      <c r="I3" s="14" t="s">
        <v>16</v>
      </c>
      <c r="J3" s="221" t="s">
        <v>157</v>
      </c>
      <c r="K3" s="161" t="s">
        <v>180</v>
      </c>
      <c r="L3" s="164" t="s">
        <v>181</v>
      </c>
      <c r="M3" s="229" t="s">
        <v>185</v>
      </c>
      <c r="N3" s="233" t="s">
        <v>188</v>
      </c>
      <c r="O3" s="130" t="s">
        <v>20</v>
      </c>
      <c r="P3" s="190"/>
      <c r="Q3" s="131" t="s">
        <v>37</v>
      </c>
      <c r="R3" s="132" t="s">
        <v>38</v>
      </c>
      <c r="S3" s="133" t="s">
        <v>22</v>
      </c>
      <c r="T3" s="134" t="s">
        <v>39</v>
      </c>
      <c r="U3" s="126"/>
    </row>
    <row r="4" spans="1:21" ht="15.75" x14ac:dyDescent="0.25">
      <c r="A4" s="3"/>
      <c r="B4" s="493">
        <v>41455</v>
      </c>
      <c r="C4" s="498" t="s">
        <v>215</v>
      </c>
      <c r="D4" s="234"/>
      <c r="E4" s="234"/>
      <c r="F4" s="235">
        <f t="shared" ref="F4:F34" si="0">E4-D4</f>
        <v>0</v>
      </c>
      <c r="G4" s="234">
        <v>0.52222222222222225</v>
      </c>
      <c r="H4" s="234">
        <v>0.84930555555555554</v>
      </c>
      <c r="I4" s="235">
        <f t="shared" ref="I4:I34" si="1">H4-G4</f>
        <v>0.32708333333333328</v>
      </c>
      <c r="J4" s="236" t="str">
        <f>IF(COUNTA(D4:E4,G4:H4)=5,Prime!$E$4,IF(AND(D4&lt;="5:01"*1,D4&gt;"2:00"*1),Prime!$E$4,IF(AND(H4&gt;="22:00"*1,H4&lt;="26:01"*1),Prime!$E$4,"")))</f>
        <v/>
      </c>
      <c r="K4" s="230" t="str">
        <f>IF(COUNTA(D4:E4,G4:H4)=5,Prime!$E$4,IF(AND(E4&gt;="13:15"*1,G4&lt;""),Prime!$E$4,IF(AND(G4&gt;="11:00"*1,G4&lt;="12:15"*1),Prime!$E$4,"")))</f>
        <v/>
      </c>
      <c r="L4" s="284" t="str">
        <f>IF(H4&gt;"21:30"*1,Prime!$F$4,"")</f>
        <v/>
      </c>
      <c r="M4" s="310" t="str">
        <f>IF(AND(LEFT(C4,1)="d",OR(D4&gt;="7:00"*1,H4&gt;"22:00"*1)),Prime!$G$4,"")&amp;IF(AND(LEFT(C4,1)="s",H4&gt;="24:00"*1),Prime!$G$4,"")</f>
        <v/>
      </c>
      <c r="N4" s="318" t="str">
        <f>IF(ISNUMBER(FIND("F",C4)),Prime!$I$4,IF(ISNUMBER(FIND("CDS",C4)),Prime!$I$4,""))</f>
        <v/>
      </c>
      <c r="O4" s="237"/>
      <c r="P4" s="238" t="str">
        <f t="shared" ref="P4:P17" si="2">IF(ISBLANK(O4),"",O4*24)</f>
        <v/>
      </c>
      <c r="Q4" s="138">
        <f t="shared" ref="Q4:Q34" si="3">(E4-D4)+(H4-G4)</f>
        <v>0.32708333333333328</v>
      </c>
      <c r="R4" s="139">
        <f>Q4*24</f>
        <v>7.8499999999999988</v>
      </c>
      <c r="S4" s="140">
        <v>7.85</v>
      </c>
      <c r="T4" s="141">
        <f>IF(R4-S4=0,"0,000",R4-S4)</f>
        <v>-8.8817841970012523E-16</v>
      </c>
      <c r="U4" s="126"/>
    </row>
    <row r="5" spans="1:21" ht="15.75" x14ac:dyDescent="0.25">
      <c r="A5" s="3"/>
      <c r="B5" s="493">
        <v>41456</v>
      </c>
      <c r="C5" s="499" t="s">
        <v>198</v>
      </c>
      <c r="D5" s="239">
        <v>0</v>
      </c>
      <c r="E5" s="239">
        <v>0</v>
      </c>
      <c r="F5" s="240">
        <f t="shared" si="0"/>
        <v>0</v>
      </c>
      <c r="G5" s="239">
        <v>0</v>
      </c>
      <c r="H5" s="239">
        <v>0</v>
      </c>
      <c r="I5" s="240">
        <f t="shared" si="1"/>
        <v>0</v>
      </c>
      <c r="J5" s="271" t="str">
        <f>IF(COUNTA(D5:E5,G5:H5)=5,Prime!$E$4,IF(AND(D5&lt;="5:01"*1,D5&gt;"2:00"*1),Prime!$E$4,IF(AND(H5&gt;="22:00"*1,H5&lt;="26:01"*1),Prime!$E$4,"")))</f>
        <v/>
      </c>
      <c r="K5" s="231" t="str">
        <f>IF(COUNTA(D5:E5,G5:H5)=5,Prime!$E$4,IF(AND(E5&gt;="13:15"*1,G5&lt;""),Prime!$E$4,IF(AND(G5&gt;="11:00"*1,G5&lt;="12:15"*1),Prime!$E$4,"")))</f>
        <v/>
      </c>
      <c r="L5" s="286" t="str">
        <f>IF(H5&gt;"21:30"*1,Prime!$F$4,"")</f>
        <v/>
      </c>
      <c r="M5" s="311" t="str">
        <f>IF(AND(LEFT(C5,1)="d",OR(D5&gt;="7:00"*1,H5&gt;"22:00"*1)),Prime!$G$4,"")&amp;IF(AND(LEFT(C5,1)="s",H5&gt;="24:00"*1),Prime!$G$4,"")</f>
        <v/>
      </c>
      <c r="N5" s="319" t="str">
        <f>IF(ISNUMBER(FIND("F",C5)),Prime!$I$4,IF(ISNUMBER(FIND("CDS",C5)),Prime!$I$4,""))</f>
        <v/>
      </c>
      <c r="O5" s="241"/>
      <c r="P5" s="242" t="str">
        <f t="shared" si="2"/>
        <v/>
      </c>
      <c r="Q5" s="142">
        <f t="shared" si="3"/>
        <v>0</v>
      </c>
      <c r="R5" s="143">
        <f>Q5*24</f>
        <v>0</v>
      </c>
      <c r="S5" s="144">
        <v>0</v>
      </c>
      <c r="T5" s="141" t="str">
        <f t="shared" ref="T5:T34" si="4">IF(R5-S5=0,"0,000",R5-S5)</f>
        <v>0,000</v>
      </c>
      <c r="U5" s="126"/>
    </row>
    <row r="6" spans="1:21" ht="15.75" x14ac:dyDescent="0.25">
      <c r="A6" s="3"/>
      <c r="B6" s="493">
        <v>41457</v>
      </c>
      <c r="C6" s="499" t="s">
        <v>23</v>
      </c>
      <c r="D6" s="239">
        <v>0.26944444444444443</v>
      </c>
      <c r="E6" s="239">
        <v>0.5805555555555556</v>
      </c>
      <c r="F6" s="240">
        <f t="shared" si="0"/>
        <v>0.31111111111111117</v>
      </c>
      <c r="G6" s="239">
        <v>0</v>
      </c>
      <c r="H6" s="239">
        <v>0</v>
      </c>
      <c r="I6" s="240">
        <f t="shared" si="1"/>
        <v>0</v>
      </c>
      <c r="J6" s="271" t="str">
        <f>IF(COUNTA(D6:E6,G6:H6)=5,Prime!$E$4,IF(AND(D6&lt;="5:01"*1,D6&gt;"2:00"*1),Prime!$E$4,IF(AND(H6&gt;="22:00"*1,H6&lt;="26:01"*1),Prime!$E$4,"")))</f>
        <v/>
      </c>
      <c r="K6" s="231">
        <f>IF(COUNTA(D6:E6,G6:H6)=5,Prime!$E$4,IF(AND(E6&gt;="13:15"*1,G6&lt;""),Prime!$E$4,IF(AND(G6&gt;="11:00"*1,G6&lt;="12:15"*1),Prime!$E$4,"")))</f>
        <v>17.7056</v>
      </c>
      <c r="L6" s="286" t="str">
        <f>IF(H6&gt;"21:30"*1,Prime!$F$4,"")</f>
        <v/>
      </c>
      <c r="M6" s="311" t="str">
        <f>IF(AND(LEFT(C6,1)="d",OR(D6&gt;="7:00"*1,H6&gt;"22:00"*1)),Prime!$G$4,"")&amp;IF(AND(LEFT(C6,1)="s",H6&gt;="24:00"*1),Prime!$G$4,"")</f>
        <v/>
      </c>
      <c r="N6" s="319" t="str">
        <f>IF(ISNUMBER(FIND("F",C6)),Prime!$I$4,IF(ISNUMBER(FIND("CDS",C6)),Prime!$I$4,""))</f>
        <v/>
      </c>
      <c r="O6" s="241"/>
      <c r="P6" s="242" t="str">
        <f t="shared" si="2"/>
        <v/>
      </c>
      <c r="Q6" s="142">
        <f t="shared" si="3"/>
        <v>0.31111111111111117</v>
      </c>
      <c r="R6" s="143">
        <f>Q6*24</f>
        <v>7.4666666666666686</v>
      </c>
      <c r="S6" s="144">
        <v>7.52</v>
      </c>
      <c r="T6" s="141">
        <f t="shared" si="4"/>
        <v>-5.3333333333331012E-2</v>
      </c>
      <c r="U6" s="126"/>
    </row>
    <row r="7" spans="1:21" ht="15.75" x14ac:dyDescent="0.25">
      <c r="A7" s="3"/>
      <c r="B7" s="493">
        <v>41458</v>
      </c>
      <c r="C7" s="499" t="s">
        <v>24</v>
      </c>
      <c r="D7" s="239">
        <v>0.19722222222222222</v>
      </c>
      <c r="E7" s="239">
        <v>0.51041666666666663</v>
      </c>
      <c r="F7" s="240">
        <f t="shared" si="0"/>
        <v>0.31319444444444444</v>
      </c>
      <c r="G7" s="239">
        <v>0</v>
      </c>
      <c r="H7" s="239">
        <v>0</v>
      </c>
      <c r="I7" s="240">
        <f t="shared" si="1"/>
        <v>0</v>
      </c>
      <c r="J7" s="271">
        <f>IF(COUNTA(D7:E7,G7:H7)=5,Prime!$E$4,IF(AND(D7&lt;="5:01"*1,D7&gt;"2:00"*1),Prime!$E$4,IF(AND(H7&gt;="22:00"*1,H7&lt;="26:01"*1),Prime!$E$4,"")))</f>
        <v>17.7056</v>
      </c>
      <c r="K7" s="231" t="str">
        <f>IF(COUNTA(D7:E7,G7:H7)=5,Prime!$E$4,IF(AND(E7&gt;="13:15"*1,G7&lt;""),Prime!$E$4,IF(AND(G7&gt;="11:00"*1,G7&lt;="12:15"*1),Prime!$E$4,"")))</f>
        <v/>
      </c>
      <c r="L7" s="286" t="str">
        <f>IF(H7&gt;"21:30"*1,Prime!$F$4,"")</f>
        <v/>
      </c>
      <c r="M7" s="311" t="str">
        <f>IF(AND(LEFT(C7,1)="d",OR(D7&gt;="7:00"*1,H7&gt;"22:00"*1)),Prime!$G$4,"")&amp;IF(AND(LEFT(C7,1)="s",H7&gt;="24:00"*1),Prime!$G$4,"")</f>
        <v/>
      </c>
      <c r="N7" s="319" t="str">
        <f>IF(ISNUMBER(FIND("F",C7)),Prime!$I$4,IF(ISNUMBER(FIND("CDS",C7)),Prime!$I$4,""))</f>
        <v/>
      </c>
      <c r="O7" s="241"/>
      <c r="P7" s="242" t="str">
        <f t="shared" si="2"/>
        <v/>
      </c>
      <c r="Q7" s="142">
        <f t="shared" si="3"/>
        <v>0.31319444444444444</v>
      </c>
      <c r="R7" s="143">
        <f t="shared" ref="R7:R34" si="5">Q7*24</f>
        <v>7.5166666666666666</v>
      </c>
      <c r="S7" s="144">
        <v>7.73</v>
      </c>
      <c r="T7" s="141">
        <f t="shared" si="4"/>
        <v>-0.21333333333333382</v>
      </c>
      <c r="U7" s="126"/>
    </row>
    <row r="8" spans="1:21" ht="15.75" x14ac:dyDescent="0.25">
      <c r="A8" s="3"/>
      <c r="B8" s="493">
        <v>41459</v>
      </c>
      <c r="C8" s="499" t="s">
        <v>25</v>
      </c>
      <c r="D8" s="239">
        <v>0.22777777777777777</v>
      </c>
      <c r="E8" s="239">
        <v>0.54513888888888895</v>
      </c>
      <c r="F8" s="240">
        <f t="shared" si="0"/>
        <v>0.3173611111111112</v>
      </c>
      <c r="G8" s="239">
        <v>0</v>
      </c>
      <c r="H8" s="239">
        <v>0</v>
      </c>
      <c r="I8" s="240">
        <f t="shared" si="1"/>
        <v>0</v>
      </c>
      <c r="J8" s="271" t="str">
        <f>IF(COUNTA(D8:E8,G8:H8)=5,Prime!$E$4,IF(AND(D8&lt;="5:01"*1,D8&gt;"2:00"*1),Prime!$E$4,IF(AND(H8&gt;="22:00"*1,H8&lt;="26:01"*1),Prime!$E$4,"")))</f>
        <v/>
      </c>
      <c r="K8" s="231" t="str">
        <f>IF(COUNTA(D8:E8,G8:H8)=5,Prime!$E$4,IF(AND(E8&gt;="13:15"*1,G8&lt;""),Prime!$E$4,IF(AND(G8&gt;="11:00"*1,G8&lt;="12:15"*1),Prime!$E$4,"")))</f>
        <v/>
      </c>
      <c r="L8" s="286" t="str">
        <f>IF(H8&gt;"21:30"*1,Prime!$F$4,"")</f>
        <v/>
      </c>
      <c r="M8" s="311" t="str">
        <f>IF(AND(LEFT(C8,1)="d",OR(D8&gt;="7:00"*1,H8&gt;"22:00"*1)),Prime!$G$4,"")&amp;IF(AND(LEFT(C8,1)="s",H8&gt;="24:00"*1),Prime!$G$4,"")</f>
        <v/>
      </c>
      <c r="N8" s="319" t="str">
        <f>IF(ISNUMBER(FIND("F",C8)),Prime!$I$4,IF(ISNUMBER(FIND("CDS",C8)),Prime!$I$4,""))</f>
        <v/>
      </c>
      <c r="O8" s="241"/>
      <c r="P8" s="242" t="str">
        <f t="shared" si="2"/>
        <v/>
      </c>
      <c r="Q8" s="142">
        <f t="shared" si="3"/>
        <v>0.3173611111111112</v>
      </c>
      <c r="R8" s="143">
        <f t="shared" si="5"/>
        <v>7.6166666666666689</v>
      </c>
      <c r="S8" s="144">
        <v>7.83</v>
      </c>
      <c r="T8" s="141">
        <f t="shared" si="4"/>
        <v>-0.21333333333333115</v>
      </c>
      <c r="U8" s="126"/>
    </row>
    <row r="9" spans="1:21" ht="15.75" x14ac:dyDescent="0.25">
      <c r="A9" s="3"/>
      <c r="B9" s="493">
        <v>41460</v>
      </c>
      <c r="C9" s="499" t="s">
        <v>26</v>
      </c>
      <c r="D9" s="239">
        <v>0.2388888888888889</v>
      </c>
      <c r="E9" s="239">
        <v>0.56805555555555554</v>
      </c>
      <c r="F9" s="240">
        <f t="shared" si="0"/>
        <v>0.32916666666666661</v>
      </c>
      <c r="G9" s="239">
        <v>0</v>
      </c>
      <c r="H9" s="239">
        <v>0</v>
      </c>
      <c r="I9" s="240">
        <f t="shared" si="1"/>
        <v>0</v>
      </c>
      <c r="J9" s="271" t="str">
        <f>IF(COUNTA(D9:E9,G9:H9)=5,Prime!$E$4,IF(AND(D9&lt;="5:01"*1,D9&gt;"2:00"*1),Prime!$E$4,IF(AND(H9&gt;="22:00"*1,H9&lt;="26:01"*1),Prime!$E$4,"")))</f>
        <v/>
      </c>
      <c r="K9" s="231">
        <f>IF(COUNTA(D9:E9,G9:H9)=5,Prime!$E$4,IF(AND(E9&gt;="13:15"*1,G9&lt;""),Prime!$E$4,IF(AND(G9&gt;="11:00"*1,G9&lt;="12:15"*1),Prime!$E$4,"")))</f>
        <v>17.7056</v>
      </c>
      <c r="L9" s="286" t="str">
        <f>IF(H9&gt;"21:30"*1,Prime!$F$4,"")</f>
        <v/>
      </c>
      <c r="M9" s="311" t="str">
        <f>IF(AND(LEFT(C9,1)="d",OR(D9&gt;="7:00"*1,H9&gt;"22:00"*1)),Prime!$G$4,"")&amp;IF(AND(LEFT(C9,1)="s",H9&gt;="24:00"*1),Prime!$G$4,"")</f>
        <v/>
      </c>
      <c r="N9" s="319" t="str">
        <f>IF(ISNUMBER(FIND("F",C9)),Prime!$I$4,IF(ISNUMBER(FIND("CDS",C9)),Prime!$I$4,""))</f>
        <v/>
      </c>
      <c r="O9" s="241"/>
      <c r="P9" s="242" t="str">
        <f t="shared" si="2"/>
        <v/>
      </c>
      <c r="Q9" s="142">
        <f t="shared" si="3"/>
        <v>0.32916666666666661</v>
      </c>
      <c r="R9" s="143">
        <f t="shared" si="5"/>
        <v>7.8999999999999986</v>
      </c>
      <c r="S9" s="144">
        <v>7.78</v>
      </c>
      <c r="T9" s="141">
        <f t="shared" si="4"/>
        <v>0.11999999999999833</v>
      </c>
      <c r="U9" s="126"/>
    </row>
    <row r="10" spans="1:21" ht="15.75" x14ac:dyDescent="0.25">
      <c r="A10" s="3"/>
      <c r="B10" s="493">
        <v>41461</v>
      </c>
      <c r="C10" s="499" t="s">
        <v>27</v>
      </c>
      <c r="D10" s="239"/>
      <c r="E10" s="239"/>
      <c r="F10" s="240">
        <f t="shared" si="0"/>
        <v>0</v>
      </c>
      <c r="G10" s="239">
        <v>0.52708333333333335</v>
      </c>
      <c r="H10" s="239">
        <v>0.84375</v>
      </c>
      <c r="I10" s="240">
        <f t="shared" si="1"/>
        <v>0.31666666666666665</v>
      </c>
      <c r="J10" s="271" t="str">
        <f>IF(COUNTA(D10:E10,G10:H10)=5,Prime!$E$4,IF(AND(D10&lt;="5:01"*1,D10&gt;"2:00"*1),Prime!$E$4,IF(AND(H10&gt;="22:00"*1,H10&lt;="26:01"*1),Prime!$E$4,"")))</f>
        <v/>
      </c>
      <c r="K10" s="231" t="str">
        <f>IF(COUNTA(D10:E10,G10:H10)=5,Prime!$E$4,IF(AND(E10&gt;="13:15"*1,G10&lt;""),Prime!$E$4,IF(AND(G10&gt;="11:00"*1,G10&lt;="12:15"*1),Prime!$E$4,"")))</f>
        <v/>
      </c>
      <c r="L10" s="286" t="str">
        <f>IF(H10&gt;"21:30"*1,Prime!$F$4,"")</f>
        <v/>
      </c>
      <c r="M10" s="311" t="str">
        <f>IF(AND(LEFT(C10,1)="d",OR(D10&gt;="7:00"*1,H10&gt;"22:00"*1)),Prime!$G$4,"")&amp;IF(AND(LEFT(C10,1)="s",H10&gt;="24:00"*1),Prime!$G$4,"")</f>
        <v/>
      </c>
      <c r="N10" s="319" t="str">
        <f>IF(ISNUMBER(FIND("F",C10)),Prime!$I$4,IF(ISNUMBER(FIND("CDS",C10)),Prime!$I$4,""))</f>
        <v/>
      </c>
      <c r="O10" s="241">
        <v>1.0416666666666666E-2</v>
      </c>
      <c r="P10" s="242">
        <f t="shared" si="2"/>
        <v>0.25</v>
      </c>
      <c r="Q10" s="142">
        <f t="shared" si="3"/>
        <v>0.31666666666666665</v>
      </c>
      <c r="R10" s="143">
        <f t="shared" si="5"/>
        <v>7.6</v>
      </c>
      <c r="S10" s="144">
        <v>7.6</v>
      </c>
      <c r="T10" s="141" t="str">
        <f t="shared" si="4"/>
        <v>0,000</v>
      </c>
      <c r="U10" s="126"/>
    </row>
    <row r="11" spans="1:21" ht="15.75" x14ac:dyDescent="0.25">
      <c r="A11" s="3"/>
      <c r="B11" s="493">
        <v>41462</v>
      </c>
      <c r="C11" s="499" t="s">
        <v>199</v>
      </c>
      <c r="D11" s="239">
        <v>0</v>
      </c>
      <c r="E11" s="239">
        <v>0</v>
      </c>
      <c r="F11" s="240">
        <f t="shared" si="0"/>
        <v>0</v>
      </c>
      <c r="G11" s="239">
        <v>0</v>
      </c>
      <c r="H11" s="239">
        <v>0</v>
      </c>
      <c r="I11" s="240">
        <f t="shared" si="1"/>
        <v>0</v>
      </c>
      <c r="J11" s="271" t="str">
        <f>IF(COUNTA(D11:E11,G11:H11)=5,Prime!$E$4,IF(AND(D11&lt;="5:01"*1,D11&gt;"2:00"*1),Prime!$E$4,IF(AND(H11&gt;="22:00"*1,H11&lt;="26:01"*1),Prime!$E$4,"")))</f>
        <v/>
      </c>
      <c r="K11" s="231" t="str">
        <f>IF(COUNTA(D11:E11,G11:H11)=5,Prime!$E$4,IF(AND(E11&gt;="13:15"*1,G11&lt;""),Prime!$E$4,IF(AND(G11&gt;="11:00"*1,G11&lt;="12:15"*1),Prime!$E$4,"")))</f>
        <v/>
      </c>
      <c r="L11" s="286" t="str">
        <f>IF(H11&gt;"21:30"*1,Prime!$F$4,"")</f>
        <v/>
      </c>
      <c r="M11" s="311" t="str">
        <f>IF(AND(LEFT(C11,1)="d",OR(D11&gt;="7:00"*1,H11&gt;"22:00"*1)),Prime!$G$4,"")&amp;IF(AND(LEFT(C11,1)="s",H11&gt;="24:00"*1),Prime!$G$4,"")</f>
        <v/>
      </c>
      <c r="N11" s="319" t="str">
        <f>IF(ISNUMBER(FIND("F",C11)),Prime!$I$4,IF(ISNUMBER(FIND("CDS",C11)),Prime!$I$4,""))</f>
        <v/>
      </c>
      <c r="O11" s="241">
        <v>1.0416666666666666E-2</v>
      </c>
      <c r="P11" s="242">
        <f t="shared" si="2"/>
        <v>0.25</v>
      </c>
      <c r="Q11" s="142">
        <f t="shared" si="3"/>
        <v>0</v>
      </c>
      <c r="R11" s="143">
        <f t="shared" si="5"/>
        <v>0</v>
      </c>
      <c r="S11" s="144">
        <v>0</v>
      </c>
      <c r="T11" s="141" t="str">
        <f t="shared" si="4"/>
        <v>0,000</v>
      </c>
      <c r="U11" s="126"/>
    </row>
    <row r="12" spans="1:21" ht="15.75" x14ac:dyDescent="0.25">
      <c r="A12" s="3"/>
      <c r="B12" s="493">
        <v>41463</v>
      </c>
      <c r="C12" s="499" t="s">
        <v>198</v>
      </c>
      <c r="D12" s="239">
        <v>0</v>
      </c>
      <c r="E12" s="239">
        <v>0</v>
      </c>
      <c r="F12" s="240">
        <f t="shared" si="0"/>
        <v>0</v>
      </c>
      <c r="G12" s="239">
        <v>0</v>
      </c>
      <c r="H12" s="239">
        <v>0</v>
      </c>
      <c r="I12" s="240">
        <f t="shared" si="1"/>
        <v>0</v>
      </c>
      <c r="J12" s="271" t="str">
        <f>IF(COUNTA(D12:E12,G12:H12)=5,Prime!$E$4,IF(AND(D12&lt;="5:01"*1,D12&gt;"2:00"*1),Prime!$E$4,IF(AND(H12&gt;="22:00"*1,H12&lt;="26:01"*1),Prime!$E$4,"")))</f>
        <v/>
      </c>
      <c r="K12" s="231" t="str">
        <f>IF(COUNTA(D12:E12,G12:H12)=5,Prime!$E$4,IF(AND(E12&gt;="13:15"*1,G12&lt;""),Prime!$E$4,IF(AND(G12&gt;="11:00"*1,G12&lt;="12:15"*1),Prime!$E$4,"")))</f>
        <v/>
      </c>
      <c r="L12" s="286" t="str">
        <f>IF(H12&gt;"21:30"*1,Prime!$F$4,"")</f>
        <v/>
      </c>
      <c r="M12" s="311" t="str">
        <f>IF(AND(LEFT(C12,1)="d",OR(D12&gt;="7:00"*1,H12&gt;"22:00"*1)),Prime!$G$4,"")&amp;IF(AND(LEFT(C12,1)="s",H12&gt;="24:00"*1),Prime!$G$4,"")</f>
        <v/>
      </c>
      <c r="N12" s="319" t="str">
        <f>IF(ISNUMBER(FIND("F",C12)),Prime!$I$4,IF(ISNUMBER(FIND("CDS",C12)),Prime!$I$4,""))</f>
        <v/>
      </c>
      <c r="O12" s="241"/>
      <c r="P12" s="242" t="str">
        <f t="shared" si="2"/>
        <v/>
      </c>
      <c r="Q12" s="142">
        <f t="shared" si="3"/>
        <v>0</v>
      </c>
      <c r="R12" s="143">
        <f t="shared" si="5"/>
        <v>0</v>
      </c>
      <c r="S12" s="144">
        <v>0</v>
      </c>
      <c r="T12" s="141" t="str">
        <f t="shared" si="4"/>
        <v>0,000</v>
      </c>
      <c r="U12" s="126"/>
    </row>
    <row r="13" spans="1:21" ht="15.75" x14ac:dyDescent="0.25">
      <c r="A13" s="3"/>
      <c r="B13" s="493">
        <v>41464</v>
      </c>
      <c r="C13" s="499" t="s">
        <v>19</v>
      </c>
      <c r="D13" s="239">
        <v>0</v>
      </c>
      <c r="E13" s="239">
        <v>0</v>
      </c>
      <c r="F13" s="240">
        <f t="shared" si="0"/>
        <v>0</v>
      </c>
      <c r="G13" s="239">
        <v>0</v>
      </c>
      <c r="H13" s="239">
        <v>0</v>
      </c>
      <c r="I13" s="240">
        <f t="shared" si="1"/>
        <v>0</v>
      </c>
      <c r="J13" s="271" t="str">
        <f>IF(COUNTA(D13:E13,G13:H13)=5,Prime!$E$4,IF(AND(D13&lt;="5:01"*1,D13&gt;"2:00"*1),Prime!$E$4,IF(AND(H13&gt;="22:00"*1,H13&lt;="26:01"*1),Prime!$E$4,"")))</f>
        <v/>
      </c>
      <c r="K13" s="231" t="str">
        <f>IF(COUNTA(D13:E13,G13:H13)=5,Prime!$E$4,IF(AND(E13&gt;="13:15"*1,G13&lt;""),Prime!$E$4,IF(AND(G13&gt;="11:00"*1,G13&lt;="12:15"*1),Prime!$E$4,"")))</f>
        <v/>
      </c>
      <c r="L13" s="286" t="str">
        <f>IF(H13&gt;"21:30"*1,Prime!$F$4,"")</f>
        <v/>
      </c>
      <c r="M13" s="311" t="str">
        <f>IF(AND(LEFT(C13,1)="d",OR(D13&gt;="7:00"*1,H13&gt;"22:00"*1)),Prime!$G$4,"")&amp;IF(AND(LEFT(C13,1)="s",H13&gt;="24:00"*1),Prime!$G$4,"")</f>
        <v/>
      </c>
      <c r="N13" s="319" t="str">
        <f>IF(ISNUMBER(FIND("F",C13)),Prime!$I$4,IF(ISNUMBER(FIND("CDS",C13)),Prime!$I$4,""))</f>
        <v/>
      </c>
      <c r="O13" s="241"/>
      <c r="P13" s="242" t="str">
        <f t="shared" si="2"/>
        <v/>
      </c>
      <c r="Q13" s="142">
        <f t="shared" si="3"/>
        <v>0</v>
      </c>
      <c r="R13" s="143">
        <f t="shared" si="5"/>
        <v>0</v>
      </c>
      <c r="S13" s="144">
        <v>0</v>
      </c>
      <c r="T13" s="141" t="str">
        <f t="shared" si="4"/>
        <v>0,000</v>
      </c>
      <c r="U13" s="126"/>
    </row>
    <row r="14" spans="1:21" ht="15.75" x14ac:dyDescent="0.25">
      <c r="A14" s="3"/>
      <c r="B14" s="493">
        <v>41465</v>
      </c>
      <c r="C14" s="499" t="s">
        <v>28</v>
      </c>
      <c r="D14" s="239"/>
      <c r="E14" s="239"/>
      <c r="F14" s="240">
        <f t="shared" si="0"/>
        <v>0</v>
      </c>
      <c r="G14" s="239">
        <v>0.52986111111111112</v>
      </c>
      <c r="H14" s="239">
        <v>0.86319444444444438</v>
      </c>
      <c r="I14" s="240">
        <f t="shared" si="1"/>
        <v>0.33333333333333326</v>
      </c>
      <c r="J14" s="271" t="str">
        <f>IF(COUNTA(D14:E14,G14:H14)=5,Prime!$E$4,IF(AND(D14&lt;="5:01"*1,D14&gt;"2:00"*1),Prime!$E$4,IF(AND(H14&gt;="22:00"*1,H14&lt;="26:01"*1),Prime!$E$4,"")))</f>
        <v/>
      </c>
      <c r="K14" s="231" t="str">
        <f>IF(COUNTA(D14:E14,G14:H14)=5,Prime!$E$4,IF(AND(E14&gt;="13:15"*1,G14&lt;""),Prime!$E$4,IF(AND(G14&gt;="11:00"*1,G14&lt;="12:15"*1),Prime!$E$4,"")))</f>
        <v/>
      </c>
      <c r="L14" s="286" t="str">
        <f>IF(H14&gt;"21:30"*1,Prime!$F$4,"")</f>
        <v/>
      </c>
      <c r="M14" s="311" t="str">
        <f>IF(AND(LEFT(C14,1)="d",OR(D14&gt;="7:00"*1,H14&gt;"22:00"*1)),Prime!$G$4,"")&amp;IF(AND(LEFT(C14,1)="s",H14&gt;="24:00"*1),Prime!$G$4,"")</f>
        <v/>
      </c>
      <c r="N14" s="319" t="str">
        <f>IF(ISNUMBER(FIND("F",C14)),Prime!$I$4,IF(ISNUMBER(FIND("CDS",C14)),Prime!$I$4,""))</f>
        <v/>
      </c>
      <c r="O14" s="241"/>
      <c r="P14" s="242" t="str">
        <f t="shared" si="2"/>
        <v/>
      </c>
      <c r="Q14" s="142">
        <f t="shared" si="3"/>
        <v>0.33333333333333326</v>
      </c>
      <c r="R14" s="143">
        <f t="shared" si="5"/>
        <v>7.9999999999999982</v>
      </c>
      <c r="S14" s="144">
        <v>8</v>
      </c>
      <c r="T14" s="141">
        <f t="shared" si="4"/>
        <v>-1.7763568394002505E-15</v>
      </c>
      <c r="U14" s="126"/>
    </row>
    <row r="15" spans="1:21" ht="15.75" x14ac:dyDescent="0.25">
      <c r="A15" s="3"/>
      <c r="B15" s="493">
        <v>41466</v>
      </c>
      <c r="C15" s="499" t="s">
        <v>29</v>
      </c>
      <c r="D15" s="239"/>
      <c r="E15" s="239"/>
      <c r="F15" s="240">
        <f t="shared" si="0"/>
        <v>0</v>
      </c>
      <c r="G15" s="239">
        <v>0.54027777777777775</v>
      </c>
      <c r="H15" s="239">
        <v>0.8618055555555556</v>
      </c>
      <c r="I15" s="240">
        <f t="shared" si="1"/>
        <v>0.32152777777777786</v>
      </c>
      <c r="J15" s="271" t="str">
        <f>IF(COUNTA(D15:E15,G15:H15)=5,Prime!$E$4,IF(AND(D15&lt;="5:01"*1,D15&gt;"2:00"*1),Prime!$E$4,IF(AND(H15&gt;="22:00"*1,H15&lt;="26:01"*1),Prime!$E$4,"")))</f>
        <v/>
      </c>
      <c r="K15" s="231" t="str">
        <f>IF(COUNTA(D15:E15,G15:H15)=5,Prime!$E$4,IF(AND(E15&gt;="13:15"*1,G15&lt;""),Prime!$E$4,IF(AND(G15&gt;="11:00"*1,G15&lt;="12:15"*1),Prime!$E$4,"")))</f>
        <v/>
      </c>
      <c r="L15" s="286" t="str">
        <f>IF(H15&gt;"21:30"*1,Prime!$F$4,"")</f>
        <v/>
      </c>
      <c r="M15" s="311" t="str">
        <f>IF(AND(LEFT(C15,1)="d",OR(D15&gt;="7:00"*1,H15&gt;"22:00"*1)),Prime!$G$4,"")&amp;IF(AND(LEFT(C15,1)="s",H15&gt;="24:00"*1),Prime!$G$4,"")</f>
        <v/>
      </c>
      <c r="N15" s="319" t="str">
        <f>IF(ISNUMBER(FIND("F",C15)),Prime!$I$4,IF(ISNUMBER(FIND("CDS",C15)),Prime!$I$4,""))</f>
        <v/>
      </c>
      <c r="O15" s="241"/>
      <c r="P15" s="242" t="str">
        <f t="shared" si="2"/>
        <v/>
      </c>
      <c r="Q15" s="142">
        <f t="shared" si="3"/>
        <v>0.32152777777777786</v>
      </c>
      <c r="R15" s="143">
        <f t="shared" si="5"/>
        <v>7.7166666666666686</v>
      </c>
      <c r="S15" s="144">
        <v>7.72</v>
      </c>
      <c r="T15" s="141">
        <f t="shared" si="4"/>
        <v>-3.3333333333311899E-3</v>
      </c>
      <c r="U15" s="126"/>
    </row>
    <row r="16" spans="1:21" ht="15.75" x14ac:dyDescent="0.25">
      <c r="A16" s="3"/>
      <c r="B16" s="493">
        <v>41467</v>
      </c>
      <c r="C16" s="499" t="s">
        <v>1</v>
      </c>
      <c r="D16" s="239">
        <v>0</v>
      </c>
      <c r="E16" s="239">
        <v>0</v>
      </c>
      <c r="F16" s="240">
        <f t="shared" si="0"/>
        <v>0</v>
      </c>
      <c r="G16" s="239">
        <v>0</v>
      </c>
      <c r="H16" s="239">
        <v>0</v>
      </c>
      <c r="I16" s="240">
        <f t="shared" si="1"/>
        <v>0</v>
      </c>
      <c r="J16" s="271" t="str">
        <f>IF(COUNTA(D16:E16,G16:H16)=5,Prime!$E$4,IF(AND(D16&lt;="5:01"*1,D16&gt;"2:00"*1),Prime!$E$4,IF(AND(H16&gt;="22:00"*1,H16&lt;="26:01"*1),Prime!$E$4,"")))</f>
        <v/>
      </c>
      <c r="K16" s="231" t="str">
        <f>IF(COUNTA(D16:E16,G16:H16)=5,Prime!$E$4,IF(AND(E16&gt;="13:15"*1,G16&lt;""),Prime!$E$4,IF(AND(G16&gt;="11:00"*1,G16&lt;="12:15"*1),Prime!$E$4,"")))</f>
        <v/>
      </c>
      <c r="L16" s="286" t="str">
        <f>IF(H16&gt;"21:30"*1,Prime!$F$4,"")</f>
        <v/>
      </c>
      <c r="M16" s="311" t="str">
        <f>IF(AND(LEFT(C16,1)="d",OR(D16&gt;="7:00"*1,H16&gt;"22:00"*1)),Prime!$G$4,"")&amp;IF(AND(LEFT(C16,1)="s",H16&gt;="24:00"*1),Prime!$G$4,"")</f>
        <v/>
      </c>
      <c r="N16" s="319" t="str">
        <f>IF(ISNUMBER(FIND("F",C16)),Prime!$I$4,IF(ISNUMBER(FIND("CDS",C16)),Prime!$I$4,""))</f>
        <v/>
      </c>
      <c r="O16" s="241"/>
      <c r="P16" s="242" t="str">
        <f t="shared" si="2"/>
        <v/>
      </c>
      <c r="Q16" s="142">
        <f t="shared" si="3"/>
        <v>0</v>
      </c>
      <c r="R16" s="143">
        <f t="shared" si="5"/>
        <v>0</v>
      </c>
      <c r="S16" s="144">
        <v>0</v>
      </c>
      <c r="T16" s="141" t="str">
        <f t="shared" si="4"/>
        <v>0,000</v>
      </c>
      <c r="U16" s="126"/>
    </row>
    <row r="17" spans="1:21" ht="15.75" x14ac:dyDescent="0.25">
      <c r="A17" s="3"/>
      <c r="B17" s="493">
        <v>41468</v>
      </c>
      <c r="C17" s="499" t="s">
        <v>0</v>
      </c>
      <c r="D17" s="239">
        <v>0</v>
      </c>
      <c r="E17" s="239">
        <v>0</v>
      </c>
      <c r="F17" s="240">
        <f t="shared" si="0"/>
        <v>0</v>
      </c>
      <c r="G17" s="239">
        <v>0</v>
      </c>
      <c r="H17" s="239">
        <v>0</v>
      </c>
      <c r="I17" s="240">
        <f t="shared" si="1"/>
        <v>0</v>
      </c>
      <c r="J17" s="271" t="str">
        <f>IF(COUNTA(D17:E17,G17:H17)=5,Prime!$E$4,IF(AND(D17&lt;="5:01"*1,D17&gt;"2:00"*1),Prime!$E$4,IF(AND(H17&gt;="22:00"*1,H17&lt;="26:01"*1),Prime!$E$4,"")))</f>
        <v/>
      </c>
      <c r="K17" s="231" t="str">
        <f>IF(COUNTA(D17:E17,G17:H17)=5,Prime!$E$4,IF(AND(E17&gt;="13:15"*1,G17&lt;""),Prime!$E$4,IF(AND(G17&gt;="11:00"*1,G17&lt;="12:15"*1),Prime!$E$4,"")))</f>
        <v/>
      </c>
      <c r="L17" s="286" t="str">
        <f>IF(H17&gt;"21:30"*1,Prime!$F$4,"")</f>
        <v/>
      </c>
      <c r="M17" s="311" t="str">
        <f>IF(AND(LEFT(C17,1)="d",OR(D17&gt;="7:00"*1,H17&gt;"22:00"*1)),Prime!$G$4,"")&amp;IF(AND(LEFT(C17,1)="s",H17&gt;="24:00"*1),Prime!$G$4,"")</f>
        <v/>
      </c>
      <c r="N17" s="319" t="str">
        <f>IF(ISNUMBER(FIND("F",C17)),Prime!$I$4,IF(ISNUMBER(FIND("CDS",C17)),Prime!$I$4,""))</f>
        <v/>
      </c>
      <c r="O17" s="241"/>
      <c r="P17" s="242" t="str">
        <f t="shared" si="2"/>
        <v/>
      </c>
      <c r="Q17" s="142">
        <f t="shared" si="3"/>
        <v>0</v>
      </c>
      <c r="R17" s="143">
        <f t="shared" si="5"/>
        <v>0</v>
      </c>
      <c r="S17" s="144">
        <v>0</v>
      </c>
      <c r="T17" s="141" t="str">
        <f t="shared" si="4"/>
        <v>0,000</v>
      </c>
      <c r="U17" s="126"/>
    </row>
    <row r="18" spans="1:21" ht="15.75" x14ac:dyDescent="0.25">
      <c r="A18" s="3"/>
      <c r="B18" s="493">
        <v>41469</v>
      </c>
      <c r="C18" s="499" t="s">
        <v>217</v>
      </c>
      <c r="D18" s="239"/>
      <c r="E18" s="239"/>
      <c r="F18" s="240">
        <f t="shared" si="0"/>
        <v>0</v>
      </c>
      <c r="G18" s="239">
        <v>0.53541666666666665</v>
      </c>
      <c r="H18" s="239">
        <v>0.86875000000000002</v>
      </c>
      <c r="I18" s="240">
        <f t="shared" si="1"/>
        <v>0.33333333333333337</v>
      </c>
      <c r="J18" s="271" t="str">
        <f>IF(COUNTA(D18:E18,G18:H18)=5,Prime!$E$4,IF(AND(D18&lt;="5:01"*1,D18&gt;"2:00"*1),Prime!$E$4,IF(AND(H18&gt;="22:00"*1,H18&lt;="26:01"*1),Prime!$E$4,"")))</f>
        <v/>
      </c>
      <c r="K18" s="231" t="str">
        <f>IF(COUNTA(D18:E18,G18:H18)=5,Prime!$E$4,IF(AND(E18&gt;="13:15"*1,G18&lt;""),Prime!$E$4,IF(AND(G18&gt;="11:00"*1,G18&lt;="12:15"*1),Prime!$E$4,"")))</f>
        <v/>
      </c>
      <c r="L18" s="286" t="str">
        <f>IF(H18&gt;"21:30"*1,Prime!$F$4,"")</f>
        <v/>
      </c>
      <c r="M18" s="311" t="str">
        <f>IF(AND(LEFT(C18,1)="d",OR(D18&gt;="7:00"*1,H18&gt;"22:00"*1)),Prime!$G$4,"")&amp;IF(AND(LEFT(C18,1)="s",H18&gt;="24:00"*1),Prime!$G$4,"")</f>
        <v/>
      </c>
      <c r="N18" s="319" t="str">
        <f>IF(ISNUMBER(FIND("F",C18)),Prime!$I$4,IF(ISNUMBER(FIND("CDS",C18)),Prime!$I$4,""))</f>
        <v/>
      </c>
      <c r="O18" s="241"/>
      <c r="P18" s="242" t="str">
        <f>IF(ISBLANK(O18),"",O18*24)</f>
        <v/>
      </c>
      <c r="Q18" s="142">
        <f t="shared" si="3"/>
        <v>0.33333333333333337</v>
      </c>
      <c r="R18" s="143">
        <f t="shared" si="5"/>
        <v>8</v>
      </c>
      <c r="S18" s="144">
        <v>8</v>
      </c>
      <c r="T18" s="141" t="str">
        <f t="shared" si="4"/>
        <v>0,000</v>
      </c>
      <c r="U18" s="126"/>
    </row>
    <row r="19" spans="1:21" ht="15.75" x14ac:dyDescent="0.25">
      <c r="A19" s="3"/>
      <c r="B19" s="493">
        <v>41470</v>
      </c>
      <c r="C19" s="499" t="s">
        <v>218</v>
      </c>
      <c r="D19" s="239"/>
      <c r="E19" s="239"/>
      <c r="F19" s="240">
        <f t="shared" si="0"/>
        <v>0</v>
      </c>
      <c r="G19" s="239">
        <v>0.6479166666666667</v>
      </c>
      <c r="H19" s="239">
        <v>0.95347222222222217</v>
      </c>
      <c r="I19" s="240">
        <f t="shared" si="1"/>
        <v>0.30555555555555547</v>
      </c>
      <c r="J19" s="271">
        <f>IF(COUNTA(D19:E19,G19:H19)=5,Prime!$E$4,IF(AND(D19&lt;="5:01"*1,D19&gt;"2:00"*1),Prime!$E$4,IF(AND(H19&gt;="22:00"*1,H19&lt;="26:01"*1),Prime!$E$4,"")))</f>
        <v>17.7056</v>
      </c>
      <c r="K19" s="231" t="str">
        <f>IF(COUNTA(D19:E19,G19:H19)=5,Prime!$E$4,IF(AND(E19&gt;="13:15"*1,G19&lt;""),Prime!$E$4,IF(AND(G19&gt;="11:00"*1,G19&lt;="12:15"*1),Prime!$E$4,"")))</f>
        <v/>
      </c>
      <c r="L19" s="286">
        <f>IF(H19&gt;"21:30"*1,Prime!$F$4,"")</f>
        <v>17.7056</v>
      </c>
      <c r="M19" s="311" t="str">
        <f>IF(AND(LEFT(C19,1)="d",OR(D19&gt;="7:00"*1,H19&gt;"22:00"*1)),Prime!$G$4,"")&amp;IF(AND(LEFT(C19,1)="s",H19&gt;="24:00"*1),Prime!$G$4,"")</f>
        <v>44,264</v>
      </c>
      <c r="N19" s="319" t="str">
        <f>IF(ISNUMBER(FIND("F",C19)),Prime!$I$4,IF(ISNUMBER(FIND("CDS",C19)),Prime!$I$4,""))</f>
        <v/>
      </c>
      <c r="O19" s="241"/>
      <c r="P19" s="242" t="str">
        <f t="shared" ref="P19:P32" si="6">IF(ISBLANK(O19),"",O19*24)</f>
        <v/>
      </c>
      <c r="Q19" s="142">
        <f t="shared" si="3"/>
        <v>0.30555555555555547</v>
      </c>
      <c r="R19" s="143">
        <f t="shared" si="5"/>
        <v>7.3333333333333313</v>
      </c>
      <c r="S19" s="144">
        <v>7.33</v>
      </c>
      <c r="T19" s="141">
        <f t="shared" si="4"/>
        <v>3.3333333333311899E-3</v>
      </c>
      <c r="U19" s="126"/>
    </row>
    <row r="20" spans="1:21" ht="15.75" x14ac:dyDescent="0.25">
      <c r="A20" s="3"/>
      <c r="B20" s="493">
        <v>41471</v>
      </c>
      <c r="C20" s="499" t="s">
        <v>30</v>
      </c>
      <c r="D20" s="239"/>
      <c r="E20" s="239"/>
      <c r="F20" s="240">
        <f t="shared" si="0"/>
        <v>0</v>
      </c>
      <c r="G20" s="239">
        <v>0.49861111111111112</v>
      </c>
      <c r="H20" s="239">
        <v>0.8222222222222223</v>
      </c>
      <c r="I20" s="240">
        <f t="shared" si="1"/>
        <v>0.32361111111111118</v>
      </c>
      <c r="J20" s="271" t="str">
        <f>IF(COUNTA(D20:E20,G20:H20)=5,Prime!$E$4,IF(AND(D20&lt;="5:01"*1,D20&gt;"2:00"*1),Prime!$E$4,IF(AND(H20&gt;="22:00"*1,H20&lt;="26:01"*1),Prime!$E$4,"")))</f>
        <v/>
      </c>
      <c r="K20" s="231">
        <f>IF(COUNTA(D20:E20,G20:H20)=5,Prime!$E$4,IF(AND(E20&gt;="13:15"*1,G20&lt;""),Prime!$E$4,IF(AND(G20&gt;="11:00"*1,G20&lt;="12:15"*1),Prime!$E$4,"")))</f>
        <v>17.7056</v>
      </c>
      <c r="L20" s="286" t="str">
        <f>IF(H20&gt;"21:30"*1,Prime!$F$4,"")</f>
        <v/>
      </c>
      <c r="M20" s="311" t="str">
        <f>IF(AND(LEFT(C20,1)="d",OR(D20&gt;="7:00"*1,H20&gt;"22:00"*1)),Prime!$G$4,"")&amp;IF(AND(LEFT(C20,1)="s",H20&gt;="24:00"*1),Prime!$G$4,"")</f>
        <v/>
      </c>
      <c r="N20" s="319" t="str">
        <f>IF(ISNUMBER(FIND("F",C20)),Prime!$I$4,IF(ISNUMBER(FIND("CDS",C20)),Prime!$I$4,""))</f>
        <v/>
      </c>
      <c r="O20" s="241"/>
      <c r="P20" s="242" t="str">
        <f t="shared" si="6"/>
        <v/>
      </c>
      <c r="Q20" s="142">
        <f t="shared" si="3"/>
        <v>0.32361111111111118</v>
      </c>
      <c r="R20" s="143">
        <f t="shared" si="5"/>
        <v>7.7666666666666684</v>
      </c>
      <c r="S20" s="144">
        <v>7.77</v>
      </c>
      <c r="T20" s="141">
        <f t="shared" si="4"/>
        <v>-3.3333333333311899E-3</v>
      </c>
      <c r="U20" s="126"/>
    </row>
    <row r="21" spans="1:21" ht="15.75" x14ac:dyDescent="0.25">
      <c r="A21" s="3"/>
      <c r="B21" s="493">
        <v>41472</v>
      </c>
      <c r="C21" s="499" t="s">
        <v>1</v>
      </c>
      <c r="D21" s="239">
        <v>0</v>
      </c>
      <c r="E21" s="239">
        <v>0</v>
      </c>
      <c r="F21" s="240">
        <f t="shared" si="0"/>
        <v>0</v>
      </c>
      <c r="G21" s="239">
        <v>0</v>
      </c>
      <c r="H21" s="239">
        <v>0</v>
      </c>
      <c r="I21" s="240">
        <f t="shared" si="1"/>
        <v>0</v>
      </c>
      <c r="J21" s="271" t="str">
        <f>IF(COUNTA(D21:E21,G21:H21)=5,Prime!$E$4,IF(AND(D21&lt;="5:01"*1,D21&gt;"2:00"*1),Prime!$E$4,IF(AND(H21&gt;="22:00"*1,H21&lt;="26:01"*1),Prime!$E$4,"")))</f>
        <v/>
      </c>
      <c r="K21" s="231" t="str">
        <f>IF(COUNTA(D21:E21,G21:H21)=5,Prime!$E$4,IF(AND(E21&gt;="13:15"*1,G21&lt;""),Prime!$E$4,IF(AND(G21&gt;="11:00"*1,G21&lt;="12:15"*1),Prime!$E$4,"")))</f>
        <v/>
      </c>
      <c r="L21" s="286" t="str">
        <f>IF(H21&gt;"21:30"*1,Prime!$F$4,"")</f>
        <v/>
      </c>
      <c r="M21" s="311" t="str">
        <f>IF(AND(LEFT(C21,1)="d",OR(D21&gt;="7:00"*1,H21&gt;"22:00"*1)),Prime!$G$4,"")&amp;IF(AND(LEFT(C21,1)="s",H21&gt;="24:00"*1),Prime!$G$4,"")</f>
        <v/>
      </c>
      <c r="N21" s="319" t="str">
        <f>IF(ISNUMBER(FIND("F",C21)),Prime!$I$4,IF(ISNUMBER(FIND("CDS",C21)),Prime!$I$4,""))</f>
        <v/>
      </c>
      <c r="O21" s="241"/>
      <c r="P21" s="242" t="str">
        <f t="shared" si="6"/>
        <v/>
      </c>
      <c r="Q21" s="142">
        <f t="shared" si="3"/>
        <v>0</v>
      </c>
      <c r="R21" s="143">
        <f t="shared" si="5"/>
        <v>0</v>
      </c>
      <c r="S21" s="144">
        <v>0</v>
      </c>
      <c r="T21" s="141" t="str">
        <f t="shared" si="4"/>
        <v>0,000</v>
      </c>
      <c r="U21" s="126"/>
    </row>
    <row r="22" spans="1:21" ht="15.75" x14ac:dyDescent="0.25">
      <c r="A22" s="3"/>
      <c r="B22" s="493">
        <v>41473</v>
      </c>
      <c r="C22" s="499" t="s">
        <v>31</v>
      </c>
      <c r="D22" s="239">
        <v>0.1875</v>
      </c>
      <c r="E22" s="239">
        <v>0.5</v>
      </c>
      <c r="F22" s="240">
        <f t="shared" si="0"/>
        <v>0.3125</v>
      </c>
      <c r="G22" s="239">
        <v>0</v>
      </c>
      <c r="H22" s="239">
        <v>0</v>
      </c>
      <c r="I22" s="240">
        <f t="shared" si="1"/>
        <v>0</v>
      </c>
      <c r="J22" s="271">
        <f>IF(COUNTA(D22:E22,G22:H22)=5,Prime!$E$4,IF(AND(D22&lt;="5:01"*1,D22&gt;"2:00"*1),Prime!$E$4,IF(AND(H22&gt;="22:00"*1,H22&lt;="26:01"*1),Prime!$E$4,"")))</f>
        <v>17.7056</v>
      </c>
      <c r="K22" s="231" t="str">
        <f>IF(COUNTA(D22:E22,G22:H22)=5,Prime!$E$4,IF(AND(E22&gt;="13:15"*1,G22&lt;""),Prime!$E$4,IF(AND(G22&gt;="11:00"*1,G22&lt;="12:15"*1),Prime!$E$4,"")))</f>
        <v/>
      </c>
      <c r="L22" s="286" t="str">
        <f>IF(H22&gt;"21:30"*1,Prime!$F$4,"")</f>
        <v/>
      </c>
      <c r="M22" s="311" t="str">
        <f>IF(AND(LEFT(C22,1)="d",OR(D22&gt;="7:00"*1,H22&gt;"22:00"*1)),Prime!$G$4,"")&amp;IF(AND(LEFT(C22,1)="s",H22&gt;="24:00"*1),Prime!$G$4,"")</f>
        <v/>
      </c>
      <c r="N22" s="319" t="str">
        <f>IF(ISNUMBER(FIND("F",C22)),Prime!$I$4,IF(ISNUMBER(FIND("CDS",C22)),Prime!$I$4,""))</f>
        <v/>
      </c>
      <c r="O22" s="241"/>
      <c r="P22" s="242" t="str">
        <f t="shared" si="6"/>
        <v/>
      </c>
      <c r="Q22" s="142">
        <f t="shared" si="3"/>
        <v>0.3125</v>
      </c>
      <c r="R22" s="143">
        <f t="shared" si="5"/>
        <v>7.5</v>
      </c>
      <c r="S22" s="144">
        <v>7.5</v>
      </c>
      <c r="T22" s="141" t="str">
        <f t="shared" si="4"/>
        <v>0,000</v>
      </c>
      <c r="U22" s="126"/>
    </row>
    <row r="23" spans="1:21" ht="15.75" x14ac:dyDescent="0.25">
      <c r="A23" s="3"/>
      <c r="B23" s="493">
        <v>41474</v>
      </c>
      <c r="C23" s="499" t="s">
        <v>32</v>
      </c>
      <c r="D23" s="239">
        <v>0.16666666666666666</v>
      </c>
      <c r="E23" s="239">
        <v>0.48333333333333334</v>
      </c>
      <c r="F23" s="240">
        <f t="shared" si="0"/>
        <v>0.31666666666666665</v>
      </c>
      <c r="G23" s="239">
        <v>0</v>
      </c>
      <c r="H23" s="239">
        <v>0</v>
      </c>
      <c r="I23" s="240">
        <f t="shared" si="1"/>
        <v>0</v>
      </c>
      <c r="J23" s="271">
        <f>IF(COUNTA(D23:E23,G23:H23)=5,Prime!$E$4,IF(AND(D23&lt;="5:01"*1,D23&gt;"2:00"*1),Prime!$E$4,IF(AND(H23&gt;="22:00"*1,H23&lt;="26:01"*1),Prime!$E$4,"")))</f>
        <v>17.7056</v>
      </c>
      <c r="K23" s="231" t="str">
        <f>IF(COUNTA(D23:E23,G23:H23)=5,Prime!$E$4,IF(AND(E23&gt;="13:15"*1,G23&lt;""),Prime!$E$4,IF(AND(G23&gt;="11:00"*1,G23&lt;="12:15"*1),Prime!$E$4,"")))</f>
        <v/>
      </c>
      <c r="L23" s="286" t="str">
        <f>IF(H23&gt;"21:30"*1,Prime!$F$4,"")</f>
        <v/>
      </c>
      <c r="M23" s="311" t="str">
        <f>IF(AND(LEFT(C23,1)="d",OR(D23&gt;="7:00"*1,H23&gt;"22:00"*1)),Prime!$G$4,"")&amp;IF(AND(LEFT(C23,1)="s",H23&gt;="24:00"*1),Prime!$G$4,"")</f>
        <v/>
      </c>
      <c r="N23" s="319" t="str">
        <f>IF(ISNUMBER(FIND("F",C23)),Prime!$I$4,IF(ISNUMBER(FIND("CDS",C23)),Prime!$I$4,""))</f>
        <v/>
      </c>
      <c r="O23" s="241"/>
      <c r="P23" s="242" t="str">
        <f t="shared" si="6"/>
        <v/>
      </c>
      <c r="Q23" s="142">
        <f t="shared" si="3"/>
        <v>0.31666666666666665</v>
      </c>
      <c r="R23" s="143">
        <f t="shared" si="5"/>
        <v>7.6</v>
      </c>
      <c r="S23" s="144">
        <v>7.6</v>
      </c>
      <c r="T23" s="141" t="str">
        <f t="shared" si="4"/>
        <v>0,000</v>
      </c>
      <c r="U23" s="126"/>
    </row>
    <row r="24" spans="1:21" ht="15.75" x14ac:dyDescent="0.25">
      <c r="A24" s="3"/>
      <c r="B24" s="493">
        <v>41475</v>
      </c>
      <c r="C24" s="499" t="s">
        <v>32</v>
      </c>
      <c r="D24" s="239">
        <v>0.16666666666666666</v>
      </c>
      <c r="E24" s="239">
        <v>0.48333333333333334</v>
      </c>
      <c r="F24" s="240">
        <f>E24-D24</f>
        <v>0.31666666666666665</v>
      </c>
      <c r="G24" s="239">
        <v>0</v>
      </c>
      <c r="H24" s="239">
        <v>0</v>
      </c>
      <c r="I24" s="240">
        <f t="shared" si="1"/>
        <v>0</v>
      </c>
      <c r="J24" s="271">
        <f>IF(COUNTA(D24:E24,G24:H24)=5,Prime!$E$4,IF(AND(D24&lt;="5:01"*1,D24&gt;"2:00"*1),Prime!$E$4,IF(AND(H24&gt;="22:00"*1,H24&lt;="26:01"*1),Prime!$E$4,"")))</f>
        <v>17.7056</v>
      </c>
      <c r="K24" s="231" t="str">
        <f>IF(COUNTA(D24:E24,G24:H24)=5,Prime!$E$4,IF(AND(E24&gt;="13:15"*1,G24&lt;""),Prime!$E$4,IF(AND(G24&gt;="11:00"*1,G24&lt;="12:15"*1),Prime!$E$4,"")))</f>
        <v/>
      </c>
      <c r="L24" s="286" t="str">
        <f>IF(H24&gt;"21:30"*1,Prime!$F$4,"")</f>
        <v/>
      </c>
      <c r="M24" s="311" t="str">
        <f>IF(AND(LEFT(C24,1)="d",OR(D24&gt;="7:00"*1,H24&gt;"22:00"*1)),Prime!$G$4,"")&amp;IF(AND(LEFT(C24,1)="s",H24&gt;="24:00"*1),Prime!$G$4,"")</f>
        <v/>
      </c>
      <c r="N24" s="319" t="str">
        <f>IF(ISNUMBER(FIND("F",C24)),Prime!$I$4,IF(ISNUMBER(FIND("CDS",C24)),Prime!$I$4,""))</f>
        <v/>
      </c>
      <c r="O24" s="241"/>
      <c r="P24" s="242" t="str">
        <f t="shared" si="6"/>
        <v/>
      </c>
      <c r="Q24" s="142">
        <f t="shared" si="3"/>
        <v>0.31666666666666665</v>
      </c>
      <c r="R24" s="143">
        <f t="shared" si="5"/>
        <v>7.6</v>
      </c>
      <c r="S24" s="144">
        <v>7.6</v>
      </c>
      <c r="T24" s="141" t="str">
        <f t="shared" si="4"/>
        <v>0,000</v>
      </c>
      <c r="U24" s="126"/>
    </row>
    <row r="25" spans="1:21" ht="15.75" x14ac:dyDescent="0.25">
      <c r="A25" s="3"/>
      <c r="B25" s="493">
        <v>41476</v>
      </c>
      <c r="C25" s="499" t="s">
        <v>219</v>
      </c>
      <c r="D25" s="239">
        <v>0.20277777777777781</v>
      </c>
      <c r="E25" s="239">
        <v>0.53402777777777777</v>
      </c>
      <c r="F25" s="240">
        <f t="shared" si="0"/>
        <v>0.33124999999999993</v>
      </c>
      <c r="G25" s="239">
        <v>0</v>
      </c>
      <c r="H25" s="239">
        <v>0</v>
      </c>
      <c r="I25" s="240">
        <f t="shared" si="1"/>
        <v>0</v>
      </c>
      <c r="J25" s="271">
        <f>IF(COUNTA(D25:E25,G25:H25)=5,Prime!$E$4,IF(AND(D25&lt;="5:01"*1,D25&gt;"2:00"*1),Prime!$E$4,IF(AND(H25&gt;="22:00"*1,H25&lt;="26:01"*1),Prime!$E$4,"")))</f>
        <v>17.7056</v>
      </c>
      <c r="K25" s="231" t="str">
        <f>IF(COUNTA(D25:E25,G25:H25)=5,Prime!$E$4,IF(AND(E25&gt;="13:15"*1,G25&lt;""),Prime!$E$4,IF(AND(G25&gt;="11:00"*1,G25&lt;="12:15"*1),Prime!$E$4,"")))</f>
        <v/>
      </c>
      <c r="L25" s="286" t="str">
        <f>IF(H25&gt;"21:30"*1,Prime!$F$4,"")</f>
        <v/>
      </c>
      <c r="M25" s="311" t="str">
        <f>IF(AND(LEFT(C25,1)="d",OR(D25&gt;="7:00"*1,H25&gt;"22:00"*1)),Prime!$G$4,"")&amp;IF(AND(LEFT(C25,1)="s",H25&gt;="24:00"*1),Prime!$G$4,"")</f>
        <v/>
      </c>
      <c r="N25" s="319" t="str">
        <f>IF(ISNUMBER(FIND("F",C25)),Prime!$I$4,IF(ISNUMBER(FIND("CDS",C25)),Prime!$I$4,""))</f>
        <v/>
      </c>
      <c r="O25" s="241"/>
      <c r="P25" s="242" t="str">
        <f t="shared" si="6"/>
        <v/>
      </c>
      <c r="Q25" s="142">
        <f t="shared" si="3"/>
        <v>0.33124999999999993</v>
      </c>
      <c r="R25" s="143">
        <f t="shared" si="5"/>
        <v>7.9499999999999984</v>
      </c>
      <c r="S25" s="144">
        <v>7.95</v>
      </c>
      <c r="T25" s="141">
        <f t="shared" si="4"/>
        <v>-1.7763568394002505E-15</v>
      </c>
      <c r="U25" s="126"/>
    </row>
    <row r="26" spans="1:21" ht="15.75" x14ac:dyDescent="0.25">
      <c r="A26" s="3"/>
      <c r="B26" s="493">
        <v>41477</v>
      </c>
      <c r="C26" s="499" t="s">
        <v>198</v>
      </c>
      <c r="D26" s="239">
        <v>0</v>
      </c>
      <c r="E26" s="239">
        <v>0</v>
      </c>
      <c r="F26" s="240">
        <f t="shared" si="0"/>
        <v>0</v>
      </c>
      <c r="G26" s="239">
        <v>0</v>
      </c>
      <c r="H26" s="239">
        <v>0</v>
      </c>
      <c r="I26" s="240">
        <f t="shared" si="1"/>
        <v>0</v>
      </c>
      <c r="J26" s="271" t="str">
        <f>IF(COUNTA(D26:E26,G26:H26)=5,Prime!$E$4,IF(AND(D26&lt;="5:01"*1,D26&gt;"2:00"*1),Prime!$E$4,IF(AND(H26&gt;="22:00"*1,H26&lt;="26:01"*1),Prime!$E$4,"")))</f>
        <v/>
      </c>
      <c r="K26" s="231" t="str">
        <f>IF(COUNTA(D26:E26,G26:H26)=5,Prime!$E$4,IF(AND(E26&gt;="13:15"*1,G26&lt;""),Prime!$E$4,IF(AND(G26&gt;="11:00"*1,G26&lt;="12:15"*1),Prime!$E$4,"")))</f>
        <v/>
      </c>
      <c r="L26" s="286" t="str">
        <f>IF(H26&gt;"21:30"*1,Prime!$F$4,"")</f>
        <v/>
      </c>
      <c r="M26" s="311" t="str">
        <f>IF(AND(LEFT(C26,1)="d",OR(D26&gt;="7:00"*1,H26&gt;"22:00"*1)),Prime!$G$4,"")&amp;IF(AND(LEFT(C26,1)="s",H26&gt;="24:00"*1),Prime!$G$4,"")</f>
        <v/>
      </c>
      <c r="N26" s="319" t="str">
        <f>IF(ISNUMBER(FIND("F",C26)),Prime!$I$4,IF(ISNUMBER(FIND("CDS",C26)),Prime!$I$4,""))</f>
        <v/>
      </c>
      <c r="O26" s="241"/>
      <c r="P26" s="242" t="str">
        <f t="shared" si="6"/>
        <v/>
      </c>
      <c r="Q26" s="142">
        <f t="shared" si="3"/>
        <v>0</v>
      </c>
      <c r="R26" s="143">
        <f t="shared" si="5"/>
        <v>0</v>
      </c>
      <c r="S26" s="144">
        <v>0</v>
      </c>
      <c r="T26" s="141" t="str">
        <f t="shared" si="4"/>
        <v>0,000</v>
      </c>
      <c r="U26" s="126"/>
    </row>
    <row r="27" spans="1:21" ht="15.75" x14ac:dyDescent="0.25">
      <c r="A27" s="3"/>
      <c r="B27" s="493">
        <v>41478</v>
      </c>
      <c r="C27" s="499" t="s">
        <v>33</v>
      </c>
      <c r="D27" s="239"/>
      <c r="E27" s="239"/>
      <c r="F27" s="240">
        <f t="shared" si="0"/>
        <v>0</v>
      </c>
      <c r="G27" s="239">
        <v>0.62430555555555556</v>
      </c>
      <c r="H27" s="239">
        <v>0.9458333333333333</v>
      </c>
      <c r="I27" s="240">
        <f t="shared" si="1"/>
        <v>0.32152777777777775</v>
      </c>
      <c r="J27" s="271">
        <f>IF(COUNTA(D27:E27,G27:H27)=5,Prime!$E$4,IF(AND(D27&lt;="5:01"*1,D27&gt;"2:00"*1),Prime!$E$4,IF(AND(H27&gt;="22:00"*1,H27&lt;="26:01"*1),Prime!$E$4,"")))</f>
        <v>17.7056</v>
      </c>
      <c r="K27" s="231" t="str">
        <f>IF(COUNTA(D27:E27,G27:H27)=5,Prime!$E$4,IF(AND(E27&gt;="13:15"*1,G27&lt;""),Prime!$E$4,IF(AND(G27&gt;="11:00"*1,G27&lt;="12:15"*1),Prime!$E$4,"")))</f>
        <v/>
      </c>
      <c r="L27" s="286">
        <f>IF(H27&gt;"21:30"*1,Prime!$F$4,"")</f>
        <v>17.7056</v>
      </c>
      <c r="M27" s="311" t="str">
        <f>IF(AND(LEFT(C27,1)="d",OR(D27&gt;="7:00"*1,H27&gt;"22:00"*1)),Prime!$G$4,"")&amp;IF(AND(LEFT(C27,1)="s",H27&gt;="24:00"*1),Prime!$G$4,"")</f>
        <v/>
      </c>
      <c r="N27" s="319" t="str">
        <f>IF(ISNUMBER(FIND("F",C27)),Prime!$I$4,IF(ISNUMBER(FIND("CDS",C27)),Prime!$I$4,""))</f>
        <v/>
      </c>
      <c r="O27" s="241"/>
      <c r="P27" s="242" t="str">
        <f t="shared" si="6"/>
        <v/>
      </c>
      <c r="Q27" s="142">
        <f t="shared" si="3"/>
        <v>0.32152777777777775</v>
      </c>
      <c r="R27" s="143">
        <f t="shared" si="5"/>
        <v>7.7166666666666659</v>
      </c>
      <c r="S27" s="144">
        <v>7.72</v>
      </c>
      <c r="T27" s="141">
        <f t="shared" si="4"/>
        <v>-3.3333333333338544E-3</v>
      </c>
      <c r="U27" s="126"/>
    </row>
    <row r="28" spans="1:21" ht="15.75" x14ac:dyDescent="0.25">
      <c r="A28" s="3"/>
      <c r="B28" s="493">
        <v>41479</v>
      </c>
      <c r="C28" s="499" t="s">
        <v>34</v>
      </c>
      <c r="D28" s="239"/>
      <c r="E28" s="239"/>
      <c r="F28" s="240">
        <f t="shared" si="0"/>
        <v>0</v>
      </c>
      <c r="G28" s="239">
        <v>0.65</v>
      </c>
      <c r="H28" s="239">
        <v>0.97430555555555554</v>
      </c>
      <c r="I28" s="240">
        <f t="shared" si="1"/>
        <v>0.32430555555555551</v>
      </c>
      <c r="J28" s="271">
        <f>IF(COUNTA(D28:E28,G28:H28)=5,Prime!$E$4,IF(AND(D28&lt;="5:01"*1,D28&gt;"2:00"*1),Prime!$E$4,IF(AND(H28&gt;="22:00"*1,H28&lt;="26:01"*1),Prime!$E$4,"")))</f>
        <v>17.7056</v>
      </c>
      <c r="K28" s="231" t="str">
        <f>IF(COUNTA(D28:E28,G28:H28)=5,Prime!$E$4,IF(AND(E28&gt;="13:15"*1,G28&lt;""),Prime!$E$4,IF(AND(G28&gt;="11:00"*1,G28&lt;="12:15"*1),Prime!$E$4,"")))</f>
        <v/>
      </c>
      <c r="L28" s="286">
        <f>IF(H28&gt;"21:30"*1,Prime!$F$4,"")</f>
        <v>17.7056</v>
      </c>
      <c r="M28" s="311" t="str">
        <f>IF(AND(LEFT(C28,1)="d",OR(D28&gt;="7:00"*1,H28&gt;"22:00"*1)),Prime!$G$4,"")&amp;IF(AND(LEFT(C28,1)="s",H28&gt;="24:00"*1),Prime!$G$4,"")</f>
        <v/>
      </c>
      <c r="N28" s="319" t="str">
        <f>IF(ISNUMBER(FIND("F",C28)),Prime!$I$4,IF(ISNUMBER(FIND("CDS",C28)),Prime!$I$4,""))</f>
        <v/>
      </c>
      <c r="O28" s="241"/>
      <c r="P28" s="242" t="str">
        <f t="shared" si="6"/>
        <v/>
      </c>
      <c r="Q28" s="142">
        <f t="shared" si="3"/>
        <v>0.32430555555555551</v>
      </c>
      <c r="R28" s="143">
        <f t="shared" si="5"/>
        <v>7.7833333333333323</v>
      </c>
      <c r="S28" s="144">
        <v>7.78</v>
      </c>
      <c r="T28" s="141">
        <f t="shared" si="4"/>
        <v>3.333333333332078E-3</v>
      </c>
      <c r="U28" s="126"/>
    </row>
    <row r="29" spans="1:21" ht="15.75" x14ac:dyDescent="0.25">
      <c r="A29" s="3"/>
      <c r="B29" s="493">
        <v>41480</v>
      </c>
      <c r="C29" s="499" t="s">
        <v>189</v>
      </c>
      <c r="D29" s="239"/>
      <c r="E29" s="239"/>
      <c r="F29" s="240">
        <f t="shared" si="0"/>
        <v>0</v>
      </c>
      <c r="G29" s="239">
        <v>0.54375000000000007</v>
      </c>
      <c r="H29" s="239">
        <v>0.87152777777777779</v>
      </c>
      <c r="I29" s="240">
        <f t="shared" si="1"/>
        <v>0.32777777777777772</v>
      </c>
      <c r="J29" s="271" t="str">
        <f>IF(COUNTA(D29:E29,G29:H29)=5,Prime!$E$4,IF(AND(D29&lt;="5:01"*1,D29&gt;"2:00"*1),Prime!$E$4,IF(AND(H29&gt;="22:00"*1,H29&lt;="26:01"*1),Prime!$E$4,"")))</f>
        <v/>
      </c>
      <c r="K29" s="231" t="str">
        <f>IF(COUNTA(D29:E29,G29:H29)=5,Prime!$E$4,IF(AND(E29&gt;="13:15"*1,G29&lt;""),Prime!$E$4,IF(AND(G29&gt;="11:00"*1,G29&lt;="12:15"*1),Prime!$E$4,"")))</f>
        <v/>
      </c>
      <c r="L29" s="286" t="str">
        <f>IF(H29&gt;"21:30"*1,Prime!$F$4,"")</f>
        <v/>
      </c>
      <c r="M29" s="311" t="str">
        <f>IF(AND(LEFT(C29,1)="d",OR(D29&gt;="7:00"*1,H29&gt;"22:00"*1)),Prime!$G$4,"")&amp;IF(AND(LEFT(C29,1)="s",H29&gt;="24:00"*1),Prime!$G$4,"")</f>
        <v/>
      </c>
      <c r="N29" s="319" t="str">
        <f>IF(ISNUMBER(FIND("F",C29)),Prime!$I$4,IF(ISNUMBER(FIND("CDS",C29)),Prime!$I$4,""))</f>
        <v/>
      </c>
      <c r="O29" s="241"/>
      <c r="P29" s="242" t="str">
        <f t="shared" si="6"/>
        <v/>
      </c>
      <c r="Q29" s="142">
        <f t="shared" si="3"/>
        <v>0.32777777777777772</v>
      </c>
      <c r="R29" s="143">
        <f t="shared" si="5"/>
        <v>7.8666666666666654</v>
      </c>
      <c r="S29" s="144">
        <v>7.87</v>
      </c>
      <c r="T29" s="141">
        <f t="shared" si="4"/>
        <v>-3.3333333333347426E-3</v>
      </c>
      <c r="U29" s="126"/>
    </row>
    <row r="30" spans="1:21" ht="15.75" x14ac:dyDescent="0.25">
      <c r="A30" s="3"/>
      <c r="B30" s="493">
        <v>41481</v>
      </c>
      <c r="C30" s="499" t="s">
        <v>35</v>
      </c>
      <c r="D30" s="239"/>
      <c r="E30" s="239"/>
      <c r="F30" s="240">
        <f t="shared" si="0"/>
        <v>0</v>
      </c>
      <c r="G30" s="239">
        <v>0.59375</v>
      </c>
      <c r="H30" s="239">
        <v>0.92569444444444438</v>
      </c>
      <c r="I30" s="240">
        <f t="shared" si="1"/>
        <v>0.33194444444444438</v>
      </c>
      <c r="J30" s="271">
        <f>IF(COUNTA(D30:E30,G30:H30)=5,Prime!$E$4,IF(AND(D30&lt;="5:01"*1,D30&gt;"2:00"*1),Prime!$E$4,IF(AND(H30&gt;="22:00"*1,H30&lt;="26:01"*1),Prime!$E$4,"")))</f>
        <v>17.7056</v>
      </c>
      <c r="K30" s="231" t="str">
        <f>IF(COUNTA(D30:E30,G30:H30)=5,Prime!$E$4,IF(AND(E30&gt;="13:15"*1,G30&lt;""),Prime!$E$4,IF(AND(G30&gt;="11:00"*1,G30&lt;="12:15"*1),Prime!$E$4,"")))</f>
        <v/>
      </c>
      <c r="L30" s="286">
        <f>IF(H30&gt;"21:30"*1,Prime!$F$4,"")</f>
        <v>17.7056</v>
      </c>
      <c r="M30" s="311" t="str">
        <f>IF(AND(LEFT(C30,1)="d",OR(D30&gt;="7:00"*1,H30&gt;"22:00"*1)),Prime!$G$4,"")&amp;IF(AND(LEFT(C30,1)="s",H30&gt;="24:00"*1),Prime!$G$4,"")</f>
        <v/>
      </c>
      <c r="N30" s="319" t="str">
        <f>IF(ISNUMBER(FIND("F",C30)),Prime!$I$4,IF(ISNUMBER(FIND("CDS",C30)),Prime!$I$4,""))</f>
        <v/>
      </c>
      <c r="O30" s="241"/>
      <c r="P30" s="242" t="str">
        <f t="shared" si="6"/>
        <v/>
      </c>
      <c r="Q30" s="142">
        <f t="shared" si="3"/>
        <v>0.33194444444444438</v>
      </c>
      <c r="R30" s="143">
        <f t="shared" si="5"/>
        <v>7.966666666666665</v>
      </c>
      <c r="S30" s="144">
        <v>7.97</v>
      </c>
      <c r="T30" s="141">
        <f t="shared" si="4"/>
        <v>-3.3333333333347426E-3</v>
      </c>
      <c r="U30" s="126"/>
    </row>
    <row r="31" spans="1:21" ht="15.75" x14ac:dyDescent="0.25">
      <c r="A31" s="3"/>
      <c r="B31" s="493">
        <v>41482</v>
      </c>
      <c r="C31" s="499" t="s">
        <v>36</v>
      </c>
      <c r="D31" s="239"/>
      <c r="E31" s="239"/>
      <c r="F31" s="240">
        <f t="shared" si="0"/>
        <v>0</v>
      </c>
      <c r="G31" s="239">
        <v>0.54375000000000007</v>
      </c>
      <c r="H31" s="239">
        <v>0.87152777777777779</v>
      </c>
      <c r="I31" s="240">
        <f t="shared" si="1"/>
        <v>0.32777777777777772</v>
      </c>
      <c r="J31" s="271" t="str">
        <f>IF(COUNTA(D31:E31,G31:H31)=5,Prime!$E$4,IF(AND(D31&lt;="5:01"*1,D31&gt;"2:00"*1),Prime!$E$4,IF(AND(H31&gt;="22:00"*1,H31&lt;="26:01"*1),Prime!$E$4,"")))</f>
        <v/>
      </c>
      <c r="K31" s="231" t="str">
        <f>IF(COUNTA(D31:E31,G31:H31)=5,Prime!$E$4,IF(AND(E31&gt;="13:15"*1,G31&lt;""),Prime!$E$4,IF(AND(G31&gt;="11:00"*1,G31&lt;="12:15"*1),Prime!$E$4,"")))</f>
        <v/>
      </c>
      <c r="L31" s="286" t="str">
        <f>IF(H31&gt;"21:30"*1,Prime!$F$4,"")</f>
        <v/>
      </c>
      <c r="M31" s="311" t="str">
        <f>IF(AND(LEFT(C31,1)="d",OR(D31&gt;="7:00"*1,H31&gt;"22:00"*1)),Prime!$G$4,"")&amp;IF(AND(LEFT(C31,1)="s",H31&gt;="24:00"*1),Prime!$G$4,"")</f>
        <v/>
      </c>
      <c r="N31" s="319" t="str">
        <f>IF(ISNUMBER(FIND("F",C31)),Prime!$I$4,IF(ISNUMBER(FIND("CDS",C31)),Prime!$I$4,""))</f>
        <v/>
      </c>
      <c r="O31" s="241"/>
      <c r="P31" s="242" t="str">
        <f t="shared" si="6"/>
        <v/>
      </c>
      <c r="Q31" s="142">
        <f t="shared" si="3"/>
        <v>0.32777777777777772</v>
      </c>
      <c r="R31" s="143">
        <f t="shared" si="5"/>
        <v>7.8666666666666654</v>
      </c>
      <c r="S31" s="144">
        <v>7.87</v>
      </c>
      <c r="T31" s="141">
        <f t="shared" si="4"/>
        <v>-3.3333333333347426E-3</v>
      </c>
      <c r="U31" s="126"/>
    </row>
    <row r="32" spans="1:21" ht="15.75" x14ac:dyDescent="0.25">
      <c r="A32" s="3"/>
      <c r="B32" s="493">
        <v>41483</v>
      </c>
      <c r="C32" s="499" t="s">
        <v>199</v>
      </c>
      <c r="D32" s="239">
        <v>0.5</v>
      </c>
      <c r="E32" s="239">
        <v>0.54166666666666663</v>
      </c>
      <c r="F32" s="240">
        <f t="shared" si="0"/>
        <v>4.166666666666663E-2</v>
      </c>
      <c r="G32" s="239">
        <v>0</v>
      </c>
      <c r="H32" s="239">
        <v>0</v>
      </c>
      <c r="I32" s="240">
        <f t="shared" si="1"/>
        <v>0</v>
      </c>
      <c r="J32" s="271" t="str">
        <f>IF(COUNTA(D32:E32,G32:H32)=5,Prime!$E$4,IF(AND(D32&lt;="5:01"*1,D32&gt;"2:00"*1),Prime!$E$4,IF(AND(H32&gt;="22:00"*1,H32&lt;="26:01"*1),Prime!$E$4,"")))</f>
        <v/>
      </c>
      <c r="K32" s="231" t="str">
        <f>IF(COUNTA(D32:E32,G32:H32)=5,Prime!$E$4,IF(AND(E32&gt;="13:15"*1,G32&lt;""),Prime!$E$4,IF(AND(G32&gt;="11:00"*1,G32&lt;="12:15"*1),Prime!$E$4,"")))</f>
        <v/>
      </c>
      <c r="L32" s="286" t="str">
        <f>IF(H32&gt;"21:30"*1,Prime!$F$4,"")</f>
        <v/>
      </c>
      <c r="M32" s="311" t="str">
        <f>IF(AND(LEFT(C32,1)="d",OR(D32&gt;="7:00"*1,H32&gt;"22:00"*1)),Prime!$G$4,"")&amp;IF(AND(LEFT(C32,1)="s",H32&gt;="24:00"*1),Prime!$G$4,"")</f>
        <v/>
      </c>
      <c r="N32" s="319" t="str">
        <f>IF(ISNUMBER(FIND("F",C32)),Prime!$I$4,IF(ISNUMBER(FIND("CDS",C32)),Prime!$I$4,""))</f>
        <v/>
      </c>
      <c r="O32" s="241"/>
      <c r="P32" s="242" t="str">
        <f t="shared" si="6"/>
        <v/>
      </c>
      <c r="Q32" s="142">
        <f t="shared" si="3"/>
        <v>4.166666666666663E-2</v>
      </c>
      <c r="R32" s="143">
        <f t="shared" si="5"/>
        <v>0.99999999999999911</v>
      </c>
      <c r="S32" s="144">
        <v>1</v>
      </c>
      <c r="T32" s="141">
        <f t="shared" si="4"/>
        <v>-8.8817841970012523E-16</v>
      </c>
      <c r="U32" s="126"/>
    </row>
    <row r="33" spans="1:21" ht="15.75" x14ac:dyDescent="0.25">
      <c r="A33" s="3"/>
      <c r="B33" s="493">
        <v>41484</v>
      </c>
      <c r="C33" s="499" t="s">
        <v>198</v>
      </c>
      <c r="D33" s="239">
        <v>0</v>
      </c>
      <c r="E33" s="239">
        <v>0</v>
      </c>
      <c r="F33" s="240">
        <f t="shared" si="0"/>
        <v>0</v>
      </c>
      <c r="G33" s="239">
        <v>0</v>
      </c>
      <c r="H33" s="239">
        <v>0</v>
      </c>
      <c r="I33" s="240">
        <f t="shared" si="1"/>
        <v>0</v>
      </c>
      <c r="J33" s="271" t="str">
        <f>IF(COUNTA(D33:E33,G33:H33)=5,Prime!$E$4,IF(AND(D33&lt;="5:01"*1,D33&gt;"2:00"*1),Prime!$E$4,IF(AND(H33&gt;="22:00"*1,H33&lt;="26:01"*1),Prime!$E$4,"")))</f>
        <v/>
      </c>
      <c r="K33" s="231" t="str">
        <f>IF(COUNTA(D33:E33,G33:H33)=5,Prime!$E$4,IF(AND(E33&gt;="13:15"*1,G33&lt;""),Prime!$E$4,IF(AND(G33&gt;="11:00"*1,G33&lt;="12:15"*1),Prime!$E$4,"")))</f>
        <v/>
      </c>
      <c r="L33" s="286" t="str">
        <f>IF(H33&gt;"21:30"*1,Prime!$F$4,"")</f>
        <v/>
      </c>
      <c r="M33" s="311" t="str">
        <f>IF(AND(LEFT(C33,1)="d",OR(D33&gt;="7:00"*1,H33&gt;"22:00"*1)),Prime!$G$4,"")&amp;IF(AND(LEFT(C33,1)="s",H33&gt;="24:00"*1),Prime!$G$4,"")</f>
        <v/>
      </c>
      <c r="N33" s="319" t="str">
        <f>IF(ISNUMBER(FIND("F",C33)),Prime!$I$4,IF(ISNUMBER(FIND("CDS",C33)),Prime!$I$4,""))</f>
        <v/>
      </c>
      <c r="O33" s="241"/>
      <c r="P33" s="242" t="str">
        <f>IF(ISBLANK(O33),"",O33/24)</f>
        <v/>
      </c>
      <c r="Q33" s="142">
        <f t="shared" si="3"/>
        <v>0</v>
      </c>
      <c r="R33" s="143">
        <f t="shared" si="5"/>
        <v>0</v>
      </c>
      <c r="S33" s="144">
        <v>0</v>
      </c>
      <c r="T33" s="141" t="str">
        <f t="shared" si="4"/>
        <v>0,000</v>
      </c>
      <c r="U33" s="126"/>
    </row>
    <row r="34" spans="1:21" ht="16.5" thickBot="1" x14ac:dyDescent="0.3">
      <c r="A34" s="3"/>
      <c r="B34" s="501">
        <v>41485</v>
      </c>
      <c r="C34" s="500" t="s">
        <v>25</v>
      </c>
      <c r="D34" s="243">
        <v>0.22083333333333333</v>
      </c>
      <c r="E34" s="243">
        <v>0.54375000000000007</v>
      </c>
      <c r="F34" s="244">
        <f t="shared" si="0"/>
        <v>0.32291666666666674</v>
      </c>
      <c r="G34" s="243">
        <v>0</v>
      </c>
      <c r="H34" s="243">
        <v>0</v>
      </c>
      <c r="I34" s="244">
        <f t="shared" si="1"/>
        <v>0</v>
      </c>
      <c r="J34" s="272" t="str">
        <f>IF(COUNTA(D34:E34,G34:H34)=5,Prime!$E$4,IF(AND(D34&lt;="5:01"*1,D34&gt;"2:00"*1),Prime!$E$4,IF(AND(H34&gt;="22:00"*1,H34&lt;="26:01"*1),Prime!$E$4,"")))</f>
        <v/>
      </c>
      <c r="K34" s="232" t="str">
        <f>IF(COUNTA(D34:E34,G34:H34)=5,Prime!$E$4,IF(AND(E34&gt;="13:15"*1,G34&lt;""),Prime!$E$4,IF(AND(G34&gt;="11:00"*1,G34&lt;="12:15"*1),Prime!$E$4,"")))</f>
        <v/>
      </c>
      <c r="L34" s="288" t="str">
        <f>IF(H34&gt;"21:30"*1,Prime!$F$4,"")</f>
        <v/>
      </c>
      <c r="M34" s="312" t="str">
        <f>IF(AND(LEFT(C34,1)="d",OR(D34&gt;="7:00"*1,H34&gt;"22:00"*1)),Prime!$G$4,"")&amp;IF(AND(LEFT(C34,1)="s",H34&gt;="24:00"*1),Prime!$G$4,"")</f>
        <v/>
      </c>
      <c r="N34" s="320" t="str">
        <f>IF(ISNUMBER(FIND("F",C34)),Prime!$I$4,IF(ISNUMBER(FIND("CDS",C34)),Prime!$I$4,""))</f>
        <v/>
      </c>
      <c r="O34" s="245"/>
      <c r="P34" s="247"/>
      <c r="Q34" s="145">
        <f t="shared" si="3"/>
        <v>0.32291666666666674</v>
      </c>
      <c r="R34" s="146">
        <f t="shared" si="5"/>
        <v>7.7500000000000018</v>
      </c>
      <c r="S34" s="147">
        <v>7.75</v>
      </c>
      <c r="T34" s="148">
        <f t="shared" si="4"/>
        <v>1.7763568394002505E-15</v>
      </c>
      <c r="U34" s="126"/>
    </row>
    <row r="35" spans="1:21" ht="15.75" x14ac:dyDescent="0.25">
      <c r="A35" s="3"/>
      <c r="B35" s="4"/>
      <c r="C35" s="4"/>
      <c r="D35" s="4"/>
      <c r="E35" s="3"/>
      <c r="F35" s="3"/>
      <c r="G35" s="3"/>
      <c r="H35" s="3"/>
      <c r="I35" s="3"/>
      <c r="J35" s="181"/>
      <c r="K35" s="183"/>
      <c r="L35" s="186"/>
      <c r="M35" s="152"/>
      <c r="N35" s="152"/>
      <c r="O35" s="126"/>
      <c r="P35" s="126"/>
      <c r="Q35" s="124"/>
      <c r="R35" s="20"/>
      <c r="S35" s="21"/>
      <c r="T35" s="151"/>
      <c r="U35" s="126"/>
    </row>
    <row r="36" spans="1:21" ht="15.75" x14ac:dyDescent="0.25">
      <c r="A36" s="3"/>
      <c r="B36" s="115" t="s">
        <v>156</v>
      </c>
      <c r="C36" s="197">
        <f>COUNTIF(C4:C34,"&lt;&gt;")-(COUNTIF(C4:C34,"CH*")+COUNTIF(C4:C34,"RTT*")+COUNTIF(C4:C34,"CC*")+COUNTIF(C4:C34,"FERIÉ*")+COUNTIF(C4:C34,"CP*"))</f>
        <v>27</v>
      </c>
      <c r="D36" s="4"/>
      <c r="E36" s="3"/>
      <c r="F36" s="3"/>
      <c r="G36" s="3"/>
      <c r="H36" s="3"/>
      <c r="I36" s="3"/>
      <c r="J36" s="182">
        <f t="shared" ref="J36:O36" si="7">SUM(J4:J34)</f>
        <v>159.35040000000001</v>
      </c>
      <c r="K36" s="308">
        <f t="shared" si="7"/>
        <v>53.116799999999998</v>
      </c>
      <c r="L36" s="184">
        <f t="shared" si="7"/>
        <v>70.822400000000002</v>
      </c>
      <c r="M36" s="313">
        <f t="shared" si="7"/>
        <v>0</v>
      </c>
      <c r="N36" s="317">
        <f t="shared" si="7"/>
        <v>0</v>
      </c>
      <c r="O36" s="153">
        <f t="shared" si="7"/>
        <v>2.0833333333333332E-2</v>
      </c>
      <c r="P36" s="194">
        <f>SUM(P4:P32)</f>
        <v>0.5</v>
      </c>
      <c r="Q36" s="154">
        <f>SUM(Q4:Q34)</f>
        <v>6.8069444444444436</v>
      </c>
      <c r="R36" s="63">
        <f>SUM(R4:R34)</f>
        <v>163.36666666666667</v>
      </c>
      <c r="S36" s="64">
        <f>SUM(S3:S34)</f>
        <v>163.73999999999998</v>
      </c>
      <c r="T36" s="151">
        <f>R36-S36</f>
        <v>-0.37333333333330643</v>
      </c>
      <c r="U36" s="155"/>
    </row>
    <row r="37" spans="1:21" ht="15.75" x14ac:dyDescent="0.25">
      <c r="A37" s="3"/>
      <c r="B37" s="3"/>
      <c r="D37" s="4"/>
      <c r="E37" s="3"/>
      <c r="F37" s="3"/>
      <c r="G37" s="3"/>
      <c r="H37" s="3"/>
      <c r="I37" s="3"/>
      <c r="J37" s="3"/>
      <c r="K37" s="3"/>
      <c r="L37" s="3"/>
      <c r="M37" s="18"/>
      <c r="N37" s="203"/>
    </row>
    <row r="38" spans="1:21" ht="15.75" x14ac:dyDescent="0.25">
      <c r="M38" s="525" t="s">
        <v>100</v>
      </c>
      <c r="N38" s="525"/>
      <c r="O38" s="525"/>
      <c r="P38" s="178"/>
      <c r="Q38" s="156">
        <v>6.1895833333333341</v>
      </c>
      <c r="R38" s="65">
        <v>148.19999999999999</v>
      </c>
    </row>
    <row r="39" spans="1:21" x14ac:dyDescent="0.25">
      <c r="M39" s="1"/>
      <c r="O39" s="1"/>
      <c r="Q39" s="1"/>
      <c r="R39" s="1"/>
    </row>
    <row r="40" spans="1:21" ht="15.75" x14ac:dyDescent="0.25">
      <c r="M40" s="521" t="s">
        <v>39</v>
      </c>
      <c r="N40" s="521"/>
      <c r="O40" s="521"/>
      <c r="P40" s="177"/>
      <c r="Q40" s="68">
        <f>(Q36-Q38)</f>
        <v>0.61736111111110947</v>
      </c>
      <c r="R40" s="69">
        <f>Q40*24</f>
        <v>14.816666666666627</v>
      </c>
    </row>
  </sheetData>
  <mergeCells count="6">
    <mergeCell ref="Q2:T2"/>
    <mergeCell ref="M40:O40"/>
    <mergeCell ref="D3:E3"/>
    <mergeCell ref="G3:H3"/>
    <mergeCell ref="B1:L1"/>
    <mergeCell ref="M38:O38"/>
  </mergeCells>
  <conditionalFormatting sqref="Q40">
    <cfRule type="cellIs" dxfId="31" priority="5" operator="lessThan">
      <formula>0</formula>
    </cfRule>
  </conditionalFormatting>
  <conditionalFormatting sqref="T4:T34">
    <cfRule type="cellIs" dxfId="30" priority="3" operator="greaterThanOrEqual">
      <formula>0.001</formula>
    </cfRule>
    <cfRule type="cellIs" dxfId="29" priority="4" operator="lessThan">
      <formula>0</formula>
    </cfRule>
  </conditionalFormatting>
  <conditionalFormatting sqref="T35:T36">
    <cfRule type="cellIs" dxfId="28" priority="1" operator="greaterThanOrEqual">
      <formula>0.001</formula>
    </cfRule>
    <cfRule type="cellIs" dxfId="27" priority="2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Planning 2017</vt:lpstr>
      <vt:lpstr>Prime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Récap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2017-09-24T10:56:58Z</dcterms:created>
  <dcterms:modified xsi:type="dcterms:W3CDTF">2017-11-08T11:04:07Z</dcterms:modified>
</cp:coreProperties>
</file>