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24000" windowHeight="9735"/>
  </bookViews>
  <sheets>
    <sheet name="Feuil1" sheetId="1" r:id="rId1"/>
    <sheet name="Feuil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1" i="1"/>
  <c r="D18" i="1"/>
  <c r="D38" i="1"/>
  <c r="D20" i="1"/>
  <c r="D30" i="1" l="1"/>
  <c r="D31" i="1"/>
  <c r="D32" i="1" s="1"/>
  <c r="AB56" i="1"/>
  <c r="X56" i="1"/>
  <c r="AB55" i="1"/>
  <c r="AB57" i="1" s="1"/>
  <c r="X55" i="1"/>
  <c r="X57" i="1" l="1"/>
  <c r="Y6" i="1"/>
  <c r="AA7" i="1"/>
  <c r="Y40" i="1"/>
  <c r="W9" i="1" l="1"/>
  <c r="W8" i="1"/>
  <c r="W10" i="1" l="1"/>
  <c r="D54" i="1"/>
  <c r="D55" i="1" s="1"/>
  <c r="D52" i="1"/>
  <c r="D51" i="1"/>
  <c r="D41" i="1"/>
  <c r="D42" i="1" s="1"/>
  <c r="D39" i="1"/>
  <c r="D56" i="1" l="1"/>
  <c r="D43" i="1"/>
  <c r="H38" i="1" l="1"/>
  <c r="D8" i="1"/>
  <c r="H39" i="1" l="1"/>
  <c r="H41" i="1"/>
  <c r="H42" i="1" s="1"/>
  <c r="H43" i="1" s="1"/>
  <c r="P35" i="1"/>
  <c r="P8" i="1"/>
  <c r="L8" i="1"/>
  <c r="H8" i="1"/>
  <c r="D11" i="1"/>
  <c r="D10" i="1"/>
  <c r="L38" i="1" l="1"/>
  <c r="P38" i="1"/>
  <c r="P41" i="1"/>
  <c r="P42" i="1" s="1"/>
  <c r="L41" i="1"/>
  <c r="L42" i="1" s="1"/>
  <c r="P6" i="1"/>
  <c r="L6" i="1"/>
  <c r="H6" i="1"/>
  <c r="D6" i="1"/>
  <c r="P39" i="1"/>
  <c r="L39" i="1"/>
  <c r="P43" i="1" l="1"/>
  <c r="L43" i="1"/>
  <c r="D9" i="1"/>
  <c r="H12" i="1" l="1"/>
</calcChain>
</file>

<file path=xl/sharedStrings.xml><?xml version="1.0" encoding="utf-8"?>
<sst xmlns="http://schemas.openxmlformats.org/spreadsheetml/2006/main" count="175" uniqueCount="91">
  <si>
    <t xml:space="preserve">Prêt N° </t>
  </si>
  <si>
    <t xml:space="preserve">CRD au </t>
  </si>
  <si>
    <t>taux initial</t>
  </si>
  <si>
    <t>coût d'intérets</t>
  </si>
  <si>
    <t>nb échéances restantes</t>
  </si>
  <si>
    <t>coût d'ADI</t>
  </si>
  <si>
    <t>COUT TOTAL sur CRD</t>
  </si>
  <si>
    <t>TOTAL A REPRENDRE</t>
  </si>
  <si>
    <t xml:space="preserve">Prime ADI </t>
  </si>
  <si>
    <t>Mensualité</t>
  </si>
  <si>
    <t>COUT SUR CREDIT EN COURS</t>
  </si>
  <si>
    <t xml:space="preserve">TOTAL PRÊT A REPRENDRE : </t>
  </si>
  <si>
    <t>Date de reprise</t>
  </si>
  <si>
    <t xml:space="preserve">Dont Capital </t>
  </si>
  <si>
    <t>Dont IRA</t>
  </si>
  <si>
    <t xml:space="preserve">date de fin de prêt </t>
  </si>
  <si>
    <t>Nombre de mois restant</t>
  </si>
  <si>
    <t>A</t>
  </si>
  <si>
    <t>B</t>
  </si>
  <si>
    <t>A+B=C</t>
  </si>
  <si>
    <t>Total ligne C</t>
  </si>
  <si>
    <t>D</t>
  </si>
  <si>
    <t>E</t>
  </si>
  <si>
    <t>D+E=F</t>
  </si>
  <si>
    <t>EN CONSERVANT VOS CONDITIONS ACTUELLES VOTRE COUT DE CREDIT SERA DE :</t>
  </si>
  <si>
    <t xml:space="preserve">Capital restant dû au : </t>
  </si>
  <si>
    <t>Indemnité de remboursement anticipé :</t>
  </si>
  <si>
    <t>taux</t>
  </si>
  <si>
    <t>intérêt annuel</t>
  </si>
  <si>
    <t>sommes intérets</t>
  </si>
  <si>
    <t>somme capitaux</t>
  </si>
  <si>
    <t>interetx100/total capital=tauxmoyen</t>
  </si>
  <si>
    <t>CALCUL D'EPARGNE</t>
  </si>
  <si>
    <t xml:space="preserve">Versement initial : </t>
  </si>
  <si>
    <t>Épargne mensuelle :</t>
  </si>
  <si>
    <t>Taux d'intérêt par an :</t>
  </si>
  <si>
    <t>Période (année) :</t>
  </si>
  <si>
    <t>Future valeur de l'épargne :</t>
  </si>
  <si>
    <t>Total du capital :</t>
  </si>
  <si>
    <t xml:space="preserve">Total des intérêts  : </t>
  </si>
  <si>
    <t>Placement</t>
  </si>
  <si>
    <t>Taux</t>
  </si>
  <si>
    <t>Objectif</t>
  </si>
  <si>
    <t>Durée (en années)</t>
  </si>
  <si>
    <t>Combien d'année pour avoir un capital de :</t>
  </si>
  <si>
    <t>Calcul avec versement régulier</t>
  </si>
  <si>
    <t>capital initial</t>
  </si>
  <si>
    <t>versement prédiodique</t>
  </si>
  <si>
    <t xml:space="preserve">capital total </t>
  </si>
  <si>
    <t>Durée en mois</t>
  </si>
  <si>
    <t>Calculatrice d'épargne</t>
  </si>
  <si>
    <t>Mensuelle</t>
  </si>
  <si>
    <t>Annuelle</t>
  </si>
  <si>
    <t>D'épargne maintenant</t>
  </si>
  <si>
    <t>:</t>
  </si>
  <si>
    <t>Épargne mensuelle</t>
  </si>
  <si>
    <t>Épargne annuelle</t>
  </si>
  <si>
    <t>Taux d'intérêt par an</t>
  </si>
  <si>
    <t>Période (année)</t>
  </si>
  <si>
    <t>Future valeur de l'épargne</t>
  </si>
  <si>
    <t>Total du capital</t>
  </si>
  <si>
    <t xml:space="preserve">Total des intérêts </t>
  </si>
  <si>
    <t>Montant des prêt 1 et deux</t>
  </si>
  <si>
    <t>Calcul d'un taux moyen sur 2 prets de durée différente, sans palier</t>
  </si>
  <si>
    <t>coût d'intérêts</t>
  </si>
  <si>
    <t xml:space="preserve">En conservant votre prêt le cout de crédit hors assurance sera de : </t>
  </si>
  <si>
    <t xml:space="preserve">En conservant votre prêt le cout global (assurance inclue) sera de : </t>
  </si>
  <si>
    <t xml:space="preserve">Cout de réaménagement de votre banque hors assurance : </t>
  </si>
  <si>
    <t xml:space="preserve">Cout de réaménagement de votre banque avec  assurance : </t>
  </si>
  <si>
    <t xml:space="preserve">SOIT UN GAIN DE : </t>
  </si>
  <si>
    <t xml:space="preserve">BANQUE : </t>
  </si>
  <si>
    <t xml:space="preserve">Proposition  hors assurance : </t>
  </si>
  <si>
    <t xml:space="preserve">Proposition  avec assurance  : </t>
  </si>
  <si>
    <t xml:space="preserve">date 1ère échéance </t>
  </si>
  <si>
    <t>RACHAT A LA DATE DE :</t>
  </si>
  <si>
    <t xml:space="preserve">SOIT NB DE MOIS RESTANT : </t>
  </si>
  <si>
    <t xml:space="preserve">IRA  (Intérêts x 6) : </t>
  </si>
  <si>
    <t xml:space="preserve">taux Initial : </t>
  </si>
  <si>
    <t xml:space="preserve">date fin de prêt : </t>
  </si>
  <si>
    <t>durée  en mois :</t>
  </si>
  <si>
    <t xml:space="preserve">INTERETS : </t>
  </si>
  <si>
    <t xml:space="preserve">COUT D'INTERET SUR CRD : </t>
  </si>
  <si>
    <t xml:space="preserve">Prime d'ADI : </t>
  </si>
  <si>
    <t xml:space="preserve">COUT D'ADI SUR DUREE RESTANTE : </t>
  </si>
  <si>
    <t>Montan Initial :</t>
  </si>
  <si>
    <t xml:space="preserve">soit un taux d'ADI de  : </t>
  </si>
  <si>
    <t xml:space="preserve">COUT TOTAL SUR CRD : </t>
  </si>
  <si>
    <t xml:space="preserve">SOIT UN CRD DE : </t>
  </si>
  <si>
    <t xml:space="preserve">Vérification échéance conservée : </t>
  </si>
  <si>
    <t>Échéance Initiale :</t>
  </si>
  <si>
    <t xml:space="preserve">Si 2 personnes assurées, Tx / assuré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</si>
</sst>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  <numFmt numFmtId="165" formatCode="_(* #,##0_);_(* \(#,##0\);_(* &quot;-&quot;??_);_(@_)"/>
    <numFmt numFmtId="166" formatCode="#,##0.00\ [$€-40C];[Red]\-#,##0.00\ [$€-40C]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303030"/>
      <name val="Verdana"/>
      <family val="2"/>
    </font>
    <font>
      <b/>
      <sz val="6"/>
      <color theme="1"/>
      <name val="Calibri"/>
      <family val="2"/>
      <scheme val="minor"/>
    </font>
    <font>
      <sz val="6"/>
      <color rgb="FF303030"/>
      <name val="Consolas"/>
      <family val="3"/>
    </font>
    <font>
      <b/>
      <sz val="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10"/>
      <color theme="5"/>
      <name val="Calibri"/>
      <family val="2"/>
      <scheme val="minor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rgb="FF303030"/>
      <name val="Verdana"/>
      <family val="2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name val="Calibri"/>
      <family val="2"/>
      <scheme val="minor"/>
    </font>
    <font>
      <sz val="6"/>
      <color rgb="FF303030"/>
      <name val="Verdana"/>
      <family val="2"/>
    </font>
    <font>
      <sz val="8"/>
      <color rgb="FFFF0000"/>
      <name val="Verdana"/>
      <family val="2"/>
    </font>
    <font>
      <b/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8"/>
      <color rgb="FF002060"/>
      <name val="Verdana"/>
      <family val="2"/>
    </font>
    <font>
      <sz val="6"/>
      <color rgb="FFFF0000"/>
      <name val="Verdana"/>
      <family val="2"/>
    </font>
    <font>
      <b/>
      <sz val="10"/>
      <color rgb="FF002060"/>
      <name val="Verdana"/>
      <family val="2"/>
    </font>
    <font>
      <sz val="6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CCCCCC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1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right" wrapText="1"/>
    </xf>
    <xf numFmtId="10" fontId="1" fillId="0" borderId="0" xfId="0" applyNumberFormat="1" applyFont="1"/>
    <xf numFmtId="43" fontId="11" fillId="0" borderId="2" xfId="1" applyFont="1" applyBorder="1" applyAlignment="1">
      <alignment vertical="center"/>
    </xf>
    <xf numFmtId="10" fontId="11" fillId="0" borderId="2" xfId="2" applyNumberFormat="1" applyFont="1" applyBorder="1" applyAlignment="1">
      <alignment vertical="center"/>
    </xf>
    <xf numFmtId="165" fontId="11" fillId="0" borderId="2" xfId="1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11" fillId="0" borderId="2" xfId="1" applyFont="1" applyBorder="1" applyAlignment="1">
      <alignment horizontal="right" vertical="center"/>
    </xf>
    <xf numFmtId="0" fontId="1" fillId="0" borderId="0" xfId="0" applyFont="1" applyAlignment="1"/>
    <xf numFmtId="166" fontId="12" fillId="2" borderId="2" xfId="0" applyNumberFormat="1" applyFont="1" applyFill="1" applyBorder="1" applyAlignment="1"/>
    <xf numFmtId="10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 applyAlignment="1"/>
    <xf numFmtId="0" fontId="11" fillId="0" borderId="0" xfId="0" applyFont="1" applyAlignment="1">
      <alignment horizontal="right" vertical="center"/>
    </xf>
    <xf numFmtId="2" fontId="2" fillId="0" borderId="0" xfId="0" applyNumberFormat="1" applyFont="1"/>
    <xf numFmtId="0" fontId="1" fillId="3" borderId="0" xfId="0" applyFont="1" applyFill="1"/>
    <xf numFmtId="0" fontId="2" fillId="3" borderId="0" xfId="0" applyFont="1" applyFill="1"/>
    <xf numFmtId="10" fontId="2" fillId="3" borderId="0" xfId="0" applyNumberFormat="1" applyFont="1" applyFill="1"/>
    <xf numFmtId="164" fontId="1" fillId="3" borderId="0" xfId="0" applyNumberFormat="1" applyFont="1" applyFill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/>
    <xf numFmtId="40" fontId="15" fillId="0" borderId="0" xfId="1" applyNumberFormat="1" applyFont="1" applyFill="1" applyBorder="1" applyAlignment="1">
      <alignment horizontal="center" vertical="center"/>
    </xf>
    <xf numFmtId="40" fontId="11" fillId="0" borderId="0" xfId="1" applyNumberFormat="1" applyFont="1" applyFill="1" applyBorder="1" applyAlignment="1">
      <alignment vertical="center"/>
    </xf>
    <xf numFmtId="166" fontId="12" fillId="2" borderId="2" xfId="0" applyNumberFormat="1" applyFont="1" applyFill="1" applyBorder="1"/>
    <xf numFmtId="0" fontId="14" fillId="4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/>
    <xf numFmtId="0" fontId="2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10" fontId="19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18" fillId="0" borderId="3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164" fontId="25" fillId="0" borderId="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164" fontId="28" fillId="0" borderId="2" xfId="0" applyNumberFormat="1" applyFont="1" applyFill="1" applyBorder="1" applyAlignment="1">
      <alignment horizontal="center" vertical="center"/>
    </xf>
    <xf numFmtId="8" fontId="29" fillId="0" borderId="2" xfId="0" applyNumberFormat="1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/>
    </xf>
    <xf numFmtId="8" fontId="31" fillId="0" borderId="2" xfId="0" applyNumberFormat="1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13" zoomScale="145" zoomScaleNormal="145" workbookViewId="0">
      <selection activeCell="D25" sqref="D25"/>
    </sheetView>
  </sheetViews>
  <sheetFormatPr baseColWidth="10" defaultColWidth="11.140625" defaultRowHeight="11.25" x14ac:dyDescent="0.2"/>
  <cols>
    <col min="1" max="1" width="4.140625" style="14" customWidth="1"/>
    <col min="2" max="2" width="9.85546875" style="1" customWidth="1"/>
    <col min="3" max="3" width="12.5703125" style="1" customWidth="1"/>
    <col min="4" max="4" width="14.28515625" style="9" bestFit="1" customWidth="1"/>
    <col min="5" max="5" width="2.7109375" style="1" customWidth="1"/>
    <col min="6" max="6" width="9.85546875" style="1" customWidth="1"/>
    <col min="7" max="7" width="6.28515625" style="1" customWidth="1"/>
    <col min="8" max="8" width="11.140625" style="9"/>
    <col min="9" max="9" width="2.7109375" style="1" customWidth="1"/>
    <col min="10" max="10" width="12.7109375" style="1" customWidth="1"/>
    <col min="11" max="11" width="6.85546875" style="1" customWidth="1"/>
    <col min="12" max="12" width="11.140625" style="9"/>
    <col min="13" max="13" width="2.7109375" style="1" customWidth="1"/>
    <col min="14" max="14" width="11.42578125" style="1" customWidth="1"/>
    <col min="15" max="15" width="6.42578125" style="1" customWidth="1"/>
    <col min="16" max="16" width="11.140625" style="9"/>
    <col min="17" max="17" width="5.5703125" style="1" customWidth="1"/>
    <col min="18" max="18" width="11.140625" style="1"/>
    <col min="19" max="19" width="17.42578125" style="1" customWidth="1"/>
    <col min="20" max="20" width="12.140625" style="36" bestFit="1" customWidth="1"/>
    <col min="21" max="21" width="12.5703125" style="1" customWidth="1"/>
    <col min="22" max="22" width="11.140625" style="1"/>
    <col min="23" max="23" width="15.140625" style="1" customWidth="1"/>
    <col min="24" max="16384" width="11.140625" style="1"/>
  </cols>
  <sheetData>
    <row r="1" spans="1:27" ht="18.75" x14ac:dyDescent="0.3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7" ht="12.75" x14ac:dyDescent="0.2">
      <c r="U2" s="59" t="s">
        <v>32</v>
      </c>
      <c r="V2" s="59"/>
      <c r="W2" s="59"/>
      <c r="X2" s="13" t="s">
        <v>44</v>
      </c>
      <c r="Z2" s="43" t="s">
        <v>45</v>
      </c>
      <c r="AA2" s="43"/>
    </row>
    <row r="3" spans="1:27" x14ac:dyDescent="0.2">
      <c r="B3" s="61" t="s">
        <v>0</v>
      </c>
      <c r="C3" s="62"/>
      <c r="D3" s="22"/>
      <c r="F3" s="61" t="s">
        <v>0</v>
      </c>
      <c r="G3" s="62"/>
      <c r="H3" s="22"/>
      <c r="J3" s="61" t="s">
        <v>0</v>
      </c>
      <c r="K3" s="62"/>
      <c r="L3" s="22"/>
      <c r="N3" s="61" t="s">
        <v>0</v>
      </c>
      <c r="O3" s="62"/>
      <c r="P3" s="22"/>
      <c r="U3" s="57" t="s">
        <v>33</v>
      </c>
      <c r="V3" s="58"/>
      <c r="W3" s="35"/>
      <c r="X3" s="1" t="s">
        <v>40</v>
      </c>
      <c r="Y3" s="1">
        <v>10000</v>
      </c>
      <c r="Z3" s="43" t="s">
        <v>46</v>
      </c>
      <c r="AA3" s="43">
        <v>500</v>
      </c>
    </row>
    <row r="4" spans="1:27" ht="17.25" customHeight="1" x14ac:dyDescent="0.2">
      <c r="A4" s="14" t="s">
        <v>17</v>
      </c>
      <c r="B4" s="29" t="s">
        <v>25</v>
      </c>
      <c r="C4" s="23"/>
      <c r="D4" s="24"/>
      <c r="F4" s="29" t="s">
        <v>25</v>
      </c>
      <c r="G4" s="23"/>
      <c r="H4" s="24"/>
      <c r="J4" s="29" t="s">
        <v>25</v>
      </c>
      <c r="K4" s="23"/>
      <c r="L4" s="24"/>
      <c r="N4" s="29" t="s">
        <v>25</v>
      </c>
      <c r="O4" s="23"/>
      <c r="P4" s="24"/>
      <c r="U4" s="57" t="s">
        <v>34</v>
      </c>
      <c r="V4" s="58"/>
      <c r="W4" s="31"/>
      <c r="X4" s="1" t="s">
        <v>41</v>
      </c>
      <c r="Y4" s="30">
        <v>8.5000000000000006E-2</v>
      </c>
      <c r="Z4" s="43" t="s">
        <v>49</v>
      </c>
      <c r="AA4" s="43">
        <v>10</v>
      </c>
    </row>
    <row r="5" spans="1:27" ht="18" customHeight="1" x14ac:dyDescent="0.2">
      <c r="A5" s="14" t="s">
        <v>18</v>
      </c>
      <c r="B5" s="68" t="s">
        <v>26</v>
      </c>
      <c r="C5" s="69"/>
      <c r="D5" s="24"/>
      <c r="F5" s="68" t="s">
        <v>26</v>
      </c>
      <c r="G5" s="69"/>
      <c r="H5" s="24"/>
      <c r="J5" s="68" t="s">
        <v>26</v>
      </c>
      <c r="K5" s="69"/>
      <c r="L5" s="24"/>
      <c r="N5" s="68" t="s">
        <v>26</v>
      </c>
      <c r="O5" s="69"/>
      <c r="P5" s="24"/>
      <c r="U5" s="57" t="s">
        <v>35</v>
      </c>
      <c r="V5" s="58"/>
      <c r="W5" s="32"/>
      <c r="X5" s="1" t="s">
        <v>42</v>
      </c>
      <c r="Y5" s="1">
        <v>100000</v>
      </c>
      <c r="Z5" s="43" t="s">
        <v>47</v>
      </c>
      <c r="AA5" s="43">
        <v>200</v>
      </c>
    </row>
    <row r="6" spans="1:27" s="2" customFormat="1" ht="17.25" x14ac:dyDescent="0.2">
      <c r="A6" s="15" t="s">
        <v>19</v>
      </c>
      <c r="B6" s="63" t="s">
        <v>7</v>
      </c>
      <c r="C6" s="64"/>
      <c r="D6" s="7">
        <f>SUM(D4:D5)</f>
        <v>0</v>
      </c>
      <c r="F6" s="63" t="s">
        <v>7</v>
      </c>
      <c r="G6" s="64"/>
      <c r="H6" s="7">
        <f>SUM(H4:H5)</f>
        <v>0</v>
      </c>
      <c r="J6" s="63" t="s">
        <v>7</v>
      </c>
      <c r="K6" s="64"/>
      <c r="L6" s="7">
        <f>SUM(L4:L5)</f>
        <v>0</v>
      </c>
      <c r="N6" s="63" t="s">
        <v>7</v>
      </c>
      <c r="O6" s="64"/>
      <c r="P6" s="7">
        <f>SUM(P4:P5)</f>
        <v>0</v>
      </c>
      <c r="U6" s="57" t="s">
        <v>36</v>
      </c>
      <c r="V6" s="58"/>
      <c r="W6" s="33"/>
      <c r="X6" s="2" t="s">
        <v>43</v>
      </c>
      <c r="Y6" s="42">
        <f>NPER(Y4,0,-Y3,Y5,0)</f>
        <v>28.224876932229833</v>
      </c>
      <c r="Z6" s="44" t="s">
        <v>27</v>
      </c>
      <c r="AA6" s="45">
        <v>1.4999999999999999E-2</v>
      </c>
    </row>
    <row r="7" spans="1:27" x14ac:dyDescent="0.2">
      <c r="B7" s="70" t="s">
        <v>15</v>
      </c>
      <c r="C7" s="70"/>
      <c r="D7" s="25"/>
      <c r="F7" s="70" t="s">
        <v>15</v>
      </c>
      <c r="G7" s="70"/>
      <c r="H7" s="25"/>
      <c r="J7" s="70" t="s">
        <v>15</v>
      </c>
      <c r="K7" s="70"/>
      <c r="L7" s="25"/>
      <c r="N7" s="70" t="s">
        <v>15</v>
      </c>
      <c r="O7" s="70"/>
      <c r="P7" s="25"/>
      <c r="U7" s="55"/>
      <c r="V7" s="41"/>
      <c r="W7" s="34"/>
      <c r="Z7" s="43" t="s">
        <v>48</v>
      </c>
      <c r="AA7" s="46" t="e">
        <f ca="1">_xludf.FV(#REF!,#REF!,-#REF!,-#REF!)</f>
        <v>#NAME?</v>
      </c>
    </row>
    <row r="8" spans="1:27" x14ac:dyDescent="0.2">
      <c r="B8" s="72" t="s">
        <v>16</v>
      </c>
      <c r="C8" s="72"/>
      <c r="D8" s="9">
        <f>DATEDIF(C4,D7,"m")+(1)</f>
        <v>1</v>
      </c>
      <c r="F8" s="72" t="s">
        <v>16</v>
      </c>
      <c r="G8" s="72"/>
      <c r="H8" s="9">
        <f>DATEDIF(G4,H7,"m")+(1)</f>
        <v>1</v>
      </c>
      <c r="J8" s="72" t="s">
        <v>16</v>
      </c>
      <c r="K8" s="72"/>
      <c r="L8" s="9">
        <f>DATEDIF(K4,L7,"m")+(1)</f>
        <v>1</v>
      </c>
      <c r="N8" s="74" t="s">
        <v>16</v>
      </c>
      <c r="O8" s="74"/>
      <c r="P8" s="9">
        <f>DATEDIF(O4,P7,"m")+(1)</f>
        <v>1</v>
      </c>
      <c r="U8" s="57" t="s">
        <v>37</v>
      </c>
      <c r="V8" s="58"/>
      <c r="W8" s="37">
        <f>-FV(W5/12,W6*12,W4,W3)</f>
        <v>0</v>
      </c>
      <c r="Z8" s="43"/>
      <c r="AA8" s="43"/>
    </row>
    <row r="9" spans="1:27" s="16" customFormat="1" ht="23.25" customHeight="1" x14ac:dyDescent="0.2">
      <c r="A9" s="15" t="s">
        <v>20</v>
      </c>
      <c r="B9" s="71" t="s">
        <v>11</v>
      </c>
      <c r="C9" s="71"/>
      <c r="D9" s="17">
        <f>SUM(D6+H6+L6+P6)</f>
        <v>0</v>
      </c>
      <c r="H9" s="18"/>
      <c r="L9" s="18"/>
      <c r="P9" s="18"/>
      <c r="U9" s="57" t="s">
        <v>38</v>
      </c>
      <c r="V9" s="58"/>
      <c r="W9" s="37">
        <f>W3+W4*12*W6</f>
        <v>0</v>
      </c>
    </row>
    <row r="10" spans="1:27" x14ac:dyDescent="0.2">
      <c r="B10" s="74" t="s">
        <v>13</v>
      </c>
      <c r="C10" s="74"/>
      <c r="D10" s="10">
        <f>SUM(D4+H4+L4+P4)</f>
        <v>0</v>
      </c>
      <c r="U10" s="57" t="s">
        <v>39</v>
      </c>
      <c r="V10" s="58"/>
      <c r="W10" s="37">
        <f>W8-W9</f>
        <v>0</v>
      </c>
    </row>
    <row r="11" spans="1:27" x14ac:dyDescent="0.2">
      <c r="B11" s="74" t="s">
        <v>14</v>
      </c>
      <c r="C11" s="74"/>
      <c r="D11" s="10">
        <f>SUM(D5+H5+L5+P5)</f>
        <v>0</v>
      </c>
      <c r="W11" s="36"/>
    </row>
    <row r="12" spans="1:27" x14ac:dyDescent="0.2">
      <c r="B12" s="2" t="s">
        <v>24</v>
      </c>
      <c r="D12" s="11"/>
      <c r="E12" s="11"/>
      <c r="F12" s="11"/>
      <c r="H12" s="10" t="e">
        <f>SUM(#REF!)</f>
        <v>#REF!</v>
      </c>
      <c r="W12" s="36"/>
    </row>
    <row r="13" spans="1:27" x14ac:dyDescent="0.2">
      <c r="B13" s="2"/>
      <c r="D13" s="11"/>
      <c r="E13" s="11"/>
      <c r="F13" s="11"/>
      <c r="H13" s="10"/>
      <c r="W13" s="36"/>
    </row>
    <row r="14" spans="1:27" x14ac:dyDescent="0.2">
      <c r="B14" s="2"/>
      <c r="D14" s="11"/>
      <c r="E14" s="11"/>
      <c r="F14" s="11"/>
      <c r="H14" s="10"/>
      <c r="W14" s="36"/>
    </row>
    <row r="15" spans="1:27" x14ac:dyDescent="0.2">
      <c r="B15" s="81" t="s">
        <v>84</v>
      </c>
      <c r="C15" s="81"/>
      <c r="D15" s="82">
        <v>150000</v>
      </c>
      <c r="E15" s="11"/>
      <c r="F15" s="11"/>
      <c r="H15" s="10"/>
      <c r="W15" s="36"/>
    </row>
    <row r="16" spans="1:27" x14ac:dyDescent="0.2">
      <c r="B16" s="81" t="s">
        <v>79</v>
      </c>
      <c r="C16" s="81"/>
      <c r="D16" s="109">
        <v>240</v>
      </c>
      <c r="E16" s="11"/>
      <c r="F16" s="11"/>
      <c r="H16" s="10"/>
      <c r="W16" s="36"/>
    </row>
    <row r="17" spans="1:23" x14ac:dyDescent="0.2">
      <c r="B17" s="81" t="s">
        <v>77</v>
      </c>
      <c r="C17" s="81"/>
      <c r="D17" s="83">
        <v>0.02</v>
      </c>
      <c r="E17" s="11"/>
      <c r="F17" s="11"/>
      <c r="H17" s="10"/>
      <c r="W17" s="36"/>
    </row>
    <row r="18" spans="1:23" s="13" customFormat="1" ht="8.25" x14ac:dyDescent="0.15">
      <c r="A18" s="14"/>
      <c r="B18" s="97" t="s">
        <v>89</v>
      </c>
      <c r="C18" s="98"/>
      <c r="D18" s="108">
        <f>PMT(D17/12,D16,D15,0)</f>
        <v>-758.82500256767582</v>
      </c>
      <c r="E18" s="99"/>
      <c r="F18" s="99"/>
      <c r="H18" s="19"/>
      <c r="L18" s="20"/>
      <c r="P18" s="20"/>
      <c r="T18" s="40"/>
      <c r="W18" s="40"/>
    </row>
    <row r="19" spans="1:23" x14ac:dyDescent="0.2">
      <c r="B19" s="81" t="s">
        <v>82</v>
      </c>
      <c r="C19" s="81"/>
      <c r="D19" s="82">
        <v>40</v>
      </c>
      <c r="E19" s="11"/>
      <c r="F19" s="11"/>
      <c r="H19" s="10"/>
      <c r="W19" s="36"/>
    </row>
    <row r="20" spans="1:23" s="77" customFormat="1" ht="8.25" x14ac:dyDescent="0.15">
      <c r="A20" s="75"/>
      <c r="B20" s="84" t="s">
        <v>85</v>
      </c>
      <c r="C20" s="84"/>
      <c r="D20" s="85">
        <f>SUM(D19*12/D15*100)/100</f>
        <v>3.2000000000000002E-3</v>
      </c>
      <c r="E20" s="76"/>
      <c r="F20" s="76"/>
      <c r="H20" s="78"/>
      <c r="L20" s="79"/>
      <c r="P20" s="79"/>
      <c r="T20" s="80"/>
      <c r="W20" s="80"/>
    </row>
    <row r="21" spans="1:23" s="77" customFormat="1" ht="8.25" x14ac:dyDescent="0.15">
      <c r="A21" s="75"/>
      <c r="B21" s="100" t="s">
        <v>90</v>
      </c>
      <c r="C21" s="101"/>
      <c r="D21" s="85">
        <f>SUM(D20/2)</f>
        <v>1.6000000000000001E-3</v>
      </c>
      <c r="E21" s="76"/>
      <c r="F21" s="76"/>
      <c r="H21" s="78"/>
      <c r="L21" s="79"/>
      <c r="P21" s="79"/>
      <c r="T21" s="80"/>
      <c r="W21" s="80"/>
    </row>
    <row r="22" spans="1:23" x14ac:dyDescent="0.2">
      <c r="B22" s="81" t="s">
        <v>73</v>
      </c>
      <c r="C22" s="81"/>
      <c r="D22" s="86">
        <v>40313</v>
      </c>
      <c r="E22" s="11"/>
      <c r="F22" s="11"/>
      <c r="H22" s="10"/>
      <c r="W22" s="36"/>
    </row>
    <row r="23" spans="1:23" x14ac:dyDescent="0.2">
      <c r="B23" s="87" t="s">
        <v>78</v>
      </c>
      <c r="C23" s="87"/>
      <c r="D23" s="89"/>
      <c r="E23" s="11"/>
      <c r="F23" s="11"/>
      <c r="H23" s="10"/>
      <c r="W23" s="36"/>
    </row>
    <row r="24" spans="1:23" x14ac:dyDescent="0.2">
      <c r="B24" s="81" t="s">
        <v>74</v>
      </c>
      <c r="C24" s="81"/>
      <c r="D24" s="86">
        <v>42430</v>
      </c>
      <c r="E24" s="11"/>
      <c r="F24" s="11"/>
      <c r="H24" s="10"/>
      <c r="W24" s="36"/>
    </row>
    <row r="25" spans="1:23" x14ac:dyDescent="0.2">
      <c r="B25" s="87" t="s">
        <v>87</v>
      </c>
      <c r="C25" s="87"/>
      <c r="D25" s="90"/>
      <c r="E25" s="11"/>
      <c r="F25" s="11"/>
      <c r="H25" s="10"/>
      <c r="W25" s="36"/>
    </row>
    <row r="26" spans="1:23" x14ac:dyDescent="0.2">
      <c r="B26" s="87" t="s">
        <v>75</v>
      </c>
      <c r="C26" s="87"/>
      <c r="D26" s="88"/>
      <c r="E26" s="11"/>
      <c r="F26" s="11"/>
      <c r="H26" s="10"/>
      <c r="W26" s="36"/>
    </row>
    <row r="27" spans="1:23" x14ac:dyDescent="0.2">
      <c r="B27" s="87" t="s">
        <v>80</v>
      </c>
      <c r="C27" s="87"/>
      <c r="D27" s="90"/>
      <c r="E27" s="11"/>
      <c r="F27" s="11"/>
      <c r="H27" s="10"/>
      <c r="W27" s="36"/>
    </row>
    <row r="28" spans="1:23" x14ac:dyDescent="0.2">
      <c r="B28" s="87" t="s">
        <v>76</v>
      </c>
      <c r="C28" s="87"/>
      <c r="D28" s="102">
        <f>SUM(D27*6)</f>
        <v>0</v>
      </c>
      <c r="E28" s="11"/>
      <c r="F28" s="11"/>
      <c r="H28" s="10"/>
      <c r="W28" s="36"/>
    </row>
    <row r="29" spans="1:23" x14ac:dyDescent="0.2">
      <c r="B29" s="103" t="s">
        <v>81</v>
      </c>
      <c r="C29" s="103"/>
      <c r="D29" s="105" t="e">
        <f>((PMT(D17/12,D26,D25)*D26)+D25)*(-1)</f>
        <v>#NUM!</v>
      </c>
      <c r="W29" s="36"/>
    </row>
    <row r="30" spans="1:23" s="13" customFormat="1" ht="8.25" x14ac:dyDescent="0.15">
      <c r="A30" s="14"/>
      <c r="B30" s="95" t="s">
        <v>88</v>
      </c>
      <c r="C30" s="96"/>
      <c r="D30" s="106" t="e">
        <f>PMT(D17/12,D26,D25,0)</f>
        <v>#NUM!</v>
      </c>
      <c r="H30" s="20"/>
      <c r="L30" s="20"/>
      <c r="P30" s="20"/>
      <c r="T30" s="40"/>
      <c r="W30" s="40"/>
    </row>
    <row r="31" spans="1:23" x14ac:dyDescent="0.2">
      <c r="B31" s="103" t="s">
        <v>83</v>
      </c>
      <c r="C31" s="103"/>
      <c r="D31" s="105">
        <f>SUM(D19*D26)</f>
        <v>0</v>
      </c>
      <c r="W31" s="36"/>
    </row>
    <row r="32" spans="1:23" s="92" customFormat="1" ht="12.75" x14ac:dyDescent="0.2">
      <c r="A32" s="91"/>
      <c r="B32" s="104" t="s">
        <v>86</v>
      </c>
      <c r="C32" s="104"/>
      <c r="D32" s="107" t="e">
        <f>SUM(D29+D31)</f>
        <v>#NUM!</v>
      </c>
      <c r="H32" s="93"/>
      <c r="L32" s="93"/>
      <c r="P32" s="93"/>
      <c r="T32" s="94"/>
      <c r="W32" s="94"/>
    </row>
    <row r="33" spans="1:29" x14ac:dyDescent="0.2">
      <c r="W33" s="36"/>
    </row>
    <row r="34" spans="1:29" x14ac:dyDescent="0.2">
      <c r="B34" s="3" t="s">
        <v>12</v>
      </c>
      <c r="C34" s="26"/>
      <c r="D34" s="8"/>
      <c r="F34" s="3" t="s">
        <v>12</v>
      </c>
      <c r="G34" s="26"/>
      <c r="H34" s="8"/>
      <c r="J34" s="4" t="s">
        <v>12</v>
      </c>
      <c r="K34" s="27"/>
      <c r="L34" s="5"/>
      <c r="N34" s="12" t="s">
        <v>12</v>
      </c>
      <c r="O34" s="26"/>
      <c r="P34" s="5"/>
      <c r="U34" s="1" t="s">
        <v>63</v>
      </c>
      <c r="W34" s="36"/>
    </row>
    <row r="35" spans="1:29" x14ac:dyDescent="0.2">
      <c r="B35" s="61" t="s">
        <v>1</v>
      </c>
      <c r="C35" s="62"/>
      <c r="D35" s="24">
        <v>150000</v>
      </c>
      <c r="F35" s="61" t="s">
        <v>1</v>
      </c>
      <c r="G35" s="62"/>
      <c r="H35" s="24">
        <v>0</v>
      </c>
      <c r="J35" s="61" t="s">
        <v>1</v>
      </c>
      <c r="K35" s="62"/>
      <c r="L35" s="24"/>
      <c r="N35" s="61" t="s">
        <v>1</v>
      </c>
      <c r="O35" s="62"/>
      <c r="P35" s="24">
        <f>SUM(P4)</f>
        <v>0</v>
      </c>
      <c r="W35" s="36"/>
    </row>
    <row r="36" spans="1:29" x14ac:dyDescent="0.2">
      <c r="B36" s="61" t="s">
        <v>2</v>
      </c>
      <c r="C36" s="62"/>
      <c r="D36" s="28">
        <v>0.02</v>
      </c>
      <c r="F36" s="61" t="s">
        <v>2</v>
      </c>
      <c r="G36" s="62"/>
      <c r="H36" s="28">
        <v>0</v>
      </c>
      <c r="J36" s="61" t="s">
        <v>2</v>
      </c>
      <c r="K36" s="62"/>
      <c r="L36" s="28">
        <v>0</v>
      </c>
      <c r="N36" s="61" t="s">
        <v>2</v>
      </c>
      <c r="O36" s="62"/>
      <c r="P36" s="28">
        <v>0</v>
      </c>
      <c r="U36" s="1" t="s">
        <v>62</v>
      </c>
      <c r="V36" s="1">
        <v>54581</v>
      </c>
      <c r="W36" s="36">
        <v>35000</v>
      </c>
      <c r="Y36" s="1">
        <v>500</v>
      </c>
    </row>
    <row r="37" spans="1:29" x14ac:dyDescent="0.2">
      <c r="B37" s="61" t="s">
        <v>4</v>
      </c>
      <c r="C37" s="62"/>
      <c r="D37" s="5">
        <v>240</v>
      </c>
      <c r="F37" s="61" t="s">
        <v>4</v>
      </c>
      <c r="G37" s="62"/>
      <c r="H37" s="5">
        <v>0</v>
      </c>
      <c r="J37" s="61" t="s">
        <v>4</v>
      </c>
      <c r="K37" s="62"/>
      <c r="L37" s="5">
        <v>0</v>
      </c>
      <c r="N37" s="61" t="s">
        <v>4</v>
      </c>
      <c r="O37" s="62"/>
      <c r="P37" s="5">
        <v>0</v>
      </c>
      <c r="U37" s="1" t="s">
        <v>27</v>
      </c>
      <c r="V37" s="30">
        <v>1.66E-2</v>
      </c>
      <c r="W37" s="38">
        <v>9.5999999999999992E-3</v>
      </c>
      <c r="Y37" s="1">
        <v>10</v>
      </c>
    </row>
    <row r="38" spans="1:29" s="2" customFormat="1" x14ac:dyDescent="0.2">
      <c r="A38" s="15" t="s">
        <v>21</v>
      </c>
      <c r="B38" s="63" t="s">
        <v>3</v>
      </c>
      <c r="C38" s="64"/>
      <c r="D38" s="7">
        <f>((PMT(D36/12,D37,D35)*D37)+D35)*(-1)</f>
        <v>32118.000616242207</v>
      </c>
      <c r="F38" s="63" t="s">
        <v>3</v>
      </c>
      <c r="G38" s="64"/>
      <c r="H38" s="7" t="e">
        <f>((PMT(H36/12,H37,H35)*H37)+H35)*(-1)</f>
        <v>#NUM!</v>
      </c>
      <c r="J38" s="63" t="s">
        <v>64</v>
      </c>
      <c r="K38" s="64"/>
      <c r="L38" s="7" t="e">
        <f>((PMT(L36/12,L37,L35)*L37)+L35)*(-1)</f>
        <v>#NUM!</v>
      </c>
      <c r="N38" s="63" t="s">
        <v>64</v>
      </c>
      <c r="O38" s="64"/>
      <c r="P38" s="7" t="e">
        <f>((PMT(P36/12,P37,P35)*P37)+P35)*(-1)</f>
        <v>#NUM!</v>
      </c>
      <c r="U38" s="2" t="s">
        <v>28</v>
      </c>
      <c r="V38" s="2">
        <v>1162.3</v>
      </c>
      <c r="W38" s="39">
        <v>560</v>
      </c>
      <c r="Y38" s="2">
        <v>200</v>
      </c>
    </row>
    <row r="39" spans="1:29" x14ac:dyDescent="0.2">
      <c r="B39" s="61" t="s">
        <v>9</v>
      </c>
      <c r="C39" s="62"/>
      <c r="D39" s="6">
        <f>PMT(D36/12,D37,D35,0)</f>
        <v>-758.82500256767582</v>
      </c>
      <c r="F39" s="61" t="s">
        <v>9</v>
      </c>
      <c r="G39" s="62"/>
      <c r="H39" s="6" t="e">
        <f>PMT(H36/12,H37,H35,0)</f>
        <v>#NUM!</v>
      </c>
      <c r="J39" s="61" t="s">
        <v>9</v>
      </c>
      <c r="K39" s="62"/>
      <c r="L39" s="6" t="e">
        <f>PMT(L36/12,L37,L35,0)</f>
        <v>#NUM!</v>
      </c>
      <c r="N39" s="61" t="s">
        <v>9</v>
      </c>
      <c r="O39" s="62"/>
      <c r="P39" s="6" t="e">
        <f>PMT(P36/12,P37,P35,0)</f>
        <v>#NUM!</v>
      </c>
      <c r="U39" s="1" t="s">
        <v>29</v>
      </c>
      <c r="V39" s="1">
        <v>1722.3</v>
      </c>
      <c r="W39" s="36"/>
      <c r="Y39" s="30">
        <v>1.4999999999999999E-2</v>
      </c>
    </row>
    <row r="40" spans="1:29" x14ac:dyDescent="0.2">
      <c r="B40" s="61" t="s">
        <v>8</v>
      </c>
      <c r="C40" s="62"/>
      <c r="D40" s="22">
        <v>0</v>
      </c>
      <c r="F40" s="61" t="s">
        <v>8</v>
      </c>
      <c r="G40" s="62"/>
      <c r="H40" s="22">
        <v>0</v>
      </c>
      <c r="J40" s="61" t="s">
        <v>8</v>
      </c>
      <c r="K40" s="62"/>
      <c r="L40" s="22"/>
      <c r="N40" s="61" t="s">
        <v>8</v>
      </c>
      <c r="O40" s="62"/>
      <c r="P40" s="22"/>
      <c r="U40" s="1" t="s">
        <v>30</v>
      </c>
      <c r="V40" s="1">
        <v>124032</v>
      </c>
      <c r="W40" s="36"/>
      <c r="Y40" s="1" t="e">
        <f ca="1">_xludf.FV(Y39/12)</f>
        <v>#NAME?</v>
      </c>
    </row>
    <row r="41" spans="1:29" ht="11.25" customHeight="1" x14ac:dyDescent="0.2">
      <c r="B41" s="61" t="s">
        <v>4</v>
      </c>
      <c r="C41" s="62"/>
      <c r="D41" s="5">
        <f>SUM(D37)</f>
        <v>240</v>
      </c>
      <c r="F41" s="61" t="s">
        <v>4</v>
      </c>
      <c r="G41" s="62"/>
      <c r="H41" s="5">
        <f>SUM(H37)</f>
        <v>0</v>
      </c>
      <c r="J41" s="61" t="s">
        <v>4</v>
      </c>
      <c r="K41" s="62"/>
      <c r="L41" s="5">
        <f>SUM(L37)</f>
        <v>0</v>
      </c>
      <c r="N41" s="61" t="s">
        <v>4</v>
      </c>
      <c r="O41" s="62"/>
      <c r="P41" s="5">
        <f>SUM(P37)</f>
        <v>0</v>
      </c>
      <c r="U41" s="56" t="s">
        <v>31</v>
      </c>
      <c r="V41" s="30">
        <v>1.3899999999999999E-2</v>
      </c>
      <c r="W41" s="36"/>
    </row>
    <row r="42" spans="1:29" s="2" customFormat="1" x14ac:dyDescent="0.2">
      <c r="A42" s="15" t="s">
        <v>22</v>
      </c>
      <c r="B42" s="63" t="s">
        <v>5</v>
      </c>
      <c r="C42" s="64"/>
      <c r="D42" s="7">
        <f>SUM(D40*D41)</f>
        <v>0</v>
      </c>
      <c r="F42" s="63" t="s">
        <v>5</v>
      </c>
      <c r="G42" s="64"/>
      <c r="H42" s="7">
        <f>SUM(H40*H41)</f>
        <v>0</v>
      </c>
      <c r="J42" s="63" t="s">
        <v>5</v>
      </c>
      <c r="K42" s="64"/>
      <c r="L42" s="7">
        <f>SUM(L40*L41)</f>
        <v>0</v>
      </c>
      <c r="N42" s="63" t="s">
        <v>5</v>
      </c>
      <c r="O42" s="64"/>
      <c r="P42" s="7">
        <f>SUM(P40*P41)</f>
        <v>0</v>
      </c>
      <c r="U42" s="56"/>
      <c r="W42" s="39"/>
    </row>
    <row r="43" spans="1:29" s="2" customFormat="1" ht="17.25" x14ac:dyDescent="0.2">
      <c r="A43" s="15" t="s">
        <v>23</v>
      </c>
      <c r="B43" s="63" t="s">
        <v>6</v>
      </c>
      <c r="C43" s="64"/>
      <c r="D43" s="7">
        <f>SUM(D42+D38)</f>
        <v>32118.000616242207</v>
      </c>
      <c r="F43" s="63" t="s">
        <v>6</v>
      </c>
      <c r="G43" s="64"/>
      <c r="H43" s="7" t="e">
        <f>SUM(H42+H38)</f>
        <v>#NUM!</v>
      </c>
      <c r="J43" s="63" t="s">
        <v>6</v>
      </c>
      <c r="K43" s="64"/>
      <c r="L43" s="7" t="e">
        <f>SUM(L42+L38)</f>
        <v>#NUM!</v>
      </c>
      <c r="N43" s="63" t="s">
        <v>6</v>
      </c>
      <c r="O43" s="64"/>
      <c r="P43" s="7" t="e">
        <f>SUM(P42+P38)</f>
        <v>#NUM!</v>
      </c>
      <c r="W43" s="39"/>
    </row>
    <row r="44" spans="1:29" x14ac:dyDescent="0.2">
      <c r="W44" s="36"/>
    </row>
    <row r="45" spans="1:29" s="13" customFormat="1" ht="9" thickBot="1" x14ac:dyDescent="0.2">
      <c r="A45" s="14"/>
      <c r="B45" s="65"/>
      <c r="C45" s="65"/>
      <c r="D45" s="19"/>
      <c r="H45" s="20"/>
      <c r="L45" s="20"/>
      <c r="P45" s="20"/>
      <c r="W45" s="40"/>
    </row>
    <row r="46" spans="1:29" s="13" customFormat="1" thickBot="1" x14ac:dyDescent="0.2">
      <c r="A46" s="14"/>
      <c r="B46" s="66"/>
      <c r="C46" s="67"/>
      <c r="D46" s="21"/>
      <c r="H46" s="20"/>
      <c r="L46" s="20"/>
      <c r="P46" s="20"/>
      <c r="U46" s="54" t="s">
        <v>50</v>
      </c>
      <c r="V46" s="54"/>
      <c r="W46" s="54"/>
      <c r="X46" s="54"/>
      <c r="Y46" s="54"/>
      <c r="Z46" s="54"/>
      <c r="AA46" s="54"/>
      <c r="AB46" s="54"/>
      <c r="AC46" s="54"/>
    </row>
    <row r="47" spans="1:29" x14ac:dyDescent="0.2">
      <c r="B47" s="3" t="s">
        <v>12</v>
      </c>
      <c r="C47" s="26"/>
      <c r="D47" s="8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x14ac:dyDescent="0.2">
      <c r="B48" s="61" t="s">
        <v>1</v>
      </c>
      <c r="C48" s="62"/>
      <c r="D48" s="24"/>
      <c r="U48" s="47"/>
      <c r="V48" s="54" t="s">
        <v>51</v>
      </c>
      <c r="W48" s="54"/>
      <c r="X48" s="54"/>
      <c r="Y48" s="47"/>
      <c r="Z48" s="54" t="s">
        <v>52</v>
      </c>
      <c r="AA48" s="54"/>
      <c r="AB48" s="54"/>
      <c r="AC48" s="47"/>
    </row>
    <row r="49" spans="2:29" x14ac:dyDescent="0.2">
      <c r="B49" s="61" t="s">
        <v>2</v>
      </c>
      <c r="C49" s="62"/>
      <c r="D49" s="28"/>
      <c r="U49" s="48"/>
      <c r="V49" s="49"/>
      <c r="W49" s="49"/>
      <c r="X49" s="49"/>
      <c r="Y49" s="48"/>
      <c r="Z49" s="49"/>
      <c r="AA49" s="49"/>
      <c r="AB49" s="49"/>
      <c r="AC49" s="48"/>
    </row>
    <row r="50" spans="2:29" x14ac:dyDescent="0.2">
      <c r="B50" s="61" t="s">
        <v>4</v>
      </c>
      <c r="C50" s="62"/>
      <c r="D50" s="5"/>
      <c r="U50" s="47"/>
      <c r="V50" s="50" t="s">
        <v>53</v>
      </c>
      <c r="W50" s="47" t="s">
        <v>54</v>
      </c>
      <c r="X50" s="31">
        <v>700000</v>
      </c>
      <c r="Y50" s="47"/>
      <c r="Z50" s="50" t="s">
        <v>53</v>
      </c>
      <c r="AA50" s="47" t="s">
        <v>54</v>
      </c>
      <c r="AB50" s="31">
        <v>0</v>
      </c>
      <c r="AC50" s="47"/>
    </row>
    <row r="51" spans="2:29" x14ac:dyDescent="0.2">
      <c r="B51" s="63" t="s">
        <v>3</v>
      </c>
      <c r="C51" s="64"/>
      <c r="D51" s="7" t="e">
        <f>((PMT(D49/12,D50,D48)*D50)+D48)*(-1)</f>
        <v>#NUM!</v>
      </c>
      <c r="U51" s="48"/>
      <c r="V51" s="50" t="s">
        <v>55</v>
      </c>
      <c r="W51" s="47" t="s">
        <v>54</v>
      </c>
      <c r="X51" s="31"/>
      <c r="Y51" s="49"/>
      <c r="Z51" s="50" t="s">
        <v>56</v>
      </c>
      <c r="AA51" s="47" t="s">
        <v>54</v>
      </c>
      <c r="AB51" s="31">
        <v>0</v>
      </c>
      <c r="AC51" s="48"/>
    </row>
    <row r="52" spans="2:29" x14ac:dyDescent="0.2">
      <c r="B52" s="61" t="s">
        <v>9</v>
      </c>
      <c r="C52" s="62"/>
      <c r="D52" s="6" t="e">
        <f>PMT(D49/12,D50,D48,0)</f>
        <v>#NUM!</v>
      </c>
      <c r="U52" s="47"/>
      <c r="V52" s="50" t="s">
        <v>57</v>
      </c>
      <c r="W52" s="47" t="s">
        <v>54</v>
      </c>
      <c r="X52" s="32">
        <v>0.03</v>
      </c>
      <c r="Y52" s="51"/>
      <c r="Z52" s="50" t="s">
        <v>57</v>
      </c>
      <c r="AA52" s="47" t="s">
        <v>54</v>
      </c>
      <c r="AB52" s="32">
        <v>0</v>
      </c>
      <c r="AC52" s="47"/>
    </row>
    <row r="53" spans="2:29" x14ac:dyDescent="0.2">
      <c r="B53" s="61" t="s">
        <v>8</v>
      </c>
      <c r="C53" s="62"/>
      <c r="D53" s="22">
        <v>0</v>
      </c>
      <c r="U53" s="47"/>
      <c r="V53" s="50" t="s">
        <v>58</v>
      </c>
      <c r="W53" s="47" t="s">
        <v>54</v>
      </c>
      <c r="X53" s="33">
        <v>1</v>
      </c>
      <c r="Y53" s="52"/>
      <c r="Z53" s="50" t="s">
        <v>58</v>
      </c>
      <c r="AA53" s="47" t="s">
        <v>54</v>
      </c>
      <c r="AB53" s="33">
        <v>0</v>
      </c>
      <c r="AC53" s="47"/>
    </row>
    <row r="54" spans="2:29" x14ac:dyDescent="0.2">
      <c r="B54" s="61" t="s">
        <v>4</v>
      </c>
      <c r="C54" s="62"/>
      <c r="D54" s="5">
        <f>SUM(D50)</f>
        <v>0</v>
      </c>
      <c r="U54" s="47"/>
      <c r="W54" s="47"/>
      <c r="X54" s="34"/>
      <c r="Y54" s="52"/>
      <c r="AA54" s="47"/>
      <c r="AB54" s="34"/>
      <c r="AC54" s="47"/>
    </row>
    <row r="55" spans="2:29" x14ac:dyDescent="0.2">
      <c r="B55" s="63" t="s">
        <v>5</v>
      </c>
      <c r="C55" s="64"/>
      <c r="D55" s="7">
        <f>SUM(D53*D54)</f>
        <v>0</v>
      </c>
      <c r="U55" s="47"/>
      <c r="V55" s="50" t="s">
        <v>59</v>
      </c>
      <c r="W55" s="47" t="s">
        <v>54</v>
      </c>
      <c r="X55" s="53">
        <f>-FV(X52/12,X53*12,X51,X50)</f>
        <v>721291.1698394547</v>
      </c>
      <c r="Y55" s="52"/>
      <c r="Z55" s="50" t="s">
        <v>59</v>
      </c>
      <c r="AA55" s="47" t="s">
        <v>54</v>
      </c>
      <c r="AB55" s="53">
        <f>-FV(AB52,AB53,AB51,AB50)</f>
        <v>0</v>
      </c>
      <c r="AC55" s="47"/>
    </row>
    <row r="56" spans="2:29" x14ac:dyDescent="0.2">
      <c r="B56" s="63" t="s">
        <v>6</v>
      </c>
      <c r="C56" s="64"/>
      <c r="D56" s="7" t="e">
        <f>SUM(D55+D51)</f>
        <v>#NUM!</v>
      </c>
      <c r="U56" s="47"/>
      <c r="V56" s="50" t="s">
        <v>60</v>
      </c>
      <c r="W56" s="47" t="s">
        <v>54</v>
      </c>
      <c r="X56" s="53">
        <f>X50+X51*12*X53</f>
        <v>700000</v>
      </c>
      <c r="Y56" s="47"/>
      <c r="Z56" s="50" t="s">
        <v>60</v>
      </c>
      <c r="AA56" s="47" t="s">
        <v>54</v>
      </c>
      <c r="AB56" s="53">
        <f>AB50+AB51*AB53</f>
        <v>0</v>
      </c>
      <c r="AC56" s="47"/>
    </row>
    <row r="57" spans="2:29" x14ac:dyDescent="0.2">
      <c r="U57" s="47"/>
      <c r="V57" s="50" t="s">
        <v>61</v>
      </c>
      <c r="W57" s="47" t="s">
        <v>54</v>
      </c>
      <c r="X57" s="53">
        <f>X55-X56</f>
        <v>21291.169839454698</v>
      </c>
      <c r="Y57" s="52"/>
      <c r="Z57" s="50" t="s">
        <v>61</v>
      </c>
      <c r="AA57" s="47" t="s">
        <v>54</v>
      </c>
      <c r="AB57" s="53">
        <f>AB55-AB56</f>
        <v>0</v>
      </c>
      <c r="AC57" s="47"/>
    </row>
    <row r="58" spans="2:29" x14ac:dyDescent="0.2">
      <c r="T58" s="1"/>
      <c r="W58" s="36"/>
    </row>
    <row r="59" spans="2:29" x14ac:dyDescent="0.2">
      <c r="T59" s="1"/>
      <c r="W59" s="36"/>
    </row>
    <row r="60" spans="2:29" x14ac:dyDescent="0.2">
      <c r="T60" s="1"/>
      <c r="W60" s="36"/>
    </row>
    <row r="61" spans="2:29" x14ac:dyDescent="0.2">
      <c r="T61" s="1"/>
      <c r="W61" s="36"/>
    </row>
    <row r="62" spans="2:29" x14ac:dyDescent="0.2">
      <c r="T62" s="1"/>
      <c r="W62" s="36"/>
    </row>
    <row r="63" spans="2:29" x14ac:dyDescent="0.2">
      <c r="T63" s="1"/>
      <c r="W63" s="36"/>
    </row>
    <row r="64" spans="2:29" x14ac:dyDescent="0.2">
      <c r="T64" s="1"/>
      <c r="W64" s="36"/>
    </row>
    <row r="65" spans="20:23" x14ac:dyDescent="0.2">
      <c r="T65" s="1"/>
      <c r="W65" s="36"/>
    </row>
  </sheetData>
  <mergeCells count="89">
    <mergeCell ref="B29:C29"/>
    <mergeCell ref="B31:C31"/>
    <mergeCell ref="B32:C32"/>
    <mergeCell ref="B25:C25"/>
    <mergeCell ref="B30:C30"/>
    <mergeCell ref="B23:C23"/>
    <mergeCell ref="B24:C24"/>
    <mergeCell ref="B26:C26"/>
    <mergeCell ref="B27:C27"/>
    <mergeCell ref="B28:C28"/>
    <mergeCell ref="B16:C16"/>
    <mergeCell ref="B17:C17"/>
    <mergeCell ref="B19:C19"/>
    <mergeCell ref="B20:C20"/>
    <mergeCell ref="B22:C22"/>
    <mergeCell ref="B18:C18"/>
    <mergeCell ref="B21:C21"/>
    <mergeCell ref="B1:P1"/>
    <mergeCell ref="J35:K35"/>
    <mergeCell ref="J36:K36"/>
    <mergeCell ref="J37:K37"/>
    <mergeCell ref="J38:K38"/>
    <mergeCell ref="F5:G5"/>
    <mergeCell ref="F6:G6"/>
    <mergeCell ref="B10:C10"/>
    <mergeCell ref="B11:C11"/>
    <mergeCell ref="B8:C8"/>
    <mergeCell ref="F7:G7"/>
    <mergeCell ref="F8:G8"/>
    <mergeCell ref="N8:O8"/>
    <mergeCell ref="N37:O37"/>
    <mergeCell ref="N38:O38"/>
    <mergeCell ref="F37:G37"/>
    <mergeCell ref="N3:O3"/>
    <mergeCell ref="N35:O35"/>
    <mergeCell ref="B42:C42"/>
    <mergeCell ref="B37:C37"/>
    <mergeCell ref="B38:C38"/>
    <mergeCell ref="N39:O39"/>
    <mergeCell ref="B39:C39"/>
    <mergeCell ref="B40:C40"/>
    <mergeCell ref="F40:G40"/>
    <mergeCell ref="F41:G41"/>
    <mergeCell ref="F42:G42"/>
    <mergeCell ref="J39:K39"/>
    <mergeCell ref="F38:G38"/>
    <mergeCell ref="F39:G39"/>
    <mergeCell ref="B41:C41"/>
    <mergeCell ref="B36:C36"/>
    <mergeCell ref="B7:C7"/>
    <mergeCell ref="B9:C9"/>
    <mergeCell ref="F3:G3"/>
    <mergeCell ref="J43:K43"/>
    <mergeCell ref="B43:C43"/>
    <mergeCell ref="J3:K3"/>
    <mergeCell ref="F36:G36"/>
    <mergeCell ref="J7:K7"/>
    <mergeCell ref="J8:K8"/>
    <mergeCell ref="F35:G35"/>
    <mergeCell ref="B3:C3"/>
    <mergeCell ref="B5:C5"/>
    <mergeCell ref="B6:C6"/>
    <mergeCell ref="B35:C35"/>
    <mergeCell ref="F43:G43"/>
    <mergeCell ref="B15:C15"/>
    <mergeCell ref="N36:O36"/>
    <mergeCell ref="J5:K5"/>
    <mergeCell ref="J6:K6"/>
    <mergeCell ref="N5:O5"/>
    <mergeCell ref="N6:O6"/>
    <mergeCell ref="N7:O7"/>
    <mergeCell ref="B54:C54"/>
    <mergeCell ref="B55:C55"/>
    <mergeCell ref="B56:C56"/>
    <mergeCell ref="B48:C48"/>
    <mergeCell ref="B49:C49"/>
    <mergeCell ref="B50:C50"/>
    <mergeCell ref="B51:C51"/>
    <mergeCell ref="B52:C52"/>
    <mergeCell ref="N40:O40"/>
    <mergeCell ref="N41:O41"/>
    <mergeCell ref="N42:O42"/>
    <mergeCell ref="B53:C53"/>
    <mergeCell ref="B45:C45"/>
    <mergeCell ref="J40:K40"/>
    <mergeCell ref="J41:K41"/>
    <mergeCell ref="J42:K42"/>
    <mergeCell ref="B46:C46"/>
    <mergeCell ref="N43:O4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A9" sqref="A9"/>
    </sheetView>
  </sheetViews>
  <sheetFormatPr baseColWidth="10" defaultRowHeight="15.75" x14ac:dyDescent="0.25"/>
  <cols>
    <col min="1" max="1" width="11.42578125" style="60"/>
    <col min="2" max="2" width="64.140625" style="60" customWidth="1"/>
    <col min="3" max="3" width="15.85546875" style="60" customWidth="1"/>
    <col min="4" max="4" width="21.7109375" style="60" customWidth="1"/>
    <col min="5" max="16384" width="11.42578125" style="60"/>
  </cols>
  <sheetData>
    <row r="2" spans="1:4" x14ac:dyDescent="0.25">
      <c r="A2" s="60" t="s">
        <v>70</v>
      </c>
      <c r="D2" s="60" t="s">
        <v>69</v>
      </c>
    </row>
    <row r="3" spans="1:4" x14ac:dyDescent="0.25">
      <c r="B3" s="60" t="s">
        <v>65</v>
      </c>
    </row>
    <row r="4" spans="1:4" x14ac:dyDescent="0.25">
      <c r="B4" s="60" t="s">
        <v>66</v>
      </c>
    </row>
    <row r="6" spans="1:4" x14ac:dyDescent="0.25">
      <c r="B6" s="60" t="s">
        <v>67</v>
      </c>
    </row>
    <row r="7" spans="1:4" x14ac:dyDescent="0.25">
      <c r="B7" s="60" t="s">
        <v>68</v>
      </c>
    </row>
    <row r="9" spans="1:4" x14ac:dyDescent="0.25">
      <c r="B9" s="60" t="s">
        <v>71</v>
      </c>
    </row>
    <row r="10" spans="1:4" x14ac:dyDescent="0.25">
      <c r="B10" s="60" t="s">
        <v>72</v>
      </c>
    </row>
    <row r="12" spans="1:4" x14ac:dyDescent="0.25">
      <c r="B12" s="60" t="s">
        <v>71</v>
      </c>
    </row>
    <row r="13" spans="1:4" x14ac:dyDescent="0.25">
      <c r="B13" s="60" t="s">
        <v>72</v>
      </c>
    </row>
    <row r="15" spans="1:4" x14ac:dyDescent="0.25">
      <c r="B15" s="60" t="s">
        <v>71</v>
      </c>
    </row>
    <row r="16" spans="1:4" x14ac:dyDescent="0.25">
      <c r="B16" s="60" t="s">
        <v>72</v>
      </c>
    </row>
    <row r="18" spans="2:2" x14ac:dyDescent="0.25">
      <c r="B18" s="60" t="s">
        <v>71</v>
      </c>
    </row>
    <row r="19" spans="2:2" x14ac:dyDescent="0.25">
      <c r="B19" s="60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Windows</cp:lastModifiedBy>
  <cp:lastPrinted>2016-03-27T14:44:30Z</cp:lastPrinted>
  <dcterms:created xsi:type="dcterms:W3CDTF">2016-03-27T09:03:52Z</dcterms:created>
  <dcterms:modified xsi:type="dcterms:W3CDTF">2017-01-09T17:44:35Z</dcterms:modified>
</cp:coreProperties>
</file>