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30" windowWidth="20730" windowHeight="11760" activeTab="0"/>
  </bookViews>
  <sheets>
    <sheet name="Reglages" sheetId="1" r:id="rId1"/>
    <sheet name="usure saison" sheetId="2" r:id="rId2"/>
  </sheets>
  <definedNames>
    <definedName name="Météo">'Reglages'!$W$3:$W$4</definedName>
    <definedName name="_xlnm.Print_Area" localSheetId="0">'Reglages'!$CS$73:$EC$123</definedName>
  </definedNames>
  <calcPr fullCalcOnLoad="1"/>
</workbook>
</file>

<file path=xl/sharedStrings.xml><?xml version="1.0" encoding="utf-8"?>
<sst xmlns="http://schemas.openxmlformats.org/spreadsheetml/2006/main" count="1035" uniqueCount="306">
  <si>
    <t>Tour</t>
  </si>
  <si>
    <t>Liste 1</t>
  </si>
  <si>
    <t>Stop</t>
  </si>
  <si>
    <t>Aileron</t>
  </si>
  <si>
    <t>Liste 2</t>
  </si>
  <si>
    <t>Moteur</t>
  </si>
  <si>
    <t>Freins</t>
  </si>
  <si>
    <t>Boite de Vitesse</t>
  </si>
  <si>
    <t>Suspension</t>
  </si>
  <si>
    <t>Experience</t>
  </si>
  <si>
    <t>Marge Acceptation</t>
  </si>
  <si>
    <t>Connaisance Tech.</t>
  </si>
  <si>
    <t>REGLAGES GPRO</t>
  </si>
  <si>
    <t>REGLAGE OPTIMAL</t>
  </si>
  <si>
    <t>Aileron Avant :</t>
  </si>
  <si>
    <t>Aileron Arrière :</t>
  </si>
  <si>
    <t>Moteur :</t>
  </si>
  <si>
    <t>Freins :</t>
  </si>
  <si>
    <t>Boite de Vitesse :</t>
  </si>
  <si>
    <t>Suspension :</t>
  </si>
  <si>
    <t>REGLAGE vers le sec</t>
  </si>
  <si>
    <t>REGLAGE vers la pluie</t>
  </si>
  <si>
    <t>Ailerons</t>
  </si>
  <si>
    <t>Donne</t>
  </si>
  <si>
    <t>Min</t>
  </si>
  <si>
    <t>Max</t>
  </si>
  <si>
    <t>Moyenne</t>
  </si>
  <si>
    <t>T1</t>
  </si>
  <si>
    <t>T2</t>
  </si>
  <si>
    <t>T3</t>
  </si>
  <si>
    <t>T4</t>
  </si>
  <si>
    <t>T5</t>
  </si>
  <si>
    <t>T6</t>
  </si>
  <si>
    <t>T7</t>
  </si>
  <si>
    <t>T8</t>
  </si>
  <si>
    <t>Frein</t>
  </si>
  <si>
    <t>Boite</t>
  </si>
  <si>
    <t>Liste 3</t>
  </si>
  <si>
    <t>Buenos Aires</t>
  </si>
  <si>
    <t>Adelaide</t>
  </si>
  <si>
    <t>Melbourne</t>
  </si>
  <si>
    <t>A1-Ring</t>
  </si>
  <si>
    <t>Oesterreichring</t>
  </si>
  <si>
    <t>Sakhir</t>
  </si>
  <si>
    <t>Spa</t>
  </si>
  <si>
    <t>Zolder</t>
  </si>
  <si>
    <t>Brasilia</t>
  </si>
  <si>
    <t>Interlagos</t>
  </si>
  <si>
    <t>Montreal</t>
  </si>
  <si>
    <t>Shanghai</t>
  </si>
  <si>
    <t>Brno</t>
  </si>
  <si>
    <t>Ahvenisto</t>
  </si>
  <si>
    <t>Magny Cours</t>
  </si>
  <si>
    <t>Paul Ricard</t>
  </si>
  <si>
    <t>Hockenheim</t>
  </si>
  <si>
    <t>Nurburgring</t>
  </si>
  <si>
    <t>Serres</t>
  </si>
  <si>
    <t>Hungaroring</t>
  </si>
  <si>
    <t>Irungattukottai</t>
  </si>
  <si>
    <t>New Delhi</t>
  </si>
  <si>
    <t>Fiorano</t>
  </si>
  <si>
    <t>Monza</t>
  </si>
  <si>
    <t>Mugello</t>
  </si>
  <si>
    <t>Fuji</t>
  </si>
  <si>
    <t>Suzuka</t>
  </si>
  <si>
    <t>Kaunas</t>
  </si>
  <si>
    <t>Sepang</t>
  </si>
  <si>
    <t>Mexico City</t>
  </si>
  <si>
    <t>Monte Carlo</t>
  </si>
  <si>
    <t>Zandvoort</t>
  </si>
  <si>
    <t>Poznan</t>
  </si>
  <si>
    <t>Estoril</t>
  </si>
  <si>
    <t>Portimao</t>
  </si>
  <si>
    <t>Bucharest Ring</t>
  </si>
  <si>
    <t>Imola</t>
  </si>
  <si>
    <t>Singapore</t>
  </si>
  <si>
    <t>Slovakiaring</t>
  </si>
  <si>
    <t>Kyalami</t>
  </si>
  <si>
    <t>Yeongam</t>
  </si>
  <si>
    <t>Barcelona</t>
  </si>
  <si>
    <t>Jerez</t>
  </si>
  <si>
    <t>Valencia</t>
  </si>
  <si>
    <t>Anderstop</t>
  </si>
  <si>
    <t>Istanbul</t>
  </si>
  <si>
    <t>Yas Marina</t>
  </si>
  <si>
    <t>Brands Hatch</t>
  </si>
  <si>
    <t>Silverstone</t>
  </si>
  <si>
    <t>Austin</t>
  </si>
  <si>
    <t>Indianapolis</t>
  </si>
  <si>
    <t>Indianapolis Oval</t>
  </si>
  <si>
    <t>Laguna Seca</t>
  </si>
  <si>
    <t>avant</t>
  </si>
  <si>
    <t>arriere</t>
  </si>
  <si>
    <t>si &gt;0</t>
  </si>
  <si>
    <t>si &lt;0</t>
  </si>
  <si>
    <t>min</t>
  </si>
  <si>
    <t>max</t>
  </si>
  <si>
    <t>Avec Aileron</t>
  </si>
  <si>
    <t>Si les essais ont lieu sous la pluie et la course sur le sec</t>
  </si>
  <si>
    <t xml:space="preserve">Si les essais ont lieu sur le sec et la </t>
  </si>
  <si>
    <t>course sous la pluie</t>
  </si>
  <si>
    <t>Régalge par défaut</t>
  </si>
  <si>
    <t>Suspens.</t>
  </si>
  <si>
    <t>Réglage souhaité :</t>
  </si>
  <si>
    <t>Comment utilisé ce programme</t>
  </si>
  <si>
    <t>Préambule</t>
  </si>
  <si>
    <t>Ce programme est verouillé pour éviter de faire des erreurs de manipulations.</t>
  </si>
  <si>
    <t>Les données initiales de ce programme sont issue de notre partage de données.</t>
  </si>
  <si>
    <t>Astuces : Pour éviter de sytématiquement remettre à 0 le programme, il suffit de ne jamais l'enregistrer.</t>
  </si>
  <si>
    <t>Etape 1 :</t>
  </si>
  <si>
    <t>Choisir le circuit en cliquant dessus et en choisissant le circuit souhaité à l'aide de la liste déroulante.</t>
  </si>
  <si>
    <t>Remarquez que dans le cadre grisé juste en desous apparaît les réglages initiaux pour ce circuit.</t>
  </si>
  <si>
    <t>Vous pouvez si vous le souhaitez utiliser vos popres reglages initiaux, en les inscrivant dans les cases juste en desssous.</t>
  </si>
  <si>
    <t>Etape 2 :</t>
  </si>
  <si>
    <t>Renseignez tout d'abord dans les 2 cases noires l'expérience et les connaissances technique de votre pilote.</t>
  </si>
  <si>
    <t>Sa marge d'acceptation se calculera automatiquement</t>
  </si>
  <si>
    <t>Etape 3 :</t>
  </si>
  <si>
    <t>Dans le même temps vos réglages pour le tour 1 apparaissent dans la premiere ligne du tableau.</t>
  </si>
  <si>
    <t>Servez vous en pour faire votre premier tour d'essai libre. Et lancez votre tour,</t>
  </si>
  <si>
    <t>Reportez dans cette même ligne les commentaires du pilotes à l'aide des listes droulantes à coté du réglage</t>
  </si>
  <si>
    <t>Etape 4 :</t>
  </si>
  <si>
    <t>Au fur et à mesure que vous renseignez les commentaires, le programme vous propose les réglages pour le tour 2.</t>
  </si>
  <si>
    <t>Procédez de la même façon que pour le tour 1 et ainsi de suite pour chaque tour souhaité</t>
  </si>
  <si>
    <t>Etape 5 :</t>
  </si>
  <si>
    <t>Pour arreter les essais, il vous suffit de remplacer la mention "Tour X" par la mention "Stop X" (ou x et le nombre de tour) au tour suivant.</t>
  </si>
  <si>
    <t>Par exemple si vous ne voulez faire que 6 tours d'essai, il vous suffit de remplacer "Tour 7" par "Stop 7"</t>
  </si>
  <si>
    <t>La mention Stop signifie que vous ne souhaitez pas faire ce tour.</t>
  </si>
  <si>
    <t>Etape 6 :</t>
  </si>
  <si>
    <t>Les règlages optimaux se mettent automatiquement à jour. A noter que pour info j'ai inscrit le réglages avec les différences d'aileron pour ceux qui le souhaite.</t>
  </si>
  <si>
    <t>Les règlages vers le sec ou vers la pluie sont pour le cas d'un changement de condition entre les essais et la course.</t>
  </si>
  <si>
    <r>
      <t>REMARQUE :</t>
    </r>
    <r>
      <rPr>
        <sz val="10"/>
        <rFont val="Times New Roman"/>
        <family val="0"/>
      </rPr>
      <t xml:space="preserve"> Si vous souhaitez faire 8 tours d'essai, </t>
    </r>
    <r>
      <rPr>
        <b/>
        <i/>
        <u val="single"/>
        <sz val="10"/>
        <color indexed="10"/>
        <rFont val="Times New Roman"/>
        <family val="1"/>
      </rPr>
      <t>vous n'avez pas besoin de la mentions STOP.</t>
    </r>
  </si>
  <si>
    <r>
      <t xml:space="preserve">REMARQUE </t>
    </r>
    <r>
      <rPr>
        <sz val="10"/>
        <rFont val="Times New Roman"/>
        <family val="0"/>
      </rPr>
      <t>: pour plus de lisibilité, je n'ai mis qu'une fois "aileron", il va de soit que vous devez mettre ce réglage dans aileron avant et aileron arrière.</t>
    </r>
  </si>
  <si>
    <t>(+3) Je manque vraiment de beaucoup de vitesse dans les lignes droites</t>
  </si>
  <si>
    <t>(+3) Non non non ! Favoriser beaucoup plus les bas régimes</t>
  </si>
  <si>
    <t>(+3) s'il vous plait, déplacer l'équilibre beaucoup plus vers l'arriere</t>
  </si>
  <si>
    <t>(+3) S'il vous plait, mettez les rapports d'engrenages beaucoup plus bas</t>
  </si>
  <si>
    <t>(+3) La voiture est beaucoup trop rigide, abaissez la rigidité</t>
  </si>
  <si>
    <t>(+2) La voiture manque de vitesse dans les lignes droites</t>
  </si>
  <si>
    <t>(+2) Le régime moteur est trop élevé</t>
  </si>
  <si>
    <t>(+2) Je pense que l'efficacité des freins peut être meilleure si l'on déplace l'équilibre vers l'arrière</t>
  </si>
  <si>
    <t>(+2) Les rapports de boîte sont trop longs</t>
  </si>
  <si>
    <t>(+2) La rigidité de la suspension est trop élevée</t>
  </si>
  <si>
    <t>(+1) La voiture pourrait avoir un peu plus de vitesse dans les lignes droites</t>
  </si>
  <si>
    <t>(+1) Essayez de favoriser un peu plus les bas régimes</t>
  </si>
  <si>
    <t>(+1) Mettez l'équilibre un peu plus à l'arrière</t>
  </si>
  <si>
    <t>(+1) Je ne peux pas profiter de la puissance du moteur. Raccourcissez les rapports de boite</t>
  </si>
  <si>
    <t>(+1) La voiture est trop rigide. Baissez un peu la rigidité.</t>
  </si>
  <si>
    <t>(0) Je suis satisfait du réglages</t>
  </si>
  <si>
    <t>(-1) Je manque un peu d'adhérence dans les courbes</t>
  </si>
  <si>
    <t>(-1) Je ressens que je n'ai pas assez de puissance moteur dans les lignes droites</t>
  </si>
  <si>
    <t>(-1) Je voudrais avoir l'équilibre un peu plus à l'avant</t>
  </si>
  <si>
    <t>(-1) Je suis très souvent dans le rouge. Allongez un peu les rapports de boite</t>
  </si>
  <si>
    <t xml:space="preserve">(-1) Je pense qu'avec une suspension un peu plus rigide, je serai plus rapide </t>
  </si>
  <si>
    <t>(-2) La voiture est très instable dans de nombreux virages</t>
  </si>
  <si>
    <t>(-2) La puissance du moteur dans les lignes droites n'est pas suffisante</t>
  </si>
  <si>
    <t>(-2) Je pense que l'efficacité des freins peut être meilleure si l'on déplace l'équilibre vers l'avant</t>
  </si>
  <si>
    <t>(-2) Les rapports de boîte sont trop courts</t>
  </si>
  <si>
    <t>(-2) La rigidité de la suspension est trop faible</t>
  </si>
  <si>
    <t>(-3) Je ne peux pas conduire la voiture, elle n'a pas d'adhérence</t>
  </si>
  <si>
    <t>(-3) Vous devriez essayer de favoriser beaucoup plus les hauts régimes</t>
  </si>
  <si>
    <t>(-3) Je me sentirais beaucoup plus à l'aise avec l'équilibre vers l'avant</t>
  </si>
  <si>
    <t>(-3) On dirait que le moteur va exploser. Mettez un espace beaucoup plus élevé entre les vitesses</t>
  </si>
  <si>
    <t>(-3) la rigidité de la suspension devrait etre beaucoup plus eleve</t>
  </si>
  <si>
    <t>PRO uniquement</t>
  </si>
  <si>
    <t>Directeur Technique</t>
  </si>
  <si>
    <t>Expérience</t>
  </si>
  <si>
    <t>R&amp;D Mécanique</t>
  </si>
  <si>
    <t>R&amp;D Electronique</t>
  </si>
  <si>
    <t>R&amp;D Aéro</t>
  </si>
  <si>
    <t>DT</t>
  </si>
  <si>
    <t>aileron</t>
  </si>
  <si>
    <t>moteur</t>
  </si>
  <si>
    <t>frein</t>
  </si>
  <si>
    <t>boite</t>
  </si>
  <si>
    <t>suspension</t>
  </si>
  <si>
    <t>Marge</t>
  </si>
  <si>
    <t>tour</t>
  </si>
  <si>
    <t>lng</t>
  </si>
  <si>
    <t>usure</t>
  </si>
  <si>
    <t>conso</t>
  </si>
  <si>
    <t>moyen</t>
  </si>
  <si>
    <t>haute</t>
  </si>
  <si>
    <t>basse</t>
  </si>
  <si>
    <t>tres haute</t>
  </si>
  <si>
    <t>tres basse</t>
  </si>
  <si>
    <t>XT</t>
  </si>
  <si>
    <t>T</t>
  </si>
  <si>
    <t>M</t>
  </si>
  <si>
    <t>D</t>
  </si>
  <si>
    <t>P</t>
  </si>
  <si>
    <t>Tendre</t>
  </si>
  <si>
    <t>Extra
Tendre</t>
  </si>
  <si>
    <t>Medium</t>
  </si>
  <si>
    <t>Dur</t>
  </si>
  <si>
    <t>Pluie</t>
  </si>
  <si>
    <t>CT 0</t>
  </si>
  <si>
    <t>CT 10</t>
  </si>
  <si>
    <t>CT 20</t>
  </si>
  <si>
    <t>CT 30</t>
  </si>
  <si>
    <t>CT 40</t>
  </si>
  <si>
    <t>CT 60</t>
  </si>
  <si>
    <t>CT 80</t>
  </si>
  <si>
    <t>GP DE :</t>
  </si>
  <si>
    <t>Nombre  de
tour :</t>
  </si>
  <si>
    <t>Temperature :</t>
  </si>
  <si>
    <t xml:space="preserve">Humidité : </t>
  </si>
  <si>
    <t>CT :</t>
  </si>
  <si>
    <t>L</t>
  </si>
  <si>
    <t>Legende</t>
  </si>
  <si>
    <t>Pipereli</t>
  </si>
  <si>
    <t>Avonn</t>
  </si>
  <si>
    <t>Dunlop</t>
  </si>
  <si>
    <t>Yoko</t>
  </si>
  <si>
    <t>Km</t>
  </si>
  <si>
    <t>ecart</t>
  </si>
  <si>
    <t>conso pluie</t>
  </si>
  <si>
    <t>conso sec</t>
  </si>
  <si>
    <t>L/km</t>
  </si>
  <si>
    <t>TOTAL</t>
  </si>
  <si>
    <t>L/tour</t>
  </si>
  <si>
    <t>Conso</t>
  </si>
  <si>
    <t>SEC</t>
  </si>
  <si>
    <t>MOTEUR
LVL 1</t>
  </si>
  <si>
    <t>PLUIE</t>
  </si>
  <si>
    <t>MOTEUR
LVL 2</t>
  </si>
  <si>
    <t>MOTEUR
LVL 3</t>
  </si>
  <si>
    <t>MOTEUR
LVL 4</t>
  </si>
  <si>
    <t>MOTEUR
LVL 5</t>
  </si>
  <si>
    <t>MOTEUR
LVL 6</t>
  </si>
  <si>
    <t>MOTEUR
LVL 7</t>
  </si>
  <si>
    <t>PNEU</t>
  </si>
  <si>
    <t>ESSENCE</t>
  </si>
  <si>
    <t>Châssis</t>
  </si>
  <si>
    <t>Aileron Avant</t>
  </si>
  <si>
    <t>Aileron Arrière</t>
  </si>
  <si>
    <t>Fond Plat</t>
  </si>
  <si>
    <t>Pontons</t>
  </si>
  <si>
    <t>Refroidissement</t>
  </si>
  <si>
    <t>Boite de vitesse</t>
  </si>
  <si>
    <t>Electronique</t>
  </si>
  <si>
    <t>USURE</t>
  </si>
  <si>
    <t>cha</t>
  </si>
  <si>
    <t>Mot</t>
  </si>
  <si>
    <t>Aar</t>
  </si>
  <si>
    <t>A Av</t>
  </si>
  <si>
    <t>FP</t>
  </si>
  <si>
    <t>Pont</t>
  </si>
  <si>
    <t>Refro</t>
  </si>
  <si>
    <t>Susp</t>
  </si>
  <si>
    <t>Elec</t>
  </si>
  <si>
    <t>circuit</t>
  </si>
  <si>
    <t>coef ess</t>
  </si>
  <si>
    <t>MOTEUR</t>
  </si>
  <si>
    <t>Niveau</t>
  </si>
  <si>
    <t>Usure %</t>
  </si>
  <si>
    <t>Total Essence</t>
  </si>
  <si>
    <t>Litre/Tour</t>
  </si>
  <si>
    <t>Litre/Km</t>
  </si>
  <si>
    <t>Nombre de tour</t>
  </si>
  <si>
    <t>Essence</t>
  </si>
  <si>
    <t>km/L</t>
  </si>
  <si>
    <t>ELECTRONI</t>
  </si>
  <si>
    <t>Rafaelo Oval</t>
  </si>
  <si>
    <t>Sotchi</t>
  </si>
  <si>
    <t>Avus</t>
  </si>
  <si>
    <t>Bremgarten</t>
  </si>
  <si>
    <t>Sec</t>
  </si>
  <si>
    <t>Circuit</t>
  </si>
  <si>
    <t>AiMo sec</t>
  </si>
  <si>
    <t>Mot sec</t>
  </si>
  <si>
    <t>Freins sec</t>
  </si>
  <si>
    <t>BV sec</t>
  </si>
  <si>
    <t>Susp sec</t>
  </si>
  <si>
    <t>Ecart sec</t>
  </si>
  <si>
    <t>Compte sec</t>
  </si>
  <si>
    <t>AiMo pluie</t>
  </si>
  <si>
    <t>Mot pluie</t>
  </si>
  <si>
    <t>Freins pluie</t>
  </si>
  <si>
    <t>BV pluie</t>
  </si>
  <si>
    <t>Susp pluie</t>
  </si>
  <si>
    <t>Ecart pluie</t>
  </si>
  <si>
    <t>Compte pluie</t>
  </si>
  <si>
    <t>Anderstorp</t>
  </si>
  <si>
    <t>Rafaela Oval</t>
  </si>
  <si>
    <t>Sochi</t>
  </si>
  <si>
    <t>Essai Libre/Q1</t>
  </si>
  <si>
    <t>Météo</t>
  </si>
  <si>
    <t>Température</t>
  </si>
  <si>
    <t>Course</t>
  </si>
  <si>
    <t>Température Moy</t>
  </si>
  <si>
    <t>Nombre de donnée</t>
  </si>
  <si>
    <t>REGLAGE OPTIMAL Q1</t>
  </si>
  <si>
    <t>REGLAGE OPTIMAL Q2</t>
  </si>
  <si>
    <t>reglage ail</t>
  </si>
  <si>
    <t>Q1</t>
  </si>
  <si>
    <t>Q2</t>
  </si>
  <si>
    <t>Q3</t>
  </si>
  <si>
    <t>REGLAGE OPTIMAL Course</t>
  </si>
  <si>
    <t>compte</t>
  </si>
  <si>
    <t>CALCULATEUR D'ESSENCE SEC (uniquement)</t>
  </si>
  <si>
    <t>Chassis</t>
  </si>
  <si>
    <t>AilAv</t>
  </si>
  <si>
    <t>AilAr</t>
  </si>
  <si>
    <t>Refroid.</t>
  </si>
  <si>
    <t>Elect.</t>
  </si>
  <si>
    <t>USURE SAISON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</si>
</sst>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%"/>
    <numFmt numFmtId="170" formatCode="_-* #,##0.0\ _€_-;\-* #,##0.0\ _€_-;_-* &quot;-&quot;??\ _€_-;_-@_-"/>
    <numFmt numFmtId="171" formatCode="0.00000000"/>
    <numFmt numFmtId="172" formatCode="0.0000000"/>
    <numFmt numFmtId="173" formatCode="0.0000000000"/>
    <numFmt numFmtId="174" formatCode="0.000000000"/>
  </numFmts>
  <fonts count="60">
    <font>
      <sz val="10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2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12"/>
      <name val="Times New Roman"/>
      <family val="1"/>
    </font>
    <font>
      <i/>
      <sz val="8"/>
      <color indexed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28"/>
      <name val="Times New Roman"/>
      <family val="1"/>
    </font>
    <font>
      <b/>
      <sz val="14"/>
      <color indexed="10"/>
      <name val="Times New Roman"/>
      <family val="1"/>
    </font>
    <font>
      <sz val="7"/>
      <color indexed="10"/>
      <name val="Times New Roman"/>
      <family val="1"/>
    </font>
    <font>
      <b/>
      <i/>
      <u val="single"/>
      <sz val="18"/>
      <name val="Times New Roman"/>
      <family val="1"/>
    </font>
    <font>
      <i/>
      <sz val="10"/>
      <name val="Times New Roman"/>
      <family val="1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i/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6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1" fontId="0" fillId="34" borderId="12" xfId="0" applyNumberForma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0" fillId="0" borderId="12" xfId="0" applyNumberForma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1" fontId="6" fillId="35" borderId="15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left"/>
      <protection hidden="1"/>
    </xf>
    <xf numFmtId="0" fontId="0" fillId="35" borderId="14" xfId="0" applyFill="1" applyBorder="1" applyAlignment="1" applyProtection="1">
      <alignment horizontal="center"/>
      <protection hidden="1"/>
    </xf>
    <xf numFmtId="1" fontId="6" fillId="35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15" fillId="0" borderId="17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17" xfId="0" applyFont="1" applyFill="1" applyBorder="1" applyAlignment="1" applyProtection="1">
      <alignment horizontal="left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34" borderId="20" xfId="0" applyFill="1" applyBorder="1" applyAlignment="1" applyProtection="1">
      <alignment horizontal="center"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1" fontId="0" fillId="34" borderId="0" xfId="0" applyNumberFormat="1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1" fontId="0" fillId="34" borderId="13" xfId="0" applyNumberForma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4" borderId="15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center"/>
      <protection hidden="1"/>
    </xf>
    <xf numFmtId="0" fontId="9" fillId="34" borderId="15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7" fillId="36" borderId="21" xfId="0" applyFont="1" applyFill="1" applyBorder="1" applyAlignment="1" applyProtection="1">
      <alignment horizontal="center" vertical="center"/>
      <protection hidden="1"/>
    </xf>
    <xf numFmtId="0" fontId="17" fillId="35" borderId="22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6" fillId="36" borderId="23" xfId="0" applyFont="1" applyFill="1" applyBorder="1" applyAlignment="1" applyProtection="1">
      <alignment horizontal="center" vertical="center"/>
      <protection hidden="1"/>
    </xf>
    <xf numFmtId="0" fontId="19" fillId="37" borderId="24" xfId="0" applyFont="1" applyFill="1" applyBorder="1" applyAlignment="1" applyProtection="1">
      <alignment horizontal="center" vertical="center"/>
      <protection hidden="1"/>
    </xf>
    <xf numFmtId="0" fontId="16" fillId="37" borderId="25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9" fillId="36" borderId="21" xfId="0" applyFont="1" applyFill="1" applyBorder="1" applyAlignment="1" applyProtection="1">
      <alignment horizontal="center" vertical="center"/>
      <protection hidden="1"/>
    </xf>
    <xf numFmtId="0" fontId="16" fillId="35" borderId="26" xfId="0" applyFont="1" applyFill="1" applyBorder="1" applyAlignment="1" applyProtection="1">
      <alignment horizontal="center" vertical="center"/>
      <protection hidden="1"/>
    </xf>
    <xf numFmtId="0" fontId="19" fillId="38" borderId="27" xfId="0" applyFont="1" applyFill="1" applyBorder="1" applyAlignment="1" applyProtection="1">
      <alignment horizontal="center" vertical="center"/>
      <protection hidden="1"/>
    </xf>
    <xf numFmtId="0" fontId="16" fillId="38" borderId="28" xfId="0" applyFont="1" applyFill="1" applyBorder="1" applyAlignment="1" applyProtection="1">
      <alignment horizontal="center" vertical="center"/>
      <protection hidden="1"/>
    </xf>
    <xf numFmtId="0" fontId="19" fillId="35" borderId="22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1" fontId="21" fillId="0" borderId="0" xfId="0" applyNumberFormat="1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2" fontId="24" fillId="0" borderId="0" xfId="0" applyNumberFormat="1" applyFont="1" applyAlignment="1" applyProtection="1">
      <alignment horizontal="center"/>
      <protection hidden="1"/>
    </xf>
    <xf numFmtId="0" fontId="9" fillId="0" borderId="34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38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1" fontId="9" fillId="0" borderId="38" xfId="0" applyNumberFormat="1" applyFont="1" applyBorder="1" applyAlignment="1" applyProtection="1">
      <alignment horizontal="center"/>
      <protection hidden="1"/>
    </xf>
    <xf numFmtId="1" fontId="9" fillId="0" borderId="38" xfId="0" applyNumberFormat="1" applyFont="1" applyBorder="1" applyAlignment="1" applyProtection="1">
      <alignment/>
      <protection hidden="1"/>
    </xf>
    <xf numFmtId="0" fontId="9" fillId="0" borderId="24" xfId="0" applyFont="1" applyBorder="1" applyAlignment="1" applyProtection="1">
      <alignment/>
      <protection hidden="1"/>
    </xf>
    <xf numFmtId="1" fontId="9" fillId="0" borderId="39" xfId="0" applyNumberFormat="1" applyFont="1" applyBorder="1" applyAlignment="1" applyProtection="1">
      <alignment/>
      <protection hidden="1"/>
    </xf>
    <xf numFmtId="0" fontId="9" fillId="0" borderId="39" xfId="0" applyFont="1" applyBorder="1" applyAlignment="1" applyProtection="1">
      <alignment/>
      <protection hidden="1"/>
    </xf>
    <xf numFmtId="1" fontId="9" fillId="0" borderId="23" xfId="0" applyNumberFormat="1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166" fontId="24" fillId="0" borderId="0" xfId="0" applyNumberFormat="1" applyFont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5" xfId="0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1" fontId="2" fillId="34" borderId="0" xfId="0" applyNumberFormat="1" applyFont="1" applyFill="1" applyAlignment="1" applyProtection="1">
      <alignment horizontal="center"/>
      <protection hidden="1"/>
    </xf>
    <xf numFmtId="1" fontId="12" fillId="34" borderId="0" xfId="0" applyNumberFormat="1" applyFont="1" applyFill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center"/>
      <protection hidden="1"/>
    </xf>
    <xf numFmtId="1" fontId="41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26" fillId="0" borderId="25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59" fillId="0" borderId="20" xfId="0" applyFont="1" applyBorder="1" applyAlignment="1" applyProtection="1">
      <alignment horizontal="center"/>
      <protection hidden="1"/>
    </xf>
    <xf numFmtId="0" fontId="2" fillId="39" borderId="40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2" fillId="40" borderId="20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40" borderId="40" xfId="0" applyFont="1" applyFill="1" applyBorder="1" applyAlignment="1" applyProtection="1">
      <alignment horizontal="center"/>
      <protection hidden="1"/>
    </xf>
    <xf numFmtId="169" fontId="23" fillId="0" borderId="12" xfId="0" applyNumberFormat="1" applyFont="1" applyBorder="1" applyAlignment="1" applyProtection="1">
      <alignment horizontal="center" vertical="center"/>
      <protection hidden="1"/>
    </xf>
    <xf numFmtId="169" fontId="23" fillId="0" borderId="0" xfId="0" applyNumberFormat="1" applyFont="1" applyBorder="1" applyAlignment="1" applyProtection="1">
      <alignment horizontal="center" vertical="center"/>
      <protection hidden="1"/>
    </xf>
    <xf numFmtId="169" fontId="23" fillId="0" borderId="15" xfId="0" applyNumberFormat="1" applyFont="1" applyBorder="1" applyAlignment="1" applyProtection="1">
      <alignment horizontal="center" vertical="center"/>
      <protection hidden="1"/>
    </xf>
    <xf numFmtId="169" fontId="23" fillId="0" borderId="14" xfId="0" applyNumberFormat="1" applyFont="1" applyBorder="1" applyAlignment="1" applyProtection="1">
      <alignment horizontal="center" vertical="center"/>
      <protection hidden="1"/>
    </xf>
    <xf numFmtId="169" fontId="23" fillId="0" borderId="13" xfId="0" applyNumberFormat="1" applyFont="1" applyBorder="1" applyAlignment="1" applyProtection="1">
      <alignment horizontal="center" vertical="center"/>
      <protection hidden="1"/>
    </xf>
    <xf numFmtId="169" fontId="23" fillId="0" borderId="16" xfId="0" applyNumberFormat="1" applyFont="1" applyBorder="1" applyAlignment="1" applyProtection="1">
      <alignment horizontal="center" vertical="center"/>
      <protection hidden="1"/>
    </xf>
    <xf numFmtId="0" fontId="22" fillId="0" borderId="46" xfId="0" applyFont="1" applyBorder="1" applyAlignment="1" applyProtection="1">
      <alignment horizontal="center" vertical="center" textRotation="90"/>
      <protection hidden="1"/>
    </xf>
    <xf numFmtId="0" fontId="22" fillId="0" borderId="47" xfId="0" applyFont="1" applyBorder="1" applyAlignment="1" applyProtection="1">
      <alignment horizontal="center" vertical="center" textRotation="90"/>
      <protection hidden="1"/>
    </xf>
    <xf numFmtId="0" fontId="22" fillId="0" borderId="48" xfId="0" applyFont="1" applyBorder="1" applyAlignment="1" applyProtection="1">
      <alignment horizontal="center" vertical="center" textRotation="90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6" fillId="0" borderId="18" xfId="0" applyNumberFormat="1" applyFont="1" applyBorder="1" applyAlignment="1" applyProtection="1">
      <alignment horizontal="center" vertical="center"/>
      <protection hidden="1"/>
    </xf>
    <xf numFmtId="1" fontId="6" fillId="0" borderId="19" xfId="0" applyNumberFormat="1" applyFont="1" applyBorder="1" applyAlignment="1" applyProtection="1">
      <alignment horizontal="center" vertical="center"/>
      <protection hidden="1"/>
    </xf>
    <xf numFmtId="0" fontId="18" fillId="34" borderId="34" xfId="0" applyFont="1" applyFill="1" applyBorder="1" applyAlignment="1" applyProtection="1">
      <alignment horizontal="center" vertical="center"/>
      <protection hidden="1"/>
    </xf>
    <xf numFmtId="0" fontId="18" fillId="34" borderId="35" xfId="0" applyFont="1" applyFill="1" applyBorder="1" applyAlignment="1" applyProtection="1">
      <alignment horizontal="center" vertical="center"/>
      <protection hidden="1"/>
    </xf>
    <xf numFmtId="0" fontId="18" fillId="34" borderId="24" xfId="0" applyFont="1" applyFill="1" applyBorder="1" applyAlignment="1" applyProtection="1">
      <alignment horizontal="center" vertical="center"/>
      <protection hidden="1"/>
    </xf>
    <xf numFmtId="0" fontId="18" fillId="34" borderId="39" xfId="0" applyFont="1" applyFill="1" applyBorder="1" applyAlignment="1" applyProtection="1">
      <alignment horizontal="center" vertical="center"/>
      <protection hidden="1"/>
    </xf>
    <xf numFmtId="0" fontId="18" fillId="34" borderId="36" xfId="0" applyFont="1" applyFill="1" applyBorder="1" applyAlignment="1" applyProtection="1">
      <alignment horizontal="center" vertical="center"/>
      <protection hidden="1"/>
    </xf>
    <xf numFmtId="0" fontId="18" fillId="34" borderId="23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4" fillId="41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7" fillId="35" borderId="20" xfId="0" applyFont="1" applyFill="1" applyBorder="1" applyAlignment="1" applyProtection="1">
      <alignment horizontal="center"/>
      <protection hidden="1"/>
    </xf>
    <xf numFmtId="0" fontId="7" fillId="35" borderId="4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17" fillId="36" borderId="49" xfId="0" applyFont="1" applyFill="1" applyBorder="1" applyAlignment="1" applyProtection="1">
      <alignment horizontal="center" vertical="center"/>
      <protection hidden="1"/>
    </xf>
    <xf numFmtId="0" fontId="17" fillId="36" borderId="50" xfId="0" applyFont="1" applyFill="1" applyBorder="1" applyAlignment="1" applyProtection="1">
      <alignment horizontal="center" vertical="center"/>
      <protection hidden="1"/>
    </xf>
    <xf numFmtId="0" fontId="17" fillId="37" borderId="51" xfId="0" applyFont="1" applyFill="1" applyBorder="1" applyAlignment="1" applyProtection="1">
      <alignment horizontal="center" vertical="center"/>
      <protection hidden="1"/>
    </xf>
    <xf numFmtId="0" fontId="17" fillId="37" borderId="52" xfId="0" applyFont="1" applyFill="1" applyBorder="1" applyAlignment="1" applyProtection="1">
      <alignment horizontal="center" vertical="center"/>
      <protection hidden="1"/>
    </xf>
    <xf numFmtId="0" fontId="17" fillId="35" borderId="22" xfId="0" applyFont="1" applyFill="1" applyBorder="1" applyAlignment="1" applyProtection="1">
      <alignment horizontal="center" vertical="center"/>
      <protection hidden="1"/>
    </xf>
    <xf numFmtId="0" fontId="17" fillId="35" borderId="26" xfId="0" applyFont="1" applyFill="1" applyBorder="1" applyAlignment="1" applyProtection="1">
      <alignment horizontal="center" vertical="center"/>
      <protection hidden="1"/>
    </xf>
    <xf numFmtId="0" fontId="17" fillId="38" borderId="27" xfId="0" applyFont="1" applyFill="1" applyBorder="1" applyAlignment="1" applyProtection="1">
      <alignment horizontal="center" vertical="center"/>
      <protection hidden="1"/>
    </xf>
    <xf numFmtId="0" fontId="17" fillId="38" borderId="28" xfId="0" applyFont="1" applyFill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43" fontId="0" fillId="42" borderId="54" xfId="45" applyFont="1" applyFill="1" applyBorder="1" applyAlignment="1" applyProtection="1">
      <alignment horizontal="center"/>
      <protection hidden="1"/>
    </xf>
    <xf numFmtId="43" fontId="0" fillId="42" borderId="16" xfId="45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43" borderId="55" xfId="0" applyFont="1" applyFill="1" applyBorder="1" applyAlignment="1" applyProtection="1">
      <alignment horizontal="center"/>
      <protection hidden="1"/>
    </xf>
    <xf numFmtId="0" fontId="2" fillId="43" borderId="36" xfId="0" applyFont="1" applyFill="1" applyBorder="1" applyAlignment="1" applyProtection="1">
      <alignment horizontal="center"/>
      <protection hidden="1"/>
    </xf>
    <xf numFmtId="0" fontId="2" fillId="42" borderId="34" xfId="0" applyFont="1" applyFill="1" applyBorder="1" applyAlignment="1" applyProtection="1">
      <alignment horizontal="center"/>
      <protection hidden="1"/>
    </xf>
    <xf numFmtId="0" fontId="2" fillId="42" borderId="56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2" fontId="0" fillId="43" borderId="14" xfId="0" applyNumberFormat="1" applyFill="1" applyBorder="1" applyAlignment="1" applyProtection="1">
      <alignment horizontal="center"/>
      <protection hidden="1"/>
    </xf>
    <xf numFmtId="0" fontId="0" fillId="43" borderId="57" xfId="0" applyFill="1" applyBorder="1" applyAlignment="1" applyProtection="1">
      <alignment horizontal="center"/>
      <protection hidden="1"/>
    </xf>
    <xf numFmtId="2" fontId="0" fillId="42" borderId="54" xfId="0" applyNumberFormat="1" applyFill="1" applyBorder="1" applyAlignment="1" applyProtection="1">
      <alignment horizontal="center"/>
      <protection hidden="1"/>
    </xf>
    <xf numFmtId="2" fontId="0" fillId="42" borderId="16" xfId="0" applyNumberFormat="1" applyFill="1" applyBorder="1" applyAlignment="1" applyProtection="1">
      <alignment horizontal="center"/>
      <protection hidden="1"/>
    </xf>
    <xf numFmtId="1" fontId="6" fillId="0" borderId="21" xfId="0" applyNumberFormat="1" applyFont="1" applyBorder="1" applyAlignment="1" applyProtection="1">
      <alignment horizontal="center"/>
      <protection hidden="1"/>
    </xf>
    <xf numFmtId="1" fontId="6" fillId="0" borderId="39" xfId="0" applyNumberFormat="1" applyFont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166" fontId="6" fillId="0" borderId="18" xfId="0" applyNumberFormat="1" applyFont="1" applyBorder="1" applyAlignment="1" applyProtection="1">
      <alignment horizontal="center"/>
      <protection hidden="1"/>
    </xf>
    <xf numFmtId="166" fontId="6" fillId="0" borderId="19" xfId="0" applyNumberFormat="1" applyFont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57" fillId="44" borderId="14" xfId="0" applyNumberFormat="1" applyFont="1" applyFill="1" applyBorder="1" applyAlignment="1" applyProtection="1">
      <alignment horizontal="center"/>
      <protection hidden="1"/>
    </xf>
    <xf numFmtId="2" fontId="57" fillId="44" borderId="16" xfId="0" applyNumberFormat="1" applyFont="1" applyFill="1" applyBorder="1" applyAlignment="1" applyProtection="1">
      <alignment horizontal="center"/>
      <protection hidden="1"/>
    </xf>
    <xf numFmtId="0" fontId="57" fillId="44" borderId="16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 locked="0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6" fillId="0" borderId="40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C184"/>
  <sheetViews>
    <sheetView showGridLines="0" tabSelected="1" zoomScalePageLayoutView="0" workbookViewId="0" topLeftCell="A1">
      <selection activeCell="M96" sqref="M96"/>
    </sheetView>
  </sheetViews>
  <sheetFormatPr defaultColWidth="12" defaultRowHeight="12.75"/>
  <cols>
    <col min="1" max="1" width="2.83203125" style="5" customWidth="1"/>
    <col min="2" max="2" width="6.66015625" style="5" customWidth="1"/>
    <col min="3" max="3" width="4.16015625" style="5" customWidth="1"/>
    <col min="4" max="4" width="7.83203125" style="5" customWidth="1"/>
    <col min="5" max="5" width="20.83203125" style="5" customWidth="1"/>
    <col min="6" max="6" width="7.83203125" style="5" customWidth="1"/>
    <col min="7" max="7" width="20.83203125" style="5" customWidth="1"/>
    <col min="8" max="8" width="7.83203125" style="5" customWidth="1"/>
    <col min="9" max="9" width="20.83203125" style="5" customWidth="1"/>
    <col min="10" max="10" width="7.83203125" style="5" customWidth="1"/>
    <col min="11" max="11" width="20.83203125" style="5" customWidth="1"/>
    <col min="12" max="12" width="7.83203125" style="5" customWidth="1"/>
    <col min="13" max="13" width="20.83203125" style="5" customWidth="1"/>
    <col min="14" max="14" width="7.83203125" style="5" customWidth="1"/>
    <col min="15" max="15" width="5.83203125" style="4" customWidth="1"/>
    <col min="16" max="95" width="5.83203125" style="4" hidden="1" customWidth="1"/>
    <col min="96" max="96" width="5.83203125" style="4" customWidth="1"/>
    <col min="97" max="98" width="12" style="5" customWidth="1"/>
    <col min="99" max="102" width="4.33203125" style="5" customWidth="1"/>
    <col min="103" max="103" width="1.83203125" style="5" customWidth="1"/>
    <col min="104" max="107" width="4.33203125" style="5" customWidth="1"/>
    <col min="108" max="108" width="1.83203125" style="5" customWidth="1"/>
    <col min="109" max="112" width="4.33203125" style="5" customWidth="1"/>
    <col min="113" max="113" width="1.83203125" style="5" customWidth="1"/>
    <col min="114" max="117" width="4.33203125" style="5" customWidth="1"/>
    <col min="118" max="118" width="1.83203125" style="5" customWidth="1"/>
    <col min="119" max="122" width="4.33203125" style="5" customWidth="1"/>
    <col min="123" max="123" width="1.83203125" style="5" customWidth="1"/>
    <col min="124" max="127" width="4.33203125" style="5" customWidth="1"/>
    <col min="128" max="128" width="1.83203125" style="5" customWidth="1"/>
    <col min="129" max="134" width="4.33203125" style="5" customWidth="1"/>
    <col min="135" max="16384" width="12" style="5" customWidth="1"/>
  </cols>
  <sheetData>
    <row r="1" spans="64:77" ht="12" customHeight="1">
      <c r="BL1" s="214" t="s">
        <v>215</v>
      </c>
      <c r="BM1" s="214"/>
      <c r="BN1" s="214"/>
      <c r="BO1" s="214"/>
      <c r="BP1" s="214"/>
      <c r="BQ1" s="214"/>
      <c r="BR1" s="214"/>
      <c r="BS1" s="214" t="s">
        <v>216</v>
      </c>
      <c r="BT1" s="214"/>
      <c r="BU1" s="214"/>
      <c r="BV1" s="214"/>
      <c r="BW1" s="214"/>
      <c r="BX1" s="214"/>
      <c r="BY1" s="214"/>
    </row>
    <row r="2" spans="2:115" ht="12" customHeight="1" hidden="1">
      <c r="B2" s="172" t="s">
        <v>12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P2" s="4" t="s">
        <v>1</v>
      </c>
      <c r="Q2" s="4" t="s">
        <v>4</v>
      </c>
      <c r="W2" s="4" t="s">
        <v>37</v>
      </c>
      <c r="AT2" s="4" t="s">
        <v>37</v>
      </c>
      <c r="AU2" s="4" t="s">
        <v>3</v>
      </c>
      <c r="AV2" s="4" t="s">
        <v>5</v>
      </c>
      <c r="AW2" s="4" t="s">
        <v>35</v>
      </c>
      <c r="AX2" s="4" t="s">
        <v>36</v>
      </c>
      <c r="AY2" s="4" t="s">
        <v>8</v>
      </c>
      <c r="AZ2" s="4" t="s">
        <v>91</v>
      </c>
      <c r="BA2" s="4" t="s">
        <v>92</v>
      </c>
      <c r="BB2" s="4" t="s">
        <v>176</v>
      </c>
      <c r="BC2" s="4" t="s">
        <v>177</v>
      </c>
      <c r="BD2" s="4" t="s">
        <v>178</v>
      </c>
      <c r="BE2" s="4" t="s">
        <v>179</v>
      </c>
      <c r="BF2" s="4" t="s">
        <v>185</v>
      </c>
      <c r="BG2" s="4" t="s">
        <v>186</v>
      </c>
      <c r="BH2" s="4" t="s">
        <v>187</v>
      </c>
      <c r="BI2" s="4" t="s">
        <v>188</v>
      </c>
      <c r="BJ2" s="4" t="s">
        <v>189</v>
      </c>
      <c r="BK2" s="4" t="s">
        <v>214</v>
      </c>
      <c r="BL2" s="4">
        <v>1</v>
      </c>
      <c r="BM2" s="4">
        <v>2</v>
      </c>
      <c r="BN2" s="4">
        <v>3</v>
      </c>
      <c r="BO2" s="4">
        <v>4</v>
      </c>
      <c r="BP2" s="4">
        <v>5</v>
      </c>
      <c r="BQ2" s="4">
        <v>6</v>
      </c>
      <c r="BR2" s="4">
        <v>7</v>
      </c>
      <c r="BS2" s="4">
        <v>1</v>
      </c>
      <c r="BT2" s="4">
        <v>2</v>
      </c>
      <c r="BU2" s="4">
        <v>3</v>
      </c>
      <c r="BV2" s="4">
        <v>4</v>
      </c>
      <c r="BW2" s="4">
        <v>5</v>
      </c>
      <c r="BX2" s="4">
        <v>6</v>
      </c>
      <c r="BY2" s="4">
        <v>7</v>
      </c>
      <c r="BZ2" s="4" t="s">
        <v>250</v>
      </c>
      <c r="CA2" s="4" t="s">
        <v>241</v>
      </c>
      <c r="CB2" s="4" t="s">
        <v>242</v>
      </c>
      <c r="CC2" s="4" t="s">
        <v>244</v>
      </c>
      <c r="CD2" s="4" t="s">
        <v>243</v>
      </c>
      <c r="CE2" s="4" t="s">
        <v>245</v>
      </c>
      <c r="CF2" s="4" t="s">
        <v>246</v>
      </c>
      <c r="CG2" s="4" t="s">
        <v>247</v>
      </c>
      <c r="CH2" s="4" t="s">
        <v>36</v>
      </c>
      <c r="CI2" s="4" t="s">
        <v>35</v>
      </c>
      <c r="CJ2" s="4" t="s">
        <v>248</v>
      </c>
      <c r="CK2" s="4" t="s">
        <v>249</v>
      </c>
      <c r="CL2" s="4" t="s">
        <v>251</v>
      </c>
      <c r="CM2" s="4" t="s">
        <v>179</v>
      </c>
      <c r="CN2" s="4" t="s">
        <v>298</v>
      </c>
      <c r="CT2" s="4" t="s">
        <v>250</v>
      </c>
      <c r="CU2" s="5" t="s">
        <v>267</v>
      </c>
      <c r="CV2" s="5" t="s">
        <v>268</v>
      </c>
      <c r="CW2" s="5" t="s">
        <v>269</v>
      </c>
      <c r="CX2" s="5" t="s">
        <v>270</v>
      </c>
      <c r="CY2" s="5" t="s">
        <v>271</v>
      </c>
      <c r="CZ2" s="5" t="s">
        <v>272</v>
      </c>
      <c r="DA2" s="5" t="s">
        <v>273</v>
      </c>
      <c r="DB2" s="5" t="s">
        <v>274</v>
      </c>
      <c r="DC2" s="5" t="s">
        <v>275</v>
      </c>
      <c r="DD2" s="5" t="s">
        <v>276</v>
      </c>
      <c r="DE2" s="5" t="s">
        <v>277</v>
      </c>
      <c r="DF2" s="5" t="s">
        <v>278</v>
      </c>
      <c r="DG2" s="5" t="s">
        <v>279</v>
      </c>
      <c r="DH2" s="5" t="s">
        <v>280</v>
      </c>
      <c r="DI2" s="5" t="s">
        <v>281</v>
      </c>
      <c r="DK2" s="4" t="s">
        <v>250</v>
      </c>
    </row>
    <row r="3" spans="2:129" ht="12" customHeight="1" hidden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P3" s="4" t="s">
        <v>0</v>
      </c>
      <c r="Q3" s="87" t="s">
        <v>132</v>
      </c>
      <c r="R3" s="87" t="s">
        <v>133</v>
      </c>
      <c r="S3" s="87" t="s">
        <v>134</v>
      </c>
      <c r="T3" s="87" t="s">
        <v>135</v>
      </c>
      <c r="U3" s="87" t="s">
        <v>136</v>
      </c>
      <c r="V3" s="87">
        <v>3</v>
      </c>
      <c r="W3" s="4" t="s">
        <v>194</v>
      </c>
      <c r="AT3" s="4" t="s">
        <v>41</v>
      </c>
      <c r="AU3" s="125">
        <f>IF($N$82="Sec",CV3,IF(DC3=0,IF($N$83=0,CV3+90,(CV3+((-3.898*$N$83)+202.5))),DC3))</f>
        <v>393</v>
      </c>
      <c r="AV3" s="125">
        <f>IF($N$82="Sec",CW3,IF(DD3=0,IF($N$83=0,CW3-80,(CW3+((4.844*$N$83)-225.2))),DD3))</f>
        <v>841</v>
      </c>
      <c r="AW3" s="125">
        <f>IF($N$82="Sec",CX3,IF(DE3=0,IF($N$83=0,CX3+40,(CX3+((-0.877*$N$83)+84.14))),DE3))</f>
        <v>692</v>
      </c>
      <c r="AX3" s="125">
        <f>IF($N$82="Sec",CY3,IF(DF3=0,IF($N$83=0,CY3-80,(CY3+((-3.502*$N$83)-45.02))),DF3))</f>
        <v>685</v>
      </c>
      <c r="AY3" s="125">
        <f>IF($N$82="Sec",CZ3,IF(DG3=0,IF($N$83=0,CZ3-100,(CZ3+((4.907*$N$83)-240.6))),DG3))</f>
        <v>590</v>
      </c>
      <c r="AZ3" s="125">
        <f aca="true" t="shared" si="0" ref="AZ3:AZ41">IF($N$82="Sec",IF(ABS(DA3/2)&gt;0,DA3/2,-(DA3/2)),IF(ISBLANK(DH3),IF(ABS(DA3/2)&gt;0,DA3/2,-(DA3/2)),IF(ABS(DH3/2)&gt;0,-(DH3/2),(DH3/2))))</f>
        <v>34.5</v>
      </c>
      <c r="BA3" s="125">
        <f>-(AZ3)</f>
        <v>-34.5</v>
      </c>
      <c r="BB3" s="4">
        <v>71</v>
      </c>
      <c r="BC3" s="4">
        <v>4.325</v>
      </c>
      <c r="BD3" s="4" t="s">
        <v>180</v>
      </c>
      <c r="BE3" s="4" t="s">
        <v>181</v>
      </c>
      <c r="BF3" s="4">
        <v>120</v>
      </c>
      <c r="BG3" s="4">
        <v>161</v>
      </c>
      <c r="BH3" s="4">
        <v>202</v>
      </c>
      <c r="BI3" s="4">
        <v>243</v>
      </c>
      <c r="BJ3" s="4">
        <v>279</v>
      </c>
      <c r="BK3" s="4">
        <v>41</v>
      </c>
      <c r="BL3" s="88">
        <v>0.727666676044464</v>
      </c>
      <c r="BM3" s="88">
        <v>0.6746666431427</v>
      </c>
      <c r="BN3" s="88">
        <v>0.708000004291534</v>
      </c>
      <c r="BO3" s="88"/>
      <c r="BP3" s="88">
        <v>0.628499984741211</v>
      </c>
      <c r="BQ3" s="88">
        <v>0.619333326816559</v>
      </c>
      <c r="BR3" s="88">
        <v>0.620833337306976</v>
      </c>
      <c r="BS3" s="88">
        <v>0.800999999046326</v>
      </c>
      <c r="BT3" s="88"/>
      <c r="BU3" s="88"/>
      <c r="BV3" s="88"/>
      <c r="BW3" s="88">
        <v>0.736400008201599</v>
      </c>
      <c r="BX3" s="88">
        <v>0.737142860889435</v>
      </c>
      <c r="BY3" s="88">
        <v>0.716499984264374</v>
      </c>
      <c r="BZ3" s="4" t="s">
        <v>41</v>
      </c>
      <c r="CA3" s="88">
        <v>18.3846153846154</v>
      </c>
      <c r="CB3" s="88">
        <v>33.9230769230769</v>
      </c>
      <c r="CC3" s="88">
        <v>12.7692307692308</v>
      </c>
      <c r="CD3" s="88">
        <v>13.3846153846154</v>
      </c>
      <c r="CE3" s="88">
        <v>13.7692307692308</v>
      </c>
      <c r="CF3" s="88">
        <v>16.2307692307692</v>
      </c>
      <c r="CG3" s="88">
        <v>11.6923076923077</v>
      </c>
      <c r="CH3" s="88">
        <v>23.6923076923077</v>
      </c>
      <c r="CI3" s="88">
        <v>29.3076923076923</v>
      </c>
      <c r="CJ3" s="88">
        <v>17.3846153846154</v>
      </c>
      <c r="CK3" s="88">
        <v>14</v>
      </c>
      <c r="CL3" s="108">
        <v>1.09</v>
      </c>
      <c r="CM3" s="4" t="s">
        <v>181</v>
      </c>
      <c r="CN3" s="4">
        <v>13</v>
      </c>
      <c r="CT3" s="4" t="s">
        <v>41</v>
      </c>
      <c r="CU3" s="5" t="s">
        <v>41</v>
      </c>
      <c r="CV3" s="5">
        <v>393</v>
      </c>
      <c r="CW3" s="5">
        <v>841</v>
      </c>
      <c r="CX3" s="5">
        <v>692</v>
      </c>
      <c r="CY3" s="5">
        <v>685</v>
      </c>
      <c r="CZ3" s="5">
        <v>590</v>
      </c>
      <c r="DA3" s="5">
        <v>69</v>
      </c>
      <c r="DB3" s="5">
        <v>6</v>
      </c>
      <c r="DC3" s="5">
        <v>494</v>
      </c>
      <c r="DD3" s="5">
        <v>742</v>
      </c>
      <c r="DE3" s="5">
        <v>769</v>
      </c>
      <c r="DF3" s="5">
        <v>491</v>
      </c>
      <c r="DG3" s="5">
        <v>530</v>
      </c>
      <c r="DH3" s="5">
        <v>101</v>
      </c>
      <c r="DI3" s="5">
        <v>8</v>
      </c>
      <c r="DK3" s="4" t="s">
        <v>41</v>
      </c>
      <c r="DL3" s="5">
        <v>1</v>
      </c>
      <c r="DP3" s="5">
        <v>5</v>
      </c>
      <c r="DQ3" s="5">
        <v>7</v>
      </c>
      <c r="DR3" s="5">
        <v>2</v>
      </c>
      <c r="DS3" s="5">
        <v>3</v>
      </c>
      <c r="DT3" s="5">
        <v>3</v>
      </c>
      <c r="DU3" s="5">
        <v>3</v>
      </c>
      <c r="DW3" s="5">
        <v>6</v>
      </c>
      <c r="DX3" s="5">
        <v>3</v>
      </c>
      <c r="DY3" s="5">
        <v>6</v>
      </c>
    </row>
    <row r="4" spans="16:129" ht="12" customHeight="1" hidden="1" thickBot="1">
      <c r="P4" s="4" t="s">
        <v>2</v>
      </c>
      <c r="Q4" s="87" t="s">
        <v>137</v>
      </c>
      <c r="R4" s="87" t="s">
        <v>138</v>
      </c>
      <c r="S4" s="87" t="s">
        <v>139</v>
      </c>
      <c r="T4" s="87" t="s">
        <v>140</v>
      </c>
      <c r="U4" s="87" t="s">
        <v>141</v>
      </c>
      <c r="V4" s="87">
        <v>2</v>
      </c>
      <c r="W4" s="4" t="s">
        <v>266</v>
      </c>
      <c r="AT4" s="4" t="s">
        <v>39</v>
      </c>
      <c r="AU4" s="125">
        <f aca="true" t="shared" si="1" ref="AU4:AU59">IF($N$82="Sec",CV4,IF(DC4=0,IF($N$83=0,CV4+90,(CV4+((-3.898*$N$83)+202.5))),DC4))</f>
        <v>629</v>
      </c>
      <c r="AV4" s="125">
        <f aca="true" t="shared" si="2" ref="AV4:AV59">IF($N$82="Sec",CW4,IF(DD4=0,IF($N$83=0,CW4-80,(CW4+((4.844*$N$83)-225.2))),DD4))</f>
        <v>645</v>
      </c>
      <c r="AW4" s="125">
        <f aca="true" t="shared" si="3" ref="AW4:AW59">IF($N$82="Sec",CX4,IF(DE4=0,IF($N$83=0,CX4+40,(CX4+((-0.877*$N$83)+84.14))),DE4))</f>
        <v>303</v>
      </c>
      <c r="AX4" s="125">
        <f aca="true" t="shared" si="4" ref="AX4:AX59">IF($N$82="Sec",CY4,IF(DF4=0,IF($N$83=0,CY4-80,(CY4+((-3.502*$N$83)-45.02))),DF4))</f>
        <v>449</v>
      </c>
      <c r="AY4" s="125">
        <f aca="true" t="shared" si="5" ref="AY4:AY59">IF($N$82="Sec",CZ4,IF(DG4=0,IF($N$83=0,CZ4-100,(CZ4+((4.907*$N$83)-240.6))),DG4))</f>
        <v>821</v>
      </c>
      <c r="AZ4" s="125">
        <f t="shared" si="0"/>
        <v>-26</v>
      </c>
      <c r="BA4" s="125">
        <f aca="true" t="shared" si="6" ref="BA4:BA59">-(AZ4)</f>
        <v>26</v>
      </c>
      <c r="BB4" s="4">
        <v>79</v>
      </c>
      <c r="BC4" s="4">
        <v>3.78</v>
      </c>
      <c r="BD4" s="4" t="s">
        <v>180</v>
      </c>
      <c r="BE4" s="4" t="s">
        <v>182</v>
      </c>
      <c r="BF4" s="4">
        <v>120</v>
      </c>
      <c r="BG4" s="4">
        <v>161</v>
      </c>
      <c r="BH4" s="4">
        <v>202</v>
      </c>
      <c r="BI4" s="4">
        <v>243</v>
      </c>
      <c r="BJ4" s="4">
        <v>279</v>
      </c>
      <c r="BK4" s="4">
        <v>41</v>
      </c>
      <c r="BL4" s="88">
        <v>0.635800004005432</v>
      </c>
      <c r="BM4" s="88">
        <v>0.560000002384186</v>
      </c>
      <c r="BN4" s="88">
        <v>0.58050000667572</v>
      </c>
      <c r="BO4" s="88">
        <v>0.54339998960495</v>
      </c>
      <c r="BP4" s="88">
        <v>0.546285688877106</v>
      </c>
      <c r="BQ4" s="88">
        <v>0.509909093379974</v>
      </c>
      <c r="BR4" s="88">
        <v>0.492500007152557</v>
      </c>
      <c r="BS4" s="88">
        <v>0.73580002784729</v>
      </c>
      <c r="BT4" s="88"/>
      <c r="BU4" s="88">
        <v>0.721624970436096</v>
      </c>
      <c r="BV4" s="88">
        <v>0.682533323764801</v>
      </c>
      <c r="BW4" s="88">
        <v>0.666218757629395</v>
      </c>
      <c r="BX4" s="88">
        <v>0.639405429363251</v>
      </c>
      <c r="BY4" s="88">
        <v>0.616666674613953</v>
      </c>
      <c r="BZ4" s="4" t="s">
        <v>39</v>
      </c>
      <c r="CA4" s="88">
        <v>25.9807692307692</v>
      </c>
      <c r="CB4" s="88">
        <v>13.7692307692308</v>
      </c>
      <c r="CC4" s="88">
        <v>27.5192307692308</v>
      </c>
      <c r="CD4" s="88">
        <v>32.0384615384615</v>
      </c>
      <c r="CE4" s="88">
        <v>29.9807692307692</v>
      </c>
      <c r="CF4" s="88">
        <v>18.3653846153846</v>
      </c>
      <c r="CG4" s="88">
        <v>21.6346153846154</v>
      </c>
      <c r="CH4" s="88">
        <v>20.5769230769231</v>
      </c>
      <c r="CI4" s="88">
        <v>16.8269230769231</v>
      </c>
      <c r="CJ4" s="88">
        <v>10.9230769230769</v>
      </c>
      <c r="CK4" s="88">
        <v>15.3461538461538</v>
      </c>
      <c r="CL4" s="108">
        <v>1.25</v>
      </c>
      <c r="CM4" s="4" t="s">
        <v>182</v>
      </c>
      <c r="CN4" s="4">
        <v>52</v>
      </c>
      <c r="CT4" s="4" t="s">
        <v>39</v>
      </c>
      <c r="CU4" s="5" t="s">
        <v>39</v>
      </c>
      <c r="CV4" s="5">
        <v>629</v>
      </c>
      <c r="CW4" s="5">
        <v>645</v>
      </c>
      <c r="CX4" s="5">
        <v>303</v>
      </c>
      <c r="CY4" s="5">
        <v>449</v>
      </c>
      <c r="CZ4" s="5">
        <v>821</v>
      </c>
      <c r="DA4" s="5">
        <v>-52</v>
      </c>
      <c r="DB4" s="5">
        <v>32</v>
      </c>
      <c r="DC4" s="5">
        <v>766</v>
      </c>
      <c r="DD4" s="5">
        <v>484</v>
      </c>
      <c r="DE4" s="5">
        <v>439</v>
      </c>
      <c r="DF4" s="5">
        <v>294</v>
      </c>
      <c r="DG4" s="5">
        <v>644</v>
      </c>
      <c r="DH4" s="5">
        <v>-53</v>
      </c>
      <c r="DI4" s="5">
        <v>22</v>
      </c>
      <c r="DK4" s="4" t="s">
        <v>39</v>
      </c>
      <c r="DL4" s="5">
        <v>10</v>
      </c>
      <c r="DN4" s="5">
        <v>8</v>
      </c>
      <c r="DO4" s="5">
        <v>15</v>
      </c>
      <c r="DP4" s="5">
        <v>32</v>
      </c>
      <c r="DQ4" s="5">
        <v>37</v>
      </c>
      <c r="DR4" s="5">
        <v>12</v>
      </c>
      <c r="DS4" s="5">
        <v>5</v>
      </c>
      <c r="DT4" s="5">
        <v>1</v>
      </c>
      <c r="DU4" s="5">
        <v>4</v>
      </c>
      <c r="DV4" s="5">
        <v>5</v>
      </c>
      <c r="DW4" s="5">
        <v>14</v>
      </c>
      <c r="DX4" s="5">
        <v>11</v>
      </c>
      <c r="DY4" s="5">
        <v>2</v>
      </c>
    </row>
    <row r="5" spans="2:127" ht="12" customHeight="1" hidden="1" thickBot="1">
      <c r="B5" s="173" t="s">
        <v>9</v>
      </c>
      <c r="C5" s="173"/>
      <c r="D5" s="173"/>
      <c r="E5" s="47">
        <f>E74</f>
        <v>0</v>
      </c>
      <c r="G5" s="171" t="str">
        <f>G74</f>
        <v>A1-Ring</v>
      </c>
      <c r="H5" s="171"/>
      <c r="I5" s="171"/>
      <c r="J5" s="171"/>
      <c r="K5" s="171"/>
      <c r="L5" s="171"/>
      <c r="M5" s="171"/>
      <c r="Q5" s="87" t="s">
        <v>142</v>
      </c>
      <c r="R5" s="87" t="s">
        <v>143</v>
      </c>
      <c r="S5" s="87" t="s">
        <v>144</v>
      </c>
      <c r="T5" s="87" t="s">
        <v>145</v>
      </c>
      <c r="U5" s="87" t="s">
        <v>146</v>
      </c>
      <c r="V5" s="87">
        <v>1</v>
      </c>
      <c r="AT5" s="4" t="s">
        <v>51</v>
      </c>
      <c r="AU5" s="125">
        <f t="shared" si="1"/>
        <v>912</v>
      </c>
      <c r="AV5" s="125">
        <f t="shared" si="2"/>
        <v>588</v>
      </c>
      <c r="AW5" s="125">
        <f t="shared" si="3"/>
        <v>665</v>
      </c>
      <c r="AX5" s="125">
        <f t="shared" si="4"/>
        <v>674</v>
      </c>
      <c r="AY5" s="125">
        <f t="shared" si="5"/>
        <v>399</v>
      </c>
      <c r="AZ5" s="125">
        <f t="shared" si="0"/>
        <v>18</v>
      </c>
      <c r="BA5" s="125">
        <f t="shared" si="6"/>
        <v>-18</v>
      </c>
      <c r="BB5" s="4">
        <v>80</v>
      </c>
      <c r="BC5" s="4">
        <v>3.04</v>
      </c>
      <c r="BD5" s="4" t="s">
        <v>181</v>
      </c>
      <c r="BE5" s="4" t="s">
        <v>180</v>
      </c>
      <c r="BF5" s="4">
        <v>109</v>
      </c>
      <c r="BG5" s="4">
        <v>146</v>
      </c>
      <c r="BH5" s="4">
        <v>183</v>
      </c>
      <c r="BI5" s="4">
        <v>221</v>
      </c>
      <c r="BJ5" s="4">
        <v>254</v>
      </c>
      <c r="BK5" s="4">
        <v>38</v>
      </c>
      <c r="BL5" s="88"/>
      <c r="BM5" s="88"/>
      <c r="BN5" s="88">
        <v>0.625</v>
      </c>
      <c r="BO5" s="88"/>
      <c r="BP5" s="88">
        <v>0.605000019073486</v>
      </c>
      <c r="BQ5" s="88"/>
      <c r="BR5" s="88"/>
      <c r="BS5" s="88">
        <v>0.78219997882843</v>
      </c>
      <c r="BT5" s="88">
        <v>0.77700001001358</v>
      </c>
      <c r="BU5" s="88">
        <v>0.741999983787537</v>
      </c>
      <c r="BV5" s="88">
        <v>0.747230768203735</v>
      </c>
      <c r="BW5" s="88">
        <v>0.700888872146606</v>
      </c>
      <c r="BX5" s="88">
        <v>0.680999994277954</v>
      </c>
      <c r="BY5" s="88">
        <v>0.653533339500427</v>
      </c>
      <c r="BZ5" s="4" t="s">
        <v>51</v>
      </c>
      <c r="CA5" s="88">
        <v>13.2857142857143</v>
      </c>
      <c r="CB5" s="88">
        <v>16.8979591836735</v>
      </c>
      <c r="CC5" s="88">
        <v>18.2857142857143</v>
      </c>
      <c r="CD5" s="88">
        <v>17.9795918367347</v>
      </c>
      <c r="CE5" s="88">
        <v>15.4285714285714</v>
      </c>
      <c r="CF5" s="88">
        <v>13.5918367346939</v>
      </c>
      <c r="CG5" s="88">
        <v>10.8571428571429</v>
      </c>
      <c r="CH5" s="88">
        <v>16.8571428571429</v>
      </c>
      <c r="CI5" s="88">
        <v>20.6938775510204</v>
      </c>
      <c r="CJ5" s="88">
        <v>15.5102040816327</v>
      </c>
      <c r="CK5" s="88">
        <v>8.22448979591837</v>
      </c>
      <c r="CL5" s="108">
        <v>1.15</v>
      </c>
      <c r="CM5" s="4" t="s">
        <v>180</v>
      </c>
      <c r="CN5" s="4">
        <v>49</v>
      </c>
      <c r="CT5" s="4" t="s">
        <v>51</v>
      </c>
      <c r="CU5" s="5" t="s">
        <v>51</v>
      </c>
      <c r="CV5" s="5">
        <v>912</v>
      </c>
      <c r="CW5" s="5">
        <v>588</v>
      </c>
      <c r="CX5" s="5">
        <v>665</v>
      </c>
      <c r="CY5" s="5">
        <v>674</v>
      </c>
      <c r="CZ5" s="5">
        <v>399</v>
      </c>
      <c r="DA5" s="5">
        <v>36</v>
      </c>
      <c r="DB5" s="5">
        <v>40</v>
      </c>
      <c r="DC5" s="5">
        <v>975</v>
      </c>
      <c r="DD5" s="5">
        <v>490</v>
      </c>
      <c r="DE5" s="5">
        <v>738</v>
      </c>
      <c r="DF5" s="5">
        <v>580</v>
      </c>
      <c r="DG5" s="5">
        <v>266</v>
      </c>
      <c r="DH5" s="5">
        <v>26</v>
      </c>
      <c r="DI5" s="5">
        <v>9</v>
      </c>
      <c r="DK5" s="4" t="s">
        <v>51</v>
      </c>
      <c r="DL5" s="5">
        <v>5</v>
      </c>
      <c r="DM5" s="5">
        <v>7</v>
      </c>
      <c r="DN5" s="5">
        <v>10</v>
      </c>
      <c r="DO5" s="5">
        <v>13</v>
      </c>
      <c r="DP5" s="5">
        <v>36</v>
      </c>
      <c r="DQ5" s="5">
        <v>60</v>
      </c>
      <c r="DR5" s="5">
        <v>15</v>
      </c>
      <c r="DU5" s="5">
        <v>2</v>
      </c>
      <c r="DW5" s="5">
        <v>1</v>
      </c>
    </row>
    <row r="6" spans="7:126" ht="12" customHeight="1" hidden="1" thickBot="1">
      <c r="G6" s="171"/>
      <c r="H6" s="171"/>
      <c r="I6" s="171"/>
      <c r="J6" s="171"/>
      <c r="K6" s="171"/>
      <c r="L6" s="171"/>
      <c r="M6" s="171"/>
      <c r="Q6" s="87" t="s">
        <v>147</v>
      </c>
      <c r="R6" s="87" t="s">
        <v>147</v>
      </c>
      <c r="S6" s="87" t="s">
        <v>147</v>
      </c>
      <c r="T6" s="87" t="s">
        <v>147</v>
      </c>
      <c r="U6" s="87" t="s">
        <v>147</v>
      </c>
      <c r="V6" s="87">
        <v>0</v>
      </c>
      <c r="AT6" s="4" t="s">
        <v>82</v>
      </c>
      <c r="AU6" s="125">
        <f t="shared" si="1"/>
        <v>353</v>
      </c>
      <c r="AV6" s="125">
        <f t="shared" si="2"/>
        <v>844</v>
      </c>
      <c r="AW6" s="125">
        <f t="shared" si="3"/>
        <v>760</v>
      </c>
      <c r="AX6" s="125">
        <f t="shared" si="4"/>
        <v>502</v>
      </c>
      <c r="AY6" s="125">
        <f t="shared" si="5"/>
        <v>245</v>
      </c>
      <c r="AZ6" s="125">
        <f t="shared" si="0"/>
        <v>-5</v>
      </c>
      <c r="BA6" s="125">
        <f t="shared" si="6"/>
        <v>5</v>
      </c>
      <c r="BB6" s="4">
        <v>70</v>
      </c>
      <c r="BC6" s="4">
        <v>4.026</v>
      </c>
      <c r="BD6" s="4" t="s">
        <v>180</v>
      </c>
      <c r="BE6" s="4" t="s">
        <v>181</v>
      </c>
      <c r="BF6" s="4">
        <v>120</v>
      </c>
      <c r="BG6" s="4">
        <v>161</v>
      </c>
      <c r="BH6" s="4">
        <v>202</v>
      </c>
      <c r="BI6" s="4">
        <v>243</v>
      </c>
      <c r="BJ6" s="4">
        <v>279</v>
      </c>
      <c r="BK6" s="4">
        <v>41</v>
      </c>
      <c r="BL6" s="88"/>
      <c r="BM6" s="88"/>
      <c r="BN6" s="88"/>
      <c r="BO6" s="88">
        <v>0.650333344936371</v>
      </c>
      <c r="BP6" s="88"/>
      <c r="BQ6" s="88"/>
      <c r="BR6" s="88"/>
      <c r="BS6" s="88">
        <v>0.832599997520447</v>
      </c>
      <c r="BT6" s="88">
        <v>0.841538488864899</v>
      </c>
      <c r="BU6" s="88">
        <v>0.802307665348053</v>
      </c>
      <c r="BV6" s="88">
        <v>0.781111121177673</v>
      </c>
      <c r="BW6" s="88">
        <v>0.739210546016693</v>
      </c>
      <c r="BX6" s="88">
        <v>0.723279058933258</v>
      </c>
      <c r="BY6" s="88">
        <v>0.660428583621979</v>
      </c>
      <c r="BZ6" s="4" t="s">
        <v>82</v>
      </c>
      <c r="CA6" s="88">
        <v>17.0243902439024</v>
      </c>
      <c r="CB6" s="88">
        <v>33.8048780487805</v>
      </c>
      <c r="CC6" s="88">
        <v>13.780487804878</v>
      </c>
      <c r="CD6" s="88">
        <v>13</v>
      </c>
      <c r="CE6" s="88">
        <v>28.4878048780488</v>
      </c>
      <c r="CF6" s="88">
        <v>18.7073170731707</v>
      </c>
      <c r="CG6" s="88">
        <v>10.8292682926829</v>
      </c>
      <c r="CH6" s="88">
        <v>26.9268292682927</v>
      </c>
      <c r="CI6" s="88">
        <v>34.8292682926829</v>
      </c>
      <c r="CJ6" s="88">
        <v>16.1463414634146</v>
      </c>
      <c r="CK6" s="88">
        <v>9.26829268292683</v>
      </c>
      <c r="CL6" s="108">
        <v>1.085</v>
      </c>
      <c r="CM6" s="4" t="s">
        <v>181</v>
      </c>
      <c r="CN6" s="4">
        <v>41</v>
      </c>
      <c r="CT6" s="4" t="s">
        <v>82</v>
      </c>
      <c r="CU6" s="5" t="s">
        <v>282</v>
      </c>
      <c r="CV6" s="5">
        <v>353</v>
      </c>
      <c r="CW6" s="5">
        <v>844</v>
      </c>
      <c r="CX6" s="5">
        <v>760</v>
      </c>
      <c r="CY6" s="5">
        <v>502</v>
      </c>
      <c r="CZ6" s="5">
        <v>245</v>
      </c>
      <c r="DA6" s="5">
        <v>-10</v>
      </c>
      <c r="DB6" s="5">
        <v>42</v>
      </c>
      <c r="DK6" s="4" t="s">
        <v>82</v>
      </c>
      <c r="DL6" s="5">
        <v>5</v>
      </c>
      <c r="DM6" s="5">
        <v>13</v>
      </c>
      <c r="DN6" s="5">
        <v>13</v>
      </c>
      <c r="DO6" s="5">
        <v>18</v>
      </c>
      <c r="DP6" s="5">
        <v>19</v>
      </c>
      <c r="DQ6" s="5">
        <v>43</v>
      </c>
      <c r="DR6" s="5">
        <v>7</v>
      </c>
      <c r="DV6" s="5">
        <v>3</v>
      </c>
    </row>
    <row r="7" spans="2:122" ht="12" customHeight="1" hidden="1" thickBot="1">
      <c r="B7" s="173" t="s">
        <v>11</v>
      </c>
      <c r="C7" s="173"/>
      <c r="D7" s="173"/>
      <c r="E7" s="47">
        <f>E76</f>
        <v>0</v>
      </c>
      <c r="M7" s="251" t="s">
        <v>293</v>
      </c>
      <c r="N7" s="173"/>
      <c r="Q7" s="87" t="s">
        <v>148</v>
      </c>
      <c r="R7" s="87" t="s">
        <v>149</v>
      </c>
      <c r="S7" s="87" t="s">
        <v>150</v>
      </c>
      <c r="T7" s="87" t="s">
        <v>151</v>
      </c>
      <c r="U7" s="87" t="s">
        <v>152</v>
      </c>
      <c r="V7" s="87">
        <v>-1</v>
      </c>
      <c r="AT7" s="4" t="s">
        <v>87</v>
      </c>
      <c r="AU7" s="125">
        <f t="shared" si="1"/>
        <v>599</v>
      </c>
      <c r="AV7" s="125">
        <f t="shared" si="2"/>
        <v>746</v>
      </c>
      <c r="AW7" s="125">
        <f t="shared" si="3"/>
        <v>612</v>
      </c>
      <c r="AX7" s="125">
        <f t="shared" si="4"/>
        <v>503</v>
      </c>
      <c r="AY7" s="125">
        <f t="shared" si="5"/>
        <v>903</v>
      </c>
      <c r="AZ7" s="125">
        <f t="shared" si="0"/>
        <v>43</v>
      </c>
      <c r="BA7" s="125">
        <f t="shared" si="6"/>
        <v>-43</v>
      </c>
      <c r="BB7" s="4">
        <v>56</v>
      </c>
      <c r="BC7" s="4">
        <v>5.516</v>
      </c>
      <c r="BD7" s="4" t="s">
        <v>180</v>
      </c>
      <c r="BE7" s="4" t="s">
        <v>180</v>
      </c>
      <c r="BF7" s="4">
        <v>120</v>
      </c>
      <c r="BG7" s="4">
        <v>161</v>
      </c>
      <c r="BH7" s="4">
        <v>202</v>
      </c>
      <c r="BI7" s="4">
        <v>243</v>
      </c>
      <c r="BJ7" s="4">
        <v>279</v>
      </c>
      <c r="BK7" s="4">
        <v>41</v>
      </c>
      <c r="BL7" s="88"/>
      <c r="BM7" s="88"/>
      <c r="BN7" s="88"/>
      <c r="BO7" s="88"/>
      <c r="BP7" s="88"/>
      <c r="BQ7" s="88"/>
      <c r="BR7" s="88"/>
      <c r="BS7" s="88">
        <v>0.793416678905487</v>
      </c>
      <c r="BT7" s="88">
        <v>0.804400026798248</v>
      </c>
      <c r="BU7" s="88">
        <v>0.77581250667572</v>
      </c>
      <c r="BV7" s="88">
        <v>0.73856520652771</v>
      </c>
      <c r="BW7" s="88">
        <v>0.713750004768372</v>
      </c>
      <c r="BX7" s="88">
        <v>0.694180011749268</v>
      </c>
      <c r="BY7" s="88">
        <v>0.673882365226746</v>
      </c>
      <c r="BZ7" s="4" t="s">
        <v>87</v>
      </c>
      <c r="CA7" s="88">
        <v>12.0434782608696</v>
      </c>
      <c r="CB7" s="88">
        <v>25.304347826087</v>
      </c>
      <c r="CC7" s="88">
        <v>19.7173913043478</v>
      </c>
      <c r="CD7" s="88">
        <v>19.7608695652174</v>
      </c>
      <c r="CE7" s="88">
        <v>13.5</v>
      </c>
      <c r="CF7" s="88">
        <v>12.8695652173913</v>
      </c>
      <c r="CG7" s="88">
        <v>13.5217391304348</v>
      </c>
      <c r="CH7" s="88">
        <v>20.695652173913</v>
      </c>
      <c r="CI7" s="88">
        <v>25</v>
      </c>
      <c r="CJ7" s="88">
        <v>10.2826086956522</v>
      </c>
      <c r="CK7" s="88">
        <v>10.4130434782609</v>
      </c>
      <c r="CL7" s="108">
        <v>1.18</v>
      </c>
      <c r="CM7" s="4" t="s">
        <v>180</v>
      </c>
      <c r="CN7" s="4">
        <v>46</v>
      </c>
      <c r="CT7" s="4" t="s">
        <v>87</v>
      </c>
      <c r="CU7" s="5" t="s">
        <v>87</v>
      </c>
      <c r="CV7" s="5">
        <v>599</v>
      </c>
      <c r="CW7" s="5">
        <v>746</v>
      </c>
      <c r="CX7" s="5">
        <v>612</v>
      </c>
      <c r="CY7" s="5">
        <v>503</v>
      </c>
      <c r="CZ7" s="5">
        <v>903</v>
      </c>
      <c r="DA7" s="5">
        <v>86</v>
      </c>
      <c r="DB7" s="5">
        <v>47</v>
      </c>
      <c r="DK7" s="4" t="s">
        <v>87</v>
      </c>
      <c r="DL7" s="5">
        <v>12</v>
      </c>
      <c r="DM7" s="5">
        <v>5</v>
      </c>
      <c r="DN7" s="5">
        <v>16</v>
      </c>
      <c r="DO7" s="5">
        <v>23</v>
      </c>
      <c r="DP7" s="5">
        <v>32</v>
      </c>
      <c r="DQ7" s="5">
        <v>50</v>
      </c>
      <c r="DR7" s="5">
        <v>17</v>
      </c>
    </row>
    <row r="8" spans="7:122" ht="12" customHeight="1" hidden="1">
      <c r="G8" s="6"/>
      <c r="H8" s="6" t="s">
        <v>3</v>
      </c>
      <c r="I8" s="6" t="s">
        <v>5</v>
      </c>
      <c r="J8" s="6" t="s">
        <v>35</v>
      </c>
      <c r="K8" s="6" t="s">
        <v>36</v>
      </c>
      <c r="L8" s="6" t="s">
        <v>102</v>
      </c>
      <c r="M8" s="128" t="s">
        <v>91</v>
      </c>
      <c r="N8" s="128" t="s">
        <v>92</v>
      </c>
      <c r="Q8" s="87" t="s">
        <v>153</v>
      </c>
      <c r="R8" s="87" t="s">
        <v>154</v>
      </c>
      <c r="S8" s="87" t="s">
        <v>155</v>
      </c>
      <c r="T8" s="87" t="s">
        <v>156</v>
      </c>
      <c r="U8" s="87" t="s">
        <v>157</v>
      </c>
      <c r="V8" s="87">
        <v>-2</v>
      </c>
      <c r="AT8" s="4" t="s">
        <v>264</v>
      </c>
      <c r="AU8" s="125">
        <f t="shared" si="1"/>
        <v>364</v>
      </c>
      <c r="AV8" s="125">
        <f t="shared" si="2"/>
        <v>854</v>
      </c>
      <c r="AW8" s="125">
        <f t="shared" si="3"/>
        <v>323</v>
      </c>
      <c r="AX8" s="125">
        <f t="shared" si="4"/>
        <v>320</v>
      </c>
      <c r="AY8" s="125">
        <f t="shared" si="5"/>
        <v>979</v>
      </c>
      <c r="AZ8" s="125">
        <f t="shared" si="0"/>
        <v>6</v>
      </c>
      <c r="BA8" s="125">
        <f t="shared" si="6"/>
        <v>-6</v>
      </c>
      <c r="BB8" s="4">
        <v>65</v>
      </c>
      <c r="BC8" s="4">
        <v>4.728</v>
      </c>
      <c r="BD8" s="4" t="s">
        <v>180</v>
      </c>
      <c r="BE8" s="4" t="s">
        <v>181</v>
      </c>
      <c r="BF8" s="4">
        <v>120</v>
      </c>
      <c r="BG8" s="4">
        <v>161</v>
      </c>
      <c r="BH8" s="4">
        <v>202</v>
      </c>
      <c r="BI8" s="4">
        <v>243</v>
      </c>
      <c r="BJ8" s="4">
        <v>279</v>
      </c>
      <c r="BK8" s="4">
        <v>41</v>
      </c>
      <c r="BL8" s="88"/>
      <c r="BM8" s="88"/>
      <c r="BN8" s="88"/>
      <c r="BO8" s="88"/>
      <c r="BP8" s="88"/>
      <c r="BQ8" s="88"/>
      <c r="BR8" s="88"/>
      <c r="BS8" s="88">
        <v>0</v>
      </c>
      <c r="BT8" s="88"/>
      <c r="BU8" s="88"/>
      <c r="BV8" s="88"/>
      <c r="BW8" s="88">
        <v>0.754363656044006</v>
      </c>
      <c r="BX8" s="88">
        <v>0.736142873764038</v>
      </c>
      <c r="BY8" s="88">
        <v>0.69133335351944</v>
      </c>
      <c r="BZ8" s="4" t="s">
        <v>264</v>
      </c>
      <c r="CA8" s="88">
        <v>16.875</v>
      </c>
      <c r="CB8" s="88">
        <v>46</v>
      </c>
      <c r="CC8" s="88">
        <v>9</v>
      </c>
      <c r="CD8" s="88">
        <v>10</v>
      </c>
      <c r="CE8" s="88">
        <v>24.125</v>
      </c>
      <c r="CF8" s="88">
        <v>10</v>
      </c>
      <c r="CG8" s="88">
        <v>11.875</v>
      </c>
      <c r="CH8" s="88">
        <v>13.75</v>
      </c>
      <c r="CI8" s="88">
        <v>14</v>
      </c>
      <c r="CJ8" s="88">
        <v>36.75</v>
      </c>
      <c r="CK8" s="88">
        <v>12.5</v>
      </c>
      <c r="CL8" s="108">
        <v>1.125</v>
      </c>
      <c r="CM8" s="4" t="s">
        <v>181</v>
      </c>
      <c r="CN8" s="4">
        <v>8</v>
      </c>
      <c r="CT8" s="4" t="s">
        <v>264</v>
      </c>
      <c r="CU8" s="5" t="s">
        <v>264</v>
      </c>
      <c r="CV8" s="5">
        <v>364</v>
      </c>
      <c r="CW8" s="5">
        <v>854</v>
      </c>
      <c r="CX8" s="5">
        <v>323</v>
      </c>
      <c r="CY8" s="5">
        <v>320</v>
      </c>
      <c r="CZ8" s="5">
        <v>979</v>
      </c>
      <c r="DA8" s="5">
        <v>12</v>
      </c>
      <c r="DB8" s="5">
        <v>8</v>
      </c>
      <c r="DK8" s="4" t="s">
        <v>264</v>
      </c>
      <c r="DP8" s="5">
        <v>11</v>
      </c>
      <c r="DQ8" s="5">
        <v>14</v>
      </c>
      <c r="DR8" s="5">
        <v>3</v>
      </c>
    </row>
    <row r="9" spans="2:122" ht="12" customHeight="1" hidden="1">
      <c r="B9" s="173" t="s">
        <v>10</v>
      </c>
      <c r="C9" s="173"/>
      <c r="D9" s="173"/>
      <c r="E9" s="8">
        <f>135-(0.1*E5)-(0.3*E7)</f>
        <v>135</v>
      </c>
      <c r="G9" s="6" t="s">
        <v>101</v>
      </c>
      <c r="H9" s="6">
        <f>VLOOKUP($G$5,$AT$3:$BA$65,2,FALSE)</f>
        <v>393</v>
      </c>
      <c r="I9" s="9">
        <f>VLOOKUP($G$5,$AT$3:$BA$65,3,FALSE)</f>
        <v>841</v>
      </c>
      <c r="J9" s="9">
        <f>VLOOKUP($G$5,$AT$3:$BA$65,4,FALSE)</f>
        <v>692</v>
      </c>
      <c r="K9" s="9">
        <f>VLOOKUP($G$5,$AT$3:$BA$65,5,FALSE)</f>
        <v>685</v>
      </c>
      <c r="L9" s="9">
        <f>VLOOKUP($G$5,$AT$3:$BA$65,6,FALSE)</f>
        <v>590</v>
      </c>
      <c r="M9" s="130">
        <f>ROUND(VLOOKUP($G$5,$AT$3:$BA$65,7,FALSE),0)</f>
        <v>35</v>
      </c>
      <c r="N9" s="130">
        <f>ROUND(VLOOKUP($G$5,$AT$3:$BA$65,8,FALSE),0)</f>
        <v>-35</v>
      </c>
      <c r="O9" s="4" t="s">
        <v>294</v>
      </c>
      <c r="Q9" s="87" t="s">
        <v>158</v>
      </c>
      <c r="R9" s="87" t="s">
        <v>159</v>
      </c>
      <c r="S9" s="87" t="s">
        <v>160</v>
      </c>
      <c r="T9" s="87" t="s">
        <v>161</v>
      </c>
      <c r="U9" s="87" t="s">
        <v>162</v>
      </c>
      <c r="V9" s="87">
        <v>-3</v>
      </c>
      <c r="AT9" s="4" t="s">
        <v>79</v>
      </c>
      <c r="AU9" s="125">
        <f t="shared" si="1"/>
        <v>569</v>
      </c>
      <c r="AV9" s="125">
        <f t="shared" si="2"/>
        <v>790</v>
      </c>
      <c r="AW9" s="125">
        <f t="shared" si="3"/>
        <v>539</v>
      </c>
      <c r="AX9" s="125">
        <f t="shared" si="4"/>
        <v>531</v>
      </c>
      <c r="AY9" s="125">
        <f t="shared" si="5"/>
        <v>408</v>
      </c>
      <c r="AZ9" s="125">
        <f t="shared" si="0"/>
        <v>14</v>
      </c>
      <c r="BA9" s="125">
        <f t="shared" si="6"/>
        <v>-14</v>
      </c>
      <c r="BB9" s="4">
        <v>65</v>
      </c>
      <c r="BC9" s="4">
        <v>4.728</v>
      </c>
      <c r="BD9" s="4" t="s">
        <v>180</v>
      </c>
      <c r="BE9" s="4" t="s">
        <v>181</v>
      </c>
      <c r="BF9" s="4">
        <v>120</v>
      </c>
      <c r="BG9" s="4">
        <v>161</v>
      </c>
      <c r="BH9" s="4">
        <v>202</v>
      </c>
      <c r="BI9" s="4">
        <v>243</v>
      </c>
      <c r="BJ9" s="4">
        <v>279</v>
      </c>
      <c r="BK9" s="4">
        <v>41</v>
      </c>
      <c r="BL9" s="88"/>
      <c r="BM9" s="88"/>
      <c r="BN9" s="88"/>
      <c r="BO9" s="88"/>
      <c r="BP9" s="88"/>
      <c r="BQ9" s="88"/>
      <c r="BR9" s="88"/>
      <c r="BS9" s="88">
        <v>0</v>
      </c>
      <c r="BT9" s="88">
        <v>0.791124999523163</v>
      </c>
      <c r="BU9" s="88">
        <v>0.767666637897491</v>
      </c>
      <c r="BV9" s="88">
        <v>0.749857127666473</v>
      </c>
      <c r="BW9" s="88">
        <v>0.723200023174286</v>
      </c>
      <c r="BX9" s="88">
        <v>0.703133344650269</v>
      </c>
      <c r="BY9" s="88">
        <v>0.688000023365021</v>
      </c>
      <c r="BZ9" s="4" t="s">
        <v>79</v>
      </c>
      <c r="CA9" s="88">
        <v>18.5</v>
      </c>
      <c r="CB9" s="88">
        <v>40.375</v>
      </c>
      <c r="CC9" s="88">
        <v>29.375</v>
      </c>
      <c r="CD9" s="88">
        <v>35.625</v>
      </c>
      <c r="CE9" s="88">
        <v>23</v>
      </c>
      <c r="CF9" s="88">
        <v>16.4375</v>
      </c>
      <c r="CG9" s="88">
        <v>16.25</v>
      </c>
      <c r="CH9" s="88">
        <v>25</v>
      </c>
      <c r="CI9" s="88">
        <v>35.1875</v>
      </c>
      <c r="CJ9" s="88">
        <v>28.75</v>
      </c>
      <c r="CK9" s="88">
        <v>14.0625</v>
      </c>
      <c r="CL9" s="108">
        <v>1.125</v>
      </c>
      <c r="CM9" s="4" t="s">
        <v>181</v>
      </c>
      <c r="CN9" s="4">
        <v>16</v>
      </c>
      <c r="CT9" s="4" t="s">
        <v>79</v>
      </c>
      <c r="CU9" s="5" t="s">
        <v>79</v>
      </c>
      <c r="CV9" s="5">
        <v>569</v>
      </c>
      <c r="CW9" s="5">
        <v>790</v>
      </c>
      <c r="CX9" s="5">
        <v>539</v>
      </c>
      <c r="CY9" s="5">
        <v>531</v>
      </c>
      <c r="CZ9" s="5">
        <v>408</v>
      </c>
      <c r="DA9" s="5">
        <v>28</v>
      </c>
      <c r="DB9" s="5">
        <v>16</v>
      </c>
      <c r="DK9" s="4" t="s">
        <v>79</v>
      </c>
      <c r="DM9" s="5">
        <v>8</v>
      </c>
      <c r="DN9" s="5">
        <v>6</v>
      </c>
      <c r="DO9" s="5">
        <v>7</v>
      </c>
      <c r="DP9" s="5">
        <v>10</v>
      </c>
      <c r="DQ9" s="5">
        <v>15</v>
      </c>
      <c r="DR9" s="5">
        <v>3</v>
      </c>
    </row>
    <row r="10" spans="5:129" ht="12" customHeight="1" hidden="1">
      <c r="E10" s="7">
        <f>E9/2</f>
        <v>67.5</v>
      </c>
      <c r="G10" s="5" t="s">
        <v>103</v>
      </c>
      <c r="H10" s="48">
        <f>H79</f>
        <v>0</v>
      </c>
      <c r="I10" s="48">
        <f>I79</f>
        <v>0</v>
      </c>
      <c r="J10" s="48">
        <f>J79</f>
        <v>0</v>
      </c>
      <c r="K10" s="48">
        <f>K79</f>
        <v>0</v>
      </c>
      <c r="L10" s="48">
        <f>L79</f>
        <v>0</v>
      </c>
      <c r="M10" s="5">
        <f>ROUND(IF(N86="sec",IF(VLOOKUP($G$5,$CT$3:$DJ$62,8,FALSE)&gt;0,(VLOOKUP($G$5,$CT$3:$DJ$62,8,FALSE)/2),-(VLOOKUP($G$5,$CT$3:$DJ$62,8,FALSE)/2)),IF(VLOOKUP($G$5,$CT$3:$DJ$62,15,FALSE)&gt;0,VLOOKUP($G$5,$CT$3:$DJ$62,15,FALSE)/2,-(VLOOKUP($G$5,$CT$3:$DJ$62,15,FALSE)/2))),0)</f>
        <v>35</v>
      </c>
      <c r="N10" s="5">
        <f>-M10</f>
        <v>-35</v>
      </c>
      <c r="O10" s="4" t="s">
        <v>295</v>
      </c>
      <c r="AT10" s="4" t="s">
        <v>85</v>
      </c>
      <c r="AU10" s="125">
        <f t="shared" si="1"/>
        <v>554</v>
      </c>
      <c r="AV10" s="125">
        <f t="shared" si="2"/>
        <v>775</v>
      </c>
      <c r="AW10" s="125">
        <f t="shared" si="3"/>
        <v>393</v>
      </c>
      <c r="AX10" s="125">
        <f t="shared" si="4"/>
        <v>589</v>
      </c>
      <c r="AY10" s="125">
        <f t="shared" si="5"/>
        <v>765</v>
      </c>
      <c r="AZ10" s="125">
        <f t="shared" si="0"/>
        <v>12</v>
      </c>
      <c r="BA10" s="125">
        <f t="shared" si="6"/>
        <v>-12</v>
      </c>
      <c r="BB10" s="4">
        <v>75</v>
      </c>
      <c r="BC10" s="4">
        <v>4.207</v>
      </c>
      <c r="BD10" s="4" t="s">
        <v>182</v>
      </c>
      <c r="BE10" s="4" t="s">
        <v>182</v>
      </c>
      <c r="BF10" s="4">
        <v>134</v>
      </c>
      <c r="BG10" s="4">
        <v>180</v>
      </c>
      <c r="BH10" s="4">
        <v>226</v>
      </c>
      <c r="BI10" s="4">
        <v>272</v>
      </c>
      <c r="BJ10" s="4">
        <v>313</v>
      </c>
      <c r="BK10" s="4">
        <v>46</v>
      </c>
      <c r="BL10" s="88">
        <v>0.563000023365021</v>
      </c>
      <c r="BM10" s="88">
        <v>0.546000003814697</v>
      </c>
      <c r="BN10" s="88"/>
      <c r="BO10" s="88"/>
      <c r="BP10" s="88">
        <v>0.527499973773956</v>
      </c>
      <c r="BQ10" s="88">
        <v>0.46900001168251</v>
      </c>
      <c r="BR10" s="88">
        <v>0.479499995708466</v>
      </c>
      <c r="BS10" s="88">
        <v>0.775499999523163</v>
      </c>
      <c r="BT10" s="88">
        <v>0.738499999046326</v>
      </c>
      <c r="BU10" s="88"/>
      <c r="BV10" s="88">
        <v>0.703125</v>
      </c>
      <c r="BW10" s="88">
        <v>0.722352921962738</v>
      </c>
      <c r="BX10" s="88">
        <v>0.662500023841858</v>
      </c>
      <c r="BY10" s="88">
        <v>0.640500009059906</v>
      </c>
      <c r="BZ10" s="4" t="s">
        <v>85</v>
      </c>
      <c r="CA10" s="88">
        <v>8.6</v>
      </c>
      <c r="CB10" s="88">
        <v>23.9333333333333</v>
      </c>
      <c r="CC10" s="88">
        <v>14.6333333333333</v>
      </c>
      <c r="CD10" s="88">
        <v>17.7333333333333</v>
      </c>
      <c r="CE10" s="88">
        <v>20.1</v>
      </c>
      <c r="CF10" s="88">
        <v>11.5</v>
      </c>
      <c r="CG10" s="88">
        <v>9.43333333333333</v>
      </c>
      <c r="CH10" s="88">
        <v>15.3333333333333</v>
      </c>
      <c r="CI10" s="88">
        <v>26.5333333333333</v>
      </c>
      <c r="CJ10" s="88">
        <v>28.7</v>
      </c>
      <c r="CK10" s="88">
        <v>14.0666666666667</v>
      </c>
      <c r="CL10" s="108">
        <v>1.2</v>
      </c>
      <c r="CM10" s="4" t="s">
        <v>182</v>
      </c>
      <c r="CN10" s="4">
        <v>30</v>
      </c>
      <c r="CT10" s="4" t="s">
        <v>85</v>
      </c>
      <c r="CU10" s="5" t="s">
        <v>85</v>
      </c>
      <c r="CV10" s="5">
        <v>554</v>
      </c>
      <c r="CW10" s="5">
        <v>775</v>
      </c>
      <c r="CX10" s="5">
        <v>393</v>
      </c>
      <c r="CY10" s="5">
        <v>589</v>
      </c>
      <c r="CZ10" s="5">
        <v>765</v>
      </c>
      <c r="DA10" s="5">
        <v>24</v>
      </c>
      <c r="DB10" s="5">
        <v>25</v>
      </c>
      <c r="DC10" s="5">
        <v>625</v>
      </c>
      <c r="DD10" s="5">
        <v>654</v>
      </c>
      <c r="DE10" s="5">
        <v>451</v>
      </c>
      <c r="DF10" s="5">
        <v>581</v>
      </c>
      <c r="DG10" s="5">
        <v>657</v>
      </c>
      <c r="DH10" s="5">
        <v>28</v>
      </c>
      <c r="DI10" s="5">
        <v>6</v>
      </c>
      <c r="DK10" s="4" t="s">
        <v>85</v>
      </c>
      <c r="DL10" s="5">
        <v>2</v>
      </c>
      <c r="DM10" s="5">
        <v>6</v>
      </c>
      <c r="DO10" s="5">
        <v>16</v>
      </c>
      <c r="DP10" s="5">
        <v>17</v>
      </c>
      <c r="DQ10" s="5">
        <v>14</v>
      </c>
      <c r="DR10" s="5">
        <v>2</v>
      </c>
      <c r="DS10" s="5">
        <v>4</v>
      </c>
      <c r="DT10" s="5">
        <v>4</v>
      </c>
      <c r="DW10" s="5">
        <v>6</v>
      </c>
      <c r="DX10" s="5">
        <v>2</v>
      </c>
      <c r="DY10" s="5">
        <v>2</v>
      </c>
    </row>
    <row r="11" spans="5:128" ht="12" customHeight="1" hidden="1" thickBot="1">
      <c r="E11" s="7"/>
      <c r="M11" s="5">
        <f>ROUND(IF(N90="sec",IF(VLOOKUP($G$5,$CT$3:$DJ$62,8,FALSE)&gt;0,(VLOOKUP($G$5,$CT$3:$DJ$62,8,FALSE)/2),-(VLOOKUP($G$5,$CT$3:$DJ$62,8,FALSE)/2)),IF(VLOOKUP($G$5,$CT$3:$DJ$62,15,FALSE)&gt;0,VLOOKUP($G$5,$CT$3:$DJ$62,15,FALSE)/2,-(VLOOKUP($G$5,$CT$3:$DJ$62,15,FALSE)/2))),0)</f>
        <v>35</v>
      </c>
      <c r="N11" s="5">
        <f>-M11</f>
        <v>-35</v>
      </c>
      <c r="O11" s="4" t="s">
        <v>296</v>
      </c>
      <c r="AT11" s="4" t="s">
        <v>46</v>
      </c>
      <c r="AU11" s="125">
        <f t="shared" si="1"/>
        <v>630</v>
      </c>
      <c r="AV11" s="125">
        <f t="shared" si="2"/>
        <v>502</v>
      </c>
      <c r="AW11" s="125">
        <f t="shared" si="3"/>
        <v>692</v>
      </c>
      <c r="AX11" s="125">
        <f t="shared" si="4"/>
        <v>752</v>
      </c>
      <c r="AY11" s="125">
        <f t="shared" si="5"/>
        <v>900</v>
      </c>
      <c r="AZ11" s="125">
        <f t="shared" si="0"/>
        <v>-92</v>
      </c>
      <c r="BA11" s="125">
        <f t="shared" si="6"/>
        <v>92</v>
      </c>
      <c r="BB11" s="4">
        <v>55</v>
      </c>
      <c r="BC11" s="4">
        <v>5.475</v>
      </c>
      <c r="BD11" s="4" t="s">
        <v>180</v>
      </c>
      <c r="BE11" s="4" t="s">
        <v>181</v>
      </c>
      <c r="BF11" s="4">
        <v>120</v>
      </c>
      <c r="BG11" s="4">
        <v>161</v>
      </c>
      <c r="BH11" s="4">
        <v>202</v>
      </c>
      <c r="BI11" s="4">
        <v>243</v>
      </c>
      <c r="BJ11" s="4">
        <v>279</v>
      </c>
      <c r="BK11" s="4">
        <v>41</v>
      </c>
      <c r="BL11" s="88">
        <v>0.587000012397766</v>
      </c>
      <c r="BM11" s="88">
        <v>0.545000016689301</v>
      </c>
      <c r="BN11" s="88"/>
      <c r="BO11" s="88">
        <v>0.50900000333786</v>
      </c>
      <c r="BP11" s="88">
        <v>0.503666639328003</v>
      </c>
      <c r="BQ11" s="88">
        <v>0.524333357810974</v>
      </c>
      <c r="BR11" s="88"/>
      <c r="BS11" s="88">
        <v>0.848133325576782</v>
      </c>
      <c r="BT11" s="88">
        <v>0.824999988079071</v>
      </c>
      <c r="BU11" s="88">
        <v>0.788571417331696</v>
      </c>
      <c r="BV11" s="88">
        <v>0.76555997133255</v>
      </c>
      <c r="BW11" s="88">
        <v>0.734749972820282</v>
      </c>
      <c r="BX11" s="88">
        <v>0.726085722446442</v>
      </c>
      <c r="BY11" s="88">
        <v>0.702499985694885</v>
      </c>
      <c r="BZ11" s="4" t="s">
        <v>46</v>
      </c>
      <c r="CA11" s="88">
        <v>13.9302325581395</v>
      </c>
      <c r="CB11" s="88">
        <v>27.2325581395349</v>
      </c>
      <c r="CC11" s="88">
        <v>18.1627906976744</v>
      </c>
      <c r="CD11" s="88">
        <v>21.8372093023256</v>
      </c>
      <c r="CE11" s="88">
        <v>14.7906976744186</v>
      </c>
      <c r="CF11" s="88">
        <v>13.6511627906977</v>
      </c>
      <c r="CG11" s="88">
        <v>15.8372093023256</v>
      </c>
      <c r="CH11" s="88">
        <v>22.8837209302326</v>
      </c>
      <c r="CI11" s="88">
        <v>30.3720930232558</v>
      </c>
      <c r="CJ11" s="88">
        <v>14.5348837209302</v>
      </c>
      <c r="CK11" s="88">
        <v>12.4651162790698</v>
      </c>
      <c r="CL11" s="108">
        <v>1.07</v>
      </c>
      <c r="CM11" s="4" t="s">
        <v>181</v>
      </c>
      <c r="CN11" s="4">
        <v>43</v>
      </c>
      <c r="CT11" s="4" t="s">
        <v>46</v>
      </c>
      <c r="CU11" s="5" t="s">
        <v>46</v>
      </c>
      <c r="CV11" s="5">
        <v>630</v>
      </c>
      <c r="CW11" s="5">
        <v>502</v>
      </c>
      <c r="CX11" s="5">
        <v>692</v>
      </c>
      <c r="CY11" s="5">
        <v>752</v>
      </c>
      <c r="CZ11" s="5">
        <v>900</v>
      </c>
      <c r="DA11" s="5">
        <v>-184</v>
      </c>
      <c r="DB11" s="5">
        <v>38</v>
      </c>
      <c r="DC11" s="5">
        <v>768</v>
      </c>
      <c r="DD11" s="5">
        <v>375</v>
      </c>
      <c r="DE11" s="5">
        <v>751</v>
      </c>
      <c r="DF11" s="5">
        <v>661</v>
      </c>
      <c r="DG11" s="5">
        <v>773</v>
      </c>
      <c r="DH11" s="5">
        <v>-92</v>
      </c>
      <c r="DI11" s="5">
        <v>7</v>
      </c>
      <c r="DK11" s="4" t="s">
        <v>46</v>
      </c>
      <c r="DL11" s="5">
        <v>15</v>
      </c>
      <c r="DM11" s="5">
        <v>13</v>
      </c>
      <c r="DN11" s="5">
        <v>7</v>
      </c>
      <c r="DO11" s="5">
        <v>25</v>
      </c>
      <c r="DP11" s="5">
        <v>20</v>
      </c>
      <c r="DQ11" s="5">
        <v>35</v>
      </c>
      <c r="DR11" s="5">
        <v>24</v>
      </c>
      <c r="DS11" s="5">
        <v>2</v>
      </c>
      <c r="DT11" s="5">
        <v>1</v>
      </c>
      <c r="DV11" s="5">
        <v>1</v>
      </c>
      <c r="DW11" s="5">
        <v>3</v>
      </c>
      <c r="DX11" s="5">
        <v>3</v>
      </c>
    </row>
    <row r="12" spans="4:122" ht="12" customHeight="1" hidden="1" thickBot="1">
      <c r="D12" s="174" t="s">
        <v>3</v>
      </c>
      <c r="E12" s="175"/>
      <c r="F12" s="174" t="s">
        <v>5</v>
      </c>
      <c r="G12" s="175"/>
      <c r="H12" s="174" t="s">
        <v>6</v>
      </c>
      <c r="I12" s="175"/>
      <c r="J12" s="174" t="s">
        <v>7</v>
      </c>
      <c r="K12" s="175"/>
      <c r="L12" s="174" t="s">
        <v>8</v>
      </c>
      <c r="M12" s="175"/>
      <c r="Q12" s="89" t="s">
        <v>22</v>
      </c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1"/>
      <c r="AF12" s="92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4" t="s">
        <v>265</v>
      </c>
      <c r="AU12" s="125">
        <f t="shared" si="1"/>
        <v>632</v>
      </c>
      <c r="AV12" s="125">
        <f t="shared" si="2"/>
        <v>806</v>
      </c>
      <c r="AW12" s="125">
        <f t="shared" si="3"/>
        <v>464</v>
      </c>
      <c r="AX12" s="125">
        <f t="shared" si="4"/>
        <v>633</v>
      </c>
      <c r="AY12" s="125">
        <f t="shared" si="5"/>
        <v>780</v>
      </c>
      <c r="AZ12" s="125">
        <f t="shared" si="0"/>
        <v>10</v>
      </c>
      <c r="BA12" s="125">
        <f t="shared" si="6"/>
        <v>-10</v>
      </c>
      <c r="BB12" s="4">
        <v>42</v>
      </c>
      <c r="BC12" s="4">
        <v>7.281</v>
      </c>
      <c r="BD12" s="4" t="s">
        <v>180</v>
      </c>
      <c r="BE12" s="4" t="s">
        <v>180</v>
      </c>
      <c r="BF12" s="4">
        <v>120</v>
      </c>
      <c r="BG12" s="4">
        <v>161</v>
      </c>
      <c r="BH12" s="4">
        <v>202</v>
      </c>
      <c r="BI12" s="4">
        <v>243</v>
      </c>
      <c r="BJ12" s="4">
        <v>279</v>
      </c>
      <c r="BK12" s="4">
        <v>41</v>
      </c>
      <c r="BL12" s="88"/>
      <c r="BM12" s="88"/>
      <c r="BN12" s="88"/>
      <c r="BO12" s="88"/>
      <c r="BP12" s="88"/>
      <c r="BQ12" s="88"/>
      <c r="BR12" s="88"/>
      <c r="BS12" s="88">
        <v>0</v>
      </c>
      <c r="BT12" s="88"/>
      <c r="BU12" s="88"/>
      <c r="BV12" s="88">
        <v>0.734833359718323</v>
      </c>
      <c r="BW12" s="88">
        <v>0.722199976444244</v>
      </c>
      <c r="BX12" s="88">
        <v>0.681249976158142</v>
      </c>
      <c r="BY12" s="88">
        <v>0.669666647911072</v>
      </c>
      <c r="BZ12" s="4" t="s">
        <v>265</v>
      </c>
      <c r="CA12" s="88">
        <v>25.625</v>
      </c>
      <c r="CB12" s="88">
        <v>13.75</v>
      </c>
      <c r="CC12" s="88">
        <v>12.875</v>
      </c>
      <c r="CD12" s="88">
        <v>12.5</v>
      </c>
      <c r="CE12" s="88">
        <v>26.875</v>
      </c>
      <c r="CF12" s="88">
        <v>20.625</v>
      </c>
      <c r="CG12" s="88">
        <v>8.875</v>
      </c>
      <c r="CH12" s="88">
        <v>23.625</v>
      </c>
      <c r="CI12" s="88">
        <v>19.875</v>
      </c>
      <c r="CJ12" s="88">
        <v>27.625</v>
      </c>
      <c r="CK12" s="88">
        <v>7.875</v>
      </c>
      <c r="CL12" s="108">
        <v>1.18</v>
      </c>
      <c r="CM12" s="4" t="s">
        <v>180</v>
      </c>
      <c r="CN12" s="4">
        <v>8</v>
      </c>
      <c r="CT12" s="4" t="s">
        <v>265</v>
      </c>
      <c r="CU12" s="5" t="s">
        <v>265</v>
      </c>
      <c r="CV12" s="5">
        <v>632</v>
      </c>
      <c r="CW12" s="5">
        <v>806</v>
      </c>
      <c r="CX12" s="5">
        <v>464</v>
      </c>
      <c r="CY12" s="5">
        <v>633</v>
      </c>
      <c r="CZ12" s="5">
        <v>780</v>
      </c>
      <c r="DA12" s="5">
        <v>20</v>
      </c>
      <c r="DB12" s="5">
        <v>8</v>
      </c>
      <c r="DK12" s="4" t="s">
        <v>265</v>
      </c>
      <c r="DO12" s="5">
        <v>6</v>
      </c>
      <c r="DP12" s="5">
        <v>5</v>
      </c>
      <c r="DQ12" s="5">
        <v>8</v>
      </c>
      <c r="DR12" s="5">
        <v>3</v>
      </c>
    </row>
    <row r="13" spans="2:128" ht="12" customHeight="1" hidden="1">
      <c r="B13" s="39" t="str">
        <f>B81</f>
        <v>Tour</v>
      </c>
      <c r="C13" s="10">
        <v>1</v>
      </c>
      <c r="D13" s="11">
        <f>IF(H10=0,H9,H10)</f>
        <v>393</v>
      </c>
      <c r="E13" s="49" t="str">
        <f>G81</f>
        <v>(0) Je suis satisfait du réglages</v>
      </c>
      <c r="F13" s="11">
        <f>IF(I10=0,I9,I10)</f>
        <v>841</v>
      </c>
      <c r="G13" s="49" t="str">
        <f>G82</f>
        <v>(0) Je suis satisfait du réglages</v>
      </c>
      <c r="H13" s="11">
        <f>IF(J10=0,J9,J10)</f>
        <v>692</v>
      </c>
      <c r="I13" s="49" t="str">
        <f>G83</f>
        <v>(0) Je suis satisfait du réglages</v>
      </c>
      <c r="J13" s="11">
        <f>IF(K10=0,K9,K10)</f>
        <v>685</v>
      </c>
      <c r="K13" s="49" t="str">
        <f>G84</f>
        <v>(0) Je suis satisfait du réglages</v>
      </c>
      <c r="L13" s="11">
        <f>IF(L10=0,L9,L10)</f>
        <v>590</v>
      </c>
      <c r="M13" s="49" t="str">
        <f>G85</f>
        <v>(0) Je suis satisfait du réglages</v>
      </c>
      <c r="Q13" s="94"/>
      <c r="R13" s="95"/>
      <c r="S13" s="95" t="s">
        <v>23</v>
      </c>
      <c r="T13" s="95"/>
      <c r="U13" s="95"/>
      <c r="V13" s="95"/>
      <c r="W13" s="95"/>
      <c r="X13" s="95"/>
      <c r="Y13" s="95" t="s">
        <v>24</v>
      </c>
      <c r="Z13" s="95" t="s">
        <v>25</v>
      </c>
      <c r="AA13" s="95" t="s">
        <v>26</v>
      </c>
      <c r="AB13" s="95"/>
      <c r="AC13" s="95"/>
      <c r="AD13" s="93" t="s">
        <v>24</v>
      </c>
      <c r="AE13" s="93" t="s">
        <v>25</v>
      </c>
      <c r="AF13" s="96"/>
      <c r="AG13" s="93"/>
      <c r="AH13" s="93"/>
      <c r="AI13" s="93"/>
      <c r="AJ13" s="93"/>
      <c r="AK13" s="93" t="s">
        <v>93</v>
      </c>
      <c r="AL13" s="93" t="s">
        <v>94</v>
      </c>
      <c r="AM13" s="93"/>
      <c r="AN13" s="93"/>
      <c r="AO13" s="93"/>
      <c r="AP13" s="93"/>
      <c r="AQ13" s="93"/>
      <c r="AR13" s="93"/>
      <c r="AS13" s="93"/>
      <c r="AT13" s="4" t="s">
        <v>50</v>
      </c>
      <c r="AU13" s="125">
        <f t="shared" si="1"/>
        <v>573</v>
      </c>
      <c r="AV13" s="125">
        <f t="shared" si="2"/>
        <v>634</v>
      </c>
      <c r="AW13" s="125">
        <f t="shared" si="3"/>
        <v>384</v>
      </c>
      <c r="AX13" s="125">
        <f t="shared" si="4"/>
        <v>407</v>
      </c>
      <c r="AY13" s="125">
        <f t="shared" si="5"/>
        <v>611</v>
      </c>
      <c r="AZ13" s="125">
        <f t="shared" si="0"/>
        <v>-48.5</v>
      </c>
      <c r="BA13" s="125">
        <f t="shared" si="6"/>
        <v>48.5</v>
      </c>
      <c r="BB13" s="4">
        <v>57</v>
      </c>
      <c r="BC13" s="4">
        <v>5.404</v>
      </c>
      <c r="BD13" s="4" t="s">
        <v>181</v>
      </c>
      <c r="BE13" s="4" t="s">
        <v>180</v>
      </c>
      <c r="BF13" s="4">
        <v>109</v>
      </c>
      <c r="BG13" s="4">
        <v>146</v>
      </c>
      <c r="BH13" s="4">
        <v>183</v>
      </c>
      <c r="BI13" s="4">
        <v>221</v>
      </c>
      <c r="BJ13" s="4">
        <v>254</v>
      </c>
      <c r="BK13" s="4">
        <v>38</v>
      </c>
      <c r="BL13" s="88"/>
      <c r="BM13" s="88"/>
      <c r="BN13" s="88"/>
      <c r="BO13" s="88">
        <v>0.594749987125397</v>
      </c>
      <c r="BP13" s="88">
        <v>0.611333310604095</v>
      </c>
      <c r="BQ13" s="88">
        <v>0.557250022888184</v>
      </c>
      <c r="BR13" s="88"/>
      <c r="BS13" s="88">
        <v>0</v>
      </c>
      <c r="BT13" s="88">
        <v>0.72350001335144</v>
      </c>
      <c r="BU13" s="88">
        <v>0.768888890743256</v>
      </c>
      <c r="BV13" s="88">
        <v>0.687656223773956</v>
      </c>
      <c r="BW13" s="88">
        <v>0.698071420192719</v>
      </c>
      <c r="BX13" s="88">
        <v>0.683043479919434</v>
      </c>
      <c r="BY13" s="88">
        <v>0.645333349704742</v>
      </c>
      <c r="BZ13" s="4" t="s">
        <v>50</v>
      </c>
      <c r="CA13" s="88">
        <v>17.2</v>
      </c>
      <c r="CB13" s="88">
        <v>29.1333333333333</v>
      </c>
      <c r="CC13" s="88">
        <v>18.5666666666667</v>
      </c>
      <c r="CD13" s="88">
        <v>15.4</v>
      </c>
      <c r="CE13" s="88">
        <v>19.0333333333333</v>
      </c>
      <c r="CF13" s="88">
        <v>17.7333333333333</v>
      </c>
      <c r="CG13" s="88">
        <v>16.5666666666667</v>
      </c>
      <c r="CH13" s="88">
        <v>20.2</v>
      </c>
      <c r="CI13" s="88">
        <v>23.4</v>
      </c>
      <c r="CJ13" s="88">
        <v>18.4</v>
      </c>
      <c r="CK13" s="88">
        <v>13.6</v>
      </c>
      <c r="CL13" s="108">
        <v>1.18</v>
      </c>
      <c r="CM13" s="4" t="s">
        <v>180</v>
      </c>
      <c r="CN13" s="4">
        <v>30</v>
      </c>
      <c r="CO13" s="4" t="s">
        <v>169</v>
      </c>
      <c r="CT13" s="4" t="s">
        <v>50</v>
      </c>
      <c r="CU13" s="5" t="s">
        <v>50</v>
      </c>
      <c r="CV13" s="5">
        <v>573</v>
      </c>
      <c r="CW13" s="5">
        <v>634</v>
      </c>
      <c r="CX13" s="5">
        <v>384</v>
      </c>
      <c r="CY13" s="5">
        <v>407</v>
      </c>
      <c r="CZ13" s="5">
        <v>611</v>
      </c>
      <c r="DA13" s="5">
        <v>-97</v>
      </c>
      <c r="DB13" s="5">
        <v>27</v>
      </c>
      <c r="DC13" s="5">
        <v>716</v>
      </c>
      <c r="DD13" s="5">
        <v>514</v>
      </c>
      <c r="DE13" s="5">
        <v>447</v>
      </c>
      <c r="DF13" s="5">
        <v>298</v>
      </c>
      <c r="DG13" s="5">
        <v>494</v>
      </c>
      <c r="DH13" s="5">
        <v>-39</v>
      </c>
      <c r="DI13" s="5">
        <v>5</v>
      </c>
      <c r="DK13" s="4" t="s">
        <v>50</v>
      </c>
      <c r="DM13" s="5">
        <v>2</v>
      </c>
      <c r="DN13" s="5">
        <v>9</v>
      </c>
      <c r="DO13" s="5">
        <v>32</v>
      </c>
      <c r="DP13" s="5">
        <v>14</v>
      </c>
      <c r="DQ13" s="5">
        <v>23</v>
      </c>
      <c r="DR13" s="5">
        <v>12</v>
      </c>
      <c r="DV13" s="5">
        <v>12</v>
      </c>
      <c r="DW13" s="5">
        <v>6</v>
      </c>
      <c r="DX13" s="5">
        <v>4</v>
      </c>
    </row>
    <row r="14" spans="2:129" ht="12" customHeight="1" hidden="1">
      <c r="B14" s="41" t="str">
        <f>B87</f>
        <v>Tour</v>
      </c>
      <c r="C14" s="12">
        <v>2</v>
      </c>
      <c r="D14" s="13">
        <f>T14</f>
        <v>460.5</v>
      </c>
      <c r="E14" s="50" t="str">
        <f>G87</f>
        <v>(0) Je suis satisfait du réglages</v>
      </c>
      <c r="F14" s="13">
        <f>T25</f>
        <v>908.5</v>
      </c>
      <c r="G14" s="50" t="str">
        <f>G88</f>
        <v>(0) Je suis satisfait du réglages</v>
      </c>
      <c r="H14" s="13">
        <f>T36</f>
        <v>759.5</v>
      </c>
      <c r="I14" s="50" t="str">
        <f>G89</f>
        <v>(0) Je suis satisfait du réglages</v>
      </c>
      <c r="J14" s="13">
        <f>T47</f>
        <v>752.5</v>
      </c>
      <c r="K14" s="50" t="str">
        <f>G90</f>
        <v>(0) Je suis satisfait du réglages</v>
      </c>
      <c r="L14" s="13">
        <f>T58</f>
        <v>657.5</v>
      </c>
      <c r="M14" s="50" t="str">
        <f>G91</f>
        <v>(0) Je suis satisfait du réglages</v>
      </c>
      <c r="Q14" s="94" t="s">
        <v>27</v>
      </c>
      <c r="R14" s="97">
        <f>D13</f>
        <v>393</v>
      </c>
      <c r="S14" s="97">
        <f>VLOOKUP(E13,$Q$3:$V$9,6,FALSE)</f>
        <v>0</v>
      </c>
      <c r="T14" s="97">
        <f>IF(IF(S14=0,R14+$E$10,IF(S14=-1,R14+$E$10,IF(S14=-2,R14+(2*$E$10),IF(S14=-3,R14+(3*$E$10),IF(S14=1,R14-$E$10,IF(S14=2,R14-(2*$E$10),R14-(3*$E$10)))))))&gt;999,999,IF(S14=0,R14+$E$10,IF(S14=-1,R14+$E$10,IF(S14=-2,R14+(2*$E$10),IF(S14=-3,R14+(3*$E$10),IF(S14=1,R14-$E$10,IF(S14=2,R14-(2*$E$10),R14-(3*$E$10))))))))</f>
        <v>460.5</v>
      </c>
      <c r="U14" s="95"/>
      <c r="V14" s="95"/>
      <c r="W14" s="95"/>
      <c r="X14" s="95" t="str">
        <f>$B$13</f>
        <v>Tour</v>
      </c>
      <c r="Y14" s="97">
        <f>IF(S14=0,R14,IF(S14&lt;0,R14,T14))</f>
        <v>393</v>
      </c>
      <c r="Z14" s="97">
        <f>IF(S14&gt;0,R14,T14)</f>
        <v>460.5</v>
      </c>
      <c r="AA14" s="97">
        <f>AVERAGE(Y14:Z14)</f>
        <v>426.75</v>
      </c>
      <c r="AB14" s="97">
        <f>ROUND(IF(SUM($S$14:$S$21)&gt;0,AA14-$CP$14,AA14+$CP$14),0)</f>
        <v>494</v>
      </c>
      <c r="AC14" s="97">
        <f>AB14</f>
        <v>494</v>
      </c>
      <c r="AD14" s="98"/>
      <c r="AE14" s="98"/>
      <c r="AF14" s="99"/>
      <c r="AG14" s="98">
        <f>IF(S14=0,R14,999)</f>
        <v>393</v>
      </c>
      <c r="AH14" s="98">
        <f>IF(S14=0,R14,0)</f>
        <v>393</v>
      </c>
      <c r="AI14" s="98">
        <f>IF(S14=0,999,R14)</f>
        <v>999</v>
      </c>
      <c r="AJ14" s="98">
        <f>IF(S14=0,0,R14)</f>
        <v>0</v>
      </c>
      <c r="AK14" s="98">
        <f aca="true" t="shared" si="7" ref="AK14:AK21">IF(AG14-AH14=999,((AL14+AI14)/2),((AH14+AI14)/2))</f>
        <v>696</v>
      </c>
      <c r="AL14" s="98">
        <f>IF(R14=999,999,IF(AG14-AH14=999,(AJ14+AN14)/2,(AJ14+AG14)/2))</f>
        <v>196.5</v>
      </c>
      <c r="AM14" s="98"/>
      <c r="AN14" s="98"/>
      <c r="AO14" s="98"/>
      <c r="AP14" s="98"/>
      <c r="AQ14" s="98">
        <f>IF(S14=0,0,S14)</f>
        <v>0</v>
      </c>
      <c r="AR14" s="98">
        <f>R14</f>
        <v>393</v>
      </c>
      <c r="AS14" s="98">
        <f>IF(X14="Stop",IF(AQ13=0,0,((AR13+AR14)/2)+(2*$CP$14)),0)</f>
        <v>0</v>
      </c>
      <c r="AT14" s="4" t="s">
        <v>73</v>
      </c>
      <c r="AU14" s="125">
        <f t="shared" si="1"/>
        <v>388</v>
      </c>
      <c r="AV14" s="125">
        <f t="shared" si="2"/>
        <v>790</v>
      </c>
      <c r="AW14" s="125">
        <f t="shared" si="3"/>
        <v>709</v>
      </c>
      <c r="AX14" s="125">
        <f t="shared" si="4"/>
        <v>468</v>
      </c>
      <c r="AY14" s="125">
        <f t="shared" si="5"/>
        <v>850</v>
      </c>
      <c r="AZ14" s="125">
        <f t="shared" si="0"/>
        <v>-15.5</v>
      </c>
      <c r="BA14" s="125">
        <f t="shared" si="6"/>
        <v>15.5</v>
      </c>
      <c r="BB14" s="4">
        <v>80</v>
      </c>
      <c r="BC14" s="4">
        <v>3.071</v>
      </c>
      <c r="BD14" s="4" t="s">
        <v>182</v>
      </c>
      <c r="BE14" s="4" t="s">
        <v>183</v>
      </c>
      <c r="BF14" s="4">
        <v>134</v>
      </c>
      <c r="BG14" s="4">
        <v>180</v>
      </c>
      <c r="BH14" s="4">
        <v>226</v>
      </c>
      <c r="BI14" s="4">
        <v>272</v>
      </c>
      <c r="BJ14" s="4">
        <v>313</v>
      </c>
      <c r="BK14" s="4">
        <v>46</v>
      </c>
      <c r="BL14" s="88"/>
      <c r="BM14" s="88">
        <v>0.691999971866608</v>
      </c>
      <c r="BN14" s="88">
        <v>0.67166668176651</v>
      </c>
      <c r="BO14" s="88">
        <v>0.63400000333786</v>
      </c>
      <c r="BP14" s="88">
        <v>0.628499984741211</v>
      </c>
      <c r="BQ14" s="88">
        <v>0.615818202495575</v>
      </c>
      <c r="BR14" s="88">
        <v>0.601999998092651</v>
      </c>
      <c r="BS14" s="88">
        <v>0</v>
      </c>
      <c r="BT14" s="88">
        <v>0.848399996757507</v>
      </c>
      <c r="BU14" s="88">
        <v>0.848999977111816</v>
      </c>
      <c r="BV14" s="88">
        <v>0.812777757644653</v>
      </c>
      <c r="BW14" s="88">
        <v>0.77700001001358</v>
      </c>
      <c r="BX14" s="88">
        <v>0.748133361339569</v>
      </c>
      <c r="BY14" s="88">
        <v>0.722111105918884</v>
      </c>
      <c r="BZ14" s="4" t="s">
        <v>73</v>
      </c>
      <c r="CA14" s="88">
        <v>19.8461538461538</v>
      </c>
      <c r="CB14" s="88">
        <v>41.6538461538462</v>
      </c>
      <c r="CC14" s="88">
        <v>20.1153846153846</v>
      </c>
      <c r="CD14" s="88">
        <v>21.6923076923077</v>
      </c>
      <c r="CE14" s="88">
        <v>26.1538461538462</v>
      </c>
      <c r="CF14" s="88">
        <v>18.6153846153846</v>
      </c>
      <c r="CG14" s="88">
        <v>15.3461538461538</v>
      </c>
      <c r="CH14" s="88">
        <v>31.1153846153846</v>
      </c>
      <c r="CI14" s="88">
        <v>38.3461538461538</v>
      </c>
      <c r="CJ14" s="88">
        <v>22.7692307692308</v>
      </c>
      <c r="CK14" s="88">
        <v>18.9230769230769</v>
      </c>
      <c r="CL14" s="108">
        <v>1.05</v>
      </c>
      <c r="CM14" s="4" t="s">
        <v>183</v>
      </c>
      <c r="CN14" s="4">
        <v>26</v>
      </c>
      <c r="CO14" s="4" t="s">
        <v>170</v>
      </c>
      <c r="CP14" s="4">
        <f>($E$78-(0.4*F146)-(0.04*F148))/2</f>
        <v>67.5</v>
      </c>
      <c r="CT14" s="4" t="s">
        <v>73</v>
      </c>
      <c r="CU14" s="5" t="s">
        <v>73</v>
      </c>
      <c r="CV14" s="5">
        <v>388</v>
      </c>
      <c r="CW14" s="5">
        <v>790</v>
      </c>
      <c r="CX14" s="5">
        <v>709</v>
      </c>
      <c r="CY14" s="5">
        <v>468</v>
      </c>
      <c r="CZ14" s="5">
        <v>850</v>
      </c>
      <c r="DA14" s="5">
        <v>-31</v>
      </c>
      <c r="DB14" s="5">
        <v>26</v>
      </c>
      <c r="DC14" s="5">
        <v>537</v>
      </c>
      <c r="DD14" s="5">
        <v>579</v>
      </c>
      <c r="DE14" s="5">
        <v>808</v>
      </c>
      <c r="DF14" s="5">
        <v>437</v>
      </c>
      <c r="DG14" s="5">
        <v>759</v>
      </c>
      <c r="DH14" s="5">
        <v>40</v>
      </c>
      <c r="DI14" s="5">
        <v>1</v>
      </c>
      <c r="DK14" s="4" t="s">
        <v>73</v>
      </c>
      <c r="DM14" s="5">
        <v>5</v>
      </c>
      <c r="DN14" s="5">
        <v>4</v>
      </c>
      <c r="DO14" s="5">
        <v>9</v>
      </c>
      <c r="DP14" s="5">
        <v>2</v>
      </c>
      <c r="DQ14" s="5">
        <v>15</v>
      </c>
      <c r="DR14" s="5">
        <v>9</v>
      </c>
      <c r="DT14" s="5">
        <v>3</v>
      </c>
      <c r="DU14" s="5">
        <v>3</v>
      </c>
      <c r="DV14" s="5">
        <v>6</v>
      </c>
      <c r="DW14" s="5">
        <v>2</v>
      </c>
      <c r="DX14" s="5">
        <v>11</v>
      </c>
      <c r="DY14" s="5">
        <v>8</v>
      </c>
    </row>
    <row r="15" spans="2:129" ht="12" customHeight="1" hidden="1">
      <c r="B15" s="43" t="str">
        <f>B93</f>
        <v>Tour</v>
      </c>
      <c r="C15" s="14">
        <v>3</v>
      </c>
      <c r="D15" s="11">
        <f aca="true" t="shared" si="8" ref="D15:D20">T15</f>
        <v>494.25</v>
      </c>
      <c r="E15" s="49" t="str">
        <f>G93</f>
        <v>(0) Je suis satisfait du réglages</v>
      </c>
      <c r="F15" s="11">
        <f aca="true" t="shared" si="9" ref="F15:F20">T26</f>
        <v>942.25</v>
      </c>
      <c r="G15" s="49" t="str">
        <f>G94</f>
        <v>(0) Je suis satisfait du réglages</v>
      </c>
      <c r="H15" s="11">
        <f aca="true" t="shared" si="10" ref="H15:H20">T37</f>
        <v>793.25</v>
      </c>
      <c r="I15" s="49" t="str">
        <f>G95</f>
        <v>(0) Je suis satisfait du réglages</v>
      </c>
      <c r="J15" s="11">
        <f aca="true" t="shared" si="11" ref="J15:J20">T48</f>
        <v>786.25</v>
      </c>
      <c r="K15" s="49" t="str">
        <f>G96</f>
        <v>(0) Je suis satisfait du réglages</v>
      </c>
      <c r="L15" s="11">
        <f aca="true" t="shared" si="12" ref="L15:L20">T59</f>
        <v>691.25</v>
      </c>
      <c r="M15" s="49" t="str">
        <f>G97</f>
        <v>(0) Je suis satisfait du réglages</v>
      </c>
      <c r="Q15" s="94" t="s">
        <v>28</v>
      </c>
      <c r="R15" s="97">
        <f aca="true" t="shared" si="13" ref="R15:R21">D14</f>
        <v>460.5</v>
      </c>
      <c r="S15" s="97">
        <f aca="true" t="shared" si="14" ref="S15:S21">VLOOKUP(E14,$Q$3:$V$9,6,FALSE)</f>
        <v>0</v>
      </c>
      <c r="T15" s="97">
        <f>IF(W15&gt;999,999,IF(W15&lt;1,1,W15))</f>
        <v>494.25</v>
      </c>
      <c r="U15" s="97">
        <f aca="true" t="shared" si="15" ref="U15:U21">IF(OR(S15=-2,S15=2),R15-($CP$14*2),IF(OR(S15=-3,S15=3),R15-($CP$14*3),R15-AF15))</f>
        <v>426.75</v>
      </c>
      <c r="V15" s="97">
        <f aca="true" t="shared" si="16" ref="V15:V21">IF(OR(S15=-2,S15=2),R15+($CP$14*2),IF(OR(S15=-3,S15=3),R15+($CP$14*3),R15+AF15))</f>
        <v>494.25</v>
      </c>
      <c r="W15" s="97">
        <f>IF(AND(S14-S15=0,S14=0),IF(SUM($S$14:$S$21)&lt;0,U15,V15),IF(AND(S14-S15&gt;0,S15=0),V15,IF(S14-S15&lt;0,IF(S15&gt;=0,U15,V15),IF(AND(S14-S15=0,S15&lt;0),V15,IF(AND(S14-S15&gt;0,S14=0),V15,U15)))))</f>
        <v>494.25</v>
      </c>
      <c r="X15" s="95" t="str">
        <f>IF(X14="Stop","Stop",$B$14)</f>
        <v>Tour</v>
      </c>
      <c r="Y15" s="97">
        <f aca="true" t="shared" si="17" ref="Y15:Y21">IF(S15=0,R15,IF(S15&lt;0,R15,T15))</f>
        <v>460.5</v>
      </c>
      <c r="Z15" s="97">
        <f aca="true" t="shared" si="18" ref="Z15:Z21">IF(S15&gt;0,R15,T15)</f>
        <v>494.25</v>
      </c>
      <c r="AA15" s="97">
        <f aca="true" t="shared" si="19" ref="AA15:AA21">AVERAGE(Y15:Z15)</f>
        <v>477.375</v>
      </c>
      <c r="AB15" s="97">
        <f>IF(AND(S14=0,S15=0),(R15+R14)/2,ROUND(IF(SUM(S14:S21)&gt;0,AK15-$CP$16,AL15+$CP$16),0))</f>
        <v>426.75</v>
      </c>
      <c r="AC15" s="97">
        <f aca="true" t="shared" si="20" ref="AC15:AC21">IF(X15="stop",IF(AS15=0,AC14,AS15),AB15)</f>
        <v>426.75</v>
      </c>
      <c r="AD15" s="97">
        <f>IF(R15&lt;R14,R15,R14)</f>
        <v>393</v>
      </c>
      <c r="AE15" s="97">
        <f>IF(R15&gt;R14,R15,R14)</f>
        <v>460.5</v>
      </c>
      <c r="AF15" s="100">
        <f>IF(R14-R15&gt;0,(R14-R15)/2,(R15-R14)/2)</f>
        <v>33.75</v>
      </c>
      <c r="AG15" s="98">
        <f aca="true" t="shared" si="21" ref="AG15:AG21">IF(S15=0,IF(R15&lt;AG14,R15,AG14),AG14)</f>
        <v>393</v>
      </c>
      <c r="AH15" s="98">
        <f aca="true" t="shared" si="22" ref="AH15:AH21">IF(S15=0,IF(R15&gt;AH14,R15,AH14),AH14)</f>
        <v>460.5</v>
      </c>
      <c r="AI15" s="98">
        <f aca="true" t="shared" si="23" ref="AI15:AI21">IF(S15=0,AI14,IF(R15&lt;AI14,R15,AG14))</f>
        <v>999</v>
      </c>
      <c r="AJ15" s="98">
        <f aca="true" t="shared" si="24" ref="AJ15:AJ21">IF(S15=0,AJ14,IF(R15&gt;AJ14,R15,AJ14))</f>
        <v>0</v>
      </c>
      <c r="AK15" s="98">
        <f t="shared" si="7"/>
        <v>729.75</v>
      </c>
      <c r="AL15" s="98">
        <f aca="true" t="shared" si="25" ref="AL15:AL21">IF(R15=999,999,IF(AG15-AH15=999,(AJ15+AN15)/2,(AJ15+AG15)/2))</f>
        <v>196.5</v>
      </c>
      <c r="AM15" s="98">
        <f>S15-S14</f>
        <v>0</v>
      </c>
      <c r="AN15" s="98">
        <f aca="true" t="shared" si="26" ref="AN15:AN21">IF(AM15=0,AN14,R15)</f>
        <v>0</v>
      </c>
      <c r="AO15" s="98">
        <f>IF(S15=S14,0,1)</f>
        <v>0</v>
      </c>
      <c r="AP15" s="98">
        <f>IF(X15="Stop",AP14,IF(AO15=0,(R15+$R$14)/2,AC15))</f>
        <v>426.75</v>
      </c>
      <c r="AQ15" s="98">
        <f>IF(AQ14=0,0,IF(S15=0,0,S15))</f>
        <v>0</v>
      </c>
      <c r="AR15" s="98">
        <f>IF(AQ15=AQ14,AR14,R15)</f>
        <v>393</v>
      </c>
      <c r="AS15" s="98">
        <f aca="true" t="shared" si="27" ref="AS15:AS21">IF(X15="Stop",IF(AQ14=0,0,((AR14+AR15)/2)+(2*$CP$14)),0)</f>
        <v>0</v>
      </c>
      <c r="AT15" s="4" t="s">
        <v>38</v>
      </c>
      <c r="AU15" s="125">
        <f t="shared" si="1"/>
        <v>845</v>
      </c>
      <c r="AV15" s="125">
        <f t="shared" si="2"/>
        <v>659</v>
      </c>
      <c r="AW15" s="125">
        <f t="shared" si="3"/>
        <v>207</v>
      </c>
      <c r="AX15" s="125">
        <f t="shared" si="4"/>
        <v>561</v>
      </c>
      <c r="AY15" s="125">
        <f t="shared" si="5"/>
        <v>891</v>
      </c>
      <c r="AZ15" s="125">
        <f t="shared" si="0"/>
        <v>2</v>
      </c>
      <c r="BA15" s="125">
        <f t="shared" si="6"/>
        <v>-2</v>
      </c>
      <c r="BB15" s="4">
        <v>72</v>
      </c>
      <c r="BC15" s="4">
        <v>4.36</v>
      </c>
      <c r="BD15" s="4" t="s">
        <v>181</v>
      </c>
      <c r="BE15" s="4" t="s">
        <v>184</v>
      </c>
      <c r="BF15" s="4">
        <v>109</v>
      </c>
      <c r="BG15" s="4">
        <v>146</v>
      </c>
      <c r="BH15" s="4">
        <v>183</v>
      </c>
      <c r="BI15" s="4">
        <v>221</v>
      </c>
      <c r="BJ15" s="4">
        <v>254</v>
      </c>
      <c r="BK15" s="4">
        <v>38</v>
      </c>
      <c r="BL15" s="88"/>
      <c r="BM15" s="88">
        <v>0.50471431016922</v>
      </c>
      <c r="BN15" s="88">
        <v>0.482499986886978</v>
      </c>
      <c r="BO15" s="88">
        <v>0.463250011205673</v>
      </c>
      <c r="BP15" s="88">
        <v>0.441142857074738</v>
      </c>
      <c r="BQ15" s="88">
        <v>0.439000010490417</v>
      </c>
      <c r="BR15" s="88">
        <v>0.425000011920929</v>
      </c>
      <c r="BS15" s="88">
        <v>0.775166690349579</v>
      </c>
      <c r="BT15" s="88">
        <v>0.68066668510437</v>
      </c>
      <c r="BU15" s="88">
        <v>0.684000015258789</v>
      </c>
      <c r="BV15" s="88">
        <v>0.652181804180145</v>
      </c>
      <c r="BW15" s="88">
        <v>0.643299996852875</v>
      </c>
      <c r="BX15" s="88">
        <v>0.620480000972748</v>
      </c>
      <c r="BY15" s="88">
        <v>0.624533355236053</v>
      </c>
      <c r="BZ15" s="4" t="s">
        <v>38</v>
      </c>
      <c r="CA15" s="88">
        <v>21.6111111111111</v>
      </c>
      <c r="CB15" s="88">
        <v>36.5</v>
      </c>
      <c r="CC15" s="88">
        <v>16.8333333333333</v>
      </c>
      <c r="CD15" s="88">
        <v>21.0277777777778</v>
      </c>
      <c r="CE15" s="88">
        <v>15.4722222222222</v>
      </c>
      <c r="CF15" s="88">
        <v>13.5</v>
      </c>
      <c r="CG15" s="88">
        <v>18.4722222222222</v>
      </c>
      <c r="CH15" s="88">
        <v>38.6944444444444</v>
      </c>
      <c r="CI15" s="88">
        <v>47.3888888888889</v>
      </c>
      <c r="CJ15" s="88">
        <v>34.8055555555556</v>
      </c>
      <c r="CK15" s="88">
        <v>14.7777777777778</v>
      </c>
      <c r="CL15" s="108">
        <v>1.31</v>
      </c>
      <c r="CM15" s="4" t="s">
        <v>184</v>
      </c>
      <c r="CN15" s="4">
        <v>36</v>
      </c>
      <c r="CO15" s="4" t="s">
        <v>171</v>
      </c>
      <c r="CP15" s="4">
        <f>($E$78-(0.15*F142)-(0.22*F144)-(0.04*F148))/2</f>
        <v>67.5</v>
      </c>
      <c r="CT15" s="4" t="s">
        <v>38</v>
      </c>
      <c r="CU15" s="5" t="s">
        <v>38</v>
      </c>
      <c r="CV15" s="5">
        <v>845</v>
      </c>
      <c r="CW15" s="5">
        <v>659</v>
      </c>
      <c r="CX15" s="5">
        <v>207</v>
      </c>
      <c r="CY15" s="5">
        <v>561</v>
      </c>
      <c r="CZ15" s="5">
        <v>891</v>
      </c>
      <c r="DA15" s="5">
        <v>4</v>
      </c>
      <c r="DB15" s="5">
        <v>32</v>
      </c>
      <c r="DC15" s="5">
        <v>960</v>
      </c>
      <c r="DD15" s="5">
        <v>501</v>
      </c>
      <c r="DE15" s="5">
        <v>368</v>
      </c>
      <c r="DF15" s="5">
        <v>408</v>
      </c>
      <c r="DG15" s="5">
        <v>688</v>
      </c>
      <c r="DH15" s="5">
        <v>-24</v>
      </c>
      <c r="DI15" s="5">
        <v>6</v>
      </c>
      <c r="DK15" s="4" t="s">
        <v>38</v>
      </c>
      <c r="DL15" s="5">
        <v>6</v>
      </c>
      <c r="DM15" s="5">
        <v>6</v>
      </c>
      <c r="DN15" s="5">
        <v>12</v>
      </c>
      <c r="DO15" s="5">
        <v>11</v>
      </c>
      <c r="DP15" s="5">
        <v>10</v>
      </c>
      <c r="DQ15" s="5">
        <v>25</v>
      </c>
      <c r="DR15" s="5">
        <v>15</v>
      </c>
      <c r="DT15" s="5">
        <v>7</v>
      </c>
      <c r="DU15" s="5">
        <v>2</v>
      </c>
      <c r="DV15" s="5">
        <v>4</v>
      </c>
      <c r="DW15" s="5">
        <v>7</v>
      </c>
      <c r="DX15" s="5">
        <v>5</v>
      </c>
      <c r="DY15" s="5">
        <v>2</v>
      </c>
    </row>
    <row r="16" spans="2:127" ht="12" customHeight="1" hidden="1">
      <c r="B16" s="41" t="str">
        <f>B99</f>
        <v>Tour</v>
      </c>
      <c r="C16" s="12">
        <v>4</v>
      </c>
      <c r="D16" s="13">
        <f t="shared" si="8"/>
        <v>511.125</v>
      </c>
      <c r="E16" s="50" t="str">
        <f>G99</f>
        <v>(0) Je suis satisfait du réglages</v>
      </c>
      <c r="F16" s="13">
        <f t="shared" si="9"/>
        <v>959.125</v>
      </c>
      <c r="G16" s="50" t="str">
        <f>G100</f>
        <v>(0) Je suis satisfait du réglages</v>
      </c>
      <c r="H16" s="13">
        <f t="shared" si="10"/>
        <v>810.125</v>
      </c>
      <c r="I16" s="50" t="str">
        <f>G101</f>
        <v>(0) Je suis satisfait du réglages</v>
      </c>
      <c r="J16" s="13">
        <f t="shared" si="11"/>
        <v>803.125</v>
      </c>
      <c r="K16" s="50" t="str">
        <f>G102</f>
        <v>(0) Je suis satisfait du réglages</v>
      </c>
      <c r="L16" s="13">
        <f t="shared" si="12"/>
        <v>708.125</v>
      </c>
      <c r="M16" s="50" t="str">
        <f>G103</f>
        <v>(0) Je suis satisfait du réglages</v>
      </c>
      <c r="Q16" s="94" t="s">
        <v>29</v>
      </c>
      <c r="R16" s="97">
        <f t="shared" si="13"/>
        <v>494.25</v>
      </c>
      <c r="S16" s="97">
        <f t="shared" si="14"/>
        <v>0</v>
      </c>
      <c r="T16" s="97">
        <f aca="true" t="shared" si="28" ref="T16:T21">IF(W16&gt;999,999,IF(W16&lt;1,1,W16))</f>
        <v>511.125</v>
      </c>
      <c r="U16" s="97">
        <f t="shared" si="15"/>
        <v>477.375</v>
      </c>
      <c r="V16" s="97">
        <f t="shared" si="16"/>
        <v>511.125</v>
      </c>
      <c r="W16" s="97">
        <f aca="true" t="shared" si="29" ref="W16:W21">IF(AND(S15-S16=0,S15=0),IF(SUM($S$14:$S$21)&lt;0,U16,V16),IF(AND(S15-S16&gt;0,S16=0),V16,IF(S15-S16&lt;0,IF(S16&gt;=0,U16,V16),IF(AND(S15-S16=0,S16&lt;0),V16,IF(AND(S15-S16&gt;0,S15=0),V16,U16)))))</f>
        <v>511.125</v>
      </c>
      <c r="X16" s="95" t="str">
        <f>IF(X15="Stop","Stop",$B$15)</f>
        <v>Tour</v>
      </c>
      <c r="Y16" s="97">
        <f t="shared" si="17"/>
        <v>494.25</v>
      </c>
      <c r="Z16" s="97">
        <f t="shared" si="18"/>
        <v>511.125</v>
      </c>
      <c r="AA16" s="97">
        <f t="shared" si="19"/>
        <v>502.6875</v>
      </c>
      <c r="AB16" s="97">
        <f>IF(AND(S14=0,S15=0,S16=0),(R16+R14)/2,ROUND(IF(SUM(S14:S21)&gt;0,AK16-$CP$16,AL16+$CP$16),0))</f>
        <v>443.625</v>
      </c>
      <c r="AC16" s="97">
        <f t="shared" si="20"/>
        <v>443.625</v>
      </c>
      <c r="AD16" s="97">
        <f aca="true" t="shared" si="30" ref="AD16:AD21">IF(R16&lt;R15,R16,R15)</f>
        <v>460.5</v>
      </c>
      <c r="AE16" s="97">
        <f aca="true" t="shared" si="31" ref="AE16:AE21">IF(R16&gt;R15,R16,R15)</f>
        <v>494.25</v>
      </c>
      <c r="AF16" s="100">
        <f aca="true" t="shared" si="32" ref="AF16:AF21">IF(R15-R16&gt;0,(R15-R16)/2,(R16-R15)/2)</f>
        <v>16.875</v>
      </c>
      <c r="AG16" s="98">
        <f t="shared" si="21"/>
        <v>393</v>
      </c>
      <c r="AH16" s="98">
        <f t="shared" si="22"/>
        <v>494.25</v>
      </c>
      <c r="AI16" s="98">
        <f t="shared" si="23"/>
        <v>999</v>
      </c>
      <c r="AJ16" s="98">
        <f t="shared" si="24"/>
        <v>0</v>
      </c>
      <c r="AK16" s="98">
        <f t="shared" si="7"/>
        <v>746.625</v>
      </c>
      <c r="AL16" s="98">
        <f t="shared" si="25"/>
        <v>196.5</v>
      </c>
      <c r="AM16" s="98">
        <f aca="true" t="shared" si="33" ref="AM16:AM21">S16-S15</f>
        <v>0</v>
      </c>
      <c r="AN16" s="98">
        <f t="shared" si="26"/>
        <v>0</v>
      </c>
      <c r="AO16" s="98">
        <f aca="true" t="shared" si="34" ref="AO16:AO21">IF(S16=S15,0,1)</f>
        <v>0</v>
      </c>
      <c r="AP16" s="98">
        <f aca="true" t="shared" si="35" ref="AP16:AP21">IF(X16="Stop",AP15,IF(AO16=0,(R16+$R$14)/2,AC16))</f>
        <v>443.625</v>
      </c>
      <c r="AQ16" s="98">
        <f aca="true" t="shared" si="36" ref="AQ16:AQ21">IF(AQ15=0,0,IF(S16=0,0,S16))</f>
        <v>0</v>
      </c>
      <c r="AR16" s="98">
        <f aca="true" t="shared" si="37" ref="AR16:AR21">IF(AQ16=AQ15,AR15,R16)</f>
        <v>393</v>
      </c>
      <c r="AS16" s="98">
        <f t="shared" si="27"/>
        <v>0</v>
      </c>
      <c r="AT16" s="4" t="s">
        <v>71</v>
      </c>
      <c r="AU16" s="125">
        <f t="shared" si="1"/>
        <v>464</v>
      </c>
      <c r="AV16" s="125">
        <f t="shared" si="2"/>
        <v>802</v>
      </c>
      <c r="AW16" s="125">
        <f t="shared" si="3"/>
        <v>257</v>
      </c>
      <c r="AX16" s="125">
        <f t="shared" si="4"/>
        <v>651</v>
      </c>
      <c r="AY16" s="125">
        <f t="shared" si="5"/>
        <v>778</v>
      </c>
      <c r="AZ16" s="125">
        <f t="shared" si="0"/>
        <v>-43</v>
      </c>
      <c r="BA16" s="125">
        <f t="shared" si="6"/>
        <v>43</v>
      </c>
      <c r="BB16" s="4">
        <v>70</v>
      </c>
      <c r="BC16" s="4">
        <v>4.258</v>
      </c>
      <c r="BD16" s="4" t="s">
        <v>180</v>
      </c>
      <c r="BE16" s="4" t="s">
        <v>180</v>
      </c>
      <c r="BF16" s="4">
        <v>120</v>
      </c>
      <c r="BG16" s="4">
        <v>161</v>
      </c>
      <c r="BH16" s="4">
        <v>202</v>
      </c>
      <c r="BI16" s="4">
        <v>243</v>
      </c>
      <c r="BJ16" s="4">
        <v>279</v>
      </c>
      <c r="BK16" s="4">
        <v>41</v>
      </c>
      <c r="BL16" s="88"/>
      <c r="BM16" s="88"/>
      <c r="BN16" s="88">
        <v>0.623199999332428</v>
      </c>
      <c r="BO16" s="88"/>
      <c r="BP16" s="88">
        <v>0.552999973297119</v>
      </c>
      <c r="BQ16" s="88"/>
      <c r="BR16" s="88"/>
      <c r="BS16" s="88">
        <v>0.817333340644836</v>
      </c>
      <c r="BT16" s="88">
        <v>0.767666637897491</v>
      </c>
      <c r="BU16" s="88">
        <v>0.720578968524933</v>
      </c>
      <c r="BV16" s="88">
        <v>0.736999988555908</v>
      </c>
      <c r="BW16" s="88">
        <v>0.688666641712189</v>
      </c>
      <c r="BX16" s="88">
        <v>0.678399980068207</v>
      </c>
      <c r="BY16" s="88">
        <v>0.664499998092651</v>
      </c>
      <c r="BZ16" s="4" t="s">
        <v>71</v>
      </c>
      <c r="CA16" s="88">
        <v>15.8235294117647</v>
      </c>
      <c r="CB16" s="88">
        <v>35.1176470588235</v>
      </c>
      <c r="CC16" s="88">
        <v>21</v>
      </c>
      <c r="CD16" s="88">
        <v>18.3529411764706</v>
      </c>
      <c r="CE16" s="88">
        <v>20.1764705882353</v>
      </c>
      <c r="CF16" s="88">
        <v>14.3529411764706</v>
      </c>
      <c r="CG16" s="88">
        <v>10.9411764705882</v>
      </c>
      <c r="CH16" s="88">
        <v>26.8235294117647</v>
      </c>
      <c r="CI16" s="88">
        <v>30.3529411764706</v>
      </c>
      <c r="CJ16" s="88">
        <v>23.7058823529412</v>
      </c>
      <c r="CK16" s="88">
        <v>10.2941176470588</v>
      </c>
      <c r="CL16" s="108">
        <v>1.2</v>
      </c>
      <c r="CM16" s="4" t="s">
        <v>180</v>
      </c>
      <c r="CN16" s="4">
        <v>17</v>
      </c>
      <c r="CO16" s="4" t="s">
        <v>172</v>
      </c>
      <c r="CP16" s="4">
        <f>($E$78-(0.24*F142)-(0.01*F146)-(0.09*F144)-(0.06*F148))/2</f>
        <v>67.5</v>
      </c>
      <c r="CT16" s="4" t="s">
        <v>71</v>
      </c>
      <c r="CU16" s="5" t="s">
        <v>71</v>
      </c>
      <c r="CV16" s="5">
        <v>464</v>
      </c>
      <c r="CW16" s="5">
        <v>802</v>
      </c>
      <c r="CX16" s="5">
        <v>257</v>
      </c>
      <c r="CY16" s="5">
        <v>651</v>
      </c>
      <c r="CZ16" s="5">
        <v>778</v>
      </c>
      <c r="DA16" s="5">
        <v>-86</v>
      </c>
      <c r="DB16" s="5">
        <v>18</v>
      </c>
      <c r="DK16" s="4" t="s">
        <v>71</v>
      </c>
      <c r="DL16" s="5">
        <v>3</v>
      </c>
      <c r="DM16" s="5">
        <v>6</v>
      </c>
      <c r="DN16" s="5">
        <v>19</v>
      </c>
      <c r="DO16" s="5">
        <v>4</v>
      </c>
      <c r="DP16" s="5">
        <v>9</v>
      </c>
      <c r="DQ16" s="5">
        <v>5</v>
      </c>
      <c r="DR16" s="5">
        <v>4</v>
      </c>
      <c r="DU16" s="5">
        <v>5</v>
      </c>
      <c r="DW16" s="5">
        <v>2</v>
      </c>
    </row>
    <row r="17" spans="2:122" ht="12" customHeight="1" hidden="1">
      <c r="B17" s="43" t="str">
        <f>B105</f>
        <v>Tour</v>
      </c>
      <c r="C17" s="14">
        <v>5</v>
      </c>
      <c r="D17" s="11">
        <f t="shared" si="8"/>
        <v>519.5625</v>
      </c>
      <c r="E17" s="49" t="str">
        <f>G105</f>
        <v>(0) Je suis satisfait du réglages</v>
      </c>
      <c r="F17" s="11">
        <f t="shared" si="9"/>
        <v>967.5625</v>
      </c>
      <c r="G17" s="49" t="str">
        <f>G106</f>
        <v>(0) Je suis satisfait du réglages</v>
      </c>
      <c r="H17" s="11">
        <f t="shared" si="10"/>
        <v>818.5625</v>
      </c>
      <c r="I17" s="49" t="str">
        <f>G107</f>
        <v>(0) Je suis satisfait du réglages</v>
      </c>
      <c r="J17" s="11">
        <f t="shared" si="11"/>
        <v>811.5625</v>
      </c>
      <c r="K17" s="49" t="str">
        <f>G108</f>
        <v>(0) Je suis satisfait du réglages</v>
      </c>
      <c r="L17" s="11">
        <f t="shared" si="12"/>
        <v>716.5625</v>
      </c>
      <c r="M17" s="49" t="str">
        <f>G109</f>
        <v>(0) Je suis satisfait du réglages</v>
      </c>
      <c r="Q17" s="94" t="s">
        <v>30</v>
      </c>
      <c r="R17" s="97">
        <f t="shared" si="13"/>
        <v>511.125</v>
      </c>
      <c r="S17" s="97">
        <f t="shared" si="14"/>
        <v>0</v>
      </c>
      <c r="T17" s="97">
        <f t="shared" si="28"/>
        <v>519.5625</v>
      </c>
      <c r="U17" s="97">
        <f t="shared" si="15"/>
        <v>502.6875</v>
      </c>
      <c r="V17" s="97">
        <f t="shared" si="16"/>
        <v>519.5625</v>
      </c>
      <c r="W17" s="97">
        <f t="shared" si="29"/>
        <v>519.5625</v>
      </c>
      <c r="X17" s="95" t="str">
        <f>IF(X16="Stop","Stop",$B$16)</f>
        <v>Tour</v>
      </c>
      <c r="Y17" s="97">
        <f t="shared" si="17"/>
        <v>511.125</v>
      </c>
      <c r="Z17" s="97">
        <f t="shared" si="18"/>
        <v>519.5625</v>
      </c>
      <c r="AA17" s="97">
        <f t="shared" si="19"/>
        <v>515.34375</v>
      </c>
      <c r="AB17" s="97">
        <f>IF(AND(S14=0,S15=0,S16=0,S17=0),(R17+R14)/2,ROUND(IF(SUM(S14:S21)&gt;0,AK17-$CP$16,AL17+$CP$16),0))</f>
        <v>452.0625</v>
      </c>
      <c r="AC17" s="97">
        <f t="shared" si="20"/>
        <v>452.0625</v>
      </c>
      <c r="AD17" s="97">
        <f t="shared" si="30"/>
        <v>494.25</v>
      </c>
      <c r="AE17" s="97">
        <f t="shared" si="31"/>
        <v>511.125</v>
      </c>
      <c r="AF17" s="100">
        <f t="shared" si="32"/>
        <v>8.4375</v>
      </c>
      <c r="AG17" s="98">
        <f t="shared" si="21"/>
        <v>393</v>
      </c>
      <c r="AH17" s="98">
        <f t="shared" si="22"/>
        <v>511.125</v>
      </c>
      <c r="AI17" s="98">
        <f t="shared" si="23"/>
        <v>999</v>
      </c>
      <c r="AJ17" s="98">
        <f t="shared" si="24"/>
        <v>0</v>
      </c>
      <c r="AK17" s="98">
        <f t="shared" si="7"/>
        <v>755.0625</v>
      </c>
      <c r="AL17" s="98">
        <f t="shared" si="25"/>
        <v>196.5</v>
      </c>
      <c r="AM17" s="98">
        <f t="shared" si="33"/>
        <v>0</v>
      </c>
      <c r="AN17" s="98">
        <f t="shared" si="26"/>
        <v>0</v>
      </c>
      <c r="AO17" s="98">
        <f t="shared" si="34"/>
        <v>0</v>
      </c>
      <c r="AP17" s="98">
        <f t="shared" si="35"/>
        <v>452.0625</v>
      </c>
      <c r="AQ17" s="98">
        <f t="shared" si="36"/>
        <v>0</v>
      </c>
      <c r="AR17" s="98">
        <f t="shared" si="37"/>
        <v>393</v>
      </c>
      <c r="AS17" s="98">
        <f t="shared" si="27"/>
        <v>0</v>
      </c>
      <c r="AT17" s="4" t="s">
        <v>60</v>
      </c>
      <c r="AU17" s="125">
        <f t="shared" si="1"/>
        <v>512</v>
      </c>
      <c r="AV17" s="125">
        <f t="shared" si="2"/>
        <v>748</v>
      </c>
      <c r="AW17" s="125">
        <f t="shared" si="3"/>
        <v>285</v>
      </c>
      <c r="AX17" s="125">
        <f t="shared" si="4"/>
        <v>278</v>
      </c>
      <c r="AY17" s="125">
        <f t="shared" si="5"/>
        <v>987</v>
      </c>
      <c r="AZ17" s="125">
        <f t="shared" si="0"/>
        <v>-12</v>
      </c>
      <c r="BA17" s="125">
        <f t="shared" si="6"/>
        <v>12</v>
      </c>
      <c r="BB17" s="4">
        <v>79</v>
      </c>
      <c r="BC17" s="4">
        <v>3.02</v>
      </c>
      <c r="BD17" s="4" t="s">
        <v>181</v>
      </c>
      <c r="BE17" s="4" t="s">
        <v>183</v>
      </c>
      <c r="BF17" s="4">
        <v>109</v>
      </c>
      <c r="BG17" s="4">
        <v>146</v>
      </c>
      <c r="BH17" s="4">
        <v>183</v>
      </c>
      <c r="BI17" s="4">
        <v>221</v>
      </c>
      <c r="BJ17" s="4">
        <v>254</v>
      </c>
      <c r="BK17" s="4">
        <v>38</v>
      </c>
      <c r="BL17" s="88"/>
      <c r="BM17" s="88"/>
      <c r="BN17" s="88"/>
      <c r="BO17" s="88"/>
      <c r="BP17" s="88"/>
      <c r="BQ17" s="88"/>
      <c r="BR17" s="88"/>
      <c r="BS17" s="88">
        <v>0.878600001335144</v>
      </c>
      <c r="BT17" s="88"/>
      <c r="BU17" s="88">
        <v>0.823333323001862</v>
      </c>
      <c r="BV17" s="88">
        <v>0.806500017642975</v>
      </c>
      <c r="BW17" s="88">
        <v>0.803636372089386</v>
      </c>
      <c r="BX17" s="88">
        <v>0.78766667842865</v>
      </c>
      <c r="BY17" s="88">
        <v>0.758499979972839</v>
      </c>
      <c r="BZ17" s="4" t="s">
        <v>60</v>
      </c>
      <c r="CA17" s="88">
        <v>20.7272727272727</v>
      </c>
      <c r="CB17" s="88">
        <v>32.8181818181818</v>
      </c>
      <c r="CC17" s="88">
        <v>20.2727272727273</v>
      </c>
      <c r="CD17" s="88">
        <v>22.3636363636364</v>
      </c>
      <c r="CE17" s="88">
        <v>16.9090909090909</v>
      </c>
      <c r="CF17" s="88">
        <v>14.3636363636364</v>
      </c>
      <c r="CG17" s="88">
        <v>16.6818181818182</v>
      </c>
      <c r="CH17" s="88">
        <v>26.2272727272727</v>
      </c>
      <c r="CI17" s="88">
        <v>33.7272727272727</v>
      </c>
      <c r="CJ17" s="88">
        <v>23.7272727272727</v>
      </c>
      <c r="CK17" s="88">
        <v>16.7727272727273</v>
      </c>
      <c r="CL17" s="108">
        <v>1.0108</v>
      </c>
      <c r="CM17" s="4" t="s">
        <v>183</v>
      </c>
      <c r="CN17" s="4">
        <v>22</v>
      </c>
      <c r="CO17" s="4" t="s">
        <v>173</v>
      </c>
      <c r="CP17" s="4">
        <f>($E$78-(0.07*F142)-(0.29*F144)-(0.06*F148))/2</f>
        <v>67.5</v>
      </c>
      <c r="CT17" s="4" t="s">
        <v>60</v>
      </c>
      <c r="CU17" s="5" t="s">
        <v>60</v>
      </c>
      <c r="CV17" s="5">
        <v>512</v>
      </c>
      <c r="CW17" s="5">
        <v>748</v>
      </c>
      <c r="CX17" s="5">
        <v>285</v>
      </c>
      <c r="CY17" s="5">
        <v>278</v>
      </c>
      <c r="CZ17" s="5">
        <v>987</v>
      </c>
      <c r="DA17" s="5">
        <v>-24</v>
      </c>
      <c r="DB17" s="5">
        <v>22</v>
      </c>
      <c r="DK17" s="4" t="s">
        <v>60</v>
      </c>
      <c r="DL17" s="5">
        <v>10</v>
      </c>
      <c r="DN17" s="5">
        <v>6</v>
      </c>
      <c r="DO17" s="5">
        <v>4</v>
      </c>
      <c r="DP17" s="5">
        <v>22</v>
      </c>
      <c r="DQ17" s="5">
        <v>12</v>
      </c>
      <c r="DR17" s="5">
        <v>8</v>
      </c>
    </row>
    <row r="18" spans="2:129" ht="12" customHeight="1" hidden="1">
      <c r="B18" s="41" t="str">
        <f>B111</f>
        <v>Tour</v>
      </c>
      <c r="C18" s="12">
        <v>6</v>
      </c>
      <c r="D18" s="13">
        <f t="shared" si="8"/>
        <v>523.78125</v>
      </c>
      <c r="E18" s="50" t="str">
        <f>G111</f>
        <v>(0) Je suis satisfait du réglages</v>
      </c>
      <c r="F18" s="13">
        <f t="shared" si="9"/>
        <v>971.78125</v>
      </c>
      <c r="G18" s="50" t="str">
        <f>G112</f>
        <v>(0) Je suis satisfait du réglages</v>
      </c>
      <c r="H18" s="13">
        <f t="shared" si="10"/>
        <v>822.78125</v>
      </c>
      <c r="I18" s="50" t="str">
        <f>G113</f>
        <v>(0) Je suis satisfait du réglages</v>
      </c>
      <c r="J18" s="13">
        <f t="shared" si="11"/>
        <v>815.78125</v>
      </c>
      <c r="K18" s="50" t="str">
        <f>G114</f>
        <v>(0) Je suis satisfait du réglages</v>
      </c>
      <c r="L18" s="13">
        <f t="shared" si="12"/>
        <v>720.78125</v>
      </c>
      <c r="M18" s="50" t="str">
        <f>G115</f>
        <v>(0) Je suis satisfait du réglages</v>
      </c>
      <c r="Q18" s="94" t="s">
        <v>31</v>
      </c>
      <c r="R18" s="97">
        <f t="shared" si="13"/>
        <v>519.5625</v>
      </c>
      <c r="S18" s="97">
        <f t="shared" si="14"/>
        <v>0</v>
      </c>
      <c r="T18" s="97">
        <f t="shared" si="28"/>
        <v>523.78125</v>
      </c>
      <c r="U18" s="97">
        <f t="shared" si="15"/>
        <v>515.34375</v>
      </c>
      <c r="V18" s="97">
        <f t="shared" si="16"/>
        <v>523.78125</v>
      </c>
      <c r="W18" s="97">
        <f t="shared" si="29"/>
        <v>523.78125</v>
      </c>
      <c r="X18" s="95" t="str">
        <f>IF(X17="Stop","Stop",$B$17)</f>
        <v>Tour</v>
      </c>
      <c r="Y18" s="97">
        <f t="shared" si="17"/>
        <v>519.5625</v>
      </c>
      <c r="Z18" s="97">
        <f t="shared" si="18"/>
        <v>523.78125</v>
      </c>
      <c r="AA18" s="97">
        <f t="shared" si="19"/>
        <v>521.671875</v>
      </c>
      <c r="AB18" s="97">
        <f>IF(AND(S14=0,S15=0,S16=0,S17=0,S18=0),(R18+R14)/2,ROUND(IF(SUM(S14:S21)&gt;0,AK18-$CP$16,AL18+$CP$16),0))</f>
        <v>456.28125</v>
      </c>
      <c r="AC18" s="97">
        <f t="shared" si="20"/>
        <v>456.28125</v>
      </c>
      <c r="AD18" s="97">
        <f t="shared" si="30"/>
        <v>511.125</v>
      </c>
      <c r="AE18" s="97">
        <f t="shared" si="31"/>
        <v>519.5625</v>
      </c>
      <c r="AF18" s="100">
        <f t="shared" si="32"/>
        <v>4.21875</v>
      </c>
      <c r="AG18" s="98">
        <f t="shared" si="21"/>
        <v>393</v>
      </c>
      <c r="AH18" s="98">
        <f t="shared" si="22"/>
        <v>519.5625</v>
      </c>
      <c r="AI18" s="98">
        <f t="shared" si="23"/>
        <v>999</v>
      </c>
      <c r="AJ18" s="98">
        <f t="shared" si="24"/>
        <v>0</v>
      </c>
      <c r="AK18" s="98">
        <f t="shared" si="7"/>
        <v>759.28125</v>
      </c>
      <c r="AL18" s="98">
        <f t="shared" si="25"/>
        <v>196.5</v>
      </c>
      <c r="AM18" s="98">
        <f t="shared" si="33"/>
        <v>0</v>
      </c>
      <c r="AN18" s="98">
        <f t="shared" si="26"/>
        <v>0</v>
      </c>
      <c r="AO18" s="98">
        <f t="shared" si="34"/>
        <v>0</v>
      </c>
      <c r="AP18" s="98">
        <f t="shared" si="35"/>
        <v>456.28125</v>
      </c>
      <c r="AQ18" s="98">
        <f t="shared" si="36"/>
        <v>0</v>
      </c>
      <c r="AR18" s="98">
        <f t="shared" si="37"/>
        <v>393</v>
      </c>
      <c r="AS18" s="98">
        <f t="shared" si="27"/>
        <v>0</v>
      </c>
      <c r="AT18" s="4" t="s">
        <v>63</v>
      </c>
      <c r="AU18" s="125">
        <f t="shared" si="1"/>
        <v>357</v>
      </c>
      <c r="AV18" s="125">
        <f t="shared" si="2"/>
        <v>752</v>
      </c>
      <c r="AW18" s="125">
        <f t="shared" si="3"/>
        <v>579</v>
      </c>
      <c r="AX18" s="125">
        <f t="shared" si="4"/>
        <v>594</v>
      </c>
      <c r="AY18" s="125">
        <f t="shared" si="5"/>
        <v>670</v>
      </c>
      <c r="AZ18" s="125">
        <f t="shared" si="0"/>
        <v>44.5</v>
      </c>
      <c r="BA18" s="125">
        <f t="shared" si="6"/>
        <v>-44.5</v>
      </c>
      <c r="BB18" s="4">
        <v>67</v>
      </c>
      <c r="BC18" s="4">
        <v>4.558</v>
      </c>
      <c r="BD18" s="4" t="s">
        <v>180</v>
      </c>
      <c r="BE18" s="4" t="s">
        <v>180</v>
      </c>
      <c r="BF18" s="4">
        <v>120</v>
      </c>
      <c r="BG18" s="4">
        <v>161</v>
      </c>
      <c r="BH18" s="4">
        <v>202</v>
      </c>
      <c r="BI18" s="4">
        <v>243</v>
      </c>
      <c r="BJ18" s="4">
        <v>279</v>
      </c>
      <c r="BK18" s="4">
        <v>41</v>
      </c>
      <c r="BL18" s="88"/>
      <c r="BM18" s="88">
        <v>0.512000024318695</v>
      </c>
      <c r="BN18" s="88"/>
      <c r="BO18" s="88">
        <v>0.5</v>
      </c>
      <c r="BP18" s="88">
        <v>0.478416681289673</v>
      </c>
      <c r="BQ18" s="88">
        <v>0.46187499165535</v>
      </c>
      <c r="BR18" s="88">
        <v>0.450666666030884</v>
      </c>
      <c r="BS18" s="88">
        <v>0.809499979019165</v>
      </c>
      <c r="BT18" s="88">
        <v>0.767374992370605</v>
      </c>
      <c r="BU18" s="88">
        <v>0.742312490940094</v>
      </c>
      <c r="BV18" s="88">
        <v>0.733833312988281</v>
      </c>
      <c r="BW18" s="88">
        <v>0.691999971866608</v>
      </c>
      <c r="BX18" s="88">
        <v>0.679857134819031</v>
      </c>
      <c r="BY18" s="88">
        <v>0.653249979019165</v>
      </c>
      <c r="BZ18" s="4" t="s">
        <v>63</v>
      </c>
      <c r="CA18" s="88">
        <v>22.3333333333333</v>
      </c>
      <c r="CB18" s="88">
        <v>25.2941176470588</v>
      </c>
      <c r="CC18" s="88">
        <v>14.3137254901961</v>
      </c>
      <c r="CD18" s="88">
        <v>16.6274509803922</v>
      </c>
      <c r="CE18" s="88">
        <v>16.8235294117647</v>
      </c>
      <c r="CF18" s="88">
        <v>16.5882352941176</v>
      </c>
      <c r="CG18" s="88">
        <v>22.4901960784314</v>
      </c>
      <c r="CH18" s="88">
        <v>19.3921568627451</v>
      </c>
      <c r="CI18" s="88">
        <v>36.0588235294118</v>
      </c>
      <c r="CJ18" s="88">
        <v>15.4117647058824</v>
      </c>
      <c r="CK18" s="88">
        <v>14.3725490196078</v>
      </c>
      <c r="CL18" s="108">
        <v>1.1827</v>
      </c>
      <c r="CM18" s="4" t="s">
        <v>180</v>
      </c>
      <c r="CN18" s="4">
        <v>51</v>
      </c>
      <c r="CO18" s="4" t="s">
        <v>174</v>
      </c>
      <c r="CP18" s="4">
        <f>($E$78-(0.26*F142)-(0.09*F146)-(0.09*F148))/2</f>
        <v>67.5</v>
      </c>
      <c r="CT18" s="4" t="s">
        <v>63</v>
      </c>
      <c r="CU18" s="5" t="s">
        <v>63</v>
      </c>
      <c r="CV18" s="5">
        <v>357</v>
      </c>
      <c r="CW18" s="5">
        <v>752</v>
      </c>
      <c r="CX18" s="5">
        <v>579</v>
      </c>
      <c r="CY18" s="5">
        <v>594</v>
      </c>
      <c r="CZ18" s="5">
        <v>670</v>
      </c>
      <c r="DA18" s="5">
        <v>89</v>
      </c>
      <c r="DB18" s="5">
        <v>44</v>
      </c>
      <c r="DC18" s="5">
        <v>490</v>
      </c>
      <c r="DD18" s="5">
        <v>594</v>
      </c>
      <c r="DE18" s="5">
        <v>693</v>
      </c>
      <c r="DF18" s="5">
        <v>436</v>
      </c>
      <c r="DG18" s="5">
        <v>482</v>
      </c>
      <c r="DH18" s="5">
        <v>111</v>
      </c>
      <c r="DI18" s="5">
        <v>7</v>
      </c>
      <c r="DK18" s="4" t="s">
        <v>63</v>
      </c>
      <c r="DL18" s="5">
        <v>2</v>
      </c>
      <c r="DM18" s="5">
        <v>8</v>
      </c>
      <c r="DN18" s="5">
        <v>16</v>
      </c>
      <c r="DO18" s="5">
        <v>12</v>
      </c>
      <c r="DP18" s="5">
        <v>32</v>
      </c>
      <c r="DQ18" s="5">
        <v>56</v>
      </c>
      <c r="DR18" s="5">
        <v>16</v>
      </c>
      <c r="DT18" s="5">
        <v>2</v>
      </c>
      <c r="DV18" s="5">
        <v>1</v>
      </c>
      <c r="DW18" s="5">
        <v>12</v>
      </c>
      <c r="DX18" s="5">
        <v>8</v>
      </c>
      <c r="DY18" s="5">
        <v>3</v>
      </c>
    </row>
    <row r="19" spans="2:129" ht="12" customHeight="1" hidden="1">
      <c r="B19" s="43" t="str">
        <f>B117</f>
        <v>Tour</v>
      </c>
      <c r="C19" s="14">
        <v>7</v>
      </c>
      <c r="D19" s="11">
        <f t="shared" si="8"/>
        <v>525.890625</v>
      </c>
      <c r="E19" s="49" t="str">
        <f>G117</f>
        <v>(0) Je suis satisfait du réglages</v>
      </c>
      <c r="F19" s="11">
        <f t="shared" si="9"/>
        <v>973.890625</v>
      </c>
      <c r="G19" s="49" t="str">
        <f>G118</f>
        <v>(0) Je suis satisfait du réglages</v>
      </c>
      <c r="H19" s="11">
        <f t="shared" si="10"/>
        <v>824.890625</v>
      </c>
      <c r="I19" s="49" t="str">
        <f>G119</f>
        <v>(0) Je suis satisfait du réglages</v>
      </c>
      <c r="J19" s="11">
        <f t="shared" si="11"/>
        <v>817.890625</v>
      </c>
      <c r="K19" s="49" t="str">
        <f>G120</f>
        <v>(0) Je suis satisfait du réglages</v>
      </c>
      <c r="L19" s="11">
        <f t="shared" si="12"/>
        <v>722.890625</v>
      </c>
      <c r="M19" s="49" t="str">
        <f>G121</f>
        <v>(0) Je suis satisfait du réglages</v>
      </c>
      <c r="Q19" s="94" t="s">
        <v>32</v>
      </c>
      <c r="R19" s="97">
        <f t="shared" si="13"/>
        <v>523.78125</v>
      </c>
      <c r="S19" s="97">
        <f t="shared" si="14"/>
        <v>0</v>
      </c>
      <c r="T19" s="97">
        <f t="shared" si="28"/>
        <v>525.890625</v>
      </c>
      <c r="U19" s="97">
        <f t="shared" si="15"/>
        <v>521.671875</v>
      </c>
      <c r="V19" s="97">
        <f t="shared" si="16"/>
        <v>525.890625</v>
      </c>
      <c r="W19" s="97">
        <f t="shared" si="29"/>
        <v>525.890625</v>
      </c>
      <c r="X19" s="95" t="str">
        <f>IF(X18="Stop","Stop",$B$18)</f>
        <v>Tour</v>
      </c>
      <c r="Y19" s="97">
        <f t="shared" si="17"/>
        <v>523.78125</v>
      </c>
      <c r="Z19" s="97">
        <f t="shared" si="18"/>
        <v>525.890625</v>
      </c>
      <c r="AA19" s="97">
        <f t="shared" si="19"/>
        <v>524.8359375</v>
      </c>
      <c r="AB19" s="97">
        <f>IF(AND(S14=0,S15=0,S16=0,S17=0,S18=0,S19=0),(R19+R14)/2,ROUND(IF(SUM(S14:S21)&gt;0,AK19-$CP$16,AL19+$CP$16),0))</f>
        <v>458.390625</v>
      </c>
      <c r="AC19" s="97">
        <f t="shared" si="20"/>
        <v>458.390625</v>
      </c>
      <c r="AD19" s="97">
        <f t="shared" si="30"/>
        <v>519.5625</v>
      </c>
      <c r="AE19" s="97">
        <f t="shared" si="31"/>
        <v>523.78125</v>
      </c>
      <c r="AF19" s="100">
        <f t="shared" si="32"/>
        <v>2.109375</v>
      </c>
      <c r="AG19" s="98">
        <f t="shared" si="21"/>
        <v>393</v>
      </c>
      <c r="AH19" s="98">
        <f t="shared" si="22"/>
        <v>523.78125</v>
      </c>
      <c r="AI19" s="98">
        <f t="shared" si="23"/>
        <v>999</v>
      </c>
      <c r="AJ19" s="98">
        <f t="shared" si="24"/>
        <v>0</v>
      </c>
      <c r="AK19" s="98">
        <f t="shared" si="7"/>
        <v>761.390625</v>
      </c>
      <c r="AL19" s="98">
        <f t="shared" si="25"/>
        <v>196.5</v>
      </c>
      <c r="AM19" s="98">
        <f t="shared" si="33"/>
        <v>0</v>
      </c>
      <c r="AN19" s="98">
        <f t="shared" si="26"/>
        <v>0</v>
      </c>
      <c r="AO19" s="98">
        <f t="shared" si="34"/>
        <v>0</v>
      </c>
      <c r="AP19" s="98">
        <f t="shared" si="35"/>
        <v>458.390625</v>
      </c>
      <c r="AQ19" s="98">
        <f t="shared" si="36"/>
        <v>0</v>
      </c>
      <c r="AR19" s="98">
        <f t="shared" si="37"/>
        <v>393</v>
      </c>
      <c r="AS19" s="98">
        <f t="shared" si="27"/>
        <v>0</v>
      </c>
      <c r="AT19" s="4" t="s">
        <v>54</v>
      </c>
      <c r="AU19" s="125">
        <f t="shared" si="1"/>
        <v>566</v>
      </c>
      <c r="AV19" s="125">
        <f t="shared" si="2"/>
        <v>739</v>
      </c>
      <c r="AW19" s="125">
        <f t="shared" si="3"/>
        <v>392</v>
      </c>
      <c r="AX19" s="125">
        <f t="shared" si="4"/>
        <v>631</v>
      </c>
      <c r="AY19" s="125">
        <f t="shared" si="5"/>
        <v>352</v>
      </c>
      <c r="AZ19" s="125">
        <f t="shared" si="0"/>
        <v>-101.5</v>
      </c>
      <c r="BA19" s="125">
        <f t="shared" si="6"/>
        <v>101.5</v>
      </c>
      <c r="BB19" s="4">
        <v>67</v>
      </c>
      <c r="BC19" s="4">
        <v>4.573</v>
      </c>
      <c r="BD19" s="4" t="s">
        <v>180</v>
      </c>
      <c r="BE19" s="4" t="s">
        <v>181</v>
      </c>
      <c r="BF19" s="4">
        <v>120</v>
      </c>
      <c r="BG19" s="4">
        <v>161</v>
      </c>
      <c r="BH19" s="4">
        <v>202</v>
      </c>
      <c r="BI19" s="4">
        <v>243</v>
      </c>
      <c r="BJ19" s="4">
        <v>279</v>
      </c>
      <c r="BK19" s="4">
        <v>41</v>
      </c>
      <c r="BL19" s="88"/>
      <c r="BM19" s="88"/>
      <c r="BN19" s="88"/>
      <c r="BO19" s="88">
        <v>0.611874997615814</v>
      </c>
      <c r="BP19" s="88">
        <v>0.606000006198883</v>
      </c>
      <c r="BQ19" s="88">
        <v>0.572666645050049</v>
      </c>
      <c r="BR19" s="88">
        <v>0.549000024795532</v>
      </c>
      <c r="BS19" s="88">
        <v>0.811999976634979</v>
      </c>
      <c r="BT19" s="88">
        <v>0.803250014781952</v>
      </c>
      <c r="BU19" s="88">
        <v>0.765399992465973</v>
      </c>
      <c r="BV19" s="88">
        <v>0.746428549289703</v>
      </c>
      <c r="BW19" s="88">
        <v>0.733052611351013</v>
      </c>
      <c r="BX19" s="88">
        <v>0.687799990177155</v>
      </c>
      <c r="BY19" s="88">
        <v>0.717000007629395</v>
      </c>
      <c r="BZ19" s="4" t="s">
        <v>54</v>
      </c>
      <c r="CA19" s="88">
        <v>20.4782608695652</v>
      </c>
      <c r="CB19" s="88">
        <v>39.6086956521739</v>
      </c>
      <c r="CC19" s="88">
        <v>14.695652173913</v>
      </c>
      <c r="CD19" s="88">
        <v>15.7826086956522</v>
      </c>
      <c r="CE19" s="88">
        <v>16.1304347826087</v>
      </c>
      <c r="CF19" s="88">
        <v>13.2608695652174</v>
      </c>
      <c r="CG19" s="88">
        <v>14</v>
      </c>
      <c r="CH19" s="88">
        <v>25.2173913043478</v>
      </c>
      <c r="CI19" s="88">
        <v>34</v>
      </c>
      <c r="CJ19" s="88">
        <v>17.7826086956522</v>
      </c>
      <c r="CK19" s="88">
        <v>12.304347826087</v>
      </c>
      <c r="CL19" s="108">
        <v>1.12</v>
      </c>
      <c r="CM19" s="4" t="s">
        <v>181</v>
      </c>
      <c r="CN19" s="4">
        <v>23</v>
      </c>
      <c r="CT19" s="4" t="s">
        <v>54</v>
      </c>
      <c r="CU19" s="5" t="s">
        <v>54</v>
      </c>
      <c r="CV19" s="5">
        <v>566</v>
      </c>
      <c r="CW19" s="5">
        <v>739</v>
      </c>
      <c r="CX19" s="5">
        <v>392</v>
      </c>
      <c r="CY19" s="5">
        <v>631</v>
      </c>
      <c r="CZ19" s="5">
        <v>352</v>
      </c>
      <c r="DA19" s="5">
        <v>-203</v>
      </c>
      <c r="DB19" s="5">
        <v>18</v>
      </c>
      <c r="DC19" s="5">
        <v>659</v>
      </c>
      <c r="DD19" s="5">
        <v>650</v>
      </c>
      <c r="DE19" s="5">
        <v>433</v>
      </c>
      <c r="DF19" s="5">
        <v>538</v>
      </c>
      <c r="DG19" s="5">
        <v>287</v>
      </c>
      <c r="DH19" s="5">
        <v>-276</v>
      </c>
      <c r="DI19" s="5">
        <v>5</v>
      </c>
      <c r="DK19" s="4" t="s">
        <v>54</v>
      </c>
      <c r="DL19" s="5">
        <v>8</v>
      </c>
      <c r="DM19" s="5">
        <v>4</v>
      </c>
      <c r="DN19" s="5">
        <v>5</v>
      </c>
      <c r="DO19" s="5">
        <v>7</v>
      </c>
      <c r="DP19" s="5">
        <v>19</v>
      </c>
      <c r="DQ19" s="5">
        <v>5</v>
      </c>
      <c r="DR19" s="5">
        <v>3</v>
      </c>
      <c r="DV19" s="5">
        <v>8</v>
      </c>
      <c r="DW19" s="5">
        <v>3</v>
      </c>
      <c r="DX19" s="5">
        <v>6</v>
      </c>
      <c r="DY19" s="5">
        <v>3</v>
      </c>
    </row>
    <row r="20" spans="2:129" ht="12" customHeight="1" hidden="1" thickBot="1">
      <c r="B20" s="51" t="str">
        <f>B123</f>
        <v>Tour</v>
      </c>
      <c r="C20" s="15">
        <v>8</v>
      </c>
      <c r="D20" s="16">
        <f t="shared" si="8"/>
        <v>526.9453125</v>
      </c>
      <c r="E20" s="52" t="str">
        <f>G123</f>
        <v>(0) Je suis satisfait du réglages</v>
      </c>
      <c r="F20" s="16">
        <f t="shared" si="9"/>
        <v>974.9453125</v>
      </c>
      <c r="G20" s="52" t="str">
        <f>G124</f>
        <v>(0) Je suis satisfait du réglages</v>
      </c>
      <c r="H20" s="16">
        <f t="shared" si="10"/>
        <v>825.9453125</v>
      </c>
      <c r="I20" s="52" t="str">
        <f>G125</f>
        <v>(0) Je suis satisfait du réglages</v>
      </c>
      <c r="J20" s="16">
        <f t="shared" si="11"/>
        <v>818.9453125</v>
      </c>
      <c r="K20" s="52" t="str">
        <f>G126</f>
        <v>(0) Je suis satisfait du réglages</v>
      </c>
      <c r="L20" s="16">
        <f t="shared" si="12"/>
        <v>723.9453125</v>
      </c>
      <c r="M20" s="52" t="str">
        <f>G127</f>
        <v>(0) Je suis satisfait du réglages</v>
      </c>
      <c r="Q20" s="94" t="s">
        <v>33</v>
      </c>
      <c r="R20" s="97">
        <f t="shared" si="13"/>
        <v>525.890625</v>
      </c>
      <c r="S20" s="97">
        <f t="shared" si="14"/>
        <v>0</v>
      </c>
      <c r="T20" s="97">
        <f t="shared" si="28"/>
        <v>526.9453125</v>
      </c>
      <c r="U20" s="97">
        <f t="shared" si="15"/>
        <v>524.8359375</v>
      </c>
      <c r="V20" s="97">
        <f t="shared" si="16"/>
        <v>526.9453125</v>
      </c>
      <c r="W20" s="97">
        <f t="shared" si="29"/>
        <v>526.9453125</v>
      </c>
      <c r="X20" s="95" t="str">
        <f>IF(X19="Stop","Stop",$B$19)</f>
        <v>Tour</v>
      </c>
      <c r="Y20" s="97">
        <f t="shared" si="17"/>
        <v>525.890625</v>
      </c>
      <c r="Z20" s="97">
        <f t="shared" si="18"/>
        <v>526.9453125</v>
      </c>
      <c r="AA20" s="97">
        <f t="shared" si="19"/>
        <v>526.41796875</v>
      </c>
      <c r="AB20" s="97">
        <f>IF(AND(S14=0,S15=0,S16=0,S17=0,S18=0,S19=0,S20=0),(R20+R14)/2,ROUND(IF(SUM(S14:S21)&gt;0,AK20-$CP$16,AL20+$CP$16),0))</f>
        <v>459.4453125</v>
      </c>
      <c r="AC20" s="97">
        <f t="shared" si="20"/>
        <v>459.4453125</v>
      </c>
      <c r="AD20" s="97">
        <f t="shared" si="30"/>
        <v>523.78125</v>
      </c>
      <c r="AE20" s="97">
        <f t="shared" si="31"/>
        <v>525.890625</v>
      </c>
      <c r="AF20" s="100">
        <f t="shared" si="32"/>
        <v>1.0546875</v>
      </c>
      <c r="AG20" s="98">
        <f t="shared" si="21"/>
        <v>393</v>
      </c>
      <c r="AH20" s="98">
        <f t="shared" si="22"/>
        <v>525.890625</v>
      </c>
      <c r="AI20" s="98">
        <f t="shared" si="23"/>
        <v>999</v>
      </c>
      <c r="AJ20" s="98">
        <f t="shared" si="24"/>
        <v>0</v>
      </c>
      <c r="AK20" s="98">
        <f t="shared" si="7"/>
        <v>762.4453125</v>
      </c>
      <c r="AL20" s="98">
        <f t="shared" si="25"/>
        <v>196.5</v>
      </c>
      <c r="AM20" s="98">
        <f t="shared" si="33"/>
        <v>0</v>
      </c>
      <c r="AN20" s="98">
        <f t="shared" si="26"/>
        <v>0</v>
      </c>
      <c r="AO20" s="98">
        <f t="shared" si="34"/>
        <v>0</v>
      </c>
      <c r="AP20" s="98">
        <f t="shared" si="35"/>
        <v>459.4453125</v>
      </c>
      <c r="AQ20" s="98">
        <f t="shared" si="36"/>
        <v>0</v>
      </c>
      <c r="AR20" s="98">
        <f t="shared" si="37"/>
        <v>393</v>
      </c>
      <c r="AS20" s="98">
        <f t="shared" si="27"/>
        <v>0</v>
      </c>
      <c r="AT20" s="4" t="s">
        <v>57</v>
      </c>
      <c r="AU20" s="125">
        <f t="shared" si="1"/>
        <v>821</v>
      </c>
      <c r="AV20" s="125">
        <f t="shared" si="2"/>
        <v>540</v>
      </c>
      <c r="AW20" s="125">
        <f t="shared" si="3"/>
        <v>545</v>
      </c>
      <c r="AX20" s="125">
        <f t="shared" si="4"/>
        <v>335</v>
      </c>
      <c r="AY20" s="125">
        <f t="shared" si="5"/>
        <v>565</v>
      </c>
      <c r="AZ20" s="125">
        <f t="shared" si="0"/>
        <v>-69</v>
      </c>
      <c r="BA20" s="125">
        <f t="shared" si="6"/>
        <v>69</v>
      </c>
      <c r="BB20" s="4">
        <v>77</v>
      </c>
      <c r="BC20" s="4">
        <v>3.968</v>
      </c>
      <c r="BD20" s="4" t="s">
        <v>184</v>
      </c>
      <c r="BE20" s="4" t="s">
        <v>184</v>
      </c>
      <c r="BF20" s="4">
        <v>153</v>
      </c>
      <c r="BG20" s="4">
        <v>205</v>
      </c>
      <c r="BH20" s="4">
        <v>257</v>
      </c>
      <c r="BI20" s="4">
        <v>309</v>
      </c>
      <c r="BJ20" s="4">
        <v>355</v>
      </c>
      <c r="BK20" s="4">
        <v>51</v>
      </c>
      <c r="BL20" s="88">
        <v>0.541666686534882</v>
      </c>
      <c r="BM20" s="88">
        <v>0.544000029563904</v>
      </c>
      <c r="BN20" s="88">
        <v>0.482666671276093</v>
      </c>
      <c r="BO20" s="88">
        <v>0.453500002622604</v>
      </c>
      <c r="BP20" s="88">
        <v>0.496199995279312</v>
      </c>
      <c r="BQ20" s="88">
        <v>0.510333359241486</v>
      </c>
      <c r="BR20" s="88">
        <v>0.441333323717117</v>
      </c>
      <c r="BS20" s="88">
        <v>0.700285732746124</v>
      </c>
      <c r="BT20" s="88">
        <v>0.703111112117767</v>
      </c>
      <c r="BU20" s="88">
        <v>0.659749984741211</v>
      </c>
      <c r="BV20" s="88">
        <v>0.646437525749207</v>
      </c>
      <c r="BW20" s="88">
        <v>0.629100024700165</v>
      </c>
      <c r="BX20" s="88">
        <v>0.599333345890045</v>
      </c>
      <c r="BY20" s="88">
        <v>0.5934117436409</v>
      </c>
      <c r="BZ20" s="4" t="s">
        <v>57</v>
      </c>
      <c r="CA20" s="88">
        <v>18.6976744186047</v>
      </c>
      <c r="CB20" s="88">
        <v>25.5581395348837</v>
      </c>
      <c r="CC20" s="88">
        <v>52.953488372093</v>
      </c>
      <c r="CD20" s="88">
        <v>48.6511627906977</v>
      </c>
      <c r="CE20" s="88">
        <v>25.8604651162791</v>
      </c>
      <c r="CF20" s="88">
        <v>13.953488372093</v>
      </c>
      <c r="CG20" s="88">
        <v>11.7209302325581</v>
      </c>
      <c r="CH20" s="88">
        <v>34.6046511627907</v>
      </c>
      <c r="CI20" s="88">
        <v>23.1395348837209</v>
      </c>
      <c r="CJ20" s="88">
        <v>38.5813953488372</v>
      </c>
      <c r="CK20" s="88">
        <v>9.88372093023256</v>
      </c>
      <c r="CL20" s="108">
        <v>1.35</v>
      </c>
      <c r="CM20" s="4" t="s">
        <v>184</v>
      </c>
      <c r="CN20" s="4">
        <v>43</v>
      </c>
      <c r="CO20" s="4" t="s">
        <v>175</v>
      </c>
      <c r="CT20" s="4" t="s">
        <v>57</v>
      </c>
      <c r="CU20" s="5" t="s">
        <v>57</v>
      </c>
      <c r="CV20" s="5">
        <v>821</v>
      </c>
      <c r="CW20" s="5">
        <v>540</v>
      </c>
      <c r="CX20" s="5">
        <v>545</v>
      </c>
      <c r="CY20" s="5">
        <v>335</v>
      </c>
      <c r="CZ20" s="5">
        <v>565</v>
      </c>
      <c r="DA20" s="5">
        <v>-138</v>
      </c>
      <c r="DB20" s="5">
        <v>39</v>
      </c>
      <c r="DC20" s="5">
        <v>952</v>
      </c>
      <c r="DD20" s="5">
        <v>416</v>
      </c>
      <c r="DE20" s="5">
        <v>606</v>
      </c>
      <c r="DF20" s="5">
        <v>220</v>
      </c>
      <c r="DG20" s="5">
        <v>407</v>
      </c>
      <c r="DH20" s="5">
        <v>-31</v>
      </c>
      <c r="DI20" s="5">
        <v>4</v>
      </c>
      <c r="DK20" s="4" t="s">
        <v>57</v>
      </c>
      <c r="DL20" s="5">
        <v>7</v>
      </c>
      <c r="DM20" s="5">
        <v>9</v>
      </c>
      <c r="DN20" s="5">
        <v>8</v>
      </c>
      <c r="DO20" s="5">
        <v>16</v>
      </c>
      <c r="DP20" s="5">
        <v>20</v>
      </c>
      <c r="DQ20" s="5">
        <v>18</v>
      </c>
      <c r="DR20" s="5">
        <v>17</v>
      </c>
      <c r="DS20" s="5">
        <v>3</v>
      </c>
      <c r="DT20" s="5">
        <v>1</v>
      </c>
      <c r="DU20" s="5">
        <v>3</v>
      </c>
      <c r="DV20" s="5">
        <v>2</v>
      </c>
      <c r="DW20" s="5">
        <v>5</v>
      </c>
      <c r="DX20" s="5">
        <v>3</v>
      </c>
      <c r="DY20" s="5">
        <v>3</v>
      </c>
    </row>
    <row r="21" spans="17:129" ht="12" customHeight="1" hidden="1">
      <c r="Q21" s="101" t="s">
        <v>34</v>
      </c>
      <c r="R21" s="102">
        <f t="shared" si="13"/>
        <v>526.9453125</v>
      </c>
      <c r="S21" s="102">
        <f t="shared" si="14"/>
        <v>0</v>
      </c>
      <c r="T21" s="97">
        <f t="shared" si="28"/>
        <v>527.47265625</v>
      </c>
      <c r="U21" s="102">
        <f t="shared" si="15"/>
        <v>526.41796875</v>
      </c>
      <c r="V21" s="102">
        <f t="shared" si="16"/>
        <v>527.47265625</v>
      </c>
      <c r="W21" s="97">
        <f t="shared" si="29"/>
        <v>527.47265625</v>
      </c>
      <c r="X21" s="103" t="str">
        <f>IF(X20="Stop","Stop",$B$20)</f>
        <v>Tour</v>
      </c>
      <c r="Y21" s="102">
        <f t="shared" si="17"/>
        <v>526.9453125</v>
      </c>
      <c r="Z21" s="102">
        <f t="shared" si="18"/>
        <v>527.47265625</v>
      </c>
      <c r="AA21" s="102">
        <f t="shared" si="19"/>
        <v>527.208984375</v>
      </c>
      <c r="AB21" s="102">
        <f>IF(AND(S14=0,S15=0,S16=0,S17=0,S18=0,S19=0,S20=0,S21=0),(R21+R14)/2,ROUND(IF(SUM(S14:S21)&gt;0,AK21-$CP$16,AL21+$CP$16),0))</f>
        <v>459.97265625</v>
      </c>
      <c r="AC21" s="102">
        <f t="shared" si="20"/>
        <v>459.97265625</v>
      </c>
      <c r="AD21" s="102">
        <f t="shared" si="30"/>
        <v>525.890625</v>
      </c>
      <c r="AE21" s="102">
        <f t="shared" si="31"/>
        <v>526.9453125</v>
      </c>
      <c r="AF21" s="104">
        <f t="shared" si="32"/>
        <v>0.52734375</v>
      </c>
      <c r="AG21" s="98">
        <f t="shared" si="21"/>
        <v>393</v>
      </c>
      <c r="AH21" s="98">
        <f t="shared" si="22"/>
        <v>526.9453125</v>
      </c>
      <c r="AI21" s="98">
        <f t="shared" si="23"/>
        <v>999</v>
      </c>
      <c r="AJ21" s="98">
        <f t="shared" si="24"/>
        <v>0</v>
      </c>
      <c r="AK21" s="98">
        <f t="shared" si="7"/>
        <v>762.97265625</v>
      </c>
      <c r="AL21" s="98">
        <f t="shared" si="25"/>
        <v>196.5</v>
      </c>
      <c r="AM21" s="98">
        <f t="shared" si="33"/>
        <v>0</v>
      </c>
      <c r="AN21" s="98">
        <f t="shared" si="26"/>
        <v>0</v>
      </c>
      <c r="AO21" s="98">
        <f t="shared" si="34"/>
        <v>0</v>
      </c>
      <c r="AP21" s="98">
        <f t="shared" si="35"/>
        <v>459.97265625</v>
      </c>
      <c r="AQ21" s="98">
        <f t="shared" si="36"/>
        <v>0</v>
      </c>
      <c r="AR21" s="98">
        <f t="shared" si="37"/>
        <v>393</v>
      </c>
      <c r="AS21" s="98">
        <f t="shared" si="27"/>
        <v>0</v>
      </c>
      <c r="AT21" s="4" t="s">
        <v>74</v>
      </c>
      <c r="AU21" s="125">
        <f t="shared" si="1"/>
        <v>561</v>
      </c>
      <c r="AV21" s="125">
        <f t="shared" si="2"/>
        <v>714</v>
      </c>
      <c r="AW21" s="125">
        <f t="shared" si="3"/>
        <v>676</v>
      </c>
      <c r="AX21" s="125">
        <f t="shared" si="4"/>
        <v>473</v>
      </c>
      <c r="AY21" s="125">
        <f t="shared" si="5"/>
        <v>575</v>
      </c>
      <c r="AZ21" s="125">
        <f t="shared" si="0"/>
        <v>-46.5</v>
      </c>
      <c r="BA21" s="125">
        <f t="shared" si="6"/>
        <v>46.5</v>
      </c>
      <c r="BB21" s="4">
        <v>62</v>
      </c>
      <c r="BC21" s="4">
        <v>4.929</v>
      </c>
      <c r="BD21" s="4" t="s">
        <v>180</v>
      </c>
      <c r="BE21" s="4" t="s">
        <v>180</v>
      </c>
      <c r="BF21" s="4">
        <v>120</v>
      </c>
      <c r="BG21" s="4">
        <v>161</v>
      </c>
      <c r="BH21" s="4">
        <v>202</v>
      </c>
      <c r="BI21" s="4">
        <v>243</v>
      </c>
      <c r="BJ21" s="4">
        <v>279</v>
      </c>
      <c r="BK21" s="4">
        <v>41</v>
      </c>
      <c r="BL21" s="88"/>
      <c r="BM21" s="88"/>
      <c r="BN21" s="88"/>
      <c r="BO21" s="88">
        <v>0.482400000095367</v>
      </c>
      <c r="BP21" s="88">
        <v>0.563000023365021</v>
      </c>
      <c r="BQ21" s="88">
        <v>0.460166662931442</v>
      </c>
      <c r="BR21" s="88">
        <v>0.442999988794327</v>
      </c>
      <c r="BS21" s="88">
        <v>0.777666687965393</v>
      </c>
      <c r="BT21" s="88"/>
      <c r="BU21" s="88">
        <v>0.776333332061768</v>
      </c>
      <c r="BV21" s="88"/>
      <c r="BW21" s="88">
        <v>0.710624992847443</v>
      </c>
      <c r="BX21" s="88">
        <v>0.691950023174286</v>
      </c>
      <c r="BY21" s="88">
        <v>0.674833357334137</v>
      </c>
      <c r="BZ21" s="4" t="s">
        <v>74</v>
      </c>
      <c r="CA21" s="88">
        <v>15.6206896551724</v>
      </c>
      <c r="CB21" s="88">
        <v>27.2758620689655</v>
      </c>
      <c r="CC21" s="88">
        <v>26.4827586206897</v>
      </c>
      <c r="CD21" s="88">
        <v>28.6206896551724</v>
      </c>
      <c r="CE21" s="88">
        <v>22.6896551724138</v>
      </c>
      <c r="CF21" s="88">
        <v>11.8275862068966</v>
      </c>
      <c r="CG21" s="88">
        <v>13.8965517241379</v>
      </c>
      <c r="CH21" s="88">
        <v>26.1379310344828</v>
      </c>
      <c r="CI21" s="88">
        <v>31.448275862069</v>
      </c>
      <c r="CJ21" s="88">
        <v>26.4137931034483</v>
      </c>
      <c r="CK21" s="88">
        <v>13.2068965517241</v>
      </c>
      <c r="CL21" s="108">
        <v>1.15</v>
      </c>
      <c r="CM21" s="4" t="s">
        <v>180</v>
      </c>
      <c r="CN21" s="4">
        <v>29</v>
      </c>
      <c r="CT21" s="4" t="s">
        <v>74</v>
      </c>
      <c r="CU21" s="5" t="s">
        <v>74</v>
      </c>
      <c r="CV21" s="5">
        <v>561</v>
      </c>
      <c r="CW21" s="5">
        <v>714</v>
      </c>
      <c r="CX21" s="5">
        <v>676</v>
      </c>
      <c r="CY21" s="5">
        <v>473</v>
      </c>
      <c r="CZ21" s="5">
        <v>575</v>
      </c>
      <c r="DA21" s="5">
        <v>-93</v>
      </c>
      <c r="DB21" s="5">
        <v>21</v>
      </c>
      <c r="DC21" s="5">
        <v>650</v>
      </c>
      <c r="DD21" s="5">
        <v>657</v>
      </c>
      <c r="DE21" s="5">
        <v>755</v>
      </c>
      <c r="DF21" s="5">
        <v>259</v>
      </c>
      <c r="DG21" s="5">
        <v>463</v>
      </c>
      <c r="DH21" s="5">
        <v>-88</v>
      </c>
      <c r="DI21" s="5">
        <v>8</v>
      </c>
      <c r="DK21" s="4" t="s">
        <v>74</v>
      </c>
      <c r="DL21" s="5">
        <v>3</v>
      </c>
      <c r="DN21" s="5">
        <v>9</v>
      </c>
      <c r="DP21" s="5">
        <v>16</v>
      </c>
      <c r="DQ21" s="5">
        <v>20</v>
      </c>
      <c r="DR21" s="5">
        <v>12</v>
      </c>
      <c r="DV21" s="5">
        <v>5</v>
      </c>
      <c r="DW21" s="5">
        <v>2</v>
      </c>
      <c r="DX21" s="5">
        <v>6</v>
      </c>
      <c r="DY21" s="5">
        <v>11</v>
      </c>
    </row>
    <row r="22" spans="46:127" ht="12" customHeight="1" hidden="1" thickBot="1">
      <c r="AT22" s="4" t="s">
        <v>88</v>
      </c>
      <c r="AU22" s="125">
        <f t="shared" si="1"/>
        <v>315</v>
      </c>
      <c r="AV22" s="125">
        <f t="shared" si="2"/>
        <v>843</v>
      </c>
      <c r="AW22" s="125">
        <f t="shared" si="3"/>
        <v>463</v>
      </c>
      <c r="AX22" s="125">
        <f t="shared" si="4"/>
        <v>556</v>
      </c>
      <c r="AY22" s="125">
        <f t="shared" si="5"/>
        <v>667</v>
      </c>
      <c r="AZ22" s="125">
        <f t="shared" si="0"/>
        <v>-63</v>
      </c>
      <c r="BA22" s="125">
        <f t="shared" si="6"/>
        <v>63</v>
      </c>
      <c r="BB22" s="4">
        <v>73</v>
      </c>
      <c r="BC22" s="4">
        <v>4.2</v>
      </c>
      <c r="BD22" s="4" t="s">
        <v>180</v>
      </c>
      <c r="BE22" s="4" t="s">
        <v>181</v>
      </c>
      <c r="BF22" s="4">
        <v>120</v>
      </c>
      <c r="BG22" s="4">
        <v>161</v>
      </c>
      <c r="BH22" s="4">
        <v>202</v>
      </c>
      <c r="BI22" s="4">
        <v>243</v>
      </c>
      <c r="BJ22" s="4">
        <v>279</v>
      </c>
      <c r="BK22" s="4">
        <v>41</v>
      </c>
      <c r="BL22" s="88"/>
      <c r="BM22" s="88"/>
      <c r="BN22" s="88"/>
      <c r="BO22" s="88"/>
      <c r="BP22" s="88">
        <v>0.672500014305115</v>
      </c>
      <c r="BQ22" s="88"/>
      <c r="BR22" s="88"/>
      <c r="BS22" s="88">
        <v>0.852466642856598</v>
      </c>
      <c r="BT22" s="88">
        <v>0.8309166431427</v>
      </c>
      <c r="BU22" s="88">
        <v>0.779624998569489</v>
      </c>
      <c r="BV22" s="88"/>
      <c r="BW22" s="88">
        <v>0.724857151508331</v>
      </c>
      <c r="BX22" s="88">
        <v>0.721199989318848</v>
      </c>
      <c r="BY22" s="88">
        <v>0.704999983310699</v>
      </c>
      <c r="BZ22" s="4" t="s">
        <v>88</v>
      </c>
      <c r="CA22" s="88">
        <v>34.5217391304348</v>
      </c>
      <c r="CB22" s="88">
        <v>44.304347826087</v>
      </c>
      <c r="CC22" s="88">
        <v>22.0869565217391</v>
      </c>
      <c r="CD22" s="88">
        <v>26.7391304347826</v>
      </c>
      <c r="CE22" s="88">
        <v>31.4782608695652</v>
      </c>
      <c r="CF22" s="88">
        <v>29.0869565217391</v>
      </c>
      <c r="CG22" s="88">
        <v>14.6086956521739</v>
      </c>
      <c r="CH22" s="88">
        <v>35.5652173913044</v>
      </c>
      <c r="CI22" s="88">
        <v>41.0434782608696</v>
      </c>
      <c r="CJ22" s="88">
        <v>39</v>
      </c>
      <c r="CK22" s="88">
        <v>12.7826086956522</v>
      </c>
      <c r="CL22" s="108">
        <v>1.0958</v>
      </c>
      <c r="CM22" s="4" t="s">
        <v>181</v>
      </c>
      <c r="CN22" s="4">
        <v>23</v>
      </c>
      <c r="CT22" s="4" t="s">
        <v>88</v>
      </c>
      <c r="CU22" s="5" t="s">
        <v>88</v>
      </c>
      <c r="CV22" s="5">
        <v>315</v>
      </c>
      <c r="CW22" s="5">
        <v>843</v>
      </c>
      <c r="CX22" s="5">
        <v>463</v>
      </c>
      <c r="CY22" s="5">
        <v>556</v>
      </c>
      <c r="CZ22" s="5">
        <v>667</v>
      </c>
      <c r="DA22" s="5">
        <v>-126</v>
      </c>
      <c r="DB22" s="5">
        <v>23</v>
      </c>
      <c r="DK22" s="4" t="s">
        <v>88</v>
      </c>
      <c r="DL22" s="5">
        <v>15</v>
      </c>
      <c r="DM22" s="5">
        <v>12</v>
      </c>
      <c r="DN22" s="5">
        <v>8</v>
      </c>
      <c r="DP22" s="5">
        <v>14</v>
      </c>
      <c r="DQ22" s="5">
        <v>10</v>
      </c>
      <c r="DR22" s="5">
        <v>7</v>
      </c>
      <c r="DW22" s="5">
        <v>2</v>
      </c>
    </row>
    <row r="23" spans="3:128" ht="12" customHeight="1" hidden="1">
      <c r="C23" s="166"/>
      <c r="E23" s="169" t="s">
        <v>13</v>
      </c>
      <c r="F23" s="170"/>
      <c r="G23" s="17" t="s">
        <v>97</v>
      </c>
      <c r="I23" s="169" t="s">
        <v>20</v>
      </c>
      <c r="J23" s="170"/>
      <c r="K23" s="17" t="s">
        <v>97</v>
      </c>
      <c r="M23" s="169" t="s">
        <v>21</v>
      </c>
      <c r="N23" s="170"/>
      <c r="O23" s="83" t="s">
        <v>97</v>
      </c>
      <c r="Q23" s="89" t="s">
        <v>5</v>
      </c>
      <c r="R23" s="90"/>
      <c r="S23" s="90"/>
      <c r="T23" s="90"/>
      <c r="U23" s="90"/>
      <c r="V23" s="97">
        <f>IF(OR(S23=-2,S23=2),R23+(AF23*2),R23+AF23)</f>
        <v>0</v>
      </c>
      <c r="W23" s="90"/>
      <c r="X23" s="90"/>
      <c r="Y23" s="90"/>
      <c r="Z23" s="90"/>
      <c r="AA23" s="90"/>
      <c r="AB23" s="90"/>
      <c r="AC23" s="90"/>
      <c r="AD23" s="91"/>
      <c r="AE23" s="91"/>
      <c r="AF23" s="92"/>
      <c r="AG23" s="93"/>
      <c r="AH23" s="105" t="s">
        <v>95</v>
      </c>
      <c r="AI23" s="105" t="s">
        <v>96</v>
      </c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4" t="s">
        <v>89</v>
      </c>
      <c r="AU23" s="125">
        <f t="shared" si="1"/>
        <v>133</v>
      </c>
      <c r="AV23" s="125">
        <f t="shared" si="2"/>
        <v>803</v>
      </c>
      <c r="AW23" s="125">
        <f t="shared" si="3"/>
        <v>76</v>
      </c>
      <c r="AX23" s="125">
        <f t="shared" si="4"/>
        <v>742</v>
      </c>
      <c r="AY23" s="125">
        <f t="shared" si="5"/>
        <v>394</v>
      </c>
      <c r="AZ23" s="125">
        <f t="shared" si="0"/>
        <v>-0.5</v>
      </c>
      <c r="BA23" s="125">
        <f t="shared" si="6"/>
        <v>0.5</v>
      </c>
      <c r="BB23" s="4">
        <v>80</v>
      </c>
      <c r="BC23" s="4">
        <v>4.022</v>
      </c>
      <c r="BD23" s="4" t="s">
        <v>182</v>
      </c>
      <c r="BE23" s="4" t="s">
        <v>183</v>
      </c>
      <c r="BF23" s="4">
        <v>134</v>
      </c>
      <c r="BG23" s="4">
        <v>180</v>
      </c>
      <c r="BH23" s="4">
        <v>226</v>
      </c>
      <c r="BI23" s="4">
        <v>272</v>
      </c>
      <c r="BJ23" s="4">
        <v>313</v>
      </c>
      <c r="BK23" s="4">
        <v>46</v>
      </c>
      <c r="BL23" s="88"/>
      <c r="BM23" s="88"/>
      <c r="BN23" s="88"/>
      <c r="BO23" s="88">
        <v>0.649800002574921</v>
      </c>
      <c r="BP23" s="88"/>
      <c r="BQ23" s="88">
        <v>0.621666669845581</v>
      </c>
      <c r="BR23" s="88"/>
      <c r="BS23" s="88">
        <v>0.867200016975403</v>
      </c>
      <c r="BT23" s="88">
        <v>0.899999976158142</v>
      </c>
      <c r="BU23" s="88">
        <v>0.792500019073486</v>
      </c>
      <c r="BV23" s="88">
        <v>0.776199996471405</v>
      </c>
      <c r="BW23" s="88">
        <v>0.759599983692169</v>
      </c>
      <c r="BX23" s="88">
        <v>0.730153858661652</v>
      </c>
      <c r="BY23" s="88"/>
      <c r="BZ23" s="4" t="s">
        <v>89</v>
      </c>
      <c r="CA23" s="88">
        <v>19.5263157894737</v>
      </c>
      <c r="CB23" s="88">
        <v>52.5263157894737</v>
      </c>
      <c r="CC23" s="88">
        <v>12</v>
      </c>
      <c r="CD23" s="88">
        <v>13.6315789473684</v>
      </c>
      <c r="CE23" s="88">
        <v>21.6842105263158</v>
      </c>
      <c r="CF23" s="88">
        <v>16.7368421052632</v>
      </c>
      <c r="CG23" s="88">
        <v>18.4210526315789</v>
      </c>
      <c r="CH23" s="88">
        <v>11.6842105263158</v>
      </c>
      <c r="CI23" s="88">
        <v>8</v>
      </c>
      <c r="CJ23" s="88">
        <v>19.6842105263158</v>
      </c>
      <c r="CK23" s="88">
        <v>13.7368421052632</v>
      </c>
      <c r="CL23" s="108">
        <v>1.05</v>
      </c>
      <c r="CM23" s="4" t="s">
        <v>183</v>
      </c>
      <c r="CN23" s="4">
        <v>19</v>
      </c>
      <c r="CO23" s="106"/>
      <c r="CP23" s="106"/>
      <c r="CT23" s="4" t="s">
        <v>89</v>
      </c>
      <c r="CU23" s="5" t="s">
        <v>89</v>
      </c>
      <c r="CV23" s="5">
        <v>133</v>
      </c>
      <c r="CW23" s="5">
        <v>803</v>
      </c>
      <c r="CX23" s="5">
        <v>76</v>
      </c>
      <c r="CY23" s="5">
        <v>742</v>
      </c>
      <c r="CZ23" s="5">
        <v>394</v>
      </c>
      <c r="DA23" s="5">
        <v>-1</v>
      </c>
      <c r="DB23" s="5">
        <v>19</v>
      </c>
      <c r="DK23" s="4" t="s">
        <v>89</v>
      </c>
      <c r="DL23" s="5">
        <v>5</v>
      </c>
      <c r="DM23" s="5">
        <v>3</v>
      </c>
      <c r="DN23" s="5">
        <v>4</v>
      </c>
      <c r="DO23" s="5">
        <v>5</v>
      </c>
      <c r="DP23" s="5">
        <v>10</v>
      </c>
      <c r="DQ23" s="5">
        <v>13</v>
      </c>
      <c r="DV23" s="5">
        <v>5</v>
      </c>
      <c r="DX23" s="5">
        <v>3</v>
      </c>
    </row>
    <row r="24" spans="3:129" ht="12" customHeight="1" hidden="1">
      <c r="C24" s="166"/>
      <c r="E24" s="18" t="s">
        <v>14</v>
      </c>
      <c r="F24" s="19">
        <f>IF(AC21&gt;999,999,AC21)</f>
        <v>459.97265625</v>
      </c>
      <c r="G24" s="20">
        <f>IF(AC21+M9&gt;999,999,F24+M9)</f>
        <v>494.97265625</v>
      </c>
      <c r="I24" s="18" t="s">
        <v>14</v>
      </c>
      <c r="J24" s="19">
        <f>F24-90</f>
        <v>369.97265625</v>
      </c>
      <c r="K24" s="17">
        <f>G24-90</f>
        <v>404.97265625</v>
      </c>
      <c r="M24" s="18" t="s">
        <v>14</v>
      </c>
      <c r="N24" s="19">
        <f>F24+90</f>
        <v>549.97265625</v>
      </c>
      <c r="O24" s="83">
        <f>G24+90</f>
        <v>584.97265625</v>
      </c>
      <c r="Q24" s="94"/>
      <c r="R24" s="95"/>
      <c r="S24" s="95" t="s">
        <v>23</v>
      </c>
      <c r="T24" s="95"/>
      <c r="U24" s="95"/>
      <c r="V24" s="95"/>
      <c r="W24" s="95"/>
      <c r="X24" s="95"/>
      <c r="Y24" s="95" t="s">
        <v>24</v>
      </c>
      <c r="Z24" s="95" t="s">
        <v>25</v>
      </c>
      <c r="AA24" s="95" t="s">
        <v>26</v>
      </c>
      <c r="AB24" s="95"/>
      <c r="AC24" s="95"/>
      <c r="AD24" s="93" t="s">
        <v>24</v>
      </c>
      <c r="AE24" s="93" t="s">
        <v>25</v>
      </c>
      <c r="AF24" s="96"/>
      <c r="AG24" s="93" t="s">
        <v>95</v>
      </c>
      <c r="AH24" s="105" t="s">
        <v>96</v>
      </c>
      <c r="AI24" s="105" t="s">
        <v>95</v>
      </c>
      <c r="AJ24" s="93" t="s">
        <v>96</v>
      </c>
      <c r="AK24" s="93"/>
      <c r="AL24" s="93"/>
      <c r="AM24" s="93"/>
      <c r="AN24" s="93"/>
      <c r="AO24" s="93"/>
      <c r="AP24" s="93"/>
      <c r="AQ24" s="93"/>
      <c r="AR24" s="93"/>
      <c r="AS24" s="93"/>
      <c r="AT24" s="4" t="s">
        <v>47</v>
      </c>
      <c r="AU24" s="125">
        <f t="shared" si="1"/>
        <v>558</v>
      </c>
      <c r="AV24" s="125">
        <f t="shared" si="2"/>
        <v>688</v>
      </c>
      <c r="AW24" s="125">
        <f t="shared" si="3"/>
        <v>562</v>
      </c>
      <c r="AX24" s="125">
        <f t="shared" si="4"/>
        <v>441</v>
      </c>
      <c r="AY24" s="125">
        <f t="shared" si="5"/>
        <v>425</v>
      </c>
      <c r="AZ24" s="125">
        <f t="shared" si="0"/>
        <v>-140.5</v>
      </c>
      <c r="BA24" s="125">
        <f t="shared" si="6"/>
        <v>140.5</v>
      </c>
      <c r="BB24" s="4">
        <v>71</v>
      </c>
      <c r="BC24" s="4">
        <v>4.308</v>
      </c>
      <c r="BD24" s="4" t="s">
        <v>180</v>
      </c>
      <c r="BE24" s="4" t="s">
        <v>180</v>
      </c>
      <c r="BF24" s="4">
        <v>120</v>
      </c>
      <c r="BG24" s="4">
        <v>161</v>
      </c>
      <c r="BH24" s="4">
        <v>202</v>
      </c>
      <c r="BI24" s="4">
        <v>243</v>
      </c>
      <c r="BJ24" s="4">
        <v>279</v>
      </c>
      <c r="BK24" s="4">
        <v>41</v>
      </c>
      <c r="BL24" s="88">
        <v>0.611000001430511</v>
      </c>
      <c r="BM24" s="88"/>
      <c r="BN24" s="88"/>
      <c r="BO24" s="88"/>
      <c r="BP24" s="88">
        <v>0.566999971866608</v>
      </c>
      <c r="BQ24" s="88"/>
      <c r="BR24" s="88">
        <v>0.508000016212463</v>
      </c>
      <c r="BS24" s="88">
        <v>0.795166671276093</v>
      </c>
      <c r="BT24" s="88"/>
      <c r="BU24" s="88">
        <v>0.75044447183609</v>
      </c>
      <c r="BV24" s="88">
        <v>0.713428556919098</v>
      </c>
      <c r="BW24" s="88">
        <v>0.694700002670288</v>
      </c>
      <c r="BX24" s="88">
        <v>0.674904763698578</v>
      </c>
      <c r="BY24" s="88">
        <v>0.65452378988266</v>
      </c>
      <c r="BZ24" s="4" t="s">
        <v>47</v>
      </c>
      <c r="CA24" s="88">
        <v>29.5357142857143</v>
      </c>
      <c r="CB24" s="88">
        <v>38.8928571428571</v>
      </c>
      <c r="CC24" s="88">
        <v>23.5357142857143</v>
      </c>
      <c r="CD24" s="88">
        <v>17.7857142857143</v>
      </c>
      <c r="CE24" s="88">
        <v>33.4642857142857</v>
      </c>
      <c r="CF24" s="88">
        <v>17.4285714285714</v>
      </c>
      <c r="CG24" s="88">
        <v>16</v>
      </c>
      <c r="CH24" s="88">
        <v>23.75</v>
      </c>
      <c r="CI24" s="88">
        <v>41.4285714285714</v>
      </c>
      <c r="CJ24" s="88">
        <v>29.1428571428571</v>
      </c>
      <c r="CK24" s="88">
        <v>15.6071428571429</v>
      </c>
      <c r="CL24" s="108">
        <v>1.18</v>
      </c>
      <c r="CM24" s="4" t="s">
        <v>180</v>
      </c>
      <c r="CN24" s="4">
        <v>28</v>
      </c>
      <c r="CO24" s="106"/>
      <c r="CP24" s="106"/>
      <c r="CT24" s="4" t="s">
        <v>47</v>
      </c>
      <c r="CU24" s="5" t="s">
        <v>47</v>
      </c>
      <c r="CV24" s="5">
        <v>558</v>
      </c>
      <c r="CW24" s="5">
        <v>688</v>
      </c>
      <c r="CX24" s="5">
        <v>562</v>
      </c>
      <c r="CY24" s="5">
        <v>441</v>
      </c>
      <c r="CZ24" s="5">
        <v>425</v>
      </c>
      <c r="DA24" s="5">
        <v>-281</v>
      </c>
      <c r="DB24" s="5">
        <v>28</v>
      </c>
      <c r="DK24" s="4" t="s">
        <v>47</v>
      </c>
      <c r="DL24" s="5">
        <v>12</v>
      </c>
      <c r="DN24" s="5">
        <v>9</v>
      </c>
      <c r="DO24" s="5">
        <v>7</v>
      </c>
      <c r="DP24" s="5">
        <v>20</v>
      </c>
      <c r="DQ24" s="5">
        <v>21</v>
      </c>
      <c r="DR24" s="5">
        <v>21</v>
      </c>
      <c r="DS24" s="5">
        <v>1</v>
      </c>
      <c r="DW24" s="5">
        <v>1</v>
      </c>
      <c r="DY24" s="5">
        <v>1</v>
      </c>
    </row>
    <row r="25" spans="3:127" ht="12" customHeight="1" hidden="1">
      <c r="C25" s="166"/>
      <c r="E25" s="18" t="s">
        <v>15</v>
      </c>
      <c r="F25" s="19">
        <f>IF(AC21&gt;999,999,AC21)</f>
        <v>459.97265625</v>
      </c>
      <c r="G25" s="20">
        <f>IF(AC21+N9&gt;999,999,AC21+N9)</f>
        <v>424.97265625</v>
      </c>
      <c r="I25" s="18" t="s">
        <v>15</v>
      </c>
      <c r="J25" s="19">
        <f>F25-90</f>
        <v>369.97265625</v>
      </c>
      <c r="K25" s="17">
        <f>G25-90</f>
        <v>334.97265625</v>
      </c>
      <c r="M25" s="18" t="s">
        <v>15</v>
      </c>
      <c r="N25" s="19">
        <f>F25+90</f>
        <v>549.97265625</v>
      </c>
      <c r="O25" s="83">
        <f>G25+90</f>
        <v>514.97265625</v>
      </c>
      <c r="Q25" s="94" t="s">
        <v>27</v>
      </c>
      <c r="R25" s="97">
        <f>F13</f>
        <v>841</v>
      </c>
      <c r="S25" s="97">
        <f>VLOOKUP(G13,$R$3:$V$9,5,FALSE)</f>
        <v>0</v>
      </c>
      <c r="T25" s="97">
        <f>IF(IF(S25=0,R25+$E$10,IF(S25=-1,R25+$E$10,IF(S25=-2,R25+(2*$E$10),IF(S25=-3,R25+(3*$E$10),IF(S25=1,R25-$E$10,IF(S25=2,R25-(2*$E$10),R25-(3*$E$10)))))))&gt;999,999,IF(S25=0,R25+$E$10,IF(S25=-1,R25+$E$10,IF(S25=-2,R25+(2*$E$10),IF(S25=-3,R25+(3*$E$10),IF(S25=1,R25-$E$10,IF(S25=2,R25-(2*$E$10),R25-(3*$E$10))))))))</f>
        <v>908.5</v>
      </c>
      <c r="U25" s="95"/>
      <c r="V25" s="95"/>
      <c r="W25" s="95"/>
      <c r="X25" s="95" t="str">
        <f>$B$13</f>
        <v>Tour</v>
      </c>
      <c r="Y25" s="97">
        <f aca="true" t="shared" si="38" ref="Y25:Y32">IF(S25=0,R25,IF(S25&lt;0,R25,T25))</f>
        <v>841</v>
      </c>
      <c r="Z25" s="97">
        <f>IF(S25&gt;0,R25,T25)</f>
        <v>908.5</v>
      </c>
      <c r="AA25" s="97">
        <f>AVERAGE(Y25:Z25)</f>
        <v>874.75</v>
      </c>
      <c r="AB25" s="97">
        <f>ROUND(IF(SUM($S$25:$S$32)&gt;0,AA25-$CP$15,AA25+$CP$15),0)</f>
        <v>942</v>
      </c>
      <c r="AC25" s="97">
        <f>AB25</f>
        <v>942</v>
      </c>
      <c r="AD25" s="98"/>
      <c r="AE25" s="98"/>
      <c r="AF25" s="99"/>
      <c r="AG25" s="98">
        <f>IF(S25=0,R25,999)</f>
        <v>841</v>
      </c>
      <c r="AH25" s="107">
        <f>IF(S25=0,R25,0)</f>
        <v>841</v>
      </c>
      <c r="AI25" s="107">
        <f>IF(S25=0,999,R25)</f>
        <v>999</v>
      </c>
      <c r="AJ25" s="98">
        <f>IF(S25=0,0,R25)</f>
        <v>0</v>
      </c>
      <c r="AK25" s="98">
        <f aca="true" t="shared" si="39" ref="AK25:AK32">IF(AG25-AH25=999,((AL25+AI25)/2),((AH25+AI25)/2))</f>
        <v>920</v>
      </c>
      <c r="AL25" s="98">
        <f>IF(R25=999,999,IF(AG25-AH25=999,(AJ25+AN25)/2,(AJ25+AG25)/2))</f>
        <v>420.5</v>
      </c>
      <c r="AM25" s="98"/>
      <c r="AN25" s="98"/>
      <c r="AO25" s="98"/>
      <c r="AP25" s="98"/>
      <c r="AQ25" s="98">
        <f>IF(S25=0,0,S25)</f>
        <v>0</v>
      </c>
      <c r="AR25" s="98">
        <f>R25</f>
        <v>841</v>
      </c>
      <c r="AS25" s="98">
        <f aca="true" t="shared" si="40" ref="AS25:AS32">IF(X25="Stop",IF(AQ24=0,0,((AR24+AR25)/2)+(2*$CP$15)),0)</f>
        <v>0</v>
      </c>
      <c r="AT25" s="4" t="s">
        <v>58</v>
      </c>
      <c r="AU25" s="125">
        <f t="shared" si="1"/>
        <v>673</v>
      </c>
      <c r="AV25" s="125">
        <f t="shared" si="2"/>
        <v>597</v>
      </c>
      <c r="AW25" s="125">
        <f t="shared" si="3"/>
        <v>590</v>
      </c>
      <c r="AX25" s="125">
        <f t="shared" si="4"/>
        <v>529</v>
      </c>
      <c r="AY25" s="125">
        <f t="shared" si="5"/>
        <v>687</v>
      </c>
      <c r="AZ25" s="125">
        <f t="shared" si="0"/>
        <v>-53</v>
      </c>
      <c r="BA25" s="125">
        <f t="shared" si="6"/>
        <v>53</v>
      </c>
      <c r="BB25" s="4">
        <v>79</v>
      </c>
      <c r="BC25" s="4">
        <v>3.716</v>
      </c>
      <c r="BD25" s="4" t="s">
        <v>181</v>
      </c>
      <c r="BE25" s="4" t="s">
        <v>180</v>
      </c>
      <c r="BF25" s="4">
        <v>109</v>
      </c>
      <c r="BG25" s="4">
        <v>146</v>
      </c>
      <c r="BH25" s="4">
        <v>183</v>
      </c>
      <c r="BI25" s="4">
        <v>221</v>
      </c>
      <c r="BJ25" s="4">
        <v>254</v>
      </c>
      <c r="BK25" s="4">
        <v>38</v>
      </c>
      <c r="BL25" s="88"/>
      <c r="BM25" s="88"/>
      <c r="BN25" s="88"/>
      <c r="BO25" s="88"/>
      <c r="BP25" s="88">
        <v>0.584500014781952</v>
      </c>
      <c r="BQ25" s="88"/>
      <c r="BR25" s="88"/>
      <c r="BS25" s="88">
        <v>0.797249972820282</v>
      </c>
      <c r="BT25" s="88">
        <v>0.759437501430511</v>
      </c>
      <c r="BU25" s="88">
        <v>0.723999977111816</v>
      </c>
      <c r="BV25" s="88">
        <v>0.718846142292023</v>
      </c>
      <c r="BW25" s="88">
        <v>0.704666674137115</v>
      </c>
      <c r="BX25" s="88">
        <v>0.676836729049683</v>
      </c>
      <c r="BY25" s="88">
        <v>0.676937520503998</v>
      </c>
      <c r="BZ25" s="4" t="s">
        <v>58</v>
      </c>
      <c r="CA25" s="88">
        <v>19.1666666666667</v>
      </c>
      <c r="CB25" s="88">
        <v>34.2222222222222</v>
      </c>
      <c r="CC25" s="88">
        <v>30.7222222222222</v>
      </c>
      <c r="CD25" s="88">
        <v>28.9722222222222</v>
      </c>
      <c r="CE25" s="88">
        <v>25.2222222222222</v>
      </c>
      <c r="CF25" s="88">
        <v>23.1111111111111</v>
      </c>
      <c r="CG25" s="88">
        <v>24.7222222222222</v>
      </c>
      <c r="CH25" s="88">
        <v>31.5</v>
      </c>
      <c r="CI25" s="88">
        <v>36.2777777777778</v>
      </c>
      <c r="CJ25" s="88">
        <v>24.1388888888889</v>
      </c>
      <c r="CK25" s="88">
        <v>14.0833333333333</v>
      </c>
      <c r="CL25" s="108">
        <v>1.1872</v>
      </c>
      <c r="CM25" s="4" t="s">
        <v>180</v>
      </c>
      <c r="CN25" s="4">
        <v>36</v>
      </c>
      <c r="CO25" s="106"/>
      <c r="CP25" s="106"/>
      <c r="CT25" s="4" t="s">
        <v>58</v>
      </c>
      <c r="CU25" s="5" t="s">
        <v>58</v>
      </c>
      <c r="CV25" s="5">
        <v>673</v>
      </c>
      <c r="CW25" s="5">
        <v>597</v>
      </c>
      <c r="CX25" s="5">
        <v>590</v>
      </c>
      <c r="CY25" s="5">
        <v>529</v>
      </c>
      <c r="CZ25" s="5">
        <v>687</v>
      </c>
      <c r="DA25" s="5">
        <v>-106</v>
      </c>
      <c r="DB25" s="5">
        <v>30</v>
      </c>
      <c r="DC25" s="5">
        <v>815</v>
      </c>
      <c r="DD25" s="5">
        <v>439</v>
      </c>
      <c r="DE25" s="5">
        <v>642</v>
      </c>
      <c r="DF25" s="5">
        <v>493</v>
      </c>
      <c r="DG25" s="5">
        <v>547</v>
      </c>
      <c r="DH25" s="5">
        <v>-51</v>
      </c>
      <c r="DI25" s="5">
        <v>8</v>
      </c>
      <c r="DK25" s="4" t="s">
        <v>58</v>
      </c>
      <c r="DL25" s="5">
        <v>4</v>
      </c>
      <c r="DM25" s="5">
        <v>16</v>
      </c>
      <c r="DN25" s="5">
        <v>5</v>
      </c>
      <c r="DO25" s="5">
        <v>13</v>
      </c>
      <c r="DP25" s="5">
        <v>24</v>
      </c>
      <c r="DQ25" s="5">
        <v>49</v>
      </c>
      <c r="DR25" s="5">
        <v>16</v>
      </c>
      <c r="DW25" s="5">
        <v>2</v>
      </c>
    </row>
    <row r="26" spans="3:128" ht="12" customHeight="1" hidden="1">
      <c r="C26" s="166"/>
      <c r="E26" s="18" t="s">
        <v>16</v>
      </c>
      <c r="F26" s="19">
        <f>IF(AC32&gt;999,999,AC32)</f>
        <v>907.97265625</v>
      </c>
      <c r="G26" s="20">
        <f>F26</f>
        <v>907.97265625</v>
      </c>
      <c r="I26" s="18" t="s">
        <v>16</v>
      </c>
      <c r="J26" s="19">
        <f>F26+80</f>
        <v>987.97265625</v>
      </c>
      <c r="K26" s="20">
        <f>G26+80</f>
        <v>987.97265625</v>
      </c>
      <c r="M26" s="18" t="s">
        <v>16</v>
      </c>
      <c r="N26" s="19">
        <f>F26-80</f>
        <v>827.97265625</v>
      </c>
      <c r="O26" s="84">
        <f>G26-80</f>
        <v>827.97265625</v>
      </c>
      <c r="Q26" s="94" t="s">
        <v>28</v>
      </c>
      <c r="R26" s="97">
        <f aca="true" t="shared" si="41" ref="R26:R32">F14</f>
        <v>908.5</v>
      </c>
      <c r="S26" s="97">
        <f aca="true" t="shared" si="42" ref="S26:S32">VLOOKUP(G14,$R$3:$V$9,5,FALSE)</f>
        <v>0</v>
      </c>
      <c r="T26" s="97">
        <f aca="true" t="shared" si="43" ref="T26:T32">IF(W26&gt;999,999,IF(W26&lt;1,1,W26))</f>
        <v>942.25</v>
      </c>
      <c r="U26" s="97">
        <f aca="true" t="shared" si="44" ref="U26:U32">IF(OR(S26=-2,S26=2),R26-($CP$15*2),IF(OR(S26=-3,S26=3),R26-($CP$15*3),R26-AF26))</f>
        <v>874.75</v>
      </c>
      <c r="V26" s="97">
        <f aca="true" t="shared" si="45" ref="V26:V32">IF(OR(S26=-2,S26=2),R26+($CP$15*2),IF(OR(S26=-3,S26=3),R26+($CP$15*3),R26+AF26))</f>
        <v>942.25</v>
      </c>
      <c r="W26" s="97">
        <f aca="true" t="shared" si="46" ref="W26:W32">IF(AND(S25-S26=0,S25=0),IF(SUM($S$25:$S$32)&lt;0,U26,V26),IF(AND(S25-S26&gt;0,S26=0),V26,IF(S25-S26&lt;0,IF(S26&gt;=0,U26,V26),IF(AND(S25-S26=0,S26&lt;0),V26,IF(AND(S25-S26&gt;0,S25=0),V26,U26)))))</f>
        <v>942.25</v>
      </c>
      <c r="X26" s="95" t="str">
        <f>IF(X25="Stop","Stop",$B$14)</f>
        <v>Tour</v>
      </c>
      <c r="Y26" s="97">
        <f t="shared" si="38"/>
        <v>908.5</v>
      </c>
      <c r="Z26" s="97">
        <f aca="true" t="shared" si="47" ref="Z26:Z32">IF(S26&gt;0,R26,T26)</f>
        <v>942.25</v>
      </c>
      <c r="AA26" s="97">
        <f aca="true" t="shared" si="48" ref="AA26:AA32">AVERAGE(Y26:Z26)</f>
        <v>925.375</v>
      </c>
      <c r="AB26" s="97">
        <f>IF(AND(S25=0,S26=0),(R26+R25)/2,ROUND(IF(SUM(S25:S32)&gt;0,AK26-$CP$16,AL26+$CP$16),0))</f>
        <v>874.75</v>
      </c>
      <c r="AC26" s="97">
        <f aca="true" t="shared" si="49" ref="AC26:AC32">IF(X26="stop",IF(AS26=0,AC25,AS26),AB26)</f>
        <v>874.75</v>
      </c>
      <c r="AD26" s="97">
        <f>IF(R26&lt;R25,R26,R25)</f>
        <v>841</v>
      </c>
      <c r="AE26" s="97">
        <f>IF(R26&gt;R25,R26,R25)</f>
        <v>908.5</v>
      </c>
      <c r="AF26" s="100">
        <f>IF(R25-R26&gt;0,(R25-R26)/2,(R26-R25)/2)</f>
        <v>33.75</v>
      </c>
      <c r="AG26" s="98">
        <f aca="true" t="shared" si="50" ref="AG26:AG32">IF(S26=0,IF(R26&lt;AG25,R26,AG25),AG25)</f>
        <v>841</v>
      </c>
      <c r="AH26" s="107">
        <f aca="true" t="shared" si="51" ref="AH26:AH32">IF(S26=0,IF(R26&gt;AH25,R26,AH25),AH25)</f>
        <v>908.5</v>
      </c>
      <c r="AI26" s="107">
        <f aca="true" t="shared" si="52" ref="AI26:AI32">IF(S26=0,AI25,IF(R26&lt;AI25,R26,AG25))</f>
        <v>999</v>
      </c>
      <c r="AJ26" s="98">
        <f aca="true" t="shared" si="53" ref="AJ26:AJ32">IF(S26=0,AJ25,IF(R26&gt;AJ25,R26,AJ25))</f>
        <v>0</v>
      </c>
      <c r="AK26" s="98">
        <f t="shared" si="39"/>
        <v>953.75</v>
      </c>
      <c r="AL26" s="98">
        <f aca="true" t="shared" si="54" ref="AL26:AL32">IF(R26=999,999,IF(AG26-AH26=999,(AJ26+AN26)/2,(AJ26+AG26)/2))</f>
        <v>420.5</v>
      </c>
      <c r="AM26" s="98">
        <f>S26-S25</f>
        <v>0</v>
      </c>
      <c r="AN26" s="98">
        <f aca="true" t="shared" si="55" ref="AN26:AN32">IF(AM26=0,AN25,R26)</f>
        <v>0</v>
      </c>
      <c r="AO26" s="98">
        <f>IF(S26=S25,0,1)</f>
        <v>0</v>
      </c>
      <c r="AP26" s="98">
        <f>IF(X26="Stop",AP25,IF(AO26=0,(R26+$R$14)/2,AC26))</f>
        <v>650.75</v>
      </c>
      <c r="AQ26" s="98">
        <f>IF(AQ25=0,0,IF(S26=0,0,S26))</f>
        <v>0</v>
      </c>
      <c r="AR26" s="98">
        <f>IF(AQ26=AQ25,AR25,R26)</f>
        <v>841</v>
      </c>
      <c r="AS26" s="98">
        <f t="shared" si="40"/>
        <v>0</v>
      </c>
      <c r="AT26" s="4" t="s">
        <v>83</v>
      </c>
      <c r="AU26" s="125">
        <f t="shared" si="1"/>
        <v>500</v>
      </c>
      <c r="AV26" s="125">
        <f t="shared" si="2"/>
        <v>637</v>
      </c>
      <c r="AW26" s="125">
        <f t="shared" si="3"/>
        <v>726</v>
      </c>
      <c r="AX26" s="125">
        <f t="shared" si="4"/>
        <v>409</v>
      </c>
      <c r="AY26" s="125">
        <f t="shared" si="5"/>
        <v>727</v>
      </c>
      <c r="AZ26" s="125">
        <f t="shared" si="0"/>
        <v>4.5</v>
      </c>
      <c r="BA26" s="125">
        <f t="shared" si="6"/>
        <v>-4.5</v>
      </c>
      <c r="BB26" s="4">
        <v>58</v>
      </c>
      <c r="BC26" s="4">
        <v>5.334</v>
      </c>
      <c r="BD26" s="4" t="s">
        <v>180</v>
      </c>
      <c r="BE26" s="4" t="s">
        <v>180</v>
      </c>
      <c r="BF26" s="4">
        <v>120</v>
      </c>
      <c r="BG26" s="4">
        <v>161</v>
      </c>
      <c r="BH26" s="4">
        <v>202</v>
      </c>
      <c r="BI26" s="4">
        <v>243</v>
      </c>
      <c r="BJ26" s="4">
        <v>279</v>
      </c>
      <c r="BK26" s="4">
        <v>41</v>
      </c>
      <c r="BL26" s="88"/>
      <c r="BM26" s="88">
        <v>0.582000017166138</v>
      </c>
      <c r="BN26" s="88"/>
      <c r="BO26" s="88">
        <v>0.555400013923645</v>
      </c>
      <c r="BP26" s="88"/>
      <c r="BQ26" s="88">
        <v>0.524999976158142</v>
      </c>
      <c r="BR26" s="88"/>
      <c r="BS26" s="88">
        <v>0.79066663980484</v>
      </c>
      <c r="BT26" s="88">
        <v>0.775499999523163</v>
      </c>
      <c r="BU26" s="88">
        <v>0.782727301120758</v>
      </c>
      <c r="BV26" s="88">
        <v>0.727647066116333</v>
      </c>
      <c r="BW26" s="88">
        <v>0.710894763469696</v>
      </c>
      <c r="BX26" s="88">
        <v>0.690017521381378</v>
      </c>
      <c r="BY26" s="88">
        <v>0.673846125602722</v>
      </c>
      <c r="BZ26" s="4" t="s">
        <v>83</v>
      </c>
      <c r="CA26" s="88">
        <v>19.2830188679245</v>
      </c>
      <c r="CB26" s="88">
        <v>20.6415094339623</v>
      </c>
      <c r="CC26" s="88">
        <v>12.5849056603774</v>
      </c>
      <c r="CD26" s="88">
        <v>14</v>
      </c>
      <c r="CE26" s="88">
        <v>14.5094339622642</v>
      </c>
      <c r="CF26" s="88">
        <v>15</v>
      </c>
      <c r="CG26" s="88">
        <v>19.4150943396226</v>
      </c>
      <c r="CH26" s="88">
        <v>15.2452830188679</v>
      </c>
      <c r="CI26" s="88">
        <v>31.0754716981132</v>
      </c>
      <c r="CJ26" s="88">
        <v>14.2452830188679</v>
      </c>
      <c r="CK26" s="88">
        <v>12.5849056603774</v>
      </c>
      <c r="CL26" s="108">
        <v>1.15</v>
      </c>
      <c r="CM26" s="4" t="s">
        <v>180</v>
      </c>
      <c r="CN26" s="4">
        <v>53</v>
      </c>
      <c r="CO26" s="106"/>
      <c r="CP26" s="106"/>
      <c r="CT26" s="4" t="s">
        <v>83</v>
      </c>
      <c r="CU26" s="5" t="s">
        <v>83</v>
      </c>
      <c r="CV26" s="5">
        <v>500</v>
      </c>
      <c r="CW26" s="5">
        <v>637</v>
      </c>
      <c r="CX26" s="5">
        <v>726</v>
      </c>
      <c r="CY26" s="5">
        <v>409</v>
      </c>
      <c r="CZ26" s="5">
        <v>727</v>
      </c>
      <c r="DA26" s="5">
        <v>9</v>
      </c>
      <c r="DB26" s="5">
        <v>40</v>
      </c>
      <c r="DC26" s="5">
        <v>554</v>
      </c>
      <c r="DD26" s="5">
        <v>525</v>
      </c>
      <c r="DE26" s="5">
        <v>710</v>
      </c>
      <c r="DF26" s="5">
        <v>392</v>
      </c>
      <c r="DG26" s="5">
        <v>653</v>
      </c>
      <c r="DH26" s="5">
        <v>64</v>
      </c>
      <c r="DI26" s="5">
        <v>9</v>
      </c>
      <c r="DK26" s="4" t="s">
        <v>83</v>
      </c>
      <c r="DL26" s="5">
        <v>3</v>
      </c>
      <c r="DM26" s="5">
        <v>16</v>
      </c>
      <c r="DN26" s="5">
        <v>22</v>
      </c>
      <c r="DO26" s="5">
        <v>17</v>
      </c>
      <c r="DP26" s="5">
        <v>19</v>
      </c>
      <c r="DQ26" s="5">
        <v>57</v>
      </c>
      <c r="DR26" s="5">
        <v>26</v>
      </c>
      <c r="DT26" s="5">
        <v>2</v>
      </c>
      <c r="DV26" s="5">
        <v>5</v>
      </c>
      <c r="DX26" s="5">
        <v>1</v>
      </c>
    </row>
    <row r="27" spans="3:129" ht="12" customHeight="1" hidden="1">
      <c r="C27" s="166"/>
      <c r="E27" s="18" t="s">
        <v>17</v>
      </c>
      <c r="F27" s="19">
        <f>IF(AC43&gt;999,999,AC43)</f>
        <v>758.97265625</v>
      </c>
      <c r="G27" s="20">
        <f>F27</f>
        <v>758.97265625</v>
      </c>
      <c r="I27" s="18" t="s">
        <v>17</v>
      </c>
      <c r="J27" s="19">
        <f>F27-40</f>
        <v>718.97265625</v>
      </c>
      <c r="K27" s="20">
        <f>G27-40</f>
        <v>718.97265625</v>
      </c>
      <c r="M27" s="18" t="s">
        <v>17</v>
      </c>
      <c r="N27" s="19">
        <f>F27+40</f>
        <v>798.97265625</v>
      </c>
      <c r="O27" s="84">
        <f>G27+40</f>
        <v>798.97265625</v>
      </c>
      <c r="Q27" s="94" t="s">
        <v>29</v>
      </c>
      <c r="R27" s="97">
        <f t="shared" si="41"/>
        <v>942.25</v>
      </c>
      <c r="S27" s="97">
        <f t="shared" si="42"/>
        <v>0</v>
      </c>
      <c r="T27" s="97">
        <f t="shared" si="43"/>
        <v>959.125</v>
      </c>
      <c r="U27" s="97">
        <f t="shared" si="44"/>
        <v>925.375</v>
      </c>
      <c r="V27" s="97">
        <f t="shared" si="45"/>
        <v>959.125</v>
      </c>
      <c r="W27" s="97">
        <f t="shared" si="46"/>
        <v>959.125</v>
      </c>
      <c r="X27" s="95" t="str">
        <f>IF(X26="Stop","Stop",$B$15)</f>
        <v>Tour</v>
      </c>
      <c r="Y27" s="97">
        <f t="shared" si="38"/>
        <v>942.25</v>
      </c>
      <c r="Z27" s="97">
        <f t="shared" si="47"/>
        <v>959.125</v>
      </c>
      <c r="AA27" s="97">
        <f t="shared" si="48"/>
        <v>950.6875</v>
      </c>
      <c r="AB27" s="97">
        <f>IF(AND(S25=0,S26=0,S27=0),(R27+R25)/2,ROUND(IF(SUM(S25:S32)&gt;0,AK27-$CP$16,AL27+$CP$16),0))</f>
        <v>891.625</v>
      </c>
      <c r="AC27" s="97">
        <f t="shared" si="49"/>
        <v>891.625</v>
      </c>
      <c r="AD27" s="97">
        <f aca="true" t="shared" si="56" ref="AD27:AD32">IF(R27&lt;R26,R27,R26)</f>
        <v>908.5</v>
      </c>
      <c r="AE27" s="97">
        <f aca="true" t="shared" si="57" ref="AE27:AE32">IF(R27&gt;R26,R27,R26)</f>
        <v>942.25</v>
      </c>
      <c r="AF27" s="100">
        <f aca="true" t="shared" si="58" ref="AF27:AF32">IF(R26-R27&gt;0,(R26-R27)/2,(R27-R26)/2)</f>
        <v>16.875</v>
      </c>
      <c r="AG27" s="98">
        <f t="shared" si="50"/>
        <v>841</v>
      </c>
      <c r="AH27" s="107">
        <f t="shared" si="51"/>
        <v>942.25</v>
      </c>
      <c r="AI27" s="107">
        <f t="shared" si="52"/>
        <v>999</v>
      </c>
      <c r="AJ27" s="98">
        <f t="shared" si="53"/>
        <v>0</v>
      </c>
      <c r="AK27" s="98">
        <f t="shared" si="39"/>
        <v>970.625</v>
      </c>
      <c r="AL27" s="98">
        <f t="shared" si="54"/>
        <v>420.5</v>
      </c>
      <c r="AM27" s="98">
        <f aca="true" t="shared" si="59" ref="AM27:AM32">S27-S26</f>
        <v>0</v>
      </c>
      <c r="AN27" s="98">
        <f t="shared" si="55"/>
        <v>0</v>
      </c>
      <c r="AO27" s="98">
        <f aca="true" t="shared" si="60" ref="AO27:AO32">IF(S27=S26,0,1)</f>
        <v>0</v>
      </c>
      <c r="AP27" s="98">
        <f aca="true" t="shared" si="61" ref="AP27:AP32">IF(X27="Stop",AP26,IF(AO27=0,(R27+$R$14)/2,AC27))</f>
        <v>667.625</v>
      </c>
      <c r="AQ27" s="98">
        <f aca="true" t="shared" si="62" ref="AQ27:AQ32">IF(AQ26=0,0,IF(S27=0,0,S27))</f>
        <v>0</v>
      </c>
      <c r="AR27" s="98">
        <f aca="true" t="shared" si="63" ref="AR27:AR32">IF(AQ27=AQ26,AR26,R27)</f>
        <v>841</v>
      </c>
      <c r="AS27" s="98">
        <f t="shared" si="40"/>
        <v>0</v>
      </c>
      <c r="AT27" s="4" t="s">
        <v>80</v>
      </c>
      <c r="AU27" s="125">
        <f t="shared" si="1"/>
        <v>759</v>
      </c>
      <c r="AV27" s="125">
        <f t="shared" si="2"/>
        <v>641</v>
      </c>
      <c r="AW27" s="125">
        <f t="shared" si="3"/>
        <v>714</v>
      </c>
      <c r="AX27" s="125">
        <f t="shared" si="4"/>
        <v>627</v>
      </c>
      <c r="AY27" s="125">
        <f t="shared" si="5"/>
        <v>360</v>
      </c>
      <c r="AZ27" s="125">
        <f t="shared" si="0"/>
        <v>-30.5</v>
      </c>
      <c r="BA27" s="125">
        <f t="shared" si="6"/>
        <v>30.5</v>
      </c>
      <c r="BB27" s="4">
        <v>69</v>
      </c>
      <c r="BC27" s="4">
        <v>4.441</v>
      </c>
      <c r="BD27" s="4" t="s">
        <v>183</v>
      </c>
      <c r="BE27" s="4" t="s">
        <v>181</v>
      </c>
      <c r="BF27" s="4">
        <v>99</v>
      </c>
      <c r="BG27" s="4">
        <v>133</v>
      </c>
      <c r="BH27" s="4">
        <v>168</v>
      </c>
      <c r="BI27" s="4">
        <v>202</v>
      </c>
      <c r="BJ27" s="4">
        <v>232</v>
      </c>
      <c r="BK27" s="4">
        <v>35</v>
      </c>
      <c r="BL27" s="88"/>
      <c r="BM27" s="88"/>
      <c r="BN27" s="88"/>
      <c r="BO27" s="88">
        <v>0.481000006198883</v>
      </c>
      <c r="BP27" s="88"/>
      <c r="BQ27" s="88">
        <v>0.43688890337944</v>
      </c>
      <c r="BR27" s="88">
        <v>0.431833326816559</v>
      </c>
      <c r="BS27" s="88">
        <v>0.83266669511795</v>
      </c>
      <c r="BT27" s="88">
        <v>0.806714296340942</v>
      </c>
      <c r="BU27" s="88"/>
      <c r="BV27" s="88">
        <v>0.781666696071625</v>
      </c>
      <c r="BW27" s="88"/>
      <c r="BX27" s="88"/>
      <c r="BY27" s="88">
        <v>0.694999992847443</v>
      </c>
      <c r="BZ27" s="4" t="s">
        <v>80</v>
      </c>
      <c r="CA27" s="88">
        <v>26.0625</v>
      </c>
      <c r="CB27" s="88">
        <v>37.3125</v>
      </c>
      <c r="CC27" s="88">
        <v>26.4375</v>
      </c>
      <c r="CD27" s="88">
        <v>28.6875</v>
      </c>
      <c r="CE27" s="88">
        <v>24.375</v>
      </c>
      <c r="CF27" s="88">
        <v>21</v>
      </c>
      <c r="CG27" s="88">
        <v>15.1875</v>
      </c>
      <c r="CH27" s="88">
        <v>22.75</v>
      </c>
      <c r="CI27" s="88">
        <v>35.8125</v>
      </c>
      <c r="CJ27" s="88">
        <v>32.4375</v>
      </c>
      <c r="CK27" s="88">
        <v>17.0625</v>
      </c>
      <c r="CL27" s="108">
        <v>1.1</v>
      </c>
      <c r="CM27" s="4" t="s">
        <v>181</v>
      </c>
      <c r="CN27" s="4">
        <v>16</v>
      </c>
      <c r="CO27" s="106"/>
      <c r="CP27" s="106"/>
      <c r="CT27" s="4" t="s">
        <v>80</v>
      </c>
      <c r="CU27" s="5" t="s">
        <v>80</v>
      </c>
      <c r="CV27" s="5">
        <v>759</v>
      </c>
      <c r="CW27" s="5">
        <v>641</v>
      </c>
      <c r="CX27" s="5">
        <v>714</v>
      </c>
      <c r="CY27" s="5">
        <v>627</v>
      </c>
      <c r="CZ27" s="5">
        <v>360</v>
      </c>
      <c r="DA27" s="5">
        <v>-61</v>
      </c>
      <c r="DB27" s="5">
        <v>7</v>
      </c>
      <c r="DC27" s="5">
        <v>838</v>
      </c>
      <c r="DD27" s="5">
        <v>654</v>
      </c>
      <c r="DE27" s="5">
        <v>662</v>
      </c>
      <c r="DF27" s="5">
        <v>408</v>
      </c>
      <c r="DG27" s="5">
        <v>302</v>
      </c>
      <c r="DH27" s="5">
        <v>-3</v>
      </c>
      <c r="DI27" s="5">
        <v>10</v>
      </c>
      <c r="DK27" s="4" t="s">
        <v>80</v>
      </c>
      <c r="DL27" s="5">
        <v>3</v>
      </c>
      <c r="DM27" s="5">
        <v>14</v>
      </c>
      <c r="DO27" s="5">
        <v>3</v>
      </c>
      <c r="DR27" s="5">
        <v>4</v>
      </c>
      <c r="DV27" s="5">
        <v>4</v>
      </c>
      <c r="DX27" s="5">
        <v>9</v>
      </c>
      <c r="DY27" s="5">
        <v>6</v>
      </c>
    </row>
    <row r="28" spans="3:129" ht="12" customHeight="1" hidden="1">
      <c r="C28" s="166"/>
      <c r="E28" s="18" t="s">
        <v>18</v>
      </c>
      <c r="F28" s="19">
        <f>IF(AC54&gt;999,999,AC54)</f>
        <v>751.97265625</v>
      </c>
      <c r="G28" s="20">
        <f>F28</f>
        <v>751.97265625</v>
      </c>
      <c r="I28" s="18" t="s">
        <v>18</v>
      </c>
      <c r="J28" s="19">
        <f>F28+80</f>
        <v>831.97265625</v>
      </c>
      <c r="K28" s="20">
        <f>G28+80</f>
        <v>831.97265625</v>
      </c>
      <c r="M28" s="18" t="s">
        <v>18</v>
      </c>
      <c r="N28" s="19">
        <f>F28-80</f>
        <v>671.97265625</v>
      </c>
      <c r="O28" s="84">
        <f>G28-80</f>
        <v>671.97265625</v>
      </c>
      <c r="Q28" s="94" t="s">
        <v>30</v>
      </c>
      <c r="R28" s="97">
        <f t="shared" si="41"/>
        <v>959.125</v>
      </c>
      <c r="S28" s="97">
        <f t="shared" si="42"/>
        <v>0</v>
      </c>
      <c r="T28" s="97">
        <f t="shared" si="43"/>
        <v>967.5625</v>
      </c>
      <c r="U28" s="97">
        <f t="shared" si="44"/>
        <v>950.6875</v>
      </c>
      <c r="V28" s="97">
        <f t="shared" si="45"/>
        <v>967.5625</v>
      </c>
      <c r="W28" s="97">
        <f t="shared" si="46"/>
        <v>967.5625</v>
      </c>
      <c r="X28" s="95" t="str">
        <f>IF(X27="Stop","Stop",$B$16)</f>
        <v>Tour</v>
      </c>
      <c r="Y28" s="97">
        <f t="shared" si="38"/>
        <v>959.125</v>
      </c>
      <c r="Z28" s="97">
        <f t="shared" si="47"/>
        <v>967.5625</v>
      </c>
      <c r="AA28" s="97">
        <f t="shared" si="48"/>
        <v>963.34375</v>
      </c>
      <c r="AB28" s="97">
        <f>IF(AND(S25=0,S26=0,S27=0,S28=0),(R28+R25)/2,ROUND(IF(SUM(S25:S32)&gt;0,AK28-$CP$16,AL28+$CP$16),0))</f>
        <v>900.0625</v>
      </c>
      <c r="AC28" s="97">
        <f t="shared" si="49"/>
        <v>900.0625</v>
      </c>
      <c r="AD28" s="97">
        <f t="shared" si="56"/>
        <v>942.25</v>
      </c>
      <c r="AE28" s="97">
        <f t="shared" si="57"/>
        <v>959.125</v>
      </c>
      <c r="AF28" s="100">
        <f t="shared" si="58"/>
        <v>8.4375</v>
      </c>
      <c r="AG28" s="98">
        <f t="shared" si="50"/>
        <v>841</v>
      </c>
      <c r="AH28" s="107">
        <f t="shared" si="51"/>
        <v>959.125</v>
      </c>
      <c r="AI28" s="107">
        <f t="shared" si="52"/>
        <v>999</v>
      </c>
      <c r="AJ28" s="98">
        <f t="shared" si="53"/>
        <v>0</v>
      </c>
      <c r="AK28" s="98">
        <f t="shared" si="39"/>
        <v>979.0625</v>
      </c>
      <c r="AL28" s="98">
        <f t="shared" si="54"/>
        <v>420.5</v>
      </c>
      <c r="AM28" s="98">
        <f t="shared" si="59"/>
        <v>0</v>
      </c>
      <c r="AN28" s="98">
        <f t="shared" si="55"/>
        <v>0</v>
      </c>
      <c r="AO28" s="98">
        <f t="shared" si="60"/>
        <v>0</v>
      </c>
      <c r="AP28" s="98">
        <f t="shared" si="61"/>
        <v>676.0625</v>
      </c>
      <c r="AQ28" s="98">
        <f t="shared" si="62"/>
        <v>0</v>
      </c>
      <c r="AR28" s="98">
        <f t="shared" si="63"/>
        <v>841</v>
      </c>
      <c r="AS28" s="98">
        <f t="shared" si="40"/>
        <v>0</v>
      </c>
      <c r="AT28" s="4" t="s">
        <v>65</v>
      </c>
      <c r="AU28" s="125">
        <f t="shared" si="1"/>
        <v>438</v>
      </c>
      <c r="AV28" s="125">
        <f t="shared" si="2"/>
        <v>807</v>
      </c>
      <c r="AW28" s="125">
        <f t="shared" si="3"/>
        <v>452</v>
      </c>
      <c r="AX28" s="125">
        <f t="shared" si="4"/>
        <v>597</v>
      </c>
      <c r="AY28" s="125">
        <f t="shared" si="5"/>
        <v>544</v>
      </c>
      <c r="AZ28" s="125">
        <f t="shared" si="0"/>
        <v>7</v>
      </c>
      <c r="BA28" s="125">
        <f t="shared" si="6"/>
        <v>-7</v>
      </c>
      <c r="BB28" s="4">
        <v>80</v>
      </c>
      <c r="BC28" s="4">
        <v>3.301</v>
      </c>
      <c r="BD28" s="4" t="s">
        <v>181</v>
      </c>
      <c r="BE28" s="4" t="s">
        <v>180</v>
      </c>
      <c r="BF28" s="4">
        <v>109</v>
      </c>
      <c r="BG28" s="4">
        <v>146</v>
      </c>
      <c r="BH28" s="4">
        <v>183</v>
      </c>
      <c r="BI28" s="4">
        <v>221</v>
      </c>
      <c r="BJ28" s="4">
        <v>254</v>
      </c>
      <c r="BK28" s="4">
        <v>38</v>
      </c>
      <c r="BL28" s="88">
        <v>0.681999981403351</v>
      </c>
      <c r="BM28" s="88">
        <v>0.683000028133392</v>
      </c>
      <c r="BN28" s="88"/>
      <c r="BO28" s="88">
        <v>0.654999971389771</v>
      </c>
      <c r="BP28" s="88">
        <v>0.643800020217896</v>
      </c>
      <c r="BQ28" s="88">
        <v>0.604928553104401</v>
      </c>
      <c r="BR28" s="88">
        <v>0.58899998664856</v>
      </c>
      <c r="BS28" s="88">
        <v>0.755800008773804</v>
      </c>
      <c r="BT28" s="88">
        <v>0.771333336830139</v>
      </c>
      <c r="BU28" s="88">
        <v>0.752555549144745</v>
      </c>
      <c r="BV28" s="88">
        <v>0.721687495708466</v>
      </c>
      <c r="BW28" s="88">
        <v>0.713615357875824</v>
      </c>
      <c r="BX28" s="88">
        <v>0.689483880996704</v>
      </c>
      <c r="BY28" s="88">
        <v>0.676500022411346</v>
      </c>
      <c r="BZ28" s="4" t="s">
        <v>65</v>
      </c>
      <c r="CA28" s="88">
        <v>16.8863636363636</v>
      </c>
      <c r="CB28" s="88">
        <v>28.6590909090909</v>
      </c>
      <c r="CC28" s="88">
        <v>20.3181818181818</v>
      </c>
      <c r="CD28" s="88">
        <v>17.8636363636364</v>
      </c>
      <c r="CE28" s="88">
        <v>21.25</v>
      </c>
      <c r="CF28" s="88">
        <v>14.7954545454545</v>
      </c>
      <c r="CG28" s="88">
        <v>10.2954545454545</v>
      </c>
      <c r="CH28" s="88">
        <v>14.8181818181818</v>
      </c>
      <c r="CI28" s="88">
        <v>8.68181818181818</v>
      </c>
      <c r="CJ28" s="88">
        <v>30.3636363636364</v>
      </c>
      <c r="CK28" s="88">
        <v>8.75</v>
      </c>
      <c r="CL28" s="108">
        <v>1.18</v>
      </c>
      <c r="CM28" s="4" t="s">
        <v>180</v>
      </c>
      <c r="CN28" s="4">
        <v>44</v>
      </c>
      <c r="CO28" s="106"/>
      <c r="CP28" s="106"/>
      <c r="CT28" s="4" t="s">
        <v>65</v>
      </c>
      <c r="CU28" s="5" t="s">
        <v>65</v>
      </c>
      <c r="CV28" s="5">
        <v>438</v>
      </c>
      <c r="CW28" s="5">
        <v>807</v>
      </c>
      <c r="CX28" s="5">
        <v>452</v>
      </c>
      <c r="CY28" s="5">
        <v>597</v>
      </c>
      <c r="CZ28" s="5">
        <v>544</v>
      </c>
      <c r="DA28" s="5">
        <v>14</v>
      </c>
      <c r="DB28" s="5">
        <v>37</v>
      </c>
      <c r="DC28" s="5">
        <v>591</v>
      </c>
      <c r="DD28" s="5">
        <v>657</v>
      </c>
      <c r="DE28" s="5">
        <v>635</v>
      </c>
      <c r="DF28" s="5">
        <v>459</v>
      </c>
      <c r="DG28" s="5">
        <v>380</v>
      </c>
      <c r="DH28" s="5">
        <v>18</v>
      </c>
      <c r="DI28" s="5">
        <v>9</v>
      </c>
      <c r="DK28" s="4" t="s">
        <v>65</v>
      </c>
      <c r="DL28" s="5">
        <v>5</v>
      </c>
      <c r="DM28" s="5">
        <v>3</v>
      </c>
      <c r="DN28" s="5">
        <v>18</v>
      </c>
      <c r="DO28" s="5">
        <v>16</v>
      </c>
      <c r="DP28" s="5">
        <v>26</v>
      </c>
      <c r="DQ28" s="5">
        <v>31</v>
      </c>
      <c r="DR28" s="5">
        <v>10</v>
      </c>
      <c r="DS28" s="5">
        <v>2</v>
      </c>
      <c r="DT28" s="5">
        <v>2</v>
      </c>
      <c r="DV28" s="5">
        <v>3</v>
      </c>
      <c r="DW28" s="5">
        <v>5</v>
      </c>
      <c r="DX28" s="5">
        <v>14</v>
      </c>
      <c r="DY28" s="5">
        <v>2</v>
      </c>
    </row>
    <row r="29" spans="3:124" ht="12" customHeight="1" hidden="1" thickBot="1">
      <c r="C29" s="166"/>
      <c r="E29" s="21" t="s">
        <v>19</v>
      </c>
      <c r="F29" s="22">
        <f>IF(AC65&gt;999,999,AC65)</f>
        <v>656.97265625</v>
      </c>
      <c r="G29" s="20">
        <f>F29</f>
        <v>656.97265625</v>
      </c>
      <c r="I29" s="21" t="s">
        <v>19</v>
      </c>
      <c r="J29" s="22">
        <f>F29+100</f>
        <v>756.97265625</v>
      </c>
      <c r="K29" s="20">
        <f>G29+100</f>
        <v>756.97265625</v>
      </c>
      <c r="M29" s="21" t="s">
        <v>19</v>
      </c>
      <c r="N29" s="22">
        <f>F29-100</f>
        <v>556.97265625</v>
      </c>
      <c r="O29" s="84">
        <f>G29-100</f>
        <v>556.97265625</v>
      </c>
      <c r="Q29" s="94" t="s">
        <v>31</v>
      </c>
      <c r="R29" s="97">
        <f t="shared" si="41"/>
        <v>967.5625</v>
      </c>
      <c r="S29" s="97">
        <f t="shared" si="42"/>
        <v>0</v>
      </c>
      <c r="T29" s="97">
        <f t="shared" si="43"/>
        <v>971.78125</v>
      </c>
      <c r="U29" s="97">
        <f t="shared" si="44"/>
        <v>963.34375</v>
      </c>
      <c r="V29" s="97">
        <f t="shared" si="45"/>
        <v>971.78125</v>
      </c>
      <c r="W29" s="97">
        <f t="shared" si="46"/>
        <v>971.78125</v>
      </c>
      <c r="X29" s="95" t="str">
        <f>IF(X28="Stop","Stop",$B$16)</f>
        <v>Tour</v>
      </c>
      <c r="Y29" s="97">
        <f t="shared" si="38"/>
        <v>967.5625</v>
      </c>
      <c r="Z29" s="97">
        <f t="shared" si="47"/>
        <v>971.78125</v>
      </c>
      <c r="AA29" s="97">
        <f t="shared" si="48"/>
        <v>969.671875</v>
      </c>
      <c r="AB29" s="97">
        <f>IF(AND(S25=0,S26=0,S27=0,S28=0,S29=0),(R29+R25)/2,ROUND(IF(SUM(S25:S32)&gt;0,AK29-$CP$16,AL29+$CP$16),0))</f>
        <v>904.28125</v>
      </c>
      <c r="AC29" s="97">
        <f t="shared" si="49"/>
        <v>904.28125</v>
      </c>
      <c r="AD29" s="97">
        <f t="shared" si="56"/>
        <v>959.125</v>
      </c>
      <c r="AE29" s="97">
        <f t="shared" si="57"/>
        <v>967.5625</v>
      </c>
      <c r="AF29" s="100">
        <f t="shared" si="58"/>
        <v>4.21875</v>
      </c>
      <c r="AG29" s="98">
        <f t="shared" si="50"/>
        <v>841</v>
      </c>
      <c r="AH29" s="107">
        <f t="shared" si="51"/>
        <v>967.5625</v>
      </c>
      <c r="AI29" s="107">
        <f t="shared" si="52"/>
        <v>999</v>
      </c>
      <c r="AJ29" s="98">
        <f t="shared" si="53"/>
        <v>0</v>
      </c>
      <c r="AK29" s="98">
        <f t="shared" si="39"/>
        <v>983.28125</v>
      </c>
      <c r="AL29" s="98">
        <f t="shared" si="54"/>
        <v>420.5</v>
      </c>
      <c r="AM29" s="98">
        <f t="shared" si="59"/>
        <v>0</v>
      </c>
      <c r="AN29" s="98">
        <f t="shared" si="55"/>
        <v>0</v>
      </c>
      <c r="AO29" s="98">
        <f t="shared" si="60"/>
        <v>0</v>
      </c>
      <c r="AP29" s="98">
        <f t="shared" si="61"/>
        <v>680.28125</v>
      </c>
      <c r="AQ29" s="98">
        <f t="shared" si="62"/>
        <v>0</v>
      </c>
      <c r="AR29" s="98">
        <f t="shared" si="63"/>
        <v>841</v>
      </c>
      <c r="AS29" s="98">
        <f t="shared" si="40"/>
        <v>0</v>
      </c>
      <c r="AT29" s="4" t="s">
        <v>77</v>
      </c>
      <c r="AU29" s="125">
        <f t="shared" si="1"/>
        <v>772</v>
      </c>
      <c r="AV29" s="125">
        <f t="shared" si="2"/>
        <v>651</v>
      </c>
      <c r="AW29" s="125">
        <f t="shared" si="3"/>
        <v>550</v>
      </c>
      <c r="AX29" s="125">
        <f t="shared" si="4"/>
        <v>417</v>
      </c>
      <c r="AY29" s="125">
        <f t="shared" si="5"/>
        <v>872</v>
      </c>
      <c r="AZ29" s="125">
        <f t="shared" si="0"/>
        <v>26.5</v>
      </c>
      <c r="BA29" s="125">
        <f t="shared" si="6"/>
        <v>-26.5</v>
      </c>
      <c r="BB29" s="4">
        <v>72</v>
      </c>
      <c r="BC29" s="4">
        <v>4.261</v>
      </c>
      <c r="BD29" s="4" t="s">
        <v>180</v>
      </c>
      <c r="BE29" s="4" t="s">
        <v>184</v>
      </c>
      <c r="BF29" s="4">
        <v>120</v>
      </c>
      <c r="BG29" s="4">
        <v>161</v>
      </c>
      <c r="BH29" s="4">
        <v>202</v>
      </c>
      <c r="BI29" s="4">
        <v>243</v>
      </c>
      <c r="BJ29" s="4">
        <v>279</v>
      </c>
      <c r="BK29" s="4">
        <v>41</v>
      </c>
      <c r="BL29" s="88"/>
      <c r="BM29" s="88">
        <v>0.488000005483627</v>
      </c>
      <c r="BN29" s="88"/>
      <c r="BO29" s="88"/>
      <c r="BP29" s="88"/>
      <c r="BQ29" s="88"/>
      <c r="BR29" s="88"/>
      <c r="BS29" s="88">
        <v>0.726642847061157</v>
      </c>
      <c r="BT29" s="88">
        <v>0.715176463127136</v>
      </c>
      <c r="BU29" s="88">
        <v>0.68533331155777</v>
      </c>
      <c r="BV29" s="88">
        <v>0.691399991512299</v>
      </c>
      <c r="BW29" s="88">
        <v>0.65648078918457</v>
      </c>
      <c r="BX29" s="88">
        <v>0.627488911151886</v>
      </c>
      <c r="BY29" s="88">
        <v>0.605315804481506</v>
      </c>
      <c r="BZ29" s="4" t="s">
        <v>77</v>
      </c>
      <c r="CA29" s="88">
        <v>15.9636363636364</v>
      </c>
      <c r="CB29" s="88">
        <v>22.7454545454545</v>
      </c>
      <c r="CC29" s="88">
        <v>25.0545454545455</v>
      </c>
      <c r="CD29" s="88">
        <v>27.9272727272727</v>
      </c>
      <c r="CE29" s="88">
        <v>14.2545454545455</v>
      </c>
      <c r="CF29" s="88">
        <v>12.7272727272727</v>
      </c>
      <c r="CG29" s="88">
        <v>23.1090909090909</v>
      </c>
      <c r="CH29" s="88">
        <v>31.5090909090909</v>
      </c>
      <c r="CI29" s="88">
        <v>19.5454545454545</v>
      </c>
      <c r="CJ29" s="88">
        <v>16.7636363636364</v>
      </c>
      <c r="CK29" s="88">
        <v>15.3272727272727</v>
      </c>
      <c r="CL29" s="108">
        <v>1.3</v>
      </c>
      <c r="CM29" s="4" t="s">
        <v>184</v>
      </c>
      <c r="CN29" s="4">
        <v>55</v>
      </c>
      <c r="CO29" s="106"/>
      <c r="CP29" s="106"/>
      <c r="CT29" s="4" t="s">
        <v>77</v>
      </c>
      <c r="CU29" s="5" t="s">
        <v>77</v>
      </c>
      <c r="CV29" s="5">
        <v>772</v>
      </c>
      <c r="CW29" s="5">
        <v>651</v>
      </c>
      <c r="CX29" s="5">
        <v>550</v>
      </c>
      <c r="CY29" s="5">
        <v>417</v>
      </c>
      <c r="CZ29" s="5">
        <v>872</v>
      </c>
      <c r="DA29" s="5">
        <v>53</v>
      </c>
      <c r="DB29" s="5">
        <v>58</v>
      </c>
      <c r="DK29" s="4" t="s">
        <v>77</v>
      </c>
      <c r="DL29" s="5">
        <v>14</v>
      </c>
      <c r="DM29" s="5">
        <v>17</v>
      </c>
      <c r="DN29" s="5">
        <v>3</v>
      </c>
      <c r="DO29" s="5">
        <v>20</v>
      </c>
      <c r="DP29" s="5">
        <v>52</v>
      </c>
      <c r="DQ29" s="5">
        <v>45</v>
      </c>
      <c r="DR29" s="5">
        <v>19</v>
      </c>
      <c r="DT29" s="5">
        <v>1</v>
      </c>
    </row>
    <row r="30" spans="9:125" ht="12" customHeight="1" hidden="1">
      <c r="I30" s="167" t="s">
        <v>98</v>
      </c>
      <c r="J30" s="167"/>
      <c r="K30" s="167"/>
      <c r="M30" s="167" t="s">
        <v>99</v>
      </c>
      <c r="N30" s="167"/>
      <c r="O30" s="167"/>
      <c r="Q30" s="94" t="s">
        <v>32</v>
      </c>
      <c r="R30" s="97">
        <f t="shared" si="41"/>
        <v>971.78125</v>
      </c>
      <c r="S30" s="97">
        <f t="shared" si="42"/>
        <v>0</v>
      </c>
      <c r="T30" s="97">
        <f t="shared" si="43"/>
        <v>973.890625</v>
      </c>
      <c r="U30" s="97">
        <f t="shared" si="44"/>
        <v>969.671875</v>
      </c>
      <c r="V30" s="97">
        <f t="shared" si="45"/>
        <v>973.890625</v>
      </c>
      <c r="W30" s="97">
        <f t="shared" si="46"/>
        <v>973.890625</v>
      </c>
      <c r="X30" s="95" t="str">
        <f>IF(X29="Stop","Stop",$B$18)</f>
        <v>Tour</v>
      </c>
      <c r="Y30" s="97">
        <f t="shared" si="38"/>
        <v>971.78125</v>
      </c>
      <c r="Z30" s="97">
        <f t="shared" si="47"/>
        <v>973.890625</v>
      </c>
      <c r="AA30" s="97">
        <f t="shared" si="48"/>
        <v>972.8359375</v>
      </c>
      <c r="AB30" s="97">
        <f>IF(AND(S25=0,S26=0,S27=0,S28=0,S29=0,S30=0),(R30+R25)/2,ROUND(IF(SUM(S25:S32)&gt;0,AK30-$CP$16,AL30+$CP$16),0))</f>
        <v>906.390625</v>
      </c>
      <c r="AC30" s="97">
        <f t="shared" si="49"/>
        <v>906.390625</v>
      </c>
      <c r="AD30" s="97">
        <f t="shared" si="56"/>
        <v>967.5625</v>
      </c>
      <c r="AE30" s="97">
        <f t="shared" si="57"/>
        <v>971.78125</v>
      </c>
      <c r="AF30" s="100">
        <f t="shared" si="58"/>
        <v>2.109375</v>
      </c>
      <c r="AG30" s="98">
        <f t="shared" si="50"/>
        <v>841</v>
      </c>
      <c r="AH30" s="107">
        <f t="shared" si="51"/>
        <v>971.78125</v>
      </c>
      <c r="AI30" s="107">
        <f t="shared" si="52"/>
        <v>999</v>
      </c>
      <c r="AJ30" s="98">
        <f t="shared" si="53"/>
        <v>0</v>
      </c>
      <c r="AK30" s="98">
        <f t="shared" si="39"/>
        <v>985.390625</v>
      </c>
      <c r="AL30" s="98">
        <f t="shared" si="54"/>
        <v>420.5</v>
      </c>
      <c r="AM30" s="98">
        <f t="shared" si="59"/>
        <v>0</v>
      </c>
      <c r="AN30" s="98">
        <f t="shared" si="55"/>
        <v>0</v>
      </c>
      <c r="AO30" s="98">
        <f t="shared" si="60"/>
        <v>0</v>
      </c>
      <c r="AP30" s="98">
        <f t="shared" si="61"/>
        <v>682.390625</v>
      </c>
      <c r="AQ30" s="98">
        <f t="shared" si="62"/>
        <v>0</v>
      </c>
      <c r="AR30" s="98">
        <f t="shared" si="63"/>
        <v>841</v>
      </c>
      <c r="AS30" s="98">
        <f t="shared" si="40"/>
        <v>0</v>
      </c>
      <c r="AT30" s="4" t="s">
        <v>90</v>
      </c>
      <c r="AU30" s="125">
        <f t="shared" si="1"/>
        <v>509</v>
      </c>
      <c r="AV30" s="125">
        <f t="shared" si="2"/>
        <v>539</v>
      </c>
      <c r="AW30" s="125">
        <f t="shared" si="3"/>
        <v>511</v>
      </c>
      <c r="AX30" s="125">
        <f t="shared" si="4"/>
        <v>546</v>
      </c>
      <c r="AY30" s="125">
        <f t="shared" si="5"/>
        <v>257</v>
      </c>
      <c r="AZ30" s="125">
        <f t="shared" si="0"/>
        <v>-75</v>
      </c>
      <c r="BA30" s="125">
        <f t="shared" si="6"/>
        <v>75</v>
      </c>
      <c r="BB30" s="4">
        <v>79</v>
      </c>
      <c r="BC30" s="4">
        <v>3.601</v>
      </c>
      <c r="BD30" s="4" t="s">
        <v>181</v>
      </c>
      <c r="BE30" s="4" t="s">
        <v>183</v>
      </c>
      <c r="BF30" s="4">
        <v>109</v>
      </c>
      <c r="BG30" s="4">
        <v>146</v>
      </c>
      <c r="BH30" s="4">
        <v>183</v>
      </c>
      <c r="BI30" s="4">
        <v>221</v>
      </c>
      <c r="BJ30" s="4">
        <v>254</v>
      </c>
      <c r="BK30" s="4">
        <v>38</v>
      </c>
      <c r="BL30" s="88"/>
      <c r="BM30" s="88"/>
      <c r="BN30" s="88">
        <v>0.675999999046326</v>
      </c>
      <c r="BO30" s="88"/>
      <c r="BP30" s="88"/>
      <c r="BQ30" s="88"/>
      <c r="BR30" s="88"/>
      <c r="BS30" s="88">
        <v>0</v>
      </c>
      <c r="BT30" s="88">
        <v>0.820625007152557</v>
      </c>
      <c r="BU30" s="88">
        <v>0.810750007629395</v>
      </c>
      <c r="BV30" s="88">
        <v>0.786727249622345</v>
      </c>
      <c r="BW30" s="88">
        <v>0.754461526870728</v>
      </c>
      <c r="BX30" s="88">
        <v>0.727999985218048</v>
      </c>
      <c r="BY30" s="88">
        <v>0.733833312988281</v>
      </c>
      <c r="BZ30" s="4" t="s">
        <v>90</v>
      </c>
      <c r="CA30" s="88">
        <v>21.6818181818182</v>
      </c>
      <c r="CB30" s="88">
        <v>26.2272727272727</v>
      </c>
      <c r="CC30" s="88">
        <v>19.4090909090909</v>
      </c>
      <c r="CD30" s="88">
        <v>13.2272727272727</v>
      </c>
      <c r="CE30" s="88">
        <v>12.3636363636364</v>
      </c>
      <c r="CF30" s="88">
        <v>11.4090909090909</v>
      </c>
      <c r="CG30" s="88">
        <v>17.7272727272727</v>
      </c>
      <c r="CH30" s="88">
        <v>28.4545454545455</v>
      </c>
      <c r="CI30" s="88">
        <v>29.8636363636364</v>
      </c>
      <c r="CJ30" s="88">
        <v>25.1363636363636</v>
      </c>
      <c r="CK30" s="88">
        <v>6.59090909090909</v>
      </c>
      <c r="CL30" s="108">
        <v>1.055</v>
      </c>
      <c r="CM30" s="4" t="s">
        <v>183</v>
      </c>
      <c r="CN30" s="4">
        <v>22</v>
      </c>
      <c r="CO30" s="106"/>
      <c r="CP30" s="106"/>
      <c r="CT30" s="4" t="s">
        <v>90</v>
      </c>
      <c r="CU30" s="5" t="s">
        <v>90</v>
      </c>
      <c r="CV30" s="5">
        <v>509</v>
      </c>
      <c r="CW30" s="5">
        <v>539</v>
      </c>
      <c r="CX30" s="5">
        <v>511</v>
      </c>
      <c r="CY30" s="5">
        <v>546</v>
      </c>
      <c r="CZ30" s="5">
        <v>257</v>
      </c>
      <c r="DA30" s="5">
        <v>-150</v>
      </c>
      <c r="DB30" s="5">
        <v>21</v>
      </c>
      <c r="DC30" s="5">
        <v>700</v>
      </c>
      <c r="DD30" s="5">
        <v>350</v>
      </c>
      <c r="DE30" s="5">
        <v>600</v>
      </c>
      <c r="DF30" s="5">
        <v>500</v>
      </c>
      <c r="DG30" s="5">
        <v>150</v>
      </c>
      <c r="DH30" s="5">
        <v>0</v>
      </c>
      <c r="DI30" s="5">
        <v>1</v>
      </c>
      <c r="DK30" s="4" t="s">
        <v>90</v>
      </c>
      <c r="DM30" s="5">
        <v>8</v>
      </c>
      <c r="DN30" s="5">
        <v>4</v>
      </c>
      <c r="DO30" s="5">
        <v>11</v>
      </c>
      <c r="DP30" s="5">
        <v>13</v>
      </c>
      <c r="DQ30" s="5">
        <v>19</v>
      </c>
      <c r="DR30" s="5">
        <v>12</v>
      </c>
      <c r="DU30" s="5">
        <v>3</v>
      </c>
    </row>
    <row r="31" spans="13:122" ht="12" customHeight="1" hidden="1">
      <c r="M31" s="168" t="s">
        <v>100</v>
      </c>
      <c r="N31" s="168"/>
      <c r="O31" s="168"/>
      <c r="Q31" s="94" t="s">
        <v>33</v>
      </c>
      <c r="R31" s="97">
        <f t="shared" si="41"/>
        <v>973.890625</v>
      </c>
      <c r="S31" s="97">
        <f t="shared" si="42"/>
        <v>0</v>
      </c>
      <c r="T31" s="97">
        <f t="shared" si="43"/>
        <v>974.9453125</v>
      </c>
      <c r="U31" s="97">
        <f t="shared" si="44"/>
        <v>972.8359375</v>
      </c>
      <c r="V31" s="97">
        <f t="shared" si="45"/>
        <v>974.9453125</v>
      </c>
      <c r="W31" s="97">
        <f t="shared" si="46"/>
        <v>974.9453125</v>
      </c>
      <c r="X31" s="95" t="str">
        <f>IF(X30="Stop","Stop",$B$19)</f>
        <v>Tour</v>
      </c>
      <c r="Y31" s="97">
        <f t="shared" si="38"/>
        <v>973.890625</v>
      </c>
      <c r="Z31" s="97">
        <f t="shared" si="47"/>
        <v>974.9453125</v>
      </c>
      <c r="AA31" s="97">
        <f t="shared" si="48"/>
        <v>974.41796875</v>
      </c>
      <c r="AB31" s="97">
        <f>IF(AND(S25=0,S26=0,S27=0,S28=0,S29=0,S30=0,S31=0),(R31+R25)/2,ROUND(IF(SUM(S25:S32)&gt;0,AK31-$CP$16,AL31+$CP$16),0))</f>
        <v>907.4453125</v>
      </c>
      <c r="AC31" s="97">
        <f t="shared" si="49"/>
        <v>907.4453125</v>
      </c>
      <c r="AD31" s="97">
        <f t="shared" si="56"/>
        <v>971.78125</v>
      </c>
      <c r="AE31" s="97">
        <f t="shared" si="57"/>
        <v>973.890625</v>
      </c>
      <c r="AF31" s="100">
        <f t="shared" si="58"/>
        <v>1.0546875</v>
      </c>
      <c r="AG31" s="98">
        <f t="shared" si="50"/>
        <v>841</v>
      </c>
      <c r="AH31" s="107">
        <f t="shared" si="51"/>
        <v>973.890625</v>
      </c>
      <c r="AI31" s="107">
        <f t="shared" si="52"/>
        <v>999</v>
      </c>
      <c r="AJ31" s="98">
        <f t="shared" si="53"/>
        <v>0</v>
      </c>
      <c r="AK31" s="98">
        <f t="shared" si="39"/>
        <v>986.4453125</v>
      </c>
      <c r="AL31" s="98">
        <f t="shared" si="54"/>
        <v>420.5</v>
      </c>
      <c r="AM31" s="98">
        <f t="shared" si="59"/>
        <v>0</v>
      </c>
      <c r="AN31" s="98">
        <f t="shared" si="55"/>
        <v>0</v>
      </c>
      <c r="AO31" s="98">
        <f t="shared" si="60"/>
        <v>0</v>
      </c>
      <c r="AP31" s="98">
        <f t="shared" si="61"/>
        <v>683.4453125</v>
      </c>
      <c r="AQ31" s="98">
        <f t="shared" si="62"/>
        <v>0</v>
      </c>
      <c r="AR31" s="98">
        <f t="shared" si="63"/>
        <v>841</v>
      </c>
      <c r="AS31" s="98">
        <f t="shared" si="40"/>
        <v>0</v>
      </c>
      <c r="AT31" s="4" t="s">
        <v>52</v>
      </c>
      <c r="AU31" s="125">
        <f t="shared" si="1"/>
        <v>501</v>
      </c>
      <c r="AV31" s="125">
        <f t="shared" si="2"/>
        <v>697</v>
      </c>
      <c r="AW31" s="125">
        <f t="shared" si="3"/>
        <v>251</v>
      </c>
      <c r="AX31" s="125">
        <f t="shared" si="4"/>
        <v>502</v>
      </c>
      <c r="AY31" s="125">
        <f t="shared" si="5"/>
        <v>727</v>
      </c>
      <c r="AZ31" s="125">
        <f t="shared" si="0"/>
        <v>32</v>
      </c>
      <c r="BA31" s="125">
        <f t="shared" si="6"/>
        <v>-32</v>
      </c>
      <c r="BB31" s="4">
        <v>72</v>
      </c>
      <c r="BC31" s="4">
        <v>4.247</v>
      </c>
      <c r="BD31" s="4" t="s">
        <v>180</v>
      </c>
      <c r="BE31" s="4" t="s">
        <v>180</v>
      </c>
      <c r="BF31" s="4">
        <v>120</v>
      </c>
      <c r="BG31" s="4">
        <v>161</v>
      </c>
      <c r="BH31" s="4">
        <v>202</v>
      </c>
      <c r="BI31" s="4">
        <v>243</v>
      </c>
      <c r="BJ31" s="4">
        <v>279</v>
      </c>
      <c r="BK31" s="4">
        <v>41</v>
      </c>
      <c r="BL31" s="88"/>
      <c r="BM31" s="88"/>
      <c r="BN31" s="88"/>
      <c r="BO31" s="88"/>
      <c r="BP31" s="88"/>
      <c r="BQ31" s="88"/>
      <c r="BR31" s="88"/>
      <c r="BS31" s="88">
        <v>0.820666670799255</v>
      </c>
      <c r="BT31" s="88">
        <v>0.78257143497467</v>
      </c>
      <c r="BU31" s="88">
        <v>0.749333322048187</v>
      </c>
      <c r="BV31" s="88">
        <v>0.752222239971161</v>
      </c>
      <c r="BW31" s="88">
        <v>0.713047623634338</v>
      </c>
      <c r="BX31" s="88">
        <v>0.703142881393433</v>
      </c>
      <c r="BY31" s="88">
        <v>0.675499975681305</v>
      </c>
      <c r="BZ31" s="4" t="s">
        <v>52</v>
      </c>
      <c r="CA31" s="88">
        <v>17.05</v>
      </c>
      <c r="CB31" s="88">
        <v>31.95</v>
      </c>
      <c r="CC31" s="88">
        <v>21.3</v>
      </c>
      <c r="CD31" s="88">
        <v>18.7</v>
      </c>
      <c r="CE31" s="88">
        <v>20.4</v>
      </c>
      <c r="CF31" s="88">
        <v>15.25</v>
      </c>
      <c r="CG31" s="88">
        <v>15.7</v>
      </c>
      <c r="CH31" s="88">
        <v>26.85</v>
      </c>
      <c r="CI31" s="88">
        <v>34.65</v>
      </c>
      <c r="CJ31" s="88">
        <v>28.4</v>
      </c>
      <c r="CK31" s="88">
        <v>9.65</v>
      </c>
      <c r="CL31" s="108">
        <v>1.13</v>
      </c>
      <c r="CM31" s="4" t="s">
        <v>180</v>
      </c>
      <c r="CN31" s="4">
        <v>20</v>
      </c>
      <c r="CO31" s="106"/>
      <c r="CP31" s="106"/>
      <c r="CT31" s="4" t="s">
        <v>52</v>
      </c>
      <c r="CU31" s="5" t="s">
        <v>52</v>
      </c>
      <c r="CV31" s="5">
        <v>501</v>
      </c>
      <c r="CW31" s="5">
        <v>697</v>
      </c>
      <c r="CX31" s="5">
        <v>251</v>
      </c>
      <c r="CY31" s="5">
        <v>502</v>
      </c>
      <c r="CZ31" s="5">
        <v>727</v>
      </c>
      <c r="DA31" s="5">
        <v>64</v>
      </c>
      <c r="DB31" s="5">
        <v>20</v>
      </c>
      <c r="DK31" s="4" t="s">
        <v>52</v>
      </c>
      <c r="DL31" s="5">
        <v>6</v>
      </c>
      <c r="DM31" s="5">
        <v>7</v>
      </c>
      <c r="DN31" s="5">
        <v>3</v>
      </c>
      <c r="DO31" s="5">
        <v>9</v>
      </c>
      <c r="DP31" s="5">
        <v>21</v>
      </c>
      <c r="DQ31" s="5">
        <v>14</v>
      </c>
      <c r="DR31" s="5">
        <v>6</v>
      </c>
    </row>
    <row r="32" spans="4:127" ht="12" customHeight="1" hidden="1">
      <c r="D32" s="4"/>
      <c r="E32" s="4"/>
      <c r="F32" s="4"/>
      <c r="G32" s="4"/>
      <c r="H32" s="4"/>
      <c r="I32" s="4"/>
      <c r="J32" s="4"/>
      <c r="K32" s="4"/>
      <c r="L32" s="4"/>
      <c r="Q32" s="101" t="s">
        <v>34</v>
      </c>
      <c r="R32" s="102">
        <f t="shared" si="41"/>
        <v>974.9453125</v>
      </c>
      <c r="S32" s="102">
        <f t="shared" si="42"/>
        <v>0</v>
      </c>
      <c r="T32" s="97">
        <f t="shared" si="43"/>
        <v>975.47265625</v>
      </c>
      <c r="U32" s="102">
        <f t="shared" si="44"/>
        <v>974.41796875</v>
      </c>
      <c r="V32" s="102">
        <f t="shared" si="45"/>
        <v>975.47265625</v>
      </c>
      <c r="W32" s="97">
        <f t="shared" si="46"/>
        <v>975.47265625</v>
      </c>
      <c r="X32" s="103" t="str">
        <f>IF(X31="Stop","Stop",$B$20)</f>
        <v>Tour</v>
      </c>
      <c r="Y32" s="102">
        <f t="shared" si="38"/>
        <v>974.9453125</v>
      </c>
      <c r="Z32" s="102">
        <f t="shared" si="47"/>
        <v>975.47265625</v>
      </c>
      <c r="AA32" s="102">
        <f t="shared" si="48"/>
        <v>975.208984375</v>
      </c>
      <c r="AB32" s="102">
        <f>IF(AND(S25=0,S26=0,S27=0,S28=0,S29=0,S30=0,S31=0,S32=0),(R32+R25)/2,ROUND(IF(SUM(S25:S32)&gt;0,AK32-$CP$16,AL32+$CP$16),0))</f>
        <v>907.97265625</v>
      </c>
      <c r="AC32" s="102">
        <f t="shared" si="49"/>
        <v>907.97265625</v>
      </c>
      <c r="AD32" s="102">
        <f t="shared" si="56"/>
        <v>973.890625</v>
      </c>
      <c r="AE32" s="102">
        <f t="shared" si="57"/>
        <v>974.9453125</v>
      </c>
      <c r="AF32" s="104">
        <f t="shared" si="58"/>
        <v>0.52734375</v>
      </c>
      <c r="AG32" s="98">
        <f t="shared" si="50"/>
        <v>841</v>
      </c>
      <c r="AH32" s="107">
        <f t="shared" si="51"/>
        <v>974.9453125</v>
      </c>
      <c r="AI32" s="107">
        <f t="shared" si="52"/>
        <v>999</v>
      </c>
      <c r="AJ32" s="98">
        <f t="shared" si="53"/>
        <v>0</v>
      </c>
      <c r="AK32" s="98">
        <f t="shared" si="39"/>
        <v>986.97265625</v>
      </c>
      <c r="AL32" s="98">
        <f t="shared" si="54"/>
        <v>420.5</v>
      </c>
      <c r="AM32" s="98">
        <f t="shared" si="59"/>
        <v>0</v>
      </c>
      <c r="AN32" s="98">
        <f t="shared" si="55"/>
        <v>0</v>
      </c>
      <c r="AO32" s="98">
        <f t="shared" si="60"/>
        <v>0</v>
      </c>
      <c r="AP32" s="98">
        <f t="shared" si="61"/>
        <v>683.97265625</v>
      </c>
      <c r="AQ32" s="98">
        <f t="shared" si="62"/>
        <v>0</v>
      </c>
      <c r="AR32" s="98">
        <f t="shared" si="63"/>
        <v>841</v>
      </c>
      <c r="AS32" s="98">
        <f t="shared" si="40"/>
        <v>0</v>
      </c>
      <c r="AT32" s="4" t="s">
        <v>40</v>
      </c>
      <c r="AU32" s="125">
        <f t="shared" si="1"/>
        <v>460</v>
      </c>
      <c r="AV32" s="125">
        <f t="shared" si="2"/>
        <v>764</v>
      </c>
      <c r="AW32" s="125">
        <f t="shared" si="3"/>
        <v>586</v>
      </c>
      <c r="AX32" s="125">
        <f t="shared" si="4"/>
        <v>655</v>
      </c>
      <c r="AY32" s="125">
        <f t="shared" si="5"/>
        <v>454</v>
      </c>
      <c r="AZ32" s="125">
        <f t="shared" si="0"/>
        <v>-55</v>
      </c>
      <c r="BA32" s="125">
        <f t="shared" si="6"/>
        <v>55</v>
      </c>
      <c r="BB32" s="4">
        <v>58</v>
      </c>
      <c r="BC32" s="4">
        <v>5.303</v>
      </c>
      <c r="BD32" s="4" t="s">
        <v>180</v>
      </c>
      <c r="BE32" s="4" t="s">
        <v>180</v>
      </c>
      <c r="BF32" s="4">
        <v>120</v>
      </c>
      <c r="BG32" s="4">
        <v>161</v>
      </c>
      <c r="BH32" s="4">
        <v>202</v>
      </c>
      <c r="BI32" s="4">
        <v>243</v>
      </c>
      <c r="BJ32" s="4">
        <v>279</v>
      </c>
      <c r="BK32" s="4">
        <v>41</v>
      </c>
      <c r="BL32" s="88"/>
      <c r="BM32" s="88">
        <v>0.460666656494141</v>
      </c>
      <c r="BN32" s="88"/>
      <c r="BO32" s="88">
        <v>0.429500013589859</v>
      </c>
      <c r="BP32" s="88">
        <v>0.398999989032745</v>
      </c>
      <c r="BQ32" s="88"/>
      <c r="BR32" s="88"/>
      <c r="BS32" s="88">
        <v>0.813636362552643</v>
      </c>
      <c r="BT32" s="88">
        <v>0.760142862796783</v>
      </c>
      <c r="BU32" s="88">
        <v>0.758363664150238</v>
      </c>
      <c r="BV32" s="88">
        <v>0.741941154003143</v>
      </c>
      <c r="BW32" s="88">
        <v>0.714093744754791</v>
      </c>
      <c r="BX32" s="88">
        <v>0.683913052082062</v>
      </c>
      <c r="BY32" s="88">
        <v>0.661333322525024</v>
      </c>
      <c r="BZ32" s="4" t="s">
        <v>40</v>
      </c>
      <c r="CA32" s="88">
        <v>15.4090909090909</v>
      </c>
      <c r="CB32" s="88">
        <v>31.5</v>
      </c>
      <c r="CC32" s="88">
        <v>18.4545454545455</v>
      </c>
      <c r="CD32" s="88">
        <v>20.4545454545455</v>
      </c>
      <c r="CE32" s="88">
        <v>15.2272727272727</v>
      </c>
      <c r="CF32" s="88">
        <v>15.1363636363636</v>
      </c>
      <c r="CG32" s="88">
        <v>14.4318181818182</v>
      </c>
      <c r="CH32" s="88">
        <v>22.1136363636364</v>
      </c>
      <c r="CI32" s="88">
        <v>25.5909090909091</v>
      </c>
      <c r="CJ32" s="88">
        <v>15.6590909090909</v>
      </c>
      <c r="CK32" s="88">
        <v>12.1818181818182</v>
      </c>
      <c r="CL32" s="108">
        <v>1.15</v>
      </c>
      <c r="CM32" s="4" t="s">
        <v>180</v>
      </c>
      <c r="CN32" s="4">
        <v>44</v>
      </c>
      <c r="CO32" s="106"/>
      <c r="CP32" s="106"/>
      <c r="CT32" s="4" t="s">
        <v>40</v>
      </c>
      <c r="CU32" s="5" t="s">
        <v>40</v>
      </c>
      <c r="CV32" s="5">
        <v>460</v>
      </c>
      <c r="CW32" s="5">
        <v>764</v>
      </c>
      <c r="CX32" s="5">
        <v>586</v>
      </c>
      <c r="CY32" s="5">
        <v>655</v>
      </c>
      <c r="CZ32" s="5">
        <v>454</v>
      </c>
      <c r="DA32" s="5">
        <v>-110</v>
      </c>
      <c r="DB32" s="5">
        <v>35</v>
      </c>
      <c r="DC32" s="5">
        <v>573</v>
      </c>
      <c r="DD32" s="5">
        <v>634</v>
      </c>
      <c r="DE32" s="5">
        <v>620</v>
      </c>
      <c r="DF32" s="5">
        <v>574</v>
      </c>
      <c r="DG32" s="5">
        <v>302</v>
      </c>
      <c r="DH32" s="5">
        <v>-99</v>
      </c>
      <c r="DI32" s="5">
        <v>11</v>
      </c>
      <c r="DK32" s="4" t="s">
        <v>40</v>
      </c>
      <c r="DL32" s="5">
        <v>11</v>
      </c>
      <c r="DM32" s="5">
        <v>7</v>
      </c>
      <c r="DN32" s="5">
        <v>11</v>
      </c>
      <c r="DO32" s="5">
        <v>17</v>
      </c>
      <c r="DP32" s="5">
        <v>32</v>
      </c>
      <c r="DQ32" s="5">
        <v>46</v>
      </c>
      <c r="DR32" s="5">
        <v>6</v>
      </c>
      <c r="DT32" s="5">
        <v>3</v>
      </c>
      <c r="DV32" s="5">
        <v>4</v>
      </c>
      <c r="DW32" s="5">
        <v>2</v>
      </c>
    </row>
    <row r="33" spans="4:129" ht="12" customHeight="1" hidden="1">
      <c r="D33" s="4"/>
      <c r="E33" s="4"/>
      <c r="F33" s="4"/>
      <c r="G33" s="4"/>
      <c r="H33" s="4"/>
      <c r="I33" s="4"/>
      <c r="J33" s="4"/>
      <c r="K33" s="4"/>
      <c r="L33" s="4"/>
      <c r="M33" s="4"/>
      <c r="AT33" s="4" t="s">
        <v>67</v>
      </c>
      <c r="AU33" s="125">
        <f t="shared" si="1"/>
        <v>693</v>
      </c>
      <c r="AV33" s="125">
        <f t="shared" si="2"/>
        <v>804</v>
      </c>
      <c r="AW33" s="125">
        <f t="shared" si="3"/>
        <v>516</v>
      </c>
      <c r="AX33" s="125">
        <f t="shared" si="4"/>
        <v>525</v>
      </c>
      <c r="AY33" s="125">
        <f t="shared" si="5"/>
        <v>420</v>
      </c>
      <c r="AZ33" s="125">
        <f t="shared" si="0"/>
        <v>-71</v>
      </c>
      <c r="BA33" s="125">
        <f t="shared" si="6"/>
        <v>71</v>
      </c>
      <c r="BB33" s="4">
        <v>69</v>
      </c>
      <c r="BC33" s="4">
        <v>4.42</v>
      </c>
      <c r="BD33" s="4" t="s">
        <v>180</v>
      </c>
      <c r="BE33" s="4" t="s">
        <v>182</v>
      </c>
      <c r="BF33" s="4">
        <v>120</v>
      </c>
      <c r="BG33" s="4">
        <v>161</v>
      </c>
      <c r="BH33" s="4">
        <v>202</v>
      </c>
      <c r="BI33" s="4">
        <v>243</v>
      </c>
      <c r="BJ33" s="4">
        <v>279</v>
      </c>
      <c r="BK33" s="4">
        <v>41</v>
      </c>
      <c r="BL33" s="88">
        <v>0.644571423530579</v>
      </c>
      <c r="BM33" s="88">
        <v>0.572666645050049</v>
      </c>
      <c r="BN33" s="88">
        <v>0.578555583953857</v>
      </c>
      <c r="BO33" s="88">
        <v>0.561500012874603</v>
      </c>
      <c r="BP33" s="88">
        <v>0.529124975204468</v>
      </c>
      <c r="BQ33" s="88">
        <v>0.540727257728577</v>
      </c>
      <c r="BR33" s="88">
        <v>0.537166655063629</v>
      </c>
      <c r="BS33" s="88">
        <v>0.781333327293396</v>
      </c>
      <c r="BT33" s="88">
        <v>0.770666658878326</v>
      </c>
      <c r="BU33" s="88">
        <v>0.728333353996277</v>
      </c>
      <c r="BV33" s="88">
        <v>0.712249994277954</v>
      </c>
      <c r="BW33" s="88">
        <v>0.683352947235107</v>
      </c>
      <c r="BX33" s="88">
        <v>0.661764681339264</v>
      </c>
      <c r="BY33" s="88">
        <v>0.648666679859161</v>
      </c>
      <c r="BZ33" s="4" t="s">
        <v>67</v>
      </c>
      <c r="CA33" s="88">
        <v>10.3448275862069</v>
      </c>
      <c r="CB33" s="88">
        <v>18.2586206896552</v>
      </c>
      <c r="CC33" s="88">
        <v>13.0862068965517</v>
      </c>
      <c r="CD33" s="88">
        <v>11.7758620689655</v>
      </c>
      <c r="CE33" s="88">
        <v>15.7241379310345</v>
      </c>
      <c r="CF33" s="88">
        <v>11.3275862068966</v>
      </c>
      <c r="CG33" s="88">
        <v>15.3793103448276</v>
      </c>
      <c r="CH33" s="88">
        <v>23.8620689655172</v>
      </c>
      <c r="CI33" s="88">
        <v>10.948275862069</v>
      </c>
      <c r="CJ33" s="88">
        <v>27.4310344827586</v>
      </c>
      <c r="CK33" s="88">
        <v>13.6206896551724</v>
      </c>
      <c r="CL33" s="108">
        <v>1.21</v>
      </c>
      <c r="CM33" s="4" t="s">
        <v>182</v>
      </c>
      <c r="CN33" s="4">
        <v>58</v>
      </c>
      <c r="CT33" s="4" t="s">
        <v>67</v>
      </c>
      <c r="CU33" s="5" t="s">
        <v>67</v>
      </c>
      <c r="CV33" s="5">
        <v>693</v>
      </c>
      <c r="CW33" s="5">
        <v>804</v>
      </c>
      <c r="CX33" s="5">
        <v>516</v>
      </c>
      <c r="CY33" s="5">
        <v>525</v>
      </c>
      <c r="CZ33" s="5">
        <v>420</v>
      </c>
      <c r="DA33" s="5">
        <v>-142</v>
      </c>
      <c r="DB33" s="5">
        <v>40</v>
      </c>
      <c r="DC33" s="5">
        <v>797</v>
      </c>
      <c r="DD33" s="5">
        <v>741</v>
      </c>
      <c r="DE33" s="5">
        <v>528</v>
      </c>
      <c r="DF33" s="5">
        <v>415</v>
      </c>
      <c r="DG33" s="5">
        <v>347</v>
      </c>
      <c r="DH33" s="5">
        <v>-138</v>
      </c>
      <c r="DI33" s="5">
        <v>19</v>
      </c>
      <c r="DK33" s="4" t="s">
        <v>67</v>
      </c>
      <c r="DL33" s="5">
        <v>21</v>
      </c>
      <c r="DM33" s="5">
        <v>9</v>
      </c>
      <c r="DN33" s="5">
        <v>3</v>
      </c>
      <c r="DO33" s="5">
        <v>12</v>
      </c>
      <c r="DP33" s="5">
        <v>17</v>
      </c>
      <c r="DQ33" s="5">
        <v>34</v>
      </c>
      <c r="DR33" s="5">
        <v>15</v>
      </c>
      <c r="DS33" s="5">
        <v>7</v>
      </c>
      <c r="DT33" s="5">
        <v>3</v>
      </c>
      <c r="DU33" s="5">
        <v>9</v>
      </c>
      <c r="DV33" s="5">
        <v>2</v>
      </c>
      <c r="DW33" s="5">
        <v>8</v>
      </c>
      <c r="DX33" s="5">
        <v>11</v>
      </c>
      <c r="DY33" s="5">
        <v>6</v>
      </c>
    </row>
    <row r="34" spans="2:127" ht="12" customHeight="1" hidden="1">
      <c r="B34" s="165" t="s">
        <v>104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Q34" s="89" t="s">
        <v>35</v>
      </c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1"/>
      <c r="AE34" s="91"/>
      <c r="AF34" s="92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4" t="s">
        <v>68</v>
      </c>
      <c r="AU34" s="125">
        <f t="shared" si="1"/>
        <v>919</v>
      </c>
      <c r="AV34" s="125">
        <f t="shared" si="2"/>
        <v>486</v>
      </c>
      <c r="AW34" s="125">
        <f t="shared" si="3"/>
        <v>416</v>
      </c>
      <c r="AX34" s="125">
        <f t="shared" si="4"/>
        <v>267</v>
      </c>
      <c r="AY34" s="125">
        <f t="shared" si="5"/>
        <v>663</v>
      </c>
      <c r="AZ34" s="125">
        <f t="shared" si="0"/>
        <v>-23</v>
      </c>
      <c r="BA34" s="125">
        <f t="shared" si="6"/>
        <v>23</v>
      </c>
      <c r="BB34" s="4">
        <v>78</v>
      </c>
      <c r="BC34" s="4">
        <v>3.369</v>
      </c>
      <c r="BD34" s="4" t="s">
        <v>180</v>
      </c>
      <c r="BE34" s="4" t="s">
        <v>182</v>
      </c>
      <c r="BF34" s="4">
        <v>120</v>
      </c>
      <c r="BG34" s="4">
        <v>161</v>
      </c>
      <c r="BH34" s="4">
        <v>202</v>
      </c>
      <c r="BI34" s="4">
        <v>243</v>
      </c>
      <c r="BJ34" s="4">
        <v>279</v>
      </c>
      <c r="BK34" s="4">
        <v>41</v>
      </c>
      <c r="BL34" s="88"/>
      <c r="BM34" s="88"/>
      <c r="BN34" s="88"/>
      <c r="BO34" s="88">
        <v>0.518599987030029</v>
      </c>
      <c r="BP34" s="88">
        <v>0.507000029087067</v>
      </c>
      <c r="BQ34" s="88"/>
      <c r="BR34" s="88"/>
      <c r="BS34" s="88">
        <v>0.756900012493134</v>
      </c>
      <c r="BT34" s="88">
        <v>0.729714274406433</v>
      </c>
      <c r="BU34" s="88">
        <v>0.725799977779388</v>
      </c>
      <c r="BV34" s="88">
        <v>0.701479971408844</v>
      </c>
      <c r="BW34" s="88">
        <v>0.680611133575439</v>
      </c>
      <c r="BX34" s="88">
        <v>0.643710553646088</v>
      </c>
      <c r="BY34" s="88">
        <v>0.638529419898987</v>
      </c>
      <c r="BZ34" s="4" t="s">
        <v>68</v>
      </c>
      <c r="CA34" s="88">
        <v>10.804347826087</v>
      </c>
      <c r="CB34" s="88">
        <v>13.304347826087</v>
      </c>
      <c r="CC34" s="88">
        <v>38.3913043478261</v>
      </c>
      <c r="CD34" s="88">
        <v>38.195652173913</v>
      </c>
      <c r="CE34" s="88">
        <v>20.4130434782609</v>
      </c>
      <c r="CF34" s="88">
        <v>7.67391304347826</v>
      </c>
      <c r="CG34" s="88">
        <v>10.8695652173913</v>
      </c>
      <c r="CH34" s="88">
        <v>20.8478260869565</v>
      </c>
      <c r="CI34" s="88">
        <v>34.0652173913044</v>
      </c>
      <c r="CJ34" s="88">
        <v>27.1086956521739</v>
      </c>
      <c r="CK34" s="88">
        <v>9.52173913043478</v>
      </c>
      <c r="CL34" s="108">
        <v>1.23</v>
      </c>
      <c r="CM34" s="4" t="s">
        <v>182</v>
      </c>
      <c r="CN34" s="4">
        <v>46</v>
      </c>
      <c r="CT34" s="4" t="s">
        <v>68</v>
      </c>
      <c r="CU34" s="5" t="s">
        <v>68</v>
      </c>
      <c r="CV34" s="5">
        <v>919</v>
      </c>
      <c r="CW34" s="5">
        <v>486</v>
      </c>
      <c r="CX34" s="5">
        <v>416</v>
      </c>
      <c r="CY34" s="5">
        <v>267</v>
      </c>
      <c r="CZ34" s="5">
        <v>663</v>
      </c>
      <c r="DA34" s="5">
        <v>-46</v>
      </c>
      <c r="DB34" s="5">
        <v>39</v>
      </c>
      <c r="DC34" s="5">
        <v>984</v>
      </c>
      <c r="DD34" s="5">
        <v>325</v>
      </c>
      <c r="DE34" s="5">
        <v>528</v>
      </c>
      <c r="DF34" s="5">
        <v>166</v>
      </c>
      <c r="DG34" s="5">
        <v>470</v>
      </c>
      <c r="DH34" s="5">
        <v>-6</v>
      </c>
      <c r="DI34" s="5">
        <v>8</v>
      </c>
      <c r="DK34" s="4" t="s">
        <v>68</v>
      </c>
      <c r="DL34" s="5">
        <v>10</v>
      </c>
      <c r="DM34" s="5">
        <v>7</v>
      </c>
      <c r="DN34" s="5">
        <v>5</v>
      </c>
      <c r="DO34" s="5">
        <v>25</v>
      </c>
      <c r="DP34" s="5">
        <v>18</v>
      </c>
      <c r="DQ34" s="5">
        <v>38</v>
      </c>
      <c r="DR34" s="5">
        <v>17</v>
      </c>
      <c r="DV34" s="5">
        <v>5</v>
      </c>
      <c r="DW34" s="5">
        <v>1</v>
      </c>
    </row>
    <row r="35" spans="2:127" ht="12" customHeight="1" hidden="1" thickBot="1">
      <c r="B35" s="23"/>
      <c r="C35" s="23"/>
      <c r="D35" s="24"/>
      <c r="E35" s="24"/>
      <c r="F35" s="24"/>
      <c r="G35" s="24"/>
      <c r="H35" s="24"/>
      <c r="I35" s="24"/>
      <c r="J35" s="4"/>
      <c r="K35" s="4"/>
      <c r="L35" s="4"/>
      <c r="M35" s="4"/>
      <c r="Q35" s="94"/>
      <c r="R35" s="95"/>
      <c r="S35" s="95" t="s">
        <v>23</v>
      </c>
      <c r="T35" s="95"/>
      <c r="U35" s="95"/>
      <c r="V35" s="95"/>
      <c r="W35" s="95"/>
      <c r="X35" s="95"/>
      <c r="Y35" s="95" t="s">
        <v>24</v>
      </c>
      <c r="Z35" s="95" t="s">
        <v>25</v>
      </c>
      <c r="AA35" s="95" t="s">
        <v>26</v>
      </c>
      <c r="AB35" s="95"/>
      <c r="AC35" s="95"/>
      <c r="AD35" s="93" t="s">
        <v>24</v>
      </c>
      <c r="AE35" s="93" t="s">
        <v>25</v>
      </c>
      <c r="AF35" s="96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4" t="s">
        <v>48</v>
      </c>
      <c r="AU35" s="125">
        <f t="shared" si="1"/>
        <v>443</v>
      </c>
      <c r="AV35" s="125">
        <f t="shared" si="2"/>
        <v>799</v>
      </c>
      <c r="AW35" s="125">
        <f t="shared" si="3"/>
        <v>571</v>
      </c>
      <c r="AX35" s="125">
        <f t="shared" si="4"/>
        <v>595</v>
      </c>
      <c r="AY35" s="125">
        <f t="shared" si="5"/>
        <v>354</v>
      </c>
      <c r="AZ35" s="125">
        <f t="shared" si="0"/>
        <v>-108.5</v>
      </c>
      <c r="BA35" s="125">
        <f t="shared" si="6"/>
        <v>108.5</v>
      </c>
      <c r="BB35" s="4">
        <v>69</v>
      </c>
      <c r="BC35" s="4">
        <v>4.42</v>
      </c>
      <c r="BD35" s="4" t="s">
        <v>180</v>
      </c>
      <c r="BE35" s="4" t="s">
        <v>180</v>
      </c>
      <c r="BF35" s="4">
        <v>120</v>
      </c>
      <c r="BG35" s="4">
        <v>161</v>
      </c>
      <c r="BH35" s="4">
        <v>202</v>
      </c>
      <c r="BI35" s="4">
        <v>243</v>
      </c>
      <c r="BJ35" s="4">
        <v>279</v>
      </c>
      <c r="BK35" s="4">
        <v>41</v>
      </c>
      <c r="BL35" s="88">
        <v>0.690999984741211</v>
      </c>
      <c r="BM35" s="88">
        <v>0.611000001430511</v>
      </c>
      <c r="BN35" s="88">
        <v>0.625</v>
      </c>
      <c r="BO35" s="88">
        <v>0.618666648864746</v>
      </c>
      <c r="BP35" s="88">
        <v>0.590499997138977</v>
      </c>
      <c r="BQ35" s="88"/>
      <c r="BR35" s="88"/>
      <c r="BS35" s="88">
        <v>0.810999989509583</v>
      </c>
      <c r="BT35" s="88">
        <v>0.756142854690552</v>
      </c>
      <c r="BU35" s="88">
        <v>0.76018750667572</v>
      </c>
      <c r="BV35" s="88">
        <v>0.740416646003723</v>
      </c>
      <c r="BW35" s="88">
        <v>0.71068000793457</v>
      </c>
      <c r="BX35" s="88">
        <v>0.693805575370789</v>
      </c>
      <c r="BY35" s="88">
        <v>0.664478242397308</v>
      </c>
      <c r="BZ35" s="4" t="s">
        <v>48</v>
      </c>
      <c r="CA35" s="88">
        <v>19.4</v>
      </c>
      <c r="CB35" s="88">
        <v>33.6444444444444</v>
      </c>
      <c r="CC35" s="88">
        <v>20.2222222222222</v>
      </c>
      <c r="CD35" s="88">
        <v>12.6222222222222</v>
      </c>
      <c r="CE35" s="88">
        <v>18.8222222222222</v>
      </c>
      <c r="CF35" s="88">
        <v>13.9777777777778</v>
      </c>
      <c r="CG35" s="88">
        <v>10.1333333333333</v>
      </c>
      <c r="CH35" s="88">
        <v>27.3111111111111</v>
      </c>
      <c r="CI35" s="88">
        <v>37.0888888888889</v>
      </c>
      <c r="CJ35" s="88">
        <v>32.4666666666667</v>
      </c>
      <c r="CK35" s="88">
        <v>10.1555555555556</v>
      </c>
      <c r="CL35" s="108">
        <v>1.15</v>
      </c>
      <c r="CM35" s="4" t="s">
        <v>180</v>
      </c>
      <c r="CN35" s="4">
        <v>45</v>
      </c>
      <c r="CT35" s="4" t="s">
        <v>48</v>
      </c>
      <c r="CU35" s="5" t="s">
        <v>48</v>
      </c>
      <c r="CV35" s="5">
        <v>443</v>
      </c>
      <c r="CW35" s="5">
        <v>799</v>
      </c>
      <c r="CX35" s="5">
        <v>571</v>
      </c>
      <c r="CY35" s="5">
        <v>595</v>
      </c>
      <c r="CZ35" s="5">
        <v>354</v>
      </c>
      <c r="DA35" s="5">
        <v>-217</v>
      </c>
      <c r="DB35" s="5">
        <v>45</v>
      </c>
      <c r="DK35" s="4" t="s">
        <v>48</v>
      </c>
      <c r="DL35" s="5">
        <v>24</v>
      </c>
      <c r="DM35" s="5">
        <v>7</v>
      </c>
      <c r="DN35" s="5">
        <v>16</v>
      </c>
      <c r="DO35" s="5">
        <v>24</v>
      </c>
      <c r="DP35" s="5">
        <v>25</v>
      </c>
      <c r="DQ35" s="5">
        <v>36</v>
      </c>
      <c r="DR35" s="5">
        <v>23</v>
      </c>
      <c r="DS35" s="5">
        <v>2</v>
      </c>
      <c r="DT35" s="5">
        <v>1</v>
      </c>
      <c r="DU35" s="5">
        <v>2</v>
      </c>
      <c r="DV35" s="5">
        <v>3</v>
      </c>
      <c r="DW35" s="5">
        <v>2</v>
      </c>
    </row>
    <row r="36" spans="2:129" ht="12" customHeight="1" hidden="1" thickBot="1">
      <c r="B36" s="25" t="s">
        <v>105</v>
      </c>
      <c r="C36" s="26"/>
      <c r="D36" s="26"/>
      <c r="E36" s="26"/>
      <c r="F36" s="26"/>
      <c r="G36" s="27"/>
      <c r="H36" s="28"/>
      <c r="I36" s="28"/>
      <c r="J36" s="29"/>
      <c r="K36" s="29"/>
      <c r="L36" s="29"/>
      <c r="M36" s="29"/>
      <c r="P36" s="4">
        <v>0</v>
      </c>
      <c r="Q36" s="94" t="s">
        <v>27</v>
      </c>
      <c r="R36" s="97">
        <f>H13</f>
        <v>692</v>
      </c>
      <c r="S36" s="97">
        <f>VLOOKUP(I13,$S$3:$V$9,4,FALSE)</f>
        <v>0</v>
      </c>
      <c r="T36" s="97">
        <f>IF(IF(S36=0,R36+$E$10,IF(S36=-1,R36+$E$10,IF(S36=-2,R36+(2*$E$10),IF(S36=-3,R36+(3*$E$10),IF(S36=1,R36-$E$10,IF(S36=2,R36-(2*$E$10),R36-(3*$E$10)))))))&gt;999,999,IF(S36=0,R36+$E$10,IF(S36=-1,R36+$E$10,IF(S36=-2,R36+(2*$E$10),IF(S36=-3,R36+(3*$E$10),IF(S36=1,R36-$E$10,IF(S36=2,R36-(2*$E$10),R36-(3*$E$10))))))))</f>
        <v>759.5</v>
      </c>
      <c r="U36" s="95"/>
      <c r="V36" s="95"/>
      <c r="W36" s="95"/>
      <c r="X36" s="95" t="str">
        <f>$B$13</f>
        <v>Tour</v>
      </c>
      <c r="Y36" s="97">
        <f aca="true" t="shared" si="64" ref="Y36:Y43">IF(S36=0,R36,IF(S36&lt;0,R36,T36))</f>
        <v>692</v>
      </c>
      <c r="Z36" s="97">
        <f>IF(S36&gt;0,R36,T36)</f>
        <v>759.5</v>
      </c>
      <c r="AA36" s="97">
        <f>AVERAGE(Y36:Z36)</f>
        <v>725.75</v>
      </c>
      <c r="AB36" s="97">
        <f>ROUND(IF(SUM($S$36:$S$43)&gt;0,AA36-$CP$16,AA36+$CP$16),0)</f>
        <v>793</v>
      </c>
      <c r="AC36" s="97">
        <f>AB36</f>
        <v>793</v>
      </c>
      <c r="AD36" s="98"/>
      <c r="AE36" s="98"/>
      <c r="AF36" s="99"/>
      <c r="AG36" s="98">
        <f>IF(S36=0,R36,999)</f>
        <v>692</v>
      </c>
      <c r="AH36" s="98">
        <f>IF(S36=0,R36,0)</f>
        <v>692</v>
      </c>
      <c r="AI36" s="98">
        <f>IF(S36=0,999,R36)</f>
        <v>999</v>
      </c>
      <c r="AJ36" s="98">
        <f>IF(S36=0,0,R36)</f>
        <v>0</v>
      </c>
      <c r="AK36" s="98">
        <f aca="true" t="shared" si="65" ref="AK36:AK43">IF(AG36-AH36=999,((AL36+AI36)/2),((AH36+AI36)/2))</f>
        <v>845.5</v>
      </c>
      <c r="AL36" s="98">
        <f>IF(R36=999,999,IF(AG36-AH36=999,(AJ36+AN36)/2,(AJ36+AG36)/2))</f>
        <v>346</v>
      </c>
      <c r="AM36" s="98"/>
      <c r="AN36" s="98"/>
      <c r="AO36" s="98"/>
      <c r="AP36" s="98"/>
      <c r="AQ36" s="98">
        <f>IF(S36=0,0,S36)</f>
        <v>0</v>
      </c>
      <c r="AR36" s="98">
        <f>R36</f>
        <v>692</v>
      </c>
      <c r="AS36" s="98">
        <f>IF(X36="Stop",IF(AQ35=0,0,((AR35+AR36)/2)+(2*$CP$16)),0)</f>
        <v>0</v>
      </c>
      <c r="AT36" s="4" t="s">
        <v>61</v>
      </c>
      <c r="AU36" s="125">
        <f t="shared" si="1"/>
        <v>276</v>
      </c>
      <c r="AV36" s="125">
        <f t="shared" si="2"/>
        <v>881</v>
      </c>
      <c r="AW36" s="125">
        <f t="shared" si="3"/>
        <v>492</v>
      </c>
      <c r="AX36" s="125">
        <f t="shared" si="4"/>
        <v>746</v>
      </c>
      <c r="AY36" s="125">
        <f t="shared" si="5"/>
        <v>737</v>
      </c>
      <c r="AZ36" s="125">
        <f t="shared" si="0"/>
        <v>-48</v>
      </c>
      <c r="BA36" s="125">
        <f t="shared" si="6"/>
        <v>48</v>
      </c>
      <c r="BB36" s="4">
        <v>53</v>
      </c>
      <c r="BC36" s="4">
        <v>5.787</v>
      </c>
      <c r="BD36" s="4" t="s">
        <v>180</v>
      </c>
      <c r="BE36" s="4" t="s">
        <v>183</v>
      </c>
      <c r="BF36" s="4">
        <v>120</v>
      </c>
      <c r="BG36" s="4">
        <v>161</v>
      </c>
      <c r="BH36" s="4">
        <v>202</v>
      </c>
      <c r="BI36" s="4">
        <v>243</v>
      </c>
      <c r="BJ36" s="4">
        <v>279</v>
      </c>
      <c r="BK36" s="4">
        <v>41</v>
      </c>
      <c r="BL36" s="88"/>
      <c r="BM36" s="88"/>
      <c r="BN36" s="88"/>
      <c r="BO36" s="88">
        <v>0.666333317756653</v>
      </c>
      <c r="BP36" s="88">
        <v>0.634500026702881</v>
      </c>
      <c r="BQ36" s="88">
        <v>0.621999979019165</v>
      </c>
      <c r="BR36" s="88">
        <v>0.51800000667572</v>
      </c>
      <c r="BS36" s="88">
        <v>0.847666680812836</v>
      </c>
      <c r="BT36" s="88">
        <v>0.827750027179718</v>
      </c>
      <c r="BU36" s="88">
        <v>0.809400022029877</v>
      </c>
      <c r="BV36" s="88">
        <v>0.788954555988312</v>
      </c>
      <c r="BW36" s="88">
        <v>0.763187527656555</v>
      </c>
      <c r="BX36" s="88">
        <v>0.746777772903442</v>
      </c>
      <c r="BY36" s="88">
        <v>0.710916638374329</v>
      </c>
      <c r="BZ36" s="4" t="s">
        <v>61</v>
      </c>
      <c r="CA36" s="88">
        <v>21.2666666666667</v>
      </c>
      <c r="CB36" s="88">
        <v>39.6666666666667</v>
      </c>
      <c r="CC36" s="88">
        <v>14.4666666666667</v>
      </c>
      <c r="CD36" s="88">
        <v>11.3666666666667</v>
      </c>
      <c r="CE36" s="88">
        <v>19.8666666666667</v>
      </c>
      <c r="CF36" s="88">
        <v>17.4666666666667</v>
      </c>
      <c r="CG36" s="88">
        <v>13.5666666666667</v>
      </c>
      <c r="CH36" s="88">
        <v>30.8333333333333</v>
      </c>
      <c r="CI36" s="88">
        <v>36.8666666666667</v>
      </c>
      <c r="CJ36" s="88">
        <v>20.7</v>
      </c>
      <c r="CK36" s="88">
        <v>15.2</v>
      </c>
      <c r="CL36" s="108">
        <v>1.04</v>
      </c>
      <c r="CM36" s="4" t="s">
        <v>183</v>
      </c>
      <c r="CN36" s="4">
        <v>30</v>
      </c>
      <c r="CT36" s="4" t="s">
        <v>61</v>
      </c>
      <c r="CU36" s="5" t="s">
        <v>61</v>
      </c>
      <c r="CV36" s="5">
        <v>276</v>
      </c>
      <c r="CW36" s="5">
        <v>881</v>
      </c>
      <c r="CX36" s="5">
        <v>492</v>
      </c>
      <c r="CY36" s="5">
        <v>746</v>
      </c>
      <c r="CZ36" s="5">
        <v>737</v>
      </c>
      <c r="DA36" s="5">
        <v>-96</v>
      </c>
      <c r="DB36" s="5">
        <v>33</v>
      </c>
      <c r="DK36" s="4" t="s">
        <v>61</v>
      </c>
      <c r="DL36" s="5">
        <v>9</v>
      </c>
      <c r="DM36" s="5">
        <v>4</v>
      </c>
      <c r="DN36" s="5">
        <v>10</v>
      </c>
      <c r="DO36" s="5">
        <v>22</v>
      </c>
      <c r="DP36" s="5">
        <v>16</v>
      </c>
      <c r="DQ36" s="5">
        <v>18</v>
      </c>
      <c r="DR36" s="5">
        <v>12</v>
      </c>
      <c r="DV36" s="5">
        <v>3</v>
      </c>
      <c r="DW36" s="5">
        <v>2</v>
      </c>
      <c r="DX36" s="5">
        <v>2</v>
      </c>
      <c r="DY36" s="5">
        <v>1</v>
      </c>
    </row>
    <row r="37" spans="2:129" ht="12" customHeight="1" hidden="1">
      <c r="B37" s="23" t="s">
        <v>106</v>
      </c>
      <c r="C37" s="23"/>
      <c r="D37" s="23"/>
      <c r="E37" s="23"/>
      <c r="F37" s="23"/>
      <c r="G37" s="23"/>
      <c r="H37" s="23"/>
      <c r="I37" s="23"/>
      <c r="P37" s="4">
        <v>0</v>
      </c>
      <c r="Q37" s="94" t="s">
        <v>28</v>
      </c>
      <c r="R37" s="97">
        <f aca="true" t="shared" si="66" ref="R37:R43">H14</f>
        <v>759.5</v>
      </c>
      <c r="S37" s="97">
        <f aca="true" t="shared" si="67" ref="S37:S43">VLOOKUP(I14,$S$3:$V$9,4,FALSE)</f>
        <v>0</v>
      </c>
      <c r="T37" s="97">
        <f aca="true" t="shared" si="68" ref="T37:T43">IF(W37&gt;999,999,IF(W37&lt;1,1,W37))</f>
        <v>793.25</v>
      </c>
      <c r="U37" s="97">
        <f aca="true" t="shared" si="69" ref="U37:U43">IF(OR(S37=-2,S37=2),R37-($CP$16*2),IF(OR(S37=-3,S37=3),R37-($CP$16*3),R37-AF37))</f>
        <v>725.75</v>
      </c>
      <c r="V37" s="97">
        <f aca="true" t="shared" si="70" ref="V37:V43">IF(OR(S37=-2,S37=2),R37+($CP$16*2),IF(OR(S37=-3,S37=3),R37+($CP$16*3),R37+AF37))</f>
        <v>793.25</v>
      </c>
      <c r="W37" s="97">
        <f>IF(AND(S36-S37=0,S36=0),IF(SUM($S$36:$S$43)&lt;0,U37,V37),IF(AND(S36-S37&gt;0,S37=0),V37,IF(S36-S37&lt;0,IF(S37&gt;=0,U37,V37),IF(AND(S36-S37=0,S37&lt;0),V37,IF(AND(S36-S37&gt;0,S36=0),V37,U37)))))</f>
        <v>793.25</v>
      </c>
      <c r="X37" s="95" t="str">
        <f>IF(X36="Stop","Stop",$B$14)</f>
        <v>Tour</v>
      </c>
      <c r="Y37" s="97">
        <f t="shared" si="64"/>
        <v>759.5</v>
      </c>
      <c r="Z37" s="97">
        <f aca="true" t="shared" si="71" ref="Z37:Z43">IF(S37&gt;0,R37,T37)</f>
        <v>793.25</v>
      </c>
      <c r="AA37" s="97">
        <f aca="true" t="shared" si="72" ref="AA37:AA43">AVERAGE(Y37:Z37)</f>
        <v>776.375</v>
      </c>
      <c r="AB37" s="97">
        <f>IF(AND(S36=0,S37=0),(R37+R36)/2,ROUND(IF(SUM(S36:S43)&gt;0,AK37-$CP$16,AL37+$CP$16),0))</f>
        <v>725.75</v>
      </c>
      <c r="AC37" s="97">
        <f aca="true" t="shared" si="73" ref="AC37:AC43">IF(X37="stop",IF(AS37=0,AC36,AS37),AB37)</f>
        <v>725.75</v>
      </c>
      <c r="AD37" s="97">
        <f>IF(R37&lt;R36,R37,R36)</f>
        <v>692</v>
      </c>
      <c r="AE37" s="97">
        <f>IF(R37&gt;R36,R37,R36)</f>
        <v>759.5</v>
      </c>
      <c r="AF37" s="100">
        <f>IF(R36-R37&gt;0,(R36-R37)/2,(R37-R36)/2)</f>
        <v>33.75</v>
      </c>
      <c r="AG37" s="98">
        <f aca="true" t="shared" si="74" ref="AG37:AG43">IF(S37=0,IF(R37&lt;AG36,R37,AG36),AG36)</f>
        <v>692</v>
      </c>
      <c r="AH37" s="98">
        <f aca="true" t="shared" si="75" ref="AH37:AH43">IF(S37=0,IF(R37&gt;AH36,R37,AH36),AH36)</f>
        <v>759.5</v>
      </c>
      <c r="AI37" s="98">
        <f aca="true" t="shared" si="76" ref="AI37:AI43">IF(S37=0,AI36,IF(R37&lt;AI36,R37,AG36))</f>
        <v>999</v>
      </c>
      <c r="AJ37" s="98">
        <f aca="true" t="shared" si="77" ref="AJ37:AJ43">IF(S37=0,AJ36,IF(R37&gt;AJ36,R37,AJ36))</f>
        <v>0</v>
      </c>
      <c r="AK37" s="98">
        <f t="shared" si="65"/>
        <v>879.25</v>
      </c>
      <c r="AL37" s="98">
        <f aca="true" t="shared" si="78" ref="AL37:AL43">IF(R37=999,999,IF(AG37-AH37=999,(AJ37+AN37)/2,(AJ37+AG37)/2))</f>
        <v>346</v>
      </c>
      <c r="AM37" s="98">
        <f>S37-S36</f>
        <v>0</v>
      </c>
      <c r="AN37" s="98">
        <f aca="true" t="shared" si="79" ref="AN37:AN43">IF(AM37=0,AN36,R37)</f>
        <v>0</v>
      </c>
      <c r="AO37" s="98">
        <f>IF(S37=S36,0,1)</f>
        <v>0</v>
      </c>
      <c r="AP37" s="98">
        <f>IF(X37="Stop",AP36,IF(AO37=0,(R37+$R$14)/2,AC37))</f>
        <v>576.25</v>
      </c>
      <c r="AQ37" s="98">
        <f>IF(AQ36=0,0,IF(S37=0,0,S37))</f>
        <v>0</v>
      </c>
      <c r="AR37" s="98">
        <f>IF(AQ37=AQ36,AR36,R37)</f>
        <v>692</v>
      </c>
      <c r="AS37" s="98">
        <f aca="true" t="shared" si="80" ref="AS37:AS43">IF(X37="Stop",IF(AQ36=0,0,((AR36+AR37)/2)+(2*$CP$16)),0)</f>
        <v>0</v>
      </c>
      <c r="AT37" s="4" t="s">
        <v>62</v>
      </c>
      <c r="AU37" s="125">
        <f t="shared" si="1"/>
        <v>576</v>
      </c>
      <c r="AV37" s="125">
        <f t="shared" si="2"/>
        <v>929</v>
      </c>
      <c r="AW37" s="125">
        <f t="shared" si="3"/>
        <v>951</v>
      </c>
      <c r="AX37" s="125">
        <f t="shared" si="4"/>
        <v>780</v>
      </c>
      <c r="AY37" s="125">
        <f t="shared" si="5"/>
        <v>729</v>
      </c>
      <c r="AZ37" s="125">
        <f t="shared" si="0"/>
        <v>-137</v>
      </c>
      <c r="BA37" s="125">
        <f t="shared" si="6"/>
        <v>137</v>
      </c>
      <c r="BB37" s="4">
        <v>58</v>
      </c>
      <c r="BC37" s="4">
        <v>5.247</v>
      </c>
      <c r="BD37" s="4" t="s">
        <v>180</v>
      </c>
      <c r="BE37" s="4" t="s">
        <v>180</v>
      </c>
      <c r="BF37" s="4">
        <v>120</v>
      </c>
      <c r="BG37" s="4">
        <v>161</v>
      </c>
      <c r="BH37" s="4">
        <v>202</v>
      </c>
      <c r="BI37" s="4">
        <v>243</v>
      </c>
      <c r="BJ37" s="4">
        <v>279</v>
      </c>
      <c r="BK37" s="4">
        <v>41</v>
      </c>
      <c r="BL37" s="88"/>
      <c r="BM37" s="88"/>
      <c r="BN37" s="88"/>
      <c r="BO37" s="88"/>
      <c r="BP37" s="88">
        <v>0.479499995708466</v>
      </c>
      <c r="BQ37" s="88"/>
      <c r="BR37" s="88">
        <v>0.49099999666214</v>
      </c>
      <c r="BS37" s="88">
        <v>0.801666676998138</v>
      </c>
      <c r="BT37" s="88">
        <v>0.774999976158142</v>
      </c>
      <c r="BU37" s="88"/>
      <c r="BV37" s="88">
        <v>0.746615409851074</v>
      </c>
      <c r="BW37" s="88">
        <v>0.696749985218048</v>
      </c>
      <c r="BX37" s="88">
        <v>0.688424229621887</v>
      </c>
      <c r="BY37" s="88">
        <v>0.648428559303284</v>
      </c>
      <c r="BZ37" s="4" t="s">
        <v>62</v>
      </c>
      <c r="CA37" s="88">
        <v>15.75</v>
      </c>
      <c r="CB37" s="88">
        <v>14.84375</v>
      </c>
      <c r="CC37" s="88">
        <v>18.5</v>
      </c>
      <c r="CD37" s="88">
        <v>13.375</v>
      </c>
      <c r="CE37" s="88">
        <v>19.375</v>
      </c>
      <c r="CF37" s="88">
        <v>22.40625</v>
      </c>
      <c r="CG37" s="88">
        <v>23.4375</v>
      </c>
      <c r="CH37" s="88">
        <v>25.65625</v>
      </c>
      <c r="CI37" s="88">
        <v>23.3125</v>
      </c>
      <c r="CJ37" s="88">
        <v>19.4375</v>
      </c>
      <c r="CK37" s="88">
        <v>12.71875</v>
      </c>
      <c r="CL37" s="108">
        <v>1.15</v>
      </c>
      <c r="CM37" s="4" t="s">
        <v>180</v>
      </c>
      <c r="CN37" s="4">
        <v>32</v>
      </c>
      <c r="CT37" s="4" t="s">
        <v>62</v>
      </c>
      <c r="CU37" s="5" t="s">
        <v>62</v>
      </c>
      <c r="CV37" s="5">
        <v>576</v>
      </c>
      <c r="CW37" s="5">
        <v>929</v>
      </c>
      <c r="CX37" s="5">
        <v>951</v>
      </c>
      <c r="CY37" s="5">
        <v>780</v>
      </c>
      <c r="CZ37" s="5">
        <v>729</v>
      </c>
      <c r="DA37" s="5">
        <v>-274</v>
      </c>
      <c r="DB37" s="5">
        <v>32</v>
      </c>
      <c r="DK37" s="4" t="s">
        <v>62</v>
      </c>
      <c r="DL37" s="5">
        <v>3</v>
      </c>
      <c r="DM37" s="5">
        <v>17</v>
      </c>
      <c r="DO37" s="5">
        <v>13</v>
      </c>
      <c r="DP37" s="5">
        <v>32</v>
      </c>
      <c r="DQ37" s="5">
        <v>33</v>
      </c>
      <c r="DR37" s="5">
        <v>7</v>
      </c>
      <c r="DW37" s="5">
        <v>2</v>
      </c>
      <c r="DY37" s="5">
        <v>1</v>
      </c>
    </row>
    <row r="38" spans="2:128" ht="12" customHeight="1" hidden="1">
      <c r="B38" s="23" t="s">
        <v>107</v>
      </c>
      <c r="C38" s="23"/>
      <c r="D38" s="23"/>
      <c r="E38" s="23"/>
      <c r="F38" s="23"/>
      <c r="G38" s="23"/>
      <c r="H38" s="23"/>
      <c r="I38" s="23"/>
      <c r="Q38" s="94" t="s">
        <v>29</v>
      </c>
      <c r="R38" s="97">
        <f t="shared" si="66"/>
        <v>793.25</v>
      </c>
      <c r="S38" s="97">
        <f t="shared" si="67"/>
        <v>0</v>
      </c>
      <c r="T38" s="97">
        <f t="shared" si="68"/>
        <v>810.125</v>
      </c>
      <c r="U38" s="97">
        <f t="shared" si="69"/>
        <v>776.375</v>
      </c>
      <c r="V38" s="97">
        <f t="shared" si="70"/>
        <v>810.125</v>
      </c>
      <c r="W38" s="97">
        <f aca="true" t="shared" si="81" ref="W38:W43">IF(AND(S37-S38=0,S37=0),IF(SUM($S$36:$S$43)&lt;0,U38,V38),IF(AND(S37-S38&gt;0,S38=0),V38,IF(S37-S38&lt;0,IF(S38&gt;=0,U38,V38),IF(AND(S37-S38=0,S38&lt;0),V38,IF(AND(S37-S38&gt;0,S37=0),V38,U38)))))</f>
        <v>810.125</v>
      </c>
      <c r="X38" s="95" t="str">
        <f>IF(X37="Stop","Stop",$B$15)</f>
        <v>Tour</v>
      </c>
      <c r="Y38" s="97">
        <f t="shared" si="64"/>
        <v>793.25</v>
      </c>
      <c r="Z38" s="97">
        <f t="shared" si="71"/>
        <v>810.125</v>
      </c>
      <c r="AA38" s="97">
        <f t="shared" si="72"/>
        <v>801.6875</v>
      </c>
      <c r="AB38" s="97">
        <f>IF(AND(S36=0,S37=0,S38=0),(R38+R36)/2,ROUND(IF(SUM(S36:S43)&gt;0,AK38-$CP$16,AL38+$CP$16),0))</f>
        <v>742.625</v>
      </c>
      <c r="AC38" s="97">
        <f t="shared" si="73"/>
        <v>742.625</v>
      </c>
      <c r="AD38" s="97">
        <f aca="true" t="shared" si="82" ref="AD38:AD43">IF(R38&lt;R37,R38,R37)</f>
        <v>759.5</v>
      </c>
      <c r="AE38" s="97">
        <f aca="true" t="shared" si="83" ref="AE38:AE43">IF(R38&gt;R37,R38,R37)</f>
        <v>793.25</v>
      </c>
      <c r="AF38" s="100">
        <f aca="true" t="shared" si="84" ref="AF38:AF43">IF(R37-R38&gt;0,(R37-R38)/2,(R38-R37)/2)</f>
        <v>16.875</v>
      </c>
      <c r="AG38" s="98">
        <f t="shared" si="74"/>
        <v>692</v>
      </c>
      <c r="AH38" s="98">
        <f t="shared" si="75"/>
        <v>793.25</v>
      </c>
      <c r="AI38" s="98">
        <f t="shared" si="76"/>
        <v>999</v>
      </c>
      <c r="AJ38" s="98">
        <f t="shared" si="77"/>
        <v>0</v>
      </c>
      <c r="AK38" s="98">
        <f t="shared" si="65"/>
        <v>896.125</v>
      </c>
      <c r="AL38" s="98">
        <f t="shared" si="78"/>
        <v>346</v>
      </c>
      <c r="AM38" s="98">
        <f aca="true" t="shared" si="85" ref="AM38:AM43">S38-S37</f>
        <v>0</v>
      </c>
      <c r="AN38" s="98">
        <f t="shared" si="79"/>
        <v>0</v>
      </c>
      <c r="AO38" s="98">
        <f aca="true" t="shared" si="86" ref="AO38:AO43">IF(S38=S37,0,1)</f>
        <v>0</v>
      </c>
      <c r="AP38" s="98">
        <f aca="true" t="shared" si="87" ref="AP38:AP43">IF(X38="Stop",AP37,IF(AO38=0,(R38+$R$14)/2,AC38))</f>
        <v>593.125</v>
      </c>
      <c r="AQ38" s="98">
        <f aca="true" t="shared" si="88" ref="AQ38:AQ43">IF(AQ37=0,0,IF(S38=0,0,S38))</f>
        <v>0</v>
      </c>
      <c r="AR38" s="98">
        <f aca="true" t="shared" si="89" ref="AR38:AR43">IF(AQ38=AQ37,AR37,R38)</f>
        <v>692</v>
      </c>
      <c r="AS38" s="98">
        <f t="shared" si="80"/>
        <v>0</v>
      </c>
      <c r="AT38" s="4" t="s">
        <v>59</v>
      </c>
      <c r="AU38" s="125">
        <f t="shared" si="1"/>
        <v>666</v>
      </c>
      <c r="AV38" s="125">
        <f t="shared" si="2"/>
        <v>696</v>
      </c>
      <c r="AW38" s="125">
        <f t="shared" si="3"/>
        <v>534</v>
      </c>
      <c r="AX38" s="125">
        <f t="shared" si="4"/>
        <v>628</v>
      </c>
      <c r="AY38" s="125">
        <f t="shared" si="5"/>
        <v>312</v>
      </c>
      <c r="AZ38" s="125">
        <f t="shared" si="0"/>
        <v>-162.5</v>
      </c>
      <c r="BA38" s="125">
        <f t="shared" si="6"/>
        <v>162.5</v>
      </c>
      <c r="BB38" s="4">
        <v>60</v>
      </c>
      <c r="BC38" s="4">
        <v>5.137</v>
      </c>
      <c r="BD38" s="4" t="s">
        <v>183</v>
      </c>
      <c r="BE38" s="4" t="s">
        <v>180</v>
      </c>
      <c r="BF38" s="4">
        <v>99</v>
      </c>
      <c r="BG38" s="4">
        <v>133</v>
      </c>
      <c r="BH38" s="4">
        <v>168</v>
      </c>
      <c r="BI38" s="4">
        <v>202</v>
      </c>
      <c r="BJ38" s="4">
        <v>232</v>
      </c>
      <c r="BK38" s="4">
        <v>35</v>
      </c>
      <c r="BL38" s="88"/>
      <c r="BM38" s="88"/>
      <c r="BN38" s="88">
        <v>0.690500020980835</v>
      </c>
      <c r="BO38" s="88">
        <v>0.676999986171722</v>
      </c>
      <c r="BP38" s="88"/>
      <c r="BQ38" s="88">
        <v>0.623000025749207</v>
      </c>
      <c r="BR38" s="88"/>
      <c r="BS38" s="88">
        <v>0</v>
      </c>
      <c r="BT38" s="88">
        <v>0.762250006198883</v>
      </c>
      <c r="BU38" s="88">
        <v>0.73847621679306</v>
      </c>
      <c r="BV38" s="88">
        <v>0.71651017665863</v>
      </c>
      <c r="BW38" s="88">
        <v>0.68672502040863</v>
      </c>
      <c r="BX38" s="88">
        <v>0.669935047626495</v>
      </c>
      <c r="BY38" s="88">
        <v>0.656095266342163</v>
      </c>
      <c r="BZ38" s="4" t="s">
        <v>59</v>
      </c>
      <c r="CA38" s="88">
        <v>18.8148148148148</v>
      </c>
      <c r="CB38" s="88">
        <v>30.5925925925926</v>
      </c>
      <c r="CC38" s="88">
        <v>26.0740740740741</v>
      </c>
      <c r="CD38" s="88">
        <v>22.3518518518519</v>
      </c>
      <c r="CE38" s="88">
        <v>16.7037037037037</v>
      </c>
      <c r="CF38" s="88">
        <v>11.3333333333333</v>
      </c>
      <c r="CG38" s="88">
        <v>14.7407407407407</v>
      </c>
      <c r="CH38" s="88">
        <v>23.2592592592593</v>
      </c>
      <c r="CI38" s="88">
        <v>30.9814814814815</v>
      </c>
      <c r="CJ38" s="88">
        <v>28.6111111111111</v>
      </c>
      <c r="CK38" s="88">
        <v>9.22222222222222</v>
      </c>
      <c r="CL38" s="108">
        <v>1.19</v>
      </c>
      <c r="CM38" s="4" t="s">
        <v>180</v>
      </c>
      <c r="CN38" s="4">
        <v>54</v>
      </c>
      <c r="CT38" s="4" t="s">
        <v>59</v>
      </c>
      <c r="CU38" s="5" t="s">
        <v>59</v>
      </c>
      <c r="CV38" s="5">
        <v>666</v>
      </c>
      <c r="CW38" s="5">
        <v>696</v>
      </c>
      <c r="CX38" s="5">
        <v>534</v>
      </c>
      <c r="CY38" s="5">
        <v>628</v>
      </c>
      <c r="CZ38" s="5">
        <v>312</v>
      </c>
      <c r="DA38" s="5">
        <v>-325</v>
      </c>
      <c r="DB38" s="5">
        <v>43</v>
      </c>
      <c r="DC38" s="5">
        <v>771</v>
      </c>
      <c r="DD38" s="5">
        <v>552</v>
      </c>
      <c r="DE38" s="5">
        <v>565</v>
      </c>
      <c r="DF38" s="5">
        <v>603</v>
      </c>
      <c r="DG38" s="5">
        <v>183</v>
      </c>
      <c r="DH38" s="5">
        <v>-275</v>
      </c>
      <c r="DI38" s="5">
        <v>17</v>
      </c>
      <c r="DK38" s="4" t="s">
        <v>59</v>
      </c>
      <c r="DM38" s="5">
        <v>16</v>
      </c>
      <c r="DN38" s="5">
        <v>21</v>
      </c>
      <c r="DO38" s="5">
        <v>49</v>
      </c>
      <c r="DP38" s="5">
        <v>40</v>
      </c>
      <c r="DQ38" s="5">
        <v>77</v>
      </c>
      <c r="DR38" s="5">
        <v>21</v>
      </c>
      <c r="DU38" s="5">
        <v>4</v>
      </c>
      <c r="DV38" s="5">
        <v>1</v>
      </c>
      <c r="DX38" s="5">
        <v>1</v>
      </c>
    </row>
    <row r="39" spans="2:122" ht="12" customHeight="1" hidden="1">
      <c r="B39" s="24" t="s">
        <v>108</v>
      </c>
      <c r="C39" s="23"/>
      <c r="D39" s="23"/>
      <c r="E39" s="23"/>
      <c r="F39" s="23"/>
      <c r="G39" s="23"/>
      <c r="H39" s="23"/>
      <c r="I39" s="23"/>
      <c r="Q39" s="94" t="s">
        <v>30</v>
      </c>
      <c r="R39" s="97">
        <f t="shared" si="66"/>
        <v>810.125</v>
      </c>
      <c r="S39" s="97">
        <f t="shared" si="67"/>
        <v>0</v>
      </c>
      <c r="T39" s="97">
        <f t="shared" si="68"/>
        <v>818.5625</v>
      </c>
      <c r="U39" s="97">
        <f t="shared" si="69"/>
        <v>801.6875</v>
      </c>
      <c r="V39" s="97">
        <f t="shared" si="70"/>
        <v>818.5625</v>
      </c>
      <c r="W39" s="97">
        <f t="shared" si="81"/>
        <v>818.5625</v>
      </c>
      <c r="X39" s="95" t="str">
        <f>IF(X38="Stop","Stop",$B$16)</f>
        <v>Tour</v>
      </c>
      <c r="Y39" s="97">
        <f t="shared" si="64"/>
        <v>810.125</v>
      </c>
      <c r="Z39" s="97">
        <f t="shared" si="71"/>
        <v>818.5625</v>
      </c>
      <c r="AA39" s="97">
        <f t="shared" si="72"/>
        <v>814.34375</v>
      </c>
      <c r="AB39" s="97">
        <f>IF(AND(S36=0,S37=0,S38=0,S39=0),(R39+R36)/2,ROUND(IF(SUM(S36:S43)&gt;0,AK39-$CP$16,AL39+$CP$16),0))</f>
        <v>751.0625</v>
      </c>
      <c r="AC39" s="97">
        <f t="shared" si="73"/>
        <v>751.0625</v>
      </c>
      <c r="AD39" s="97">
        <f t="shared" si="82"/>
        <v>793.25</v>
      </c>
      <c r="AE39" s="97">
        <f t="shared" si="83"/>
        <v>810.125</v>
      </c>
      <c r="AF39" s="100">
        <f t="shared" si="84"/>
        <v>8.4375</v>
      </c>
      <c r="AG39" s="98">
        <f t="shared" si="74"/>
        <v>692</v>
      </c>
      <c r="AH39" s="98">
        <f t="shared" si="75"/>
        <v>810.125</v>
      </c>
      <c r="AI39" s="98">
        <f t="shared" si="76"/>
        <v>999</v>
      </c>
      <c r="AJ39" s="98">
        <f t="shared" si="77"/>
        <v>0</v>
      </c>
      <c r="AK39" s="98">
        <f t="shared" si="65"/>
        <v>904.5625</v>
      </c>
      <c r="AL39" s="98">
        <f t="shared" si="78"/>
        <v>346</v>
      </c>
      <c r="AM39" s="98">
        <f t="shared" si="85"/>
        <v>0</v>
      </c>
      <c r="AN39" s="98">
        <f t="shared" si="79"/>
        <v>0</v>
      </c>
      <c r="AO39" s="98">
        <f t="shared" si="86"/>
        <v>0</v>
      </c>
      <c r="AP39" s="98">
        <f t="shared" si="87"/>
        <v>601.5625</v>
      </c>
      <c r="AQ39" s="98">
        <f t="shared" si="88"/>
        <v>0</v>
      </c>
      <c r="AR39" s="98">
        <f t="shared" si="89"/>
        <v>692</v>
      </c>
      <c r="AS39" s="98">
        <f t="shared" si="80"/>
        <v>0</v>
      </c>
      <c r="AT39" s="4" t="s">
        <v>55</v>
      </c>
      <c r="AU39" s="125">
        <f t="shared" si="1"/>
        <v>731</v>
      </c>
      <c r="AV39" s="125">
        <f t="shared" si="2"/>
        <v>528</v>
      </c>
      <c r="AW39" s="125">
        <f t="shared" si="3"/>
        <v>668</v>
      </c>
      <c r="AX39" s="125">
        <f t="shared" si="4"/>
        <v>445</v>
      </c>
      <c r="AY39" s="125">
        <f t="shared" si="5"/>
        <v>238</v>
      </c>
      <c r="AZ39" s="125">
        <f t="shared" si="0"/>
        <v>41</v>
      </c>
      <c r="BA39" s="125">
        <f t="shared" si="6"/>
        <v>-41</v>
      </c>
      <c r="BB39" s="4">
        <v>60</v>
      </c>
      <c r="BC39" s="4">
        <v>5.145</v>
      </c>
      <c r="BD39" s="4" t="s">
        <v>182</v>
      </c>
      <c r="BE39" s="4" t="s">
        <v>184</v>
      </c>
      <c r="BF39" s="4">
        <v>134</v>
      </c>
      <c r="BG39" s="4">
        <v>180</v>
      </c>
      <c r="BH39" s="4">
        <v>226</v>
      </c>
      <c r="BI39" s="4">
        <v>272</v>
      </c>
      <c r="BJ39" s="4">
        <v>313</v>
      </c>
      <c r="BK39" s="4">
        <v>46</v>
      </c>
      <c r="BL39" s="88"/>
      <c r="BM39" s="88"/>
      <c r="BN39" s="88"/>
      <c r="BO39" s="88"/>
      <c r="BP39" s="88"/>
      <c r="BQ39" s="88"/>
      <c r="BR39" s="88"/>
      <c r="BS39" s="88">
        <v>0.71399998664856</v>
      </c>
      <c r="BT39" s="88">
        <v>0.701833307743073</v>
      </c>
      <c r="BU39" s="88">
        <v>0.677999973297119</v>
      </c>
      <c r="BV39" s="88">
        <v>0.66783332824707</v>
      </c>
      <c r="BW39" s="88">
        <v>0.639153838157654</v>
      </c>
      <c r="BX39" s="88">
        <v>0.624111115932465</v>
      </c>
      <c r="BY39" s="88">
        <v>0.587999999523163</v>
      </c>
      <c r="BZ39" s="4" t="s">
        <v>55</v>
      </c>
      <c r="CA39" s="88">
        <v>21.8571428571429</v>
      </c>
      <c r="CB39" s="88">
        <v>32.1428571428571</v>
      </c>
      <c r="CC39" s="88">
        <v>18.6428571428571</v>
      </c>
      <c r="CD39" s="88">
        <v>24.3928571428571</v>
      </c>
      <c r="CE39" s="88">
        <v>21.4642857142857</v>
      </c>
      <c r="CF39" s="88">
        <v>11.8928571428571</v>
      </c>
      <c r="CG39" s="88">
        <v>12.6428571428571</v>
      </c>
      <c r="CH39" s="88">
        <v>21.5714285714286</v>
      </c>
      <c r="CI39" s="88">
        <v>35.8928571428571</v>
      </c>
      <c r="CJ39" s="88">
        <v>32.2142857142857</v>
      </c>
      <c r="CK39" s="88">
        <v>8.67857142857143</v>
      </c>
      <c r="CL39" s="108">
        <v>1.305</v>
      </c>
      <c r="CM39" s="4" t="s">
        <v>184</v>
      </c>
      <c r="CN39" s="4">
        <v>28</v>
      </c>
      <c r="CT39" s="4" t="s">
        <v>55</v>
      </c>
      <c r="CU39" s="5" t="s">
        <v>55</v>
      </c>
      <c r="CV39" s="5">
        <v>731</v>
      </c>
      <c r="CW39" s="5">
        <v>528</v>
      </c>
      <c r="CX39" s="5">
        <v>668</v>
      </c>
      <c r="CY39" s="5">
        <v>445</v>
      </c>
      <c r="CZ39" s="5">
        <v>238</v>
      </c>
      <c r="DA39" s="5">
        <v>82</v>
      </c>
      <c r="DB39" s="5">
        <v>26</v>
      </c>
      <c r="DC39" s="5">
        <v>850</v>
      </c>
      <c r="DD39" s="5">
        <v>419</v>
      </c>
      <c r="DE39" s="5">
        <v>576</v>
      </c>
      <c r="DF39" s="5">
        <v>513</v>
      </c>
      <c r="DG39" s="5">
        <v>146</v>
      </c>
      <c r="DH39" s="5">
        <v>299</v>
      </c>
      <c r="DI39" s="5">
        <v>1</v>
      </c>
      <c r="DK39" s="4" t="s">
        <v>55</v>
      </c>
      <c r="DL39" s="5">
        <v>9</v>
      </c>
      <c r="DM39" s="5">
        <v>6</v>
      </c>
      <c r="DN39" s="5">
        <v>2</v>
      </c>
      <c r="DO39" s="5">
        <v>6</v>
      </c>
      <c r="DP39" s="5">
        <v>26</v>
      </c>
      <c r="DQ39" s="5">
        <v>27</v>
      </c>
      <c r="DR39" s="5">
        <v>6</v>
      </c>
    </row>
    <row r="40" spans="3:129" ht="12" customHeight="1" hidden="1" thickBot="1">
      <c r="C40" s="23"/>
      <c r="D40" s="23"/>
      <c r="E40" s="23"/>
      <c r="F40" s="23"/>
      <c r="G40" s="23"/>
      <c r="H40" s="23"/>
      <c r="I40" s="23"/>
      <c r="Q40" s="94" t="s">
        <v>31</v>
      </c>
      <c r="R40" s="97">
        <f t="shared" si="66"/>
        <v>818.5625</v>
      </c>
      <c r="S40" s="97">
        <f t="shared" si="67"/>
        <v>0</v>
      </c>
      <c r="T40" s="97">
        <f t="shared" si="68"/>
        <v>822.78125</v>
      </c>
      <c r="U40" s="97">
        <f t="shared" si="69"/>
        <v>814.34375</v>
      </c>
      <c r="V40" s="97">
        <f t="shared" si="70"/>
        <v>822.78125</v>
      </c>
      <c r="W40" s="97">
        <f t="shared" si="81"/>
        <v>822.78125</v>
      </c>
      <c r="X40" s="95" t="str">
        <f>IF(X39="Stop","Stop",$B$17)</f>
        <v>Tour</v>
      </c>
      <c r="Y40" s="97">
        <f t="shared" si="64"/>
        <v>818.5625</v>
      </c>
      <c r="Z40" s="97">
        <f t="shared" si="71"/>
        <v>822.78125</v>
      </c>
      <c r="AA40" s="97">
        <f t="shared" si="72"/>
        <v>820.671875</v>
      </c>
      <c r="AB40" s="97">
        <f>IF(AND(S36=0,S37=0,S38=0,S39=0,S40=0),(R40+R36)/2,ROUND(IF(SUM(S36:S43)&gt;0,AK40-$CP$16,AL40+$CP$16),0))</f>
        <v>755.28125</v>
      </c>
      <c r="AC40" s="97">
        <f t="shared" si="73"/>
        <v>755.28125</v>
      </c>
      <c r="AD40" s="97">
        <f t="shared" si="82"/>
        <v>810.125</v>
      </c>
      <c r="AE40" s="97">
        <f t="shared" si="83"/>
        <v>818.5625</v>
      </c>
      <c r="AF40" s="100">
        <f t="shared" si="84"/>
        <v>4.21875</v>
      </c>
      <c r="AG40" s="98">
        <f t="shared" si="74"/>
        <v>692</v>
      </c>
      <c r="AH40" s="98">
        <f t="shared" si="75"/>
        <v>818.5625</v>
      </c>
      <c r="AI40" s="98">
        <f t="shared" si="76"/>
        <v>999</v>
      </c>
      <c r="AJ40" s="98">
        <f t="shared" si="77"/>
        <v>0</v>
      </c>
      <c r="AK40" s="98">
        <f t="shared" si="65"/>
        <v>908.78125</v>
      </c>
      <c r="AL40" s="98">
        <f t="shared" si="78"/>
        <v>346</v>
      </c>
      <c r="AM40" s="98">
        <f t="shared" si="85"/>
        <v>0</v>
      </c>
      <c r="AN40" s="98">
        <f t="shared" si="79"/>
        <v>0</v>
      </c>
      <c r="AO40" s="98">
        <f t="shared" si="86"/>
        <v>0</v>
      </c>
      <c r="AP40" s="98">
        <f t="shared" si="87"/>
        <v>605.78125</v>
      </c>
      <c r="AQ40" s="98">
        <f t="shared" si="88"/>
        <v>0</v>
      </c>
      <c r="AR40" s="98">
        <f t="shared" si="89"/>
        <v>692</v>
      </c>
      <c r="AS40" s="98">
        <f t="shared" si="80"/>
        <v>0</v>
      </c>
      <c r="AT40" s="4" t="s">
        <v>42</v>
      </c>
      <c r="AU40" s="125">
        <f t="shared" si="1"/>
        <v>505</v>
      </c>
      <c r="AV40" s="125">
        <f t="shared" si="2"/>
        <v>827</v>
      </c>
      <c r="AW40" s="125">
        <f t="shared" si="3"/>
        <v>485</v>
      </c>
      <c r="AX40" s="125">
        <f t="shared" si="4"/>
        <v>622</v>
      </c>
      <c r="AY40" s="125">
        <f t="shared" si="5"/>
        <v>644</v>
      </c>
      <c r="AZ40" s="125">
        <f t="shared" si="0"/>
        <v>-6</v>
      </c>
      <c r="BA40" s="125">
        <f t="shared" si="6"/>
        <v>6</v>
      </c>
      <c r="BB40" s="4">
        <v>52</v>
      </c>
      <c r="BC40" s="4">
        <v>5.94</v>
      </c>
      <c r="BD40" s="4" t="s">
        <v>180</v>
      </c>
      <c r="BE40" s="4" t="s">
        <v>181</v>
      </c>
      <c r="BF40" s="4">
        <v>120</v>
      </c>
      <c r="BG40" s="4">
        <v>161</v>
      </c>
      <c r="BH40" s="4">
        <v>202</v>
      </c>
      <c r="BI40" s="4">
        <v>243</v>
      </c>
      <c r="BJ40" s="4">
        <v>279</v>
      </c>
      <c r="BK40" s="4">
        <v>41</v>
      </c>
      <c r="BL40" s="88"/>
      <c r="BM40" s="88">
        <v>0.577333331108093</v>
      </c>
      <c r="BN40" s="88"/>
      <c r="BO40" s="88">
        <v>0.527999997138977</v>
      </c>
      <c r="BP40" s="88">
        <v>0.513999998569489</v>
      </c>
      <c r="BQ40" s="88">
        <v>0.500916659832001</v>
      </c>
      <c r="BR40" s="88">
        <v>0.470499992370605</v>
      </c>
      <c r="BS40" s="88">
        <v>0</v>
      </c>
      <c r="BT40" s="88">
        <v>0.794250011444092</v>
      </c>
      <c r="BU40" s="88">
        <v>0.767428576946259</v>
      </c>
      <c r="BV40" s="88">
        <v>0.760133326053619</v>
      </c>
      <c r="BW40" s="88">
        <v>0.704444468021393</v>
      </c>
      <c r="BX40" s="88">
        <v>0.69913637638092</v>
      </c>
      <c r="BY40" s="88">
        <v>0.683833360671997</v>
      </c>
      <c r="BZ40" s="4" t="s">
        <v>42</v>
      </c>
      <c r="CA40" s="88">
        <v>14.780487804878</v>
      </c>
      <c r="CB40" s="88">
        <v>32.2926829268293</v>
      </c>
      <c r="CC40" s="88">
        <v>18.3658536585366</v>
      </c>
      <c r="CD40" s="88">
        <v>21.0487804878049</v>
      </c>
      <c r="CE40" s="88">
        <v>16.0731707317073</v>
      </c>
      <c r="CF40" s="88">
        <v>14.0975609756098</v>
      </c>
      <c r="CG40" s="88">
        <v>15.8048780487805</v>
      </c>
      <c r="CH40" s="88">
        <v>18.0975609756098</v>
      </c>
      <c r="CI40" s="88">
        <v>25.4146341463415</v>
      </c>
      <c r="CJ40" s="88">
        <v>16.9024390243902</v>
      </c>
      <c r="CK40" s="88">
        <v>9.73170731707317</v>
      </c>
      <c r="CL40" s="108">
        <v>1.12</v>
      </c>
      <c r="CM40" s="4" t="s">
        <v>181</v>
      </c>
      <c r="CN40" s="4">
        <v>41</v>
      </c>
      <c r="CT40" s="4" t="s">
        <v>42</v>
      </c>
      <c r="CU40" s="5" t="s">
        <v>42</v>
      </c>
      <c r="CV40" s="5">
        <v>505</v>
      </c>
      <c r="CW40" s="5">
        <v>827</v>
      </c>
      <c r="CX40" s="5">
        <v>485</v>
      </c>
      <c r="CY40" s="5">
        <v>622</v>
      </c>
      <c r="CZ40" s="5">
        <v>644</v>
      </c>
      <c r="DA40" s="5">
        <v>-12</v>
      </c>
      <c r="DB40" s="5">
        <v>25</v>
      </c>
      <c r="DC40" s="5">
        <v>627</v>
      </c>
      <c r="DD40" s="5">
        <v>727</v>
      </c>
      <c r="DE40" s="5">
        <v>566</v>
      </c>
      <c r="DF40" s="5">
        <v>450</v>
      </c>
      <c r="DG40" s="5">
        <v>524</v>
      </c>
      <c r="DH40" s="5">
        <v>1</v>
      </c>
      <c r="DI40" s="5">
        <v>15</v>
      </c>
      <c r="DK40" s="4" t="s">
        <v>42</v>
      </c>
      <c r="DM40" s="5">
        <v>12</v>
      </c>
      <c r="DN40" s="5">
        <v>7</v>
      </c>
      <c r="DO40" s="5">
        <v>15</v>
      </c>
      <c r="DP40" s="5">
        <v>9</v>
      </c>
      <c r="DQ40" s="5">
        <v>44</v>
      </c>
      <c r="DR40" s="5">
        <v>6</v>
      </c>
      <c r="DT40" s="5">
        <v>3</v>
      </c>
      <c r="DV40" s="5">
        <v>1</v>
      </c>
      <c r="DW40" s="5">
        <v>3</v>
      </c>
      <c r="DX40" s="5">
        <v>12</v>
      </c>
      <c r="DY40" s="5">
        <v>2</v>
      </c>
    </row>
    <row r="41" spans="2:129" ht="12" customHeight="1" hidden="1" thickBot="1">
      <c r="B41" s="25" t="s">
        <v>109</v>
      </c>
      <c r="C41" s="30"/>
      <c r="D41" s="30"/>
      <c r="E41" s="30"/>
      <c r="F41" s="30"/>
      <c r="G41" s="31"/>
      <c r="H41" s="23"/>
      <c r="I41" s="23"/>
      <c r="M41" s="5" t="b">
        <f>IF(AND(P36=0,P37=0),TRUE,FALSE)</f>
        <v>1</v>
      </c>
      <c r="Q41" s="94" t="s">
        <v>32</v>
      </c>
      <c r="R41" s="97">
        <f t="shared" si="66"/>
        <v>822.78125</v>
      </c>
      <c r="S41" s="97">
        <f t="shared" si="67"/>
        <v>0</v>
      </c>
      <c r="T41" s="97">
        <f t="shared" si="68"/>
        <v>824.890625</v>
      </c>
      <c r="U41" s="97">
        <f t="shared" si="69"/>
        <v>820.671875</v>
      </c>
      <c r="V41" s="97">
        <f t="shared" si="70"/>
        <v>824.890625</v>
      </c>
      <c r="W41" s="97">
        <f t="shared" si="81"/>
        <v>824.890625</v>
      </c>
      <c r="X41" s="95" t="str">
        <f>IF(X40="Stop","Stop",$B$18)</f>
        <v>Tour</v>
      </c>
      <c r="Y41" s="97">
        <f t="shared" si="64"/>
        <v>822.78125</v>
      </c>
      <c r="Z41" s="97">
        <f t="shared" si="71"/>
        <v>824.890625</v>
      </c>
      <c r="AA41" s="97">
        <f t="shared" si="72"/>
        <v>823.8359375</v>
      </c>
      <c r="AB41" s="97">
        <f>IF(AND(S36=0,S37=0,S38=0,S39=0,S40=0,S41=0),(R41+R36)/2,ROUND(IF(SUM(S36:S43)&gt;0,AK41-$CP$16,AL41+$CP$16),0))</f>
        <v>757.390625</v>
      </c>
      <c r="AC41" s="97">
        <f t="shared" si="73"/>
        <v>757.390625</v>
      </c>
      <c r="AD41" s="97">
        <f t="shared" si="82"/>
        <v>818.5625</v>
      </c>
      <c r="AE41" s="97">
        <f t="shared" si="83"/>
        <v>822.78125</v>
      </c>
      <c r="AF41" s="100">
        <f t="shared" si="84"/>
        <v>2.109375</v>
      </c>
      <c r="AG41" s="98">
        <f t="shared" si="74"/>
        <v>692</v>
      </c>
      <c r="AH41" s="98">
        <f t="shared" si="75"/>
        <v>822.78125</v>
      </c>
      <c r="AI41" s="98">
        <f t="shared" si="76"/>
        <v>999</v>
      </c>
      <c r="AJ41" s="98">
        <f t="shared" si="77"/>
        <v>0</v>
      </c>
      <c r="AK41" s="98">
        <f t="shared" si="65"/>
        <v>910.890625</v>
      </c>
      <c r="AL41" s="98">
        <f t="shared" si="78"/>
        <v>346</v>
      </c>
      <c r="AM41" s="98">
        <f t="shared" si="85"/>
        <v>0</v>
      </c>
      <c r="AN41" s="98">
        <f t="shared" si="79"/>
        <v>0</v>
      </c>
      <c r="AO41" s="98">
        <f t="shared" si="86"/>
        <v>0</v>
      </c>
      <c r="AP41" s="98">
        <f t="shared" si="87"/>
        <v>607.890625</v>
      </c>
      <c r="AQ41" s="98">
        <f t="shared" si="88"/>
        <v>0</v>
      </c>
      <c r="AR41" s="98">
        <f t="shared" si="89"/>
        <v>692</v>
      </c>
      <c r="AS41" s="98">
        <f t="shared" si="80"/>
        <v>0</v>
      </c>
      <c r="AT41" s="4" t="s">
        <v>53</v>
      </c>
      <c r="AU41" s="125">
        <f t="shared" si="1"/>
        <v>490</v>
      </c>
      <c r="AV41" s="125">
        <f t="shared" si="2"/>
        <v>845</v>
      </c>
      <c r="AW41" s="125">
        <f t="shared" si="3"/>
        <v>328</v>
      </c>
      <c r="AX41" s="125">
        <f t="shared" si="4"/>
        <v>644</v>
      </c>
      <c r="AY41" s="125">
        <f t="shared" si="5"/>
        <v>666</v>
      </c>
      <c r="AZ41" s="125">
        <f t="shared" si="0"/>
        <v>58.5</v>
      </c>
      <c r="BA41" s="125">
        <f t="shared" si="6"/>
        <v>-58.5</v>
      </c>
      <c r="BB41" s="4">
        <v>79</v>
      </c>
      <c r="BC41" s="4">
        <v>3.861</v>
      </c>
      <c r="BD41" s="4" t="s">
        <v>183</v>
      </c>
      <c r="BE41" s="4" t="s">
        <v>181</v>
      </c>
      <c r="BF41" s="4">
        <v>99</v>
      </c>
      <c r="BG41" s="4">
        <v>133</v>
      </c>
      <c r="BH41" s="4">
        <v>168</v>
      </c>
      <c r="BI41" s="4">
        <v>202</v>
      </c>
      <c r="BJ41" s="4">
        <v>232</v>
      </c>
      <c r="BK41" s="4">
        <v>35</v>
      </c>
      <c r="BL41" s="88">
        <v>0.690666675567627</v>
      </c>
      <c r="BM41" s="88">
        <v>0.6875</v>
      </c>
      <c r="BN41" s="88">
        <v>0.639666676521301</v>
      </c>
      <c r="BO41" s="88"/>
      <c r="BP41" s="88">
        <v>0.589999973773956</v>
      </c>
      <c r="BQ41" s="88">
        <v>0.585666656494141</v>
      </c>
      <c r="BR41" s="88">
        <v>0.574750006198883</v>
      </c>
      <c r="BS41" s="88">
        <v>0.843874990940094</v>
      </c>
      <c r="BT41" s="88">
        <v>0.835538446903229</v>
      </c>
      <c r="BU41" s="88">
        <v>0.802181839942932</v>
      </c>
      <c r="BV41" s="88">
        <v>0.780923068523407</v>
      </c>
      <c r="BW41" s="88">
        <v>0.759227275848389</v>
      </c>
      <c r="BX41" s="88">
        <v>0.729349970817566</v>
      </c>
      <c r="BY41" s="88">
        <v>0.693000018596649</v>
      </c>
      <c r="BZ41" s="4" t="s">
        <v>53</v>
      </c>
      <c r="CA41" s="88">
        <v>19.3720930232558</v>
      </c>
      <c r="CB41" s="88">
        <v>41.6744186046512</v>
      </c>
      <c r="CC41" s="88">
        <v>19.8837209302326</v>
      </c>
      <c r="CD41" s="88">
        <v>25.6046511627907</v>
      </c>
      <c r="CE41" s="88">
        <v>22.7441860465116</v>
      </c>
      <c r="CF41" s="88">
        <v>12.1860465116279</v>
      </c>
      <c r="CG41" s="88">
        <v>14.1162790697674</v>
      </c>
      <c r="CH41" s="88">
        <v>21.7906976744186</v>
      </c>
      <c r="CI41" s="88">
        <v>35.906976744186</v>
      </c>
      <c r="CJ41" s="88">
        <v>18.2790697674419</v>
      </c>
      <c r="CK41" s="88">
        <v>9.46511627906977</v>
      </c>
      <c r="CL41" s="108">
        <v>1.07</v>
      </c>
      <c r="CM41" s="4" t="s">
        <v>181</v>
      </c>
      <c r="CN41" s="4">
        <v>43</v>
      </c>
      <c r="CT41" s="4" t="s">
        <v>53</v>
      </c>
      <c r="CU41" s="5" t="s">
        <v>53</v>
      </c>
      <c r="CV41" s="5">
        <v>490</v>
      </c>
      <c r="CW41" s="5">
        <v>845</v>
      </c>
      <c r="CX41" s="5">
        <v>328</v>
      </c>
      <c r="CY41" s="5">
        <v>644</v>
      </c>
      <c r="CZ41" s="5">
        <v>666</v>
      </c>
      <c r="DA41" s="5">
        <v>117</v>
      </c>
      <c r="DB41" s="5">
        <v>31</v>
      </c>
      <c r="DC41" s="5">
        <v>549</v>
      </c>
      <c r="DD41" s="5">
        <v>737</v>
      </c>
      <c r="DE41" s="5">
        <v>317</v>
      </c>
      <c r="DF41" s="5">
        <v>677</v>
      </c>
      <c r="DG41" s="5">
        <v>581</v>
      </c>
      <c r="DH41" s="5">
        <v>169</v>
      </c>
      <c r="DI41" s="5">
        <v>12</v>
      </c>
      <c r="DK41" s="4" t="s">
        <v>53</v>
      </c>
      <c r="DL41" s="5">
        <v>16</v>
      </c>
      <c r="DM41" s="5">
        <v>13</v>
      </c>
      <c r="DN41" s="5">
        <v>11</v>
      </c>
      <c r="DO41" s="5">
        <v>13</v>
      </c>
      <c r="DP41" s="5">
        <v>22</v>
      </c>
      <c r="DQ41" s="5">
        <v>40</v>
      </c>
      <c r="DR41" s="5">
        <v>8</v>
      </c>
      <c r="DS41" s="5">
        <v>3</v>
      </c>
      <c r="DT41" s="5">
        <v>8</v>
      </c>
      <c r="DU41" s="5">
        <v>3</v>
      </c>
      <c r="DW41" s="5">
        <v>2</v>
      </c>
      <c r="DX41" s="5">
        <v>3</v>
      </c>
      <c r="DY41" s="5">
        <v>4</v>
      </c>
    </row>
    <row r="42" spans="2:129" ht="12" customHeight="1" hidden="1">
      <c r="B42" s="23" t="s">
        <v>114</v>
      </c>
      <c r="C42" s="23"/>
      <c r="D42" s="23"/>
      <c r="E42" s="23"/>
      <c r="F42" s="23"/>
      <c r="G42" s="23"/>
      <c r="H42" s="23"/>
      <c r="I42" s="23"/>
      <c r="Q42" s="94" t="s">
        <v>33</v>
      </c>
      <c r="R42" s="97">
        <f t="shared" si="66"/>
        <v>824.890625</v>
      </c>
      <c r="S42" s="97">
        <f t="shared" si="67"/>
        <v>0</v>
      </c>
      <c r="T42" s="97">
        <f t="shared" si="68"/>
        <v>825.9453125</v>
      </c>
      <c r="U42" s="97">
        <f t="shared" si="69"/>
        <v>823.8359375</v>
      </c>
      <c r="V42" s="97">
        <f t="shared" si="70"/>
        <v>825.9453125</v>
      </c>
      <c r="W42" s="97">
        <f t="shared" si="81"/>
        <v>825.9453125</v>
      </c>
      <c r="X42" s="95" t="str">
        <f>IF(X41="Stop","Stop",$B$19)</f>
        <v>Tour</v>
      </c>
      <c r="Y42" s="97">
        <f t="shared" si="64"/>
        <v>824.890625</v>
      </c>
      <c r="Z42" s="97">
        <f t="shared" si="71"/>
        <v>825.9453125</v>
      </c>
      <c r="AA42" s="97">
        <f t="shared" si="72"/>
        <v>825.41796875</v>
      </c>
      <c r="AB42" s="97">
        <f>IF(AND(S36=0,S37=0,S38=0,S39=0,S40=0,S41=0,S42=0),(R42+R36)/2,ROUND(IF(SUM(S36:S43)&gt;0,AK42-$CP$16,AL42+$CP$16),0))</f>
        <v>758.4453125</v>
      </c>
      <c r="AC42" s="97">
        <f t="shared" si="73"/>
        <v>758.4453125</v>
      </c>
      <c r="AD42" s="97">
        <f t="shared" si="82"/>
        <v>822.78125</v>
      </c>
      <c r="AE42" s="97">
        <f t="shared" si="83"/>
        <v>824.890625</v>
      </c>
      <c r="AF42" s="100">
        <f t="shared" si="84"/>
        <v>1.0546875</v>
      </c>
      <c r="AG42" s="98">
        <f t="shared" si="74"/>
        <v>692</v>
      </c>
      <c r="AH42" s="98">
        <f t="shared" si="75"/>
        <v>824.890625</v>
      </c>
      <c r="AI42" s="98">
        <f t="shared" si="76"/>
        <v>999</v>
      </c>
      <c r="AJ42" s="98">
        <f t="shared" si="77"/>
        <v>0</v>
      </c>
      <c r="AK42" s="98">
        <f t="shared" si="65"/>
        <v>911.9453125</v>
      </c>
      <c r="AL42" s="98">
        <f t="shared" si="78"/>
        <v>346</v>
      </c>
      <c r="AM42" s="98">
        <f t="shared" si="85"/>
        <v>0</v>
      </c>
      <c r="AN42" s="98">
        <f t="shared" si="79"/>
        <v>0</v>
      </c>
      <c r="AO42" s="98">
        <f t="shared" si="86"/>
        <v>0</v>
      </c>
      <c r="AP42" s="98">
        <f t="shared" si="87"/>
        <v>608.9453125</v>
      </c>
      <c r="AQ42" s="98">
        <f t="shared" si="88"/>
        <v>0</v>
      </c>
      <c r="AR42" s="98">
        <f t="shared" si="89"/>
        <v>692</v>
      </c>
      <c r="AS42" s="98">
        <f t="shared" si="80"/>
        <v>0</v>
      </c>
      <c r="AT42" s="4" t="s">
        <v>72</v>
      </c>
      <c r="AU42" s="125">
        <f t="shared" si="1"/>
        <v>838</v>
      </c>
      <c r="AV42" s="125">
        <f t="shared" si="2"/>
        <v>452</v>
      </c>
      <c r="AW42" s="125">
        <f t="shared" si="3"/>
        <v>536</v>
      </c>
      <c r="AX42" s="125">
        <f t="shared" si="4"/>
        <v>344</v>
      </c>
      <c r="AY42" s="125">
        <f t="shared" si="5"/>
        <v>382</v>
      </c>
      <c r="AZ42" s="125">
        <f>IF($N$82="Sec",IF(ABS(DA42/2)&gt;0,DA42/2,-(DA42/2)),IF(ISBLANK(DH42),IF(ABS(DA42/2)&gt;0,DA42/2,-(DA42/2)),IF(ABS(DH42/2)&gt;0,-(DH42/2),(DH42/2))))</f>
        <v>4</v>
      </c>
      <c r="BA42" s="125">
        <f t="shared" si="6"/>
        <v>-4</v>
      </c>
      <c r="BB42" s="4">
        <v>66</v>
      </c>
      <c r="BC42" s="4">
        <v>4.692</v>
      </c>
      <c r="BD42" s="4" t="s">
        <v>181</v>
      </c>
      <c r="BE42" s="4" t="s">
        <v>180</v>
      </c>
      <c r="BF42" s="4">
        <v>109</v>
      </c>
      <c r="BG42" s="4">
        <v>146</v>
      </c>
      <c r="BH42" s="4">
        <v>183</v>
      </c>
      <c r="BI42" s="4">
        <v>221</v>
      </c>
      <c r="BJ42" s="4">
        <v>254</v>
      </c>
      <c r="BK42" s="4">
        <v>38</v>
      </c>
      <c r="BL42" s="88"/>
      <c r="BM42" s="88">
        <v>0.622500002384186</v>
      </c>
      <c r="BN42" s="88">
        <v>0.615249991416931</v>
      </c>
      <c r="BO42" s="88">
        <v>0.583000004291534</v>
      </c>
      <c r="BP42" s="88">
        <v>0.593285739421844</v>
      </c>
      <c r="BQ42" s="88">
        <v>0.564999997615814</v>
      </c>
      <c r="BR42" s="88">
        <v>0.522000014781952</v>
      </c>
      <c r="BS42" s="88">
        <v>0.796500027179718</v>
      </c>
      <c r="BT42" s="88">
        <v>0.770222246646881</v>
      </c>
      <c r="BU42" s="88">
        <v>0.752533316612244</v>
      </c>
      <c r="BV42" s="88">
        <v>0.707000017166138</v>
      </c>
      <c r="BW42" s="88">
        <v>0.689631581306458</v>
      </c>
      <c r="BX42" s="88">
        <v>0.667190492153168</v>
      </c>
      <c r="BY42" s="88">
        <v>0.646785736083984</v>
      </c>
      <c r="BZ42" s="4" t="s">
        <v>72</v>
      </c>
      <c r="CA42" s="88">
        <v>16.2352941176471</v>
      </c>
      <c r="CB42" s="88">
        <v>15.1372549019608</v>
      </c>
      <c r="CC42" s="88">
        <v>16.6274509803922</v>
      </c>
      <c r="CD42" s="88">
        <v>18.0392156862745</v>
      </c>
      <c r="CE42" s="88">
        <v>30.9607843137255</v>
      </c>
      <c r="CF42" s="88">
        <v>15.5098039215686</v>
      </c>
      <c r="CG42" s="88">
        <v>15.1176470588235</v>
      </c>
      <c r="CH42" s="88">
        <v>15.6274509803922</v>
      </c>
      <c r="CI42" s="88">
        <v>22.3137254901961</v>
      </c>
      <c r="CJ42" s="88">
        <v>33.4117647058824</v>
      </c>
      <c r="CK42" s="88">
        <v>12.8823529411765</v>
      </c>
      <c r="CL42" s="108">
        <v>1.18</v>
      </c>
      <c r="CM42" s="4" t="s">
        <v>180</v>
      </c>
      <c r="CN42" s="4">
        <v>51</v>
      </c>
      <c r="CT42" s="4" t="s">
        <v>72</v>
      </c>
      <c r="CU42" s="5" t="s">
        <v>72</v>
      </c>
      <c r="CV42" s="5">
        <v>838</v>
      </c>
      <c r="CW42" s="5">
        <v>452</v>
      </c>
      <c r="CX42" s="5">
        <v>536</v>
      </c>
      <c r="CY42" s="5">
        <v>344</v>
      </c>
      <c r="CZ42" s="5">
        <v>382</v>
      </c>
      <c r="DA42" s="5">
        <v>8</v>
      </c>
      <c r="DB42" s="5">
        <v>42</v>
      </c>
      <c r="DC42" s="5">
        <v>855</v>
      </c>
      <c r="DD42" s="5">
        <v>344</v>
      </c>
      <c r="DE42" s="5">
        <v>493</v>
      </c>
      <c r="DF42" s="5">
        <v>360</v>
      </c>
      <c r="DG42" s="5">
        <v>313</v>
      </c>
      <c r="DH42" s="5">
        <v>-33</v>
      </c>
      <c r="DI42" s="5">
        <v>10</v>
      </c>
      <c r="DK42" s="4" t="s">
        <v>72</v>
      </c>
      <c r="DL42" s="5">
        <v>2</v>
      </c>
      <c r="DM42" s="5">
        <v>18</v>
      </c>
      <c r="DN42" s="5">
        <v>15</v>
      </c>
      <c r="DO42" s="5">
        <v>17</v>
      </c>
      <c r="DP42" s="5">
        <v>38</v>
      </c>
      <c r="DQ42" s="5">
        <v>42</v>
      </c>
      <c r="DR42" s="5">
        <v>14</v>
      </c>
      <c r="DT42" s="5">
        <v>2</v>
      </c>
      <c r="DU42" s="5">
        <v>4</v>
      </c>
      <c r="DV42" s="5">
        <v>1</v>
      </c>
      <c r="DW42" s="5">
        <v>7</v>
      </c>
      <c r="DX42" s="5">
        <v>5</v>
      </c>
      <c r="DY42" s="5">
        <v>1</v>
      </c>
    </row>
    <row r="43" spans="2:128" ht="12" customHeight="1" hidden="1">
      <c r="B43" s="23" t="s">
        <v>115</v>
      </c>
      <c r="C43" s="23"/>
      <c r="D43" s="23"/>
      <c r="E43" s="23"/>
      <c r="F43" s="23"/>
      <c r="G43" s="23"/>
      <c r="H43" s="23"/>
      <c r="I43" s="23"/>
      <c r="Q43" s="101" t="s">
        <v>34</v>
      </c>
      <c r="R43" s="102">
        <f t="shared" si="66"/>
        <v>825.9453125</v>
      </c>
      <c r="S43" s="102">
        <f t="shared" si="67"/>
        <v>0</v>
      </c>
      <c r="T43" s="97">
        <f t="shared" si="68"/>
        <v>826.47265625</v>
      </c>
      <c r="U43" s="102">
        <f t="shared" si="69"/>
        <v>825.41796875</v>
      </c>
      <c r="V43" s="102">
        <f t="shared" si="70"/>
        <v>826.47265625</v>
      </c>
      <c r="W43" s="97">
        <f t="shared" si="81"/>
        <v>826.47265625</v>
      </c>
      <c r="X43" s="103" t="str">
        <f>IF(X42="Stop","Stop",$B$20)</f>
        <v>Tour</v>
      </c>
      <c r="Y43" s="102">
        <f t="shared" si="64"/>
        <v>825.9453125</v>
      </c>
      <c r="Z43" s="102">
        <f t="shared" si="71"/>
        <v>826.47265625</v>
      </c>
      <c r="AA43" s="102">
        <f t="shared" si="72"/>
        <v>826.208984375</v>
      </c>
      <c r="AB43" s="102">
        <f>IF(AND(S36=0,S37=0,S38=0,S39=0,S40=0,S41=0,S42=0,S43=0),(R43+R36)/2,ROUND(IF(SUM(S36:S43)&gt;0,AK43-$CP$16,AL43+$CP$16),0))</f>
        <v>758.97265625</v>
      </c>
      <c r="AC43" s="102">
        <f t="shared" si="73"/>
        <v>758.97265625</v>
      </c>
      <c r="AD43" s="102">
        <f t="shared" si="82"/>
        <v>824.890625</v>
      </c>
      <c r="AE43" s="102">
        <f t="shared" si="83"/>
        <v>825.9453125</v>
      </c>
      <c r="AF43" s="104">
        <f t="shared" si="84"/>
        <v>0.52734375</v>
      </c>
      <c r="AG43" s="98">
        <f t="shared" si="74"/>
        <v>692</v>
      </c>
      <c r="AH43" s="98">
        <f t="shared" si="75"/>
        <v>825.9453125</v>
      </c>
      <c r="AI43" s="98">
        <f t="shared" si="76"/>
        <v>999</v>
      </c>
      <c r="AJ43" s="98">
        <f t="shared" si="77"/>
        <v>0</v>
      </c>
      <c r="AK43" s="98">
        <f t="shared" si="65"/>
        <v>912.47265625</v>
      </c>
      <c r="AL43" s="98">
        <f t="shared" si="78"/>
        <v>346</v>
      </c>
      <c r="AM43" s="98">
        <f t="shared" si="85"/>
        <v>0</v>
      </c>
      <c r="AN43" s="98">
        <f t="shared" si="79"/>
        <v>0</v>
      </c>
      <c r="AO43" s="98">
        <f t="shared" si="86"/>
        <v>0</v>
      </c>
      <c r="AP43" s="98">
        <f t="shared" si="87"/>
        <v>609.47265625</v>
      </c>
      <c r="AQ43" s="98">
        <f t="shared" si="88"/>
        <v>0</v>
      </c>
      <c r="AR43" s="98">
        <f t="shared" si="89"/>
        <v>692</v>
      </c>
      <c r="AS43" s="98">
        <f t="shared" si="80"/>
        <v>0</v>
      </c>
      <c r="AT43" s="4" t="s">
        <v>70</v>
      </c>
      <c r="AU43" s="125">
        <f t="shared" si="1"/>
        <v>774</v>
      </c>
      <c r="AV43" s="125">
        <f t="shared" si="2"/>
        <v>657</v>
      </c>
      <c r="AW43" s="125">
        <f t="shared" si="3"/>
        <v>394</v>
      </c>
      <c r="AX43" s="125">
        <f t="shared" si="4"/>
        <v>590</v>
      </c>
      <c r="AY43" s="125">
        <f t="shared" si="5"/>
        <v>651</v>
      </c>
      <c r="AZ43" s="125">
        <f aca="true" t="shared" si="90" ref="AZ43:AZ59">IF($N$82="Sec",IF(ABS(DA43/2)&gt;0,DA43/2,-(DA43/2)),IF(ISBLANK(DH43),IF(ABS(DA43/2)&gt;0,DA43/2,-(DA43/2)),IF(ABS(DH43/2)&gt;0,-(DH43/2),(DH43/2))))</f>
        <v>1.5</v>
      </c>
      <c r="BA43" s="125">
        <f t="shared" si="6"/>
        <v>-1.5</v>
      </c>
      <c r="BB43" s="4">
        <v>75</v>
      </c>
      <c r="BC43" s="4">
        <v>4.083</v>
      </c>
      <c r="BD43" s="4" t="s">
        <v>180</v>
      </c>
      <c r="BE43" s="4" t="s">
        <v>182</v>
      </c>
      <c r="BF43" s="4">
        <v>120</v>
      </c>
      <c r="BG43" s="4">
        <v>161</v>
      </c>
      <c r="BH43" s="4">
        <v>202</v>
      </c>
      <c r="BI43" s="4">
        <v>243</v>
      </c>
      <c r="BJ43" s="4">
        <v>279</v>
      </c>
      <c r="BK43" s="4">
        <v>41</v>
      </c>
      <c r="BL43" s="88"/>
      <c r="BM43" s="88"/>
      <c r="BN43" s="88"/>
      <c r="BO43" s="88"/>
      <c r="BP43" s="88">
        <v>0.578000009059906</v>
      </c>
      <c r="BQ43" s="88">
        <v>0.559333324432373</v>
      </c>
      <c r="BR43" s="88"/>
      <c r="BS43" s="88">
        <v>0</v>
      </c>
      <c r="BT43" s="88">
        <v>0.734714269638062</v>
      </c>
      <c r="BU43" s="88">
        <v>0.735333323478699</v>
      </c>
      <c r="BV43" s="88">
        <v>0.719500005245209</v>
      </c>
      <c r="BW43" s="88">
        <v>0.664274990558624</v>
      </c>
      <c r="BX43" s="88">
        <v>0.647000014781952</v>
      </c>
      <c r="BY43" s="88">
        <v>0.634210526943207</v>
      </c>
      <c r="BZ43" s="4" t="s">
        <v>70</v>
      </c>
      <c r="CA43" s="88">
        <v>19.9487179487179</v>
      </c>
      <c r="CB43" s="88">
        <v>28.2051282051282</v>
      </c>
      <c r="CC43" s="88">
        <v>23.6153846153846</v>
      </c>
      <c r="CD43" s="88">
        <v>28.0512820512821</v>
      </c>
      <c r="CE43" s="88">
        <v>24.4358974358974</v>
      </c>
      <c r="CF43" s="88">
        <v>19.974358974359</v>
      </c>
      <c r="CG43" s="88">
        <v>17.6666666666667</v>
      </c>
      <c r="CH43" s="88">
        <v>21</v>
      </c>
      <c r="CI43" s="88">
        <v>21.8205128205128</v>
      </c>
      <c r="CJ43" s="88">
        <v>17.6923076923077</v>
      </c>
      <c r="CK43" s="88">
        <v>15.025641025641</v>
      </c>
      <c r="CL43" s="108">
        <v>1.23</v>
      </c>
      <c r="CM43" s="4" t="s">
        <v>182</v>
      </c>
      <c r="CN43" s="4">
        <v>39</v>
      </c>
      <c r="CT43" s="4" t="s">
        <v>70</v>
      </c>
      <c r="CU43" s="5" t="s">
        <v>70</v>
      </c>
      <c r="CV43" s="5">
        <v>774</v>
      </c>
      <c r="CW43" s="5">
        <v>657</v>
      </c>
      <c r="CX43" s="5">
        <v>394</v>
      </c>
      <c r="CY43" s="5">
        <v>590</v>
      </c>
      <c r="CZ43" s="5">
        <v>651</v>
      </c>
      <c r="DA43" s="5">
        <v>3</v>
      </c>
      <c r="DB43" s="5">
        <v>39</v>
      </c>
      <c r="DK43" s="4" t="s">
        <v>70</v>
      </c>
      <c r="DM43" s="5">
        <v>7</v>
      </c>
      <c r="DN43" s="5">
        <v>6</v>
      </c>
      <c r="DO43" s="5">
        <v>10</v>
      </c>
      <c r="DP43" s="5">
        <v>40</v>
      </c>
      <c r="DQ43" s="5">
        <v>34</v>
      </c>
      <c r="DR43" s="5">
        <v>19</v>
      </c>
      <c r="DW43" s="5">
        <v>2</v>
      </c>
      <c r="DX43" s="5">
        <v>6</v>
      </c>
    </row>
    <row r="44" spans="2:129" ht="12" customHeight="1" hidden="1" thickBot="1">
      <c r="B44" s="23"/>
      <c r="C44" s="23"/>
      <c r="D44" s="23"/>
      <c r="E44" s="23"/>
      <c r="F44" s="23"/>
      <c r="G44" s="23"/>
      <c r="H44" s="23"/>
      <c r="I44" s="23"/>
      <c r="AT44" s="4" t="s">
        <v>262</v>
      </c>
      <c r="AU44" s="125">
        <f t="shared" si="1"/>
        <v>332</v>
      </c>
      <c r="AV44" s="125">
        <f t="shared" si="2"/>
        <v>689</v>
      </c>
      <c r="AW44" s="125">
        <f t="shared" si="3"/>
        <v>264</v>
      </c>
      <c r="AX44" s="125">
        <f t="shared" si="4"/>
        <v>554</v>
      </c>
      <c r="AY44" s="125">
        <f t="shared" si="5"/>
        <v>396</v>
      </c>
      <c r="AZ44" s="125">
        <f t="shared" si="90"/>
        <v>10</v>
      </c>
      <c r="BA44" s="125">
        <f t="shared" si="6"/>
        <v>-10</v>
      </c>
      <c r="BB44" s="4">
        <v>67</v>
      </c>
      <c r="BC44" s="4">
        <v>4.736</v>
      </c>
      <c r="BD44" s="4" t="s">
        <v>181</v>
      </c>
      <c r="BE44" s="4" t="s">
        <v>183</v>
      </c>
      <c r="BF44" s="4">
        <v>109</v>
      </c>
      <c r="BG44" s="4">
        <v>146</v>
      </c>
      <c r="BH44" s="4">
        <v>183</v>
      </c>
      <c r="BI44" s="4">
        <v>221</v>
      </c>
      <c r="BJ44" s="4">
        <v>254</v>
      </c>
      <c r="BK44" s="4">
        <v>38</v>
      </c>
      <c r="BL44" s="88"/>
      <c r="BM44" s="88">
        <v>0.666000008583069</v>
      </c>
      <c r="BN44" s="88">
        <v>0.683624982833862</v>
      </c>
      <c r="BO44" s="88">
        <v>0.642000019550323</v>
      </c>
      <c r="BP44" s="88">
        <v>0.628750026226044</v>
      </c>
      <c r="BQ44" s="88">
        <v>0.606750011444092</v>
      </c>
      <c r="BR44" s="88">
        <v>0.607749998569489</v>
      </c>
      <c r="BS44" s="88">
        <v>0.819666683673859</v>
      </c>
      <c r="BT44" s="88">
        <v>0.84375</v>
      </c>
      <c r="BU44" s="88">
        <v>0.810222208499908</v>
      </c>
      <c r="BV44" s="88">
        <v>0.79233330488205</v>
      </c>
      <c r="BW44" s="88">
        <v>0.774769246578217</v>
      </c>
      <c r="BX44" s="88">
        <v>0.735382378101349</v>
      </c>
      <c r="BY44" s="88">
        <v>0.708999991416931</v>
      </c>
      <c r="BZ44" s="4" t="s">
        <v>262</v>
      </c>
      <c r="CA44" s="121">
        <v>17.1578947368421</v>
      </c>
      <c r="CB44" s="121">
        <v>60.0263157894737</v>
      </c>
      <c r="CC44" s="121">
        <v>9.94736842105263</v>
      </c>
      <c r="CD44" s="121">
        <v>11.5526315789474</v>
      </c>
      <c r="CE44" s="121">
        <v>20.9210526315789</v>
      </c>
      <c r="CF44" s="121">
        <v>12.2894736842105</v>
      </c>
      <c r="CG44" s="121">
        <v>15.8157894736842</v>
      </c>
      <c r="CH44" s="121">
        <v>18.0526315789474</v>
      </c>
      <c r="CI44" s="121">
        <v>17.1052631578947</v>
      </c>
      <c r="CJ44" s="121">
        <v>24.3421052631579</v>
      </c>
      <c r="CK44" s="121">
        <v>11.5526315789474</v>
      </c>
      <c r="CL44" s="121">
        <v>1.0375</v>
      </c>
      <c r="CM44" s="4" t="s">
        <v>183</v>
      </c>
      <c r="CN44" s="4">
        <v>38</v>
      </c>
      <c r="CT44" s="4" t="s">
        <v>262</v>
      </c>
      <c r="CU44" s="5" t="s">
        <v>283</v>
      </c>
      <c r="CV44" s="5">
        <v>332</v>
      </c>
      <c r="CW44" s="5">
        <v>689</v>
      </c>
      <c r="CX44" s="5">
        <v>264</v>
      </c>
      <c r="CY44" s="5">
        <v>554</v>
      </c>
      <c r="CZ44" s="5">
        <v>396</v>
      </c>
      <c r="DA44" s="5">
        <v>20</v>
      </c>
      <c r="DB44" s="5">
        <v>27</v>
      </c>
      <c r="DC44" s="5">
        <v>418</v>
      </c>
      <c r="DD44" s="5">
        <v>653</v>
      </c>
      <c r="DE44" s="5">
        <v>319</v>
      </c>
      <c r="DF44" s="5">
        <v>327</v>
      </c>
      <c r="DG44" s="5">
        <v>301</v>
      </c>
      <c r="DH44" s="5">
        <v>19</v>
      </c>
      <c r="DI44" s="5">
        <v>11</v>
      </c>
      <c r="DK44" s="4" t="s">
        <v>262</v>
      </c>
      <c r="DL44" s="5">
        <v>3</v>
      </c>
      <c r="DM44" s="5">
        <v>4</v>
      </c>
      <c r="DN44" s="5">
        <v>9</v>
      </c>
      <c r="DO44" s="5">
        <v>3</v>
      </c>
      <c r="DP44" s="5">
        <v>13</v>
      </c>
      <c r="DQ44" s="5">
        <v>34</v>
      </c>
      <c r="DR44" s="5">
        <v>17</v>
      </c>
      <c r="DT44" s="5">
        <v>2</v>
      </c>
      <c r="DU44" s="5">
        <v>8</v>
      </c>
      <c r="DV44" s="5">
        <v>2</v>
      </c>
      <c r="DW44" s="5">
        <v>8</v>
      </c>
      <c r="DX44" s="5">
        <v>8</v>
      </c>
      <c r="DY44" s="5">
        <v>4</v>
      </c>
    </row>
    <row r="45" spans="2:129" ht="12" customHeight="1" hidden="1" thickBot="1">
      <c r="B45" s="25" t="s">
        <v>113</v>
      </c>
      <c r="C45" s="30"/>
      <c r="D45" s="30"/>
      <c r="E45" s="30"/>
      <c r="F45" s="30"/>
      <c r="G45" s="31"/>
      <c r="H45" s="23"/>
      <c r="I45" s="23"/>
      <c r="Q45" s="89" t="s">
        <v>36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91"/>
      <c r="AF45" s="92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4" t="s">
        <v>43</v>
      </c>
      <c r="AU45" s="125">
        <f t="shared" si="1"/>
        <v>296</v>
      </c>
      <c r="AV45" s="125">
        <f t="shared" si="2"/>
        <v>487</v>
      </c>
      <c r="AW45" s="125">
        <f t="shared" si="3"/>
        <v>742</v>
      </c>
      <c r="AX45" s="125">
        <f t="shared" si="4"/>
        <v>458</v>
      </c>
      <c r="AY45" s="125">
        <f t="shared" si="5"/>
        <v>346</v>
      </c>
      <c r="AZ45" s="125">
        <f t="shared" si="90"/>
        <v>-64.5</v>
      </c>
      <c r="BA45" s="125">
        <f t="shared" si="6"/>
        <v>64.5</v>
      </c>
      <c r="BB45" s="4">
        <v>57</v>
      </c>
      <c r="BC45" s="4">
        <v>5.412</v>
      </c>
      <c r="BD45" s="4" t="s">
        <v>180</v>
      </c>
      <c r="BE45" s="4" t="s">
        <v>183</v>
      </c>
      <c r="BF45" s="4">
        <v>120</v>
      </c>
      <c r="BG45" s="4">
        <v>161</v>
      </c>
      <c r="BH45" s="4">
        <v>202</v>
      </c>
      <c r="BI45" s="4">
        <v>243</v>
      </c>
      <c r="BJ45" s="4">
        <v>279</v>
      </c>
      <c r="BK45" s="4">
        <v>41</v>
      </c>
      <c r="BL45" s="88">
        <v>0.61599999666214</v>
      </c>
      <c r="BM45" s="88">
        <v>0.61599999666214</v>
      </c>
      <c r="BN45" s="88"/>
      <c r="BO45" s="88">
        <v>0.585333347320557</v>
      </c>
      <c r="BP45" s="88">
        <v>0.569999992847443</v>
      </c>
      <c r="BQ45" s="88">
        <v>0.554000020027161</v>
      </c>
      <c r="BR45" s="88">
        <v>0.547749996185303</v>
      </c>
      <c r="BS45" s="88">
        <v>0</v>
      </c>
      <c r="BT45" s="88">
        <v>0.864857137203217</v>
      </c>
      <c r="BU45" s="88">
        <v>0.835833311080933</v>
      </c>
      <c r="BV45" s="88">
        <v>0.815590918064117</v>
      </c>
      <c r="BW45" s="88">
        <v>0.776977300643921</v>
      </c>
      <c r="BX45" s="88">
        <v>0.754000008106232</v>
      </c>
      <c r="BY45" s="88">
        <v>0.733785688877106</v>
      </c>
      <c r="BZ45" s="4" t="s">
        <v>43</v>
      </c>
      <c r="CA45" s="88">
        <v>20</v>
      </c>
      <c r="CB45" s="88">
        <v>40.75</v>
      </c>
      <c r="CC45" s="88">
        <v>22.7291666666667</v>
      </c>
      <c r="CD45" s="88">
        <v>17.7083333333333</v>
      </c>
      <c r="CE45" s="88">
        <v>17.625</v>
      </c>
      <c r="CF45" s="88">
        <v>22.0625</v>
      </c>
      <c r="CG45" s="88">
        <v>25.2916666666667</v>
      </c>
      <c r="CH45" s="88">
        <v>21.6458333333333</v>
      </c>
      <c r="CI45" s="88">
        <v>25.0416666666667</v>
      </c>
      <c r="CJ45" s="88">
        <v>24.8125</v>
      </c>
      <c r="CK45" s="88">
        <v>12.375</v>
      </c>
      <c r="CL45" s="108">
        <v>1.0345</v>
      </c>
      <c r="CM45" s="4" t="s">
        <v>183</v>
      </c>
      <c r="CN45" s="4">
        <v>48</v>
      </c>
      <c r="CT45" s="4" t="s">
        <v>43</v>
      </c>
      <c r="CU45" s="5" t="s">
        <v>43</v>
      </c>
      <c r="CV45" s="5">
        <v>296</v>
      </c>
      <c r="CW45" s="5">
        <v>487</v>
      </c>
      <c r="CX45" s="5">
        <v>742</v>
      </c>
      <c r="CY45" s="5">
        <v>458</v>
      </c>
      <c r="CZ45" s="5">
        <v>346</v>
      </c>
      <c r="DA45" s="5">
        <v>-129</v>
      </c>
      <c r="DB45" s="5">
        <v>48</v>
      </c>
      <c r="DC45" s="5">
        <v>412</v>
      </c>
      <c r="DD45" s="5">
        <v>342</v>
      </c>
      <c r="DE45" s="5">
        <v>838</v>
      </c>
      <c r="DF45" s="5">
        <v>410</v>
      </c>
      <c r="DG45" s="5">
        <v>218</v>
      </c>
      <c r="DH45" s="5">
        <v>0</v>
      </c>
      <c r="DI45" s="5">
        <v>2</v>
      </c>
      <c r="DK45" s="4" t="s">
        <v>43</v>
      </c>
      <c r="DM45" s="5">
        <v>14</v>
      </c>
      <c r="DN45" s="5">
        <v>6</v>
      </c>
      <c r="DO45" s="5">
        <v>22</v>
      </c>
      <c r="DP45" s="5">
        <v>44</v>
      </c>
      <c r="DQ45" s="5">
        <v>36</v>
      </c>
      <c r="DR45" s="5">
        <v>14</v>
      </c>
      <c r="DS45" s="5">
        <v>2</v>
      </c>
      <c r="DT45" s="5">
        <v>1</v>
      </c>
      <c r="DV45" s="5">
        <v>3</v>
      </c>
      <c r="DW45" s="5">
        <v>1</v>
      </c>
      <c r="DX45" s="5">
        <v>1</v>
      </c>
      <c r="DY45" s="5">
        <v>4</v>
      </c>
    </row>
    <row r="46" spans="2:129" ht="12" customHeight="1" hidden="1">
      <c r="B46" s="23" t="s">
        <v>110</v>
      </c>
      <c r="C46" s="23"/>
      <c r="D46" s="23"/>
      <c r="E46" s="23"/>
      <c r="F46" s="23"/>
      <c r="G46" s="23"/>
      <c r="H46" s="23"/>
      <c r="I46" s="23"/>
      <c r="K46" s="32"/>
      <c r="Q46" s="94"/>
      <c r="R46" s="95"/>
      <c r="S46" s="95" t="s">
        <v>23</v>
      </c>
      <c r="T46" s="95"/>
      <c r="U46" s="95"/>
      <c r="V46" s="95"/>
      <c r="W46" s="95"/>
      <c r="X46" s="95"/>
      <c r="Y46" s="95" t="s">
        <v>24</v>
      </c>
      <c r="Z46" s="95" t="s">
        <v>25</v>
      </c>
      <c r="AA46" s="95" t="s">
        <v>26</v>
      </c>
      <c r="AB46" s="95"/>
      <c r="AC46" s="95"/>
      <c r="AD46" s="93" t="s">
        <v>24</v>
      </c>
      <c r="AE46" s="93" t="s">
        <v>25</v>
      </c>
      <c r="AF46" s="96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4" t="s">
        <v>66</v>
      </c>
      <c r="AU46" s="125">
        <f t="shared" si="1"/>
        <v>609</v>
      </c>
      <c r="AV46" s="125">
        <f t="shared" si="2"/>
        <v>721</v>
      </c>
      <c r="AW46" s="125">
        <f t="shared" si="3"/>
        <v>635</v>
      </c>
      <c r="AX46" s="125">
        <f t="shared" si="4"/>
        <v>630</v>
      </c>
      <c r="AY46" s="125">
        <f t="shared" si="5"/>
        <v>606</v>
      </c>
      <c r="AZ46" s="125">
        <f t="shared" si="90"/>
        <v>-74</v>
      </c>
      <c r="BA46" s="125">
        <f t="shared" si="6"/>
        <v>74</v>
      </c>
      <c r="BB46" s="4">
        <v>55</v>
      </c>
      <c r="BC46" s="4">
        <v>5.644</v>
      </c>
      <c r="BD46" s="4" t="s">
        <v>180</v>
      </c>
      <c r="BE46" s="4" t="s">
        <v>180</v>
      </c>
      <c r="BF46" s="4">
        <v>120</v>
      </c>
      <c r="BG46" s="4">
        <v>161</v>
      </c>
      <c r="BH46" s="4">
        <v>202</v>
      </c>
      <c r="BI46" s="4">
        <v>243</v>
      </c>
      <c r="BJ46" s="4">
        <v>279</v>
      </c>
      <c r="BK46" s="4">
        <v>41</v>
      </c>
      <c r="BL46" s="88"/>
      <c r="BM46" s="88">
        <v>0.515500009059906</v>
      </c>
      <c r="BN46" s="88">
        <v>0.504499971866608</v>
      </c>
      <c r="BO46" s="88">
        <v>0.480699986219406</v>
      </c>
      <c r="BP46" s="88">
        <v>0.481333345174789</v>
      </c>
      <c r="BQ46" s="88">
        <v>0.455692321062088</v>
      </c>
      <c r="BR46" s="88">
        <v>0.445499986410141</v>
      </c>
      <c r="BS46" s="88">
        <v>0.789333343505859</v>
      </c>
      <c r="BT46" s="88">
        <v>0.765714287757874</v>
      </c>
      <c r="BU46" s="88">
        <v>0.749000012874603</v>
      </c>
      <c r="BV46" s="88">
        <v>0.711529433727264</v>
      </c>
      <c r="BW46" s="88">
        <v>0.704588234424591</v>
      </c>
      <c r="BX46" s="88">
        <v>0.671199977397919</v>
      </c>
      <c r="BY46" s="88">
        <v>0.66783332824707</v>
      </c>
      <c r="BZ46" s="4" t="s">
        <v>66</v>
      </c>
      <c r="CA46" s="88">
        <v>18.0434782608696</v>
      </c>
      <c r="CB46" s="88">
        <v>32.2608695652174</v>
      </c>
      <c r="CC46" s="88">
        <v>23.5217391304348</v>
      </c>
      <c r="CD46" s="88">
        <v>18.9130434782609</v>
      </c>
      <c r="CE46" s="88">
        <v>23.1739130434783</v>
      </c>
      <c r="CF46" s="88">
        <v>13.0652173913043</v>
      </c>
      <c r="CG46" s="88">
        <v>23.0434782608696</v>
      </c>
      <c r="CH46" s="88">
        <v>26.3260869565217</v>
      </c>
      <c r="CI46" s="88">
        <v>30.5434782608696</v>
      </c>
      <c r="CJ46" s="88">
        <v>18.304347826087</v>
      </c>
      <c r="CK46" s="88">
        <v>13.3260869565217</v>
      </c>
      <c r="CL46" s="108">
        <v>1.185</v>
      </c>
      <c r="CM46" s="4" t="s">
        <v>180</v>
      </c>
      <c r="CN46" s="4">
        <v>46</v>
      </c>
      <c r="CT46" s="4" t="s">
        <v>66</v>
      </c>
      <c r="CU46" s="5" t="s">
        <v>66</v>
      </c>
      <c r="CV46" s="5">
        <v>609</v>
      </c>
      <c r="CW46" s="5">
        <v>721</v>
      </c>
      <c r="CX46" s="5">
        <v>635</v>
      </c>
      <c r="CY46" s="5">
        <v>630</v>
      </c>
      <c r="CZ46" s="5">
        <v>606</v>
      </c>
      <c r="DA46" s="5">
        <v>-148</v>
      </c>
      <c r="DB46" s="5">
        <v>40</v>
      </c>
      <c r="DC46" s="5">
        <v>730</v>
      </c>
      <c r="DD46" s="5">
        <v>592</v>
      </c>
      <c r="DE46" s="5">
        <v>708</v>
      </c>
      <c r="DF46" s="5">
        <v>578</v>
      </c>
      <c r="DG46" s="5">
        <v>459</v>
      </c>
      <c r="DH46" s="5">
        <v>-79</v>
      </c>
      <c r="DI46" s="5">
        <v>7</v>
      </c>
      <c r="DK46" s="4" t="s">
        <v>66</v>
      </c>
      <c r="DL46" s="5">
        <v>6</v>
      </c>
      <c r="DM46" s="5">
        <v>7</v>
      </c>
      <c r="DN46" s="5">
        <v>5</v>
      </c>
      <c r="DO46" s="5">
        <v>17</v>
      </c>
      <c r="DP46" s="5">
        <v>17</v>
      </c>
      <c r="DQ46" s="5">
        <v>35</v>
      </c>
      <c r="DR46" s="5">
        <v>6</v>
      </c>
      <c r="DT46" s="5">
        <v>2</v>
      </c>
      <c r="DU46" s="5">
        <v>2</v>
      </c>
      <c r="DV46" s="5">
        <v>10</v>
      </c>
      <c r="DW46" s="5">
        <v>3</v>
      </c>
      <c r="DX46" s="5">
        <v>13</v>
      </c>
      <c r="DY46" s="5">
        <v>2</v>
      </c>
    </row>
    <row r="47" spans="2:122" ht="12" customHeight="1" hidden="1">
      <c r="B47" s="23" t="s">
        <v>111</v>
      </c>
      <c r="C47" s="23"/>
      <c r="D47" s="23"/>
      <c r="E47" s="23"/>
      <c r="F47" s="23"/>
      <c r="G47" s="23"/>
      <c r="H47" s="23"/>
      <c r="I47" s="23"/>
      <c r="Q47" s="94" t="s">
        <v>27</v>
      </c>
      <c r="R47" s="97">
        <f>J13</f>
        <v>685</v>
      </c>
      <c r="S47" s="97">
        <f>VLOOKUP(K13,$T$3:$V$9,3,FALSE)</f>
        <v>0</v>
      </c>
      <c r="T47" s="97">
        <f>IF(IF(S47=0,R47+$E$10,IF(S47=-1,R47+$E$10,IF(S47=-2,R47+(2*$E$10),IF(S47=-3,R47+(3*$E$10),IF(S47=1,R47-$E$10,IF(S47=2,R47-(2*$E$10),R47-(3*$E$10)))))))&gt;999,999,IF(S47=0,R47+$E$10,IF(S47=-1,R47+$E$10,IF(S47=-2,R47+(2*$E$10),IF(S47=-3,R47+(3*$E$10),IF(S47=1,R47-$E$10,IF(S47=2,R47-(2*$E$10),R47-(3*$E$10))))))))</f>
        <v>752.5</v>
      </c>
      <c r="U47" s="95"/>
      <c r="V47" s="95"/>
      <c r="W47" s="95"/>
      <c r="X47" s="95" t="str">
        <f>$B$13</f>
        <v>Tour</v>
      </c>
      <c r="Y47" s="97">
        <f aca="true" t="shared" si="91" ref="Y47:Y54">IF(S47=0,R47,IF(S47&lt;0,R47,T47))</f>
        <v>685</v>
      </c>
      <c r="Z47" s="97">
        <f>IF(S47&gt;0,R47,T47)</f>
        <v>752.5</v>
      </c>
      <c r="AA47" s="97">
        <f>AVERAGE(Y47:Z47)</f>
        <v>718.75</v>
      </c>
      <c r="AB47" s="97">
        <f>ROUND(IF(SUM($S$47:$S$54)&gt;0,AA47-$CP$17,AA47+$CP$17),0)</f>
        <v>786</v>
      </c>
      <c r="AC47" s="97">
        <f>AB47</f>
        <v>786</v>
      </c>
      <c r="AD47" s="98"/>
      <c r="AE47" s="98"/>
      <c r="AF47" s="99"/>
      <c r="AG47" s="98">
        <f>IF(S47=0,R47,999)</f>
        <v>685</v>
      </c>
      <c r="AH47" s="98">
        <f>IF(S47=0,R47,0)</f>
        <v>685</v>
      </c>
      <c r="AI47" s="98">
        <f>IF(S47=0,999,R47)</f>
        <v>999</v>
      </c>
      <c r="AJ47" s="98">
        <f>IF(S47=0,0,R47)</f>
        <v>0</v>
      </c>
      <c r="AK47" s="98">
        <f aca="true" t="shared" si="92" ref="AK47:AK54">IF(AG47-AH47=999,((AL47+AI47)/2),((AH47+AI47)/2))</f>
        <v>842</v>
      </c>
      <c r="AL47" s="98">
        <f>IF(R47=999,999,IF(AG47-AH47=999,(AJ47+AN47)/2,(AJ47+AG47)/2))</f>
        <v>342.5</v>
      </c>
      <c r="AM47" s="98"/>
      <c r="AN47" s="98"/>
      <c r="AO47" s="98"/>
      <c r="AP47" s="98"/>
      <c r="AQ47" s="98">
        <f>IF(S47=0,0,S47)</f>
        <v>0</v>
      </c>
      <c r="AR47" s="98">
        <f>R47</f>
        <v>685</v>
      </c>
      <c r="AS47" s="98">
        <f>IF(X47="Stop",IF(AQ46=0,0,((AR46+AR47)/2)+(2*$CP$17)),0)</f>
        <v>0</v>
      </c>
      <c r="AT47" s="4" t="s">
        <v>56</v>
      </c>
      <c r="AU47" s="125">
        <f t="shared" si="1"/>
        <v>841</v>
      </c>
      <c r="AV47" s="125">
        <f t="shared" si="2"/>
        <v>556</v>
      </c>
      <c r="AW47" s="125">
        <f t="shared" si="3"/>
        <v>425</v>
      </c>
      <c r="AX47" s="125">
        <f t="shared" si="4"/>
        <v>401</v>
      </c>
      <c r="AY47" s="125">
        <f t="shared" si="5"/>
        <v>731</v>
      </c>
      <c r="AZ47" s="125">
        <f t="shared" si="90"/>
        <v>-2</v>
      </c>
      <c r="BA47" s="125">
        <f t="shared" si="6"/>
        <v>2</v>
      </c>
      <c r="BB47" s="4">
        <v>80</v>
      </c>
      <c r="BC47" s="4">
        <v>3.186</v>
      </c>
      <c r="BD47" s="4" t="s">
        <v>180</v>
      </c>
      <c r="BE47" s="4" t="s">
        <v>180</v>
      </c>
      <c r="BF47" s="4">
        <v>120</v>
      </c>
      <c r="BG47" s="4">
        <v>161</v>
      </c>
      <c r="BH47" s="4">
        <v>202</v>
      </c>
      <c r="BI47" s="4">
        <v>243</v>
      </c>
      <c r="BJ47" s="4">
        <v>279</v>
      </c>
      <c r="BK47" s="4">
        <v>41</v>
      </c>
      <c r="BL47" s="88"/>
      <c r="BM47" s="88"/>
      <c r="BN47" s="88"/>
      <c r="BO47" s="88"/>
      <c r="BP47" s="88"/>
      <c r="BQ47" s="88"/>
      <c r="BR47" s="88"/>
      <c r="BS47" s="88">
        <v>0.79066663980484</v>
      </c>
      <c r="BT47" s="88">
        <v>0.802799999713898</v>
      </c>
      <c r="BU47" s="88">
        <v>0.783500015735626</v>
      </c>
      <c r="BV47" s="88">
        <v>0.743055582046509</v>
      </c>
      <c r="BW47" s="88">
        <v>0.719406247138977</v>
      </c>
      <c r="BX47" s="88">
        <v>0.693974375724792</v>
      </c>
      <c r="BY47" s="88">
        <v>0.680374979972839</v>
      </c>
      <c r="BZ47" s="4" t="s">
        <v>56</v>
      </c>
      <c r="CA47" s="88">
        <v>17.8723404255319</v>
      </c>
      <c r="CB47" s="88">
        <v>20.936170212766</v>
      </c>
      <c r="CC47" s="88">
        <v>17.4893617021277</v>
      </c>
      <c r="CD47" s="88">
        <v>19.0425531914894</v>
      </c>
      <c r="CE47" s="88">
        <v>16.8297872340426</v>
      </c>
      <c r="CF47" s="88">
        <v>13.9574468085106</v>
      </c>
      <c r="CG47" s="88">
        <v>16.0851063829787</v>
      </c>
      <c r="CH47" s="88">
        <v>23.4468085106383</v>
      </c>
      <c r="CI47" s="88">
        <v>20</v>
      </c>
      <c r="CJ47" s="88">
        <v>20.3617021276596</v>
      </c>
      <c r="CK47" s="88">
        <v>14.4255319148936</v>
      </c>
      <c r="CL47" s="108">
        <v>1.18</v>
      </c>
      <c r="CM47" s="4" t="s">
        <v>180</v>
      </c>
      <c r="CN47" s="4">
        <v>47</v>
      </c>
      <c r="CT47" s="4" t="s">
        <v>56</v>
      </c>
      <c r="CU47" s="5" t="s">
        <v>56</v>
      </c>
      <c r="CV47" s="5">
        <v>841</v>
      </c>
      <c r="CW47" s="5">
        <v>556</v>
      </c>
      <c r="CX47" s="5">
        <v>425</v>
      </c>
      <c r="CY47" s="5">
        <v>401</v>
      </c>
      <c r="CZ47" s="5">
        <v>731</v>
      </c>
      <c r="DA47" s="5">
        <v>-4</v>
      </c>
      <c r="DB47" s="5">
        <v>46</v>
      </c>
      <c r="DK47" s="4" t="s">
        <v>56</v>
      </c>
      <c r="DL47" s="5">
        <v>3</v>
      </c>
      <c r="DM47" s="5">
        <v>10</v>
      </c>
      <c r="DN47" s="5">
        <v>20</v>
      </c>
      <c r="DO47" s="5">
        <v>18</v>
      </c>
      <c r="DP47" s="5">
        <v>32</v>
      </c>
      <c r="DQ47" s="5">
        <v>39</v>
      </c>
      <c r="DR47" s="5">
        <v>24</v>
      </c>
    </row>
    <row r="48" spans="2:129" ht="12" customHeight="1" hidden="1">
      <c r="B48" s="23" t="s">
        <v>112</v>
      </c>
      <c r="C48" s="23"/>
      <c r="D48" s="23"/>
      <c r="E48" s="23"/>
      <c r="F48" s="23"/>
      <c r="G48" s="23"/>
      <c r="H48" s="23"/>
      <c r="I48" s="23"/>
      <c r="Q48" s="94" t="s">
        <v>28</v>
      </c>
      <c r="R48" s="97">
        <f aca="true" t="shared" si="93" ref="R48:R54">J14</f>
        <v>752.5</v>
      </c>
      <c r="S48" s="97">
        <f aca="true" t="shared" si="94" ref="S48:S54">VLOOKUP(K14,$T$3:$V$9,3,FALSE)</f>
        <v>0</v>
      </c>
      <c r="T48" s="97">
        <f aca="true" t="shared" si="95" ref="T48:T54">IF(W48&gt;999,999,IF(W48&lt;1,1,W48))</f>
        <v>786.25</v>
      </c>
      <c r="U48" s="97">
        <f aca="true" t="shared" si="96" ref="U48:U54">IF(OR(S48=-2,S48=2),R48-($CP$17*2),IF(OR(S48=-3,S48=3),R48-($CP$17*3),R48-AF48))</f>
        <v>718.75</v>
      </c>
      <c r="V48" s="97">
        <f aca="true" t="shared" si="97" ref="V48:V54">IF(OR(S48=-2,S48=2),R48+($CP$17*2),IF(OR(S48=-3,S48=3),R48+($CP$17*3),R48+AF48))</f>
        <v>786.25</v>
      </c>
      <c r="W48" s="97">
        <f>IF(AND(S47-S48=0,S47=0),IF(SUM($S$47:$S$54)&lt;0,U48,V48),IF(AND(S47-S48&gt;0,S48=0),V48,IF(S47-S48&lt;0,IF(S48&gt;=0,U48,V48),IF(AND(S47-S48=0,S48&lt;0),V48,IF(AND(S47-S48&gt;0,S47=0),V48,U48)))))</f>
        <v>786.25</v>
      </c>
      <c r="X48" s="95" t="str">
        <f>IF(X47="Stop","Stop",$B$14)</f>
        <v>Tour</v>
      </c>
      <c r="Y48" s="97">
        <f t="shared" si="91"/>
        <v>752.5</v>
      </c>
      <c r="Z48" s="97">
        <f aca="true" t="shared" si="98" ref="Z48:Z54">IF(S48&gt;0,R48,T48)</f>
        <v>786.25</v>
      </c>
      <c r="AA48" s="97">
        <f aca="true" t="shared" si="99" ref="AA48:AA54">AVERAGE(Y48:Z48)</f>
        <v>769.375</v>
      </c>
      <c r="AB48" s="97">
        <f>IF(AND(S47=0,S48=0),(R48+R47)/2,ROUND(IF(SUM(S47:S54)&gt;0,AK48-$CP$16,AL48+$CP$16),0))</f>
        <v>718.75</v>
      </c>
      <c r="AC48" s="97">
        <f aca="true" t="shared" si="100" ref="AC48:AC54">IF(X48="stop",IF(AS48=0,AC47,AS48),AB48)</f>
        <v>718.75</v>
      </c>
      <c r="AD48" s="97">
        <f>IF(R48&lt;R47,R48,R47)</f>
        <v>685</v>
      </c>
      <c r="AE48" s="97">
        <f>IF(R48&gt;R47,R48,R47)</f>
        <v>752.5</v>
      </c>
      <c r="AF48" s="100">
        <f>IF(R47-R48&gt;0,(R47-R48)/2,(R48-R47)/2)</f>
        <v>33.75</v>
      </c>
      <c r="AG48" s="98">
        <f aca="true" t="shared" si="101" ref="AG48:AG54">IF(S48=0,IF(R48&lt;AG47,R48,AG47),AG47)</f>
        <v>685</v>
      </c>
      <c r="AH48" s="98">
        <f aca="true" t="shared" si="102" ref="AH48:AH54">IF(S48=0,IF(R48&gt;AH47,R48,AH47),AH47)</f>
        <v>752.5</v>
      </c>
      <c r="AI48" s="98">
        <f aca="true" t="shared" si="103" ref="AI48:AI54">IF(S48=0,AI47,IF(R48&lt;AI47,R48,AG47))</f>
        <v>999</v>
      </c>
      <c r="AJ48" s="98">
        <f aca="true" t="shared" si="104" ref="AJ48:AJ54">IF(S48=0,AJ47,IF(R48&gt;AJ47,R48,AJ47))</f>
        <v>0</v>
      </c>
      <c r="AK48" s="98">
        <f t="shared" si="92"/>
        <v>875.75</v>
      </c>
      <c r="AL48" s="98">
        <f aca="true" t="shared" si="105" ref="AL48:AL54">IF(R48=999,999,IF(AG48-AH48=999,(AJ48+AN48)/2,(AJ48+AG48)/2))</f>
        <v>342.5</v>
      </c>
      <c r="AM48" s="98">
        <f>S48-S47</f>
        <v>0</v>
      </c>
      <c r="AN48" s="98">
        <f aca="true" t="shared" si="106" ref="AN48:AN54">IF(AM48=0,AN47,R48)</f>
        <v>0</v>
      </c>
      <c r="AO48" s="98">
        <f>IF(S48=S47,0,1)</f>
        <v>0</v>
      </c>
      <c r="AP48" s="98">
        <f>IF(X48="Stop",AP47,IF(AO48=0,(R48+$R$14)/2,AC48))</f>
        <v>572.75</v>
      </c>
      <c r="AQ48" s="98">
        <f>IF(AQ47=0,0,IF(S48=0,0,S48))</f>
        <v>0</v>
      </c>
      <c r="AR48" s="98">
        <f>IF(AQ48=AQ47,AR47,R48)</f>
        <v>685</v>
      </c>
      <c r="AS48" s="98">
        <f aca="true" t="shared" si="107" ref="AS48:AS54">IF(X48="Stop",IF(AQ47=0,0,((AR47+AR48)/2)+(2*$CP$17)),0)</f>
        <v>0</v>
      </c>
      <c r="AT48" s="4" t="s">
        <v>49</v>
      </c>
      <c r="AU48" s="125">
        <f t="shared" si="1"/>
        <v>509</v>
      </c>
      <c r="AV48" s="125">
        <f t="shared" si="2"/>
        <v>654</v>
      </c>
      <c r="AW48" s="125">
        <f t="shared" si="3"/>
        <v>630</v>
      </c>
      <c r="AX48" s="125">
        <f t="shared" si="4"/>
        <v>239</v>
      </c>
      <c r="AY48" s="125">
        <f t="shared" si="5"/>
        <v>267</v>
      </c>
      <c r="AZ48" s="125">
        <f t="shared" si="90"/>
        <v>7</v>
      </c>
      <c r="BA48" s="125">
        <f t="shared" si="6"/>
        <v>-7</v>
      </c>
      <c r="BB48" s="4">
        <v>56</v>
      </c>
      <c r="BC48" s="4">
        <v>5.45</v>
      </c>
      <c r="BD48" s="4" t="s">
        <v>180</v>
      </c>
      <c r="BE48" s="4" t="s">
        <v>183</v>
      </c>
      <c r="BF48" s="4">
        <v>120</v>
      </c>
      <c r="BG48" s="4">
        <v>161</v>
      </c>
      <c r="BH48" s="4">
        <v>202</v>
      </c>
      <c r="BI48" s="4">
        <v>243</v>
      </c>
      <c r="BJ48" s="4">
        <v>279</v>
      </c>
      <c r="BK48" s="4">
        <v>41</v>
      </c>
      <c r="BL48" s="88"/>
      <c r="BM48" s="88"/>
      <c r="BN48" s="88"/>
      <c r="BO48" s="88">
        <v>0.560999989509583</v>
      </c>
      <c r="BP48" s="88">
        <v>0.53600001335144</v>
      </c>
      <c r="BQ48" s="88">
        <v>0.517499983310699</v>
      </c>
      <c r="BR48" s="88">
        <v>0.488999992609024</v>
      </c>
      <c r="BS48" s="88">
        <v>0.842142879962921</v>
      </c>
      <c r="BT48" s="88">
        <v>0.840399980545044</v>
      </c>
      <c r="BU48" s="88">
        <v>0.822533309459686</v>
      </c>
      <c r="BV48" s="88">
        <v>0.792411744594574</v>
      </c>
      <c r="BW48" s="88">
        <v>0.7791428565979</v>
      </c>
      <c r="BX48" s="88">
        <v>0.753857135772705</v>
      </c>
      <c r="BY48" s="88">
        <v>0.734399974346161</v>
      </c>
      <c r="BZ48" s="4" t="s">
        <v>49</v>
      </c>
      <c r="CA48" s="88">
        <v>14.125</v>
      </c>
      <c r="CB48" s="88">
        <v>39.475</v>
      </c>
      <c r="CC48" s="88">
        <v>23.525</v>
      </c>
      <c r="CD48" s="88">
        <v>26.875</v>
      </c>
      <c r="CE48" s="88">
        <v>23.825</v>
      </c>
      <c r="CF48" s="88">
        <v>19.225</v>
      </c>
      <c r="CG48" s="88">
        <v>18.325</v>
      </c>
      <c r="CH48" s="88">
        <v>26.4</v>
      </c>
      <c r="CI48" s="88">
        <v>30.25</v>
      </c>
      <c r="CJ48" s="88">
        <v>33.575</v>
      </c>
      <c r="CK48" s="88">
        <v>12.825</v>
      </c>
      <c r="CL48" s="108">
        <v>1.015</v>
      </c>
      <c r="CM48" s="4" t="s">
        <v>183</v>
      </c>
      <c r="CN48" s="4">
        <v>40</v>
      </c>
      <c r="CT48" s="4" t="s">
        <v>49</v>
      </c>
      <c r="CU48" s="5" t="s">
        <v>49</v>
      </c>
      <c r="CV48" s="5">
        <v>509</v>
      </c>
      <c r="CW48" s="5">
        <v>654</v>
      </c>
      <c r="CX48" s="5">
        <v>630</v>
      </c>
      <c r="CY48" s="5">
        <v>239</v>
      </c>
      <c r="CZ48" s="5">
        <v>267</v>
      </c>
      <c r="DA48" s="5">
        <v>14</v>
      </c>
      <c r="DB48" s="5">
        <v>41</v>
      </c>
      <c r="DC48" s="5">
        <v>588</v>
      </c>
      <c r="DD48" s="5">
        <v>500</v>
      </c>
      <c r="DE48" s="5">
        <v>620</v>
      </c>
      <c r="DF48" s="5">
        <v>200</v>
      </c>
      <c r="DG48" s="5">
        <v>200</v>
      </c>
      <c r="DH48" s="5">
        <v>-25</v>
      </c>
      <c r="DI48" s="5">
        <v>1</v>
      </c>
      <c r="DK48" s="4" t="s">
        <v>49</v>
      </c>
      <c r="DL48" s="5">
        <v>7</v>
      </c>
      <c r="DM48" s="5">
        <v>5</v>
      </c>
      <c r="DN48" s="5">
        <v>15</v>
      </c>
      <c r="DO48" s="5">
        <v>17</v>
      </c>
      <c r="DP48" s="5">
        <v>21</v>
      </c>
      <c r="DQ48" s="5">
        <v>28</v>
      </c>
      <c r="DR48" s="5">
        <v>10</v>
      </c>
      <c r="DV48" s="5">
        <v>3</v>
      </c>
      <c r="DW48" s="5">
        <v>1</v>
      </c>
      <c r="DX48" s="5">
        <v>4</v>
      </c>
      <c r="DY48" s="5">
        <v>1</v>
      </c>
    </row>
    <row r="49" spans="2:127" ht="12" customHeight="1" hidden="1" thickBot="1">
      <c r="B49" s="23"/>
      <c r="C49" s="23"/>
      <c r="D49" s="23"/>
      <c r="E49" s="23"/>
      <c r="F49" s="23"/>
      <c r="G49" s="23"/>
      <c r="H49" s="23"/>
      <c r="I49" s="23"/>
      <c r="Q49" s="94" t="s">
        <v>29</v>
      </c>
      <c r="R49" s="97">
        <f t="shared" si="93"/>
        <v>786.25</v>
      </c>
      <c r="S49" s="97">
        <f t="shared" si="94"/>
        <v>0</v>
      </c>
      <c r="T49" s="97">
        <f t="shared" si="95"/>
        <v>803.125</v>
      </c>
      <c r="U49" s="97">
        <f t="shared" si="96"/>
        <v>769.375</v>
      </c>
      <c r="V49" s="97">
        <f t="shared" si="97"/>
        <v>803.125</v>
      </c>
      <c r="W49" s="97">
        <f aca="true" t="shared" si="108" ref="W49:W54">IF(AND(S48-S49=0,S48=0),IF(SUM($S$47:$S$54)&lt;0,U49,V49),IF(AND(S48-S49&gt;0,S49=0),V49,IF(S48-S49&lt;0,IF(S49&gt;=0,U49,V49),IF(AND(S48-S49=0,S49&lt;0),V49,IF(AND(S48-S49&gt;0,S48=0),V49,U49)))))</f>
        <v>803.125</v>
      </c>
      <c r="X49" s="95" t="str">
        <f>IF(X48="Stop","Stop",$B$15)</f>
        <v>Tour</v>
      </c>
      <c r="Y49" s="97">
        <f t="shared" si="91"/>
        <v>786.25</v>
      </c>
      <c r="Z49" s="97">
        <f t="shared" si="98"/>
        <v>803.125</v>
      </c>
      <c r="AA49" s="97">
        <f t="shared" si="99"/>
        <v>794.6875</v>
      </c>
      <c r="AB49" s="97">
        <f>IF(AND(S47=0,S48=0,S49=0),(R49+R47)/2,ROUND(IF(SUM(S47:S54)&gt;0,AK49-$CP$16,AL49+$CP$16),0))</f>
        <v>735.625</v>
      </c>
      <c r="AC49" s="97">
        <f t="shared" si="100"/>
        <v>735.625</v>
      </c>
      <c r="AD49" s="97">
        <f aca="true" t="shared" si="109" ref="AD49:AD54">IF(R49&lt;R48,R49,R48)</f>
        <v>752.5</v>
      </c>
      <c r="AE49" s="97">
        <f aca="true" t="shared" si="110" ref="AE49:AE54">IF(R49&gt;R48,R49,R48)</f>
        <v>786.25</v>
      </c>
      <c r="AF49" s="100">
        <f aca="true" t="shared" si="111" ref="AF49:AF54">IF(R48-R49&gt;0,(R48-R49)/2,(R49-R48)/2)</f>
        <v>16.875</v>
      </c>
      <c r="AG49" s="98">
        <f t="shared" si="101"/>
        <v>685</v>
      </c>
      <c r="AH49" s="98">
        <f t="shared" si="102"/>
        <v>786.25</v>
      </c>
      <c r="AI49" s="98">
        <f t="shared" si="103"/>
        <v>999</v>
      </c>
      <c r="AJ49" s="98">
        <f t="shared" si="104"/>
        <v>0</v>
      </c>
      <c r="AK49" s="98">
        <f t="shared" si="92"/>
        <v>892.625</v>
      </c>
      <c r="AL49" s="98">
        <f t="shared" si="105"/>
        <v>342.5</v>
      </c>
      <c r="AM49" s="98">
        <f aca="true" t="shared" si="112" ref="AM49:AM54">S49-S48</f>
        <v>0</v>
      </c>
      <c r="AN49" s="98">
        <f t="shared" si="106"/>
        <v>0</v>
      </c>
      <c r="AO49" s="98">
        <f aca="true" t="shared" si="113" ref="AO49:AO54">IF(S49=S48,0,1)</f>
        <v>0</v>
      </c>
      <c r="AP49" s="98">
        <f aca="true" t="shared" si="114" ref="AP49:AP54">IF(X49="Stop",AP48,IF(AO49=0,(R49+$R$14)/2,AC49))</f>
        <v>589.625</v>
      </c>
      <c r="AQ49" s="98">
        <f aca="true" t="shared" si="115" ref="AQ49:AQ54">IF(AQ48=0,0,IF(S49=0,0,S49))</f>
        <v>0</v>
      </c>
      <c r="AR49" s="98">
        <f aca="true" t="shared" si="116" ref="AR49:AR54">IF(AQ49=AQ48,AR48,R49)</f>
        <v>685</v>
      </c>
      <c r="AS49" s="98">
        <f t="shared" si="107"/>
        <v>0</v>
      </c>
      <c r="AT49" s="4" t="s">
        <v>86</v>
      </c>
      <c r="AU49" s="125">
        <f t="shared" si="1"/>
        <v>426</v>
      </c>
      <c r="AV49" s="125">
        <f t="shared" si="2"/>
        <v>801</v>
      </c>
      <c r="AW49" s="125">
        <f t="shared" si="3"/>
        <v>647</v>
      </c>
      <c r="AX49" s="125">
        <f t="shared" si="4"/>
        <v>677</v>
      </c>
      <c r="AY49" s="125">
        <f t="shared" si="5"/>
        <v>479</v>
      </c>
      <c r="AZ49" s="125">
        <f t="shared" si="90"/>
        <v>-47</v>
      </c>
      <c r="BA49" s="125">
        <f t="shared" si="6"/>
        <v>47</v>
      </c>
      <c r="BB49" s="4">
        <v>60</v>
      </c>
      <c r="BC49" s="4">
        <v>5.138</v>
      </c>
      <c r="BD49" s="4" t="s">
        <v>182</v>
      </c>
      <c r="BE49" s="4" t="s">
        <v>181</v>
      </c>
      <c r="BF49" s="4">
        <v>134</v>
      </c>
      <c r="BG49" s="4">
        <v>180</v>
      </c>
      <c r="BH49" s="4">
        <v>226</v>
      </c>
      <c r="BI49" s="4">
        <v>272</v>
      </c>
      <c r="BJ49" s="4">
        <v>313</v>
      </c>
      <c r="BK49" s="4">
        <v>46</v>
      </c>
      <c r="BL49" s="88"/>
      <c r="BM49" s="88">
        <v>0.602999985218048</v>
      </c>
      <c r="BN49" s="88">
        <v>0.572000026702881</v>
      </c>
      <c r="BO49" s="88">
        <v>0.624499976634979</v>
      </c>
      <c r="BP49" s="88">
        <v>0.570666670799255</v>
      </c>
      <c r="BQ49" s="88"/>
      <c r="BR49" s="88"/>
      <c r="BS49" s="88">
        <v>0.815166652202606</v>
      </c>
      <c r="BT49" s="88">
        <v>0.818545460700989</v>
      </c>
      <c r="BU49" s="88">
        <v>0.803636372089386</v>
      </c>
      <c r="BV49" s="88">
        <v>0.755923092365265</v>
      </c>
      <c r="BW49" s="88">
        <v>0.723705887794495</v>
      </c>
      <c r="BX49" s="88">
        <v>0.70374071598053</v>
      </c>
      <c r="BY49" s="88">
        <v>0.684899985790253</v>
      </c>
      <c r="BZ49" s="4" t="s">
        <v>86</v>
      </c>
      <c r="CA49" s="88">
        <v>17.9473684210526</v>
      </c>
      <c r="CB49" s="88">
        <v>36.5789473684211</v>
      </c>
      <c r="CC49" s="88">
        <v>15.8947368421053</v>
      </c>
      <c r="CD49" s="88">
        <v>18.9736842105263</v>
      </c>
      <c r="CE49" s="88">
        <v>20.1315789473684</v>
      </c>
      <c r="CF49" s="88">
        <v>12.8157894736842</v>
      </c>
      <c r="CG49" s="88">
        <v>12.2894736842105</v>
      </c>
      <c r="CH49" s="88">
        <v>26.6315789473684</v>
      </c>
      <c r="CI49" s="88">
        <v>19.7894736842105</v>
      </c>
      <c r="CJ49" s="88">
        <v>15.9210526315789</v>
      </c>
      <c r="CK49" s="88">
        <v>9.55263157894737</v>
      </c>
      <c r="CL49" s="108">
        <v>1.12</v>
      </c>
      <c r="CM49" s="4" t="s">
        <v>181</v>
      </c>
      <c r="CN49" s="4">
        <v>38</v>
      </c>
      <c r="CT49" s="4" t="s">
        <v>86</v>
      </c>
      <c r="CU49" s="5" t="s">
        <v>86</v>
      </c>
      <c r="CV49" s="5">
        <v>426</v>
      </c>
      <c r="CW49" s="5">
        <v>801</v>
      </c>
      <c r="CX49" s="5">
        <v>647</v>
      </c>
      <c r="CY49" s="5">
        <v>677</v>
      </c>
      <c r="CZ49" s="5">
        <v>479</v>
      </c>
      <c r="DA49" s="5">
        <v>-94</v>
      </c>
      <c r="DB49" s="5">
        <v>37</v>
      </c>
      <c r="DC49" s="5">
        <v>511</v>
      </c>
      <c r="DD49" s="5">
        <v>624</v>
      </c>
      <c r="DE49" s="5">
        <v>684</v>
      </c>
      <c r="DF49" s="5">
        <v>780</v>
      </c>
      <c r="DG49" s="5">
        <v>388</v>
      </c>
      <c r="DH49" s="5">
        <v>-100</v>
      </c>
      <c r="DI49" s="5">
        <v>1</v>
      </c>
      <c r="DK49" s="4" t="s">
        <v>86</v>
      </c>
      <c r="DL49" s="5">
        <v>12</v>
      </c>
      <c r="DM49" s="5">
        <v>11</v>
      </c>
      <c r="DN49" s="5">
        <v>11</v>
      </c>
      <c r="DO49" s="5">
        <v>13</v>
      </c>
      <c r="DP49" s="5">
        <v>17</v>
      </c>
      <c r="DQ49" s="5">
        <v>27</v>
      </c>
      <c r="DR49" s="5">
        <v>10</v>
      </c>
      <c r="DT49" s="5">
        <v>1</v>
      </c>
      <c r="DU49" s="5">
        <v>2</v>
      </c>
      <c r="DV49" s="5">
        <v>2</v>
      </c>
      <c r="DW49" s="5">
        <v>3</v>
      </c>
    </row>
    <row r="50" spans="2:129" ht="12" customHeight="1" hidden="1" thickBot="1">
      <c r="B50" s="25" t="s">
        <v>116</v>
      </c>
      <c r="C50" s="30"/>
      <c r="D50" s="30"/>
      <c r="E50" s="30"/>
      <c r="F50" s="30"/>
      <c r="G50" s="31"/>
      <c r="H50" s="23"/>
      <c r="I50" s="23"/>
      <c r="K50" s="33"/>
      <c r="Q50" s="94" t="s">
        <v>30</v>
      </c>
      <c r="R50" s="97">
        <f t="shared" si="93"/>
        <v>803.125</v>
      </c>
      <c r="S50" s="97">
        <f t="shared" si="94"/>
        <v>0</v>
      </c>
      <c r="T50" s="97">
        <f t="shared" si="95"/>
        <v>811.5625</v>
      </c>
      <c r="U50" s="97">
        <f t="shared" si="96"/>
        <v>794.6875</v>
      </c>
      <c r="V50" s="97">
        <f t="shared" si="97"/>
        <v>811.5625</v>
      </c>
      <c r="W50" s="97">
        <f t="shared" si="108"/>
        <v>811.5625</v>
      </c>
      <c r="X50" s="95" t="str">
        <f>IF(X49="Stop","Stop",$B$16)</f>
        <v>Tour</v>
      </c>
      <c r="Y50" s="97">
        <f t="shared" si="91"/>
        <v>803.125</v>
      </c>
      <c r="Z50" s="97">
        <f t="shared" si="98"/>
        <v>811.5625</v>
      </c>
      <c r="AA50" s="97">
        <f t="shared" si="99"/>
        <v>807.34375</v>
      </c>
      <c r="AB50" s="97">
        <f>IF(AND(S47=0,S48=0,S49=0,S50=0),(R50+R47)/2,ROUND(IF(SUM(S47:S54)&gt;0,AK50-$CP$16,AL50+$CP$16),0))</f>
        <v>744.0625</v>
      </c>
      <c r="AC50" s="97">
        <f t="shared" si="100"/>
        <v>744.0625</v>
      </c>
      <c r="AD50" s="97">
        <f t="shared" si="109"/>
        <v>786.25</v>
      </c>
      <c r="AE50" s="97">
        <f t="shared" si="110"/>
        <v>803.125</v>
      </c>
      <c r="AF50" s="100">
        <f t="shared" si="111"/>
        <v>8.4375</v>
      </c>
      <c r="AG50" s="98">
        <f t="shared" si="101"/>
        <v>685</v>
      </c>
      <c r="AH50" s="98">
        <f t="shared" si="102"/>
        <v>803.125</v>
      </c>
      <c r="AI50" s="98">
        <f t="shared" si="103"/>
        <v>999</v>
      </c>
      <c r="AJ50" s="98">
        <f t="shared" si="104"/>
        <v>0</v>
      </c>
      <c r="AK50" s="98">
        <f t="shared" si="92"/>
        <v>901.0625</v>
      </c>
      <c r="AL50" s="98">
        <f t="shared" si="105"/>
        <v>342.5</v>
      </c>
      <c r="AM50" s="98">
        <f t="shared" si="112"/>
        <v>0</v>
      </c>
      <c r="AN50" s="98">
        <f t="shared" si="106"/>
        <v>0</v>
      </c>
      <c r="AO50" s="98">
        <f t="shared" si="113"/>
        <v>0</v>
      </c>
      <c r="AP50" s="98">
        <f t="shared" si="114"/>
        <v>598.0625</v>
      </c>
      <c r="AQ50" s="98">
        <f t="shared" si="115"/>
        <v>0</v>
      </c>
      <c r="AR50" s="98">
        <f t="shared" si="116"/>
        <v>685</v>
      </c>
      <c r="AS50" s="98">
        <f t="shared" si="107"/>
        <v>0</v>
      </c>
      <c r="AT50" s="4" t="s">
        <v>75</v>
      </c>
      <c r="AU50" s="125">
        <f t="shared" si="1"/>
        <v>852</v>
      </c>
      <c r="AV50" s="125">
        <f t="shared" si="2"/>
        <v>516</v>
      </c>
      <c r="AW50" s="125">
        <f t="shared" si="3"/>
        <v>589</v>
      </c>
      <c r="AX50" s="125">
        <f t="shared" si="4"/>
        <v>467</v>
      </c>
      <c r="AY50" s="125">
        <f t="shared" si="5"/>
        <v>896</v>
      </c>
      <c r="AZ50" s="125">
        <f t="shared" si="90"/>
        <v>26.5</v>
      </c>
      <c r="BA50" s="125">
        <f t="shared" si="6"/>
        <v>-26.5</v>
      </c>
      <c r="BB50" s="4">
        <v>61</v>
      </c>
      <c r="BC50" s="4">
        <v>5.067</v>
      </c>
      <c r="BD50" s="4" t="s">
        <v>181</v>
      </c>
      <c r="BE50" s="4" t="s">
        <v>180</v>
      </c>
      <c r="BF50" s="4">
        <v>109</v>
      </c>
      <c r="BG50" s="4">
        <v>146</v>
      </c>
      <c r="BH50" s="4">
        <v>183</v>
      </c>
      <c r="BI50" s="4">
        <v>221</v>
      </c>
      <c r="BJ50" s="4">
        <v>254</v>
      </c>
      <c r="BK50" s="4">
        <v>38</v>
      </c>
      <c r="BL50" s="88">
        <v>0.505333304405212</v>
      </c>
      <c r="BM50" s="88">
        <v>0.437166661024094</v>
      </c>
      <c r="BN50" s="88"/>
      <c r="BO50" s="88">
        <v>0.416000008583069</v>
      </c>
      <c r="BP50" s="88">
        <v>0.406333327293396</v>
      </c>
      <c r="BQ50" s="88">
        <v>0.398888885974884</v>
      </c>
      <c r="BR50" s="88">
        <v>0.429333329200745</v>
      </c>
      <c r="BS50" s="88">
        <v>0.815900027751923</v>
      </c>
      <c r="BT50" s="88">
        <v>0.773000001907349</v>
      </c>
      <c r="BU50" s="88">
        <v>0.755200028419495</v>
      </c>
      <c r="BV50" s="88">
        <v>0.723653852939606</v>
      </c>
      <c r="BW50" s="88">
        <v>0.703249990940094</v>
      </c>
      <c r="BX50" s="88">
        <v>0.665416657924652</v>
      </c>
      <c r="BY50" s="88">
        <v>0.667956531047821</v>
      </c>
      <c r="BZ50" s="4" t="s">
        <v>75</v>
      </c>
      <c r="CA50" s="88">
        <v>21.3265306122449</v>
      </c>
      <c r="CB50" s="88">
        <v>15.6938775510204</v>
      </c>
      <c r="CC50" s="88">
        <v>24.3469387755102</v>
      </c>
      <c r="CD50" s="88">
        <v>21.5102040816327</v>
      </c>
      <c r="CE50" s="88">
        <v>24.4489795918367</v>
      </c>
      <c r="CF50" s="88">
        <v>17.6326530612245</v>
      </c>
      <c r="CG50" s="88">
        <v>21.0612244897959</v>
      </c>
      <c r="CH50" s="88">
        <v>20.8163265306122</v>
      </c>
      <c r="CI50" s="88">
        <v>30.8367346938776</v>
      </c>
      <c r="CJ50" s="88">
        <v>18.9795918367347</v>
      </c>
      <c r="CK50" s="88">
        <v>19.0408163265306</v>
      </c>
      <c r="CL50" s="108">
        <v>1.17</v>
      </c>
      <c r="CM50" s="4" t="s">
        <v>180</v>
      </c>
      <c r="CN50" s="4">
        <v>49</v>
      </c>
      <c r="CT50" s="4" t="s">
        <v>75</v>
      </c>
      <c r="CU50" s="5" t="s">
        <v>75</v>
      </c>
      <c r="CV50" s="5">
        <v>852</v>
      </c>
      <c r="CW50" s="5">
        <v>516</v>
      </c>
      <c r="CX50" s="5">
        <v>589</v>
      </c>
      <c r="CY50" s="5">
        <v>467</v>
      </c>
      <c r="CZ50" s="5">
        <v>896</v>
      </c>
      <c r="DA50" s="5">
        <v>53</v>
      </c>
      <c r="DB50" s="5">
        <v>34</v>
      </c>
      <c r="DC50" s="5">
        <v>929</v>
      </c>
      <c r="DD50" s="5">
        <v>427</v>
      </c>
      <c r="DE50" s="5">
        <v>631</v>
      </c>
      <c r="DF50" s="5">
        <v>376</v>
      </c>
      <c r="DG50" s="5">
        <v>801</v>
      </c>
      <c r="DH50" s="5">
        <v>65</v>
      </c>
      <c r="DI50" s="5">
        <v>15</v>
      </c>
      <c r="DK50" s="4" t="s">
        <v>75</v>
      </c>
      <c r="DL50" s="5">
        <v>10</v>
      </c>
      <c r="DM50" s="5">
        <v>13</v>
      </c>
      <c r="DN50" s="5">
        <v>10</v>
      </c>
      <c r="DO50" s="5">
        <v>26</v>
      </c>
      <c r="DP50" s="5">
        <v>20</v>
      </c>
      <c r="DQ50" s="5">
        <v>12</v>
      </c>
      <c r="DR50" s="5">
        <v>23</v>
      </c>
      <c r="DS50" s="5">
        <v>3</v>
      </c>
      <c r="DT50" s="5">
        <v>6</v>
      </c>
      <c r="DV50" s="5">
        <v>2</v>
      </c>
      <c r="DW50" s="5">
        <v>6</v>
      </c>
      <c r="DX50" s="5">
        <v>9</v>
      </c>
      <c r="DY50" s="5">
        <v>3</v>
      </c>
    </row>
    <row r="51" spans="2:127" ht="12" customHeight="1" hidden="1">
      <c r="B51" s="23" t="s">
        <v>117</v>
      </c>
      <c r="C51" s="23"/>
      <c r="D51" s="23"/>
      <c r="E51" s="23"/>
      <c r="F51" s="23"/>
      <c r="G51" s="23"/>
      <c r="H51" s="23"/>
      <c r="I51" s="23"/>
      <c r="Q51" s="94" t="s">
        <v>31</v>
      </c>
      <c r="R51" s="97">
        <f t="shared" si="93"/>
        <v>811.5625</v>
      </c>
      <c r="S51" s="97">
        <f t="shared" si="94"/>
        <v>0</v>
      </c>
      <c r="T51" s="97">
        <f t="shared" si="95"/>
        <v>815.78125</v>
      </c>
      <c r="U51" s="97">
        <f t="shared" si="96"/>
        <v>807.34375</v>
      </c>
      <c r="V51" s="97">
        <f t="shared" si="97"/>
        <v>815.78125</v>
      </c>
      <c r="W51" s="97">
        <f t="shared" si="108"/>
        <v>815.78125</v>
      </c>
      <c r="X51" s="95" t="str">
        <f>IF(X50="Stop","Stop",$B$17)</f>
        <v>Tour</v>
      </c>
      <c r="Y51" s="97">
        <f t="shared" si="91"/>
        <v>811.5625</v>
      </c>
      <c r="Z51" s="97">
        <f t="shared" si="98"/>
        <v>815.78125</v>
      </c>
      <c r="AA51" s="97">
        <f t="shared" si="99"/>
        <v>813.671875</v>
      </c>
      <c r="AB51" s="97">
        <f>IF(AND(S47=0,S48=0,S49=0,S50=0,S51=0),(R51+R47)/2,ROUND(IF(SUM(S47:S54)&gt;0,AK51-$CP$16,AL51+$CP$16),0))</f>
        <v>748.28125</v>
      </c>
      <c r="AC51" s="97">
        <f t="shared" si="100"/>
        <v>748.28125</v>
      </c>
      <c r="AD51" s="97">
        <f t="shared" si="109"/>
        <v>803.125</v>
      </c>
      <c r="AE51" s="97">
        <f t="shared" si="110"/>
        <v>811.5625</v>
      </c>
      <c r="AF51" s="100">
        <f t="shared" si="111"/>
        <v>4.21875</v>
      </c>
      <c r="AG51" s="98">
        <f t="shared" si="101"/>
        <v>685</v>
      </c>
      <c r="AH51" s="98">
        <f t="shared" si="102"/>
        <v>811.5625</v>
      </c>
      <c r="AI51" s="98">
        <f t="shared" si="103"/>
        <v>999</v>
      </c>
      <c r="AJ51" s="98">
        <f t="shared" si="104"/>
        <v>0</v>
      </c>
      <c r="AK51" s="98">
        <f t="shared" si="92"/>
        <v>905.28125</v>
      </c>
      <c r="AL51" s="98">
        <f t="shared" si="105"/>
        <v>342.5</v>
      </c>
      <c r="AM51" s="98">
        <f t="shared" si="112"/>
        <v>0</v>
      </c>
      <c r="AN51" s="98">
        <f t="shared" si="106"/>
        <v>0</v>
      </c>
      <c r="AO51" s="98">
        <f t="shared" si="113"/>
        <v>0</v>
      </c>
      <c r="AP51" s="98">
        <f t="shared" si="114"/>
        <v>602.28125</v>
      </c>
      <c r="AQ51" s="98">
        <f t="shared" si="115"/>
        <v>0</v>
      </c>
      <c r="AR51" s="98">
        <f t="shared" si="116"/>
        <v>685</v>
      </c>
      <c r="AS51" s="98">
        <f t="shared" si="107"/>
        <v>0</v>
      </c>
      <c r="AT51" s="4" t="s">
        <v>76</v>
      </c>
      <c r="AU51" s="125">
        <f t="shared" si="1"/>
        <v>779</v>
      </c>
      <c r="AV51" s="125">
        <f t="shared" si="2"/>
        <v>524</v>
      </c>
      <c r="AW51" s="125">
        <f t="shared" si="3"/>
        <v>649</v>
      </c>
      <c r="AX51" s="125">
        <f t="shared" si="4"/>
        <v>344</v>
      </c>
      <c r="AY51" s="125">
        <f t="shared" si="5"/>
        <v>538</v>
      </c>
      <c r="AZ51" s="125">
        <f t="shared" si="90"/>
        <v>24.5</v>
      </c>
      <c r="BA51" s="125">
        <f t="shared" si="6"/>
        <v>-24.5</v>
      </c>
      <c r="BB51" s="4">
        <v>53</v>
      </c>
      <c r="BC51" s="4">
        <v>5.923</v>
      </c>
      <c r="BD51" s="4" t="s">
        <v>181</v>
      </c>
      <c r="BE51" s="4" t="s">
        <v>181</v>
      </c>
      <c r="BF51" s="4">
        <v>109</v>
      </c>
      <c r="BG51" s="4">
        <v>146</v>
      </c>
      <c r="BH51" s="4">
        <v>183</v>
      </c>
      <c r="BI51" s="4">
        <v>221</v>
      </c>
      <c r="BJ51" s="4">
        <v>254</v>
      </c>
      <c r="BK51" s="4">
        <v>38</v>
      </c>
      <c r="BL51" s="88">
        <v>0.678666651248932</v>
      </c>
      <c r="BM51" s="88">
        <v>0.688000023365021</v>
      </c>
      <c r="BN51" s="88">
        <v>0.630500018596649</v>
      </c>
      <c r="BO51" s="88">
        <v>0.647125005722046</v>
      </c>
      <c r="BP51" s="88">
        <v>0.664499998092651</v>
      </c>
      <c r="BQ51" s="88"/>
      <c r="BR51" s="88"/>
      <c r="BS51" s="88">
        <v>0.832909107208252</v>
      </c>
      <c r="BT51" s="88">
        <v>0.813399970531464</v>
      </c>
      <c r="BU51" s="88">
        <v>0.778777778148651</v>
      </c>
      <c r="BV51" s="88">
        <v>0.773388862609863</v>
      </c>
      <c r="BW51" s="88">
        <v>0.733882367610931</v>
      </c>
      <c r="BX51" s="88">
        <v>0.729206919670105</v>
      </c>
      <c r="BY51" s="88">
        <v>0.706444442272186</v>
      </c>
      <c r="BZ51" s="4" t="s">
        <v>76</v>
      </c>
      <c r="CA51" s="88">
        <v>15.1388888888889</v>
      </c>
      <c r="CB51" s="88">
        <v>32.1944444444444</v>
      </c>
      <c r="CC51" s="88">
        <v>17.75</v>
      </c>
      <c r="CD51" s="88">
        <v>20.25</v>
      </c>
      <c r="CE51" s="88">
        <v>26.25</v>
      </c>
      <c r="CF51" s="88">
        <v>13.2777777777778</v>
      </c>
      <c r="CG51" s="88">
        <v>11.5277777777778</v>
      </c>
      <c r="CH51" s="88">
        <v>31.8888888888889</v>
      </c>
      <c r="CI51" s="88">
        <v>21.8888888888889</v>
      </c>
      <c r="CJ51" s="88">
        <v>28.0555555555556</v>
      </c>
      <c r="CK51" s="88">
        <v>10.8055555555556</v>
      </c>
      <c r="CL51" s="108">
        <v>1.11</v>
      </c>
      <c r="CM51" s="4" t="s">
        <v>181</v>
      </c>
      <c r="CN51" s="4">
        <v>36</v>
      </c>
      <c r="CT51" s="4" t="s">
        <v>76</v>
      </c>
      <c r="CU51" s="5" t="s">
        <v>76</v>
      </c>
      <c r="CV51" s="5">
        <v>779</v>
      </c>
      <c r="CW51" s="5">
        <v>524</v>
      </c>
      <c r="CX51" s="5">
        <v>649</v>
      </c>
      <c r="CY51" s="5">
        <v>344</v>
      </c>
      <c r="CZ51" s="5">
        <v>538</v>
      </c>
      <c r="DA51" s="5">
        <v>49</v>
      </c>
      <c r="DB51" s="5">
        <v>36</v>
      </c>
      <c r="DK51" s="4" t="s">
        <v>76</v>
      </c>
      <c r="DL51" s="5">
        <v>11</v>
      </c>
      <c r="DM51" s="5">
        <v>10</v>
      </c>
      <c r="DN51" s="5">
        <v>9</v>
      </c>
      <c r="DO51" s="5">
        <v>18</v>
      </c>
      <c r="DP51" s="5">
        <v>17</v>
      </c>
      <c r="DQ51" s="5">
        <v>29</v>
      </c>
      <c r="DR51" s="5">
        <v>9</v>
      </c>
      <c r="DS51" s="5">
        <v>3</v>
      </c>
      <c r="DT51" s="5">
        <v>1</v>
      </c>
      <c r="DU51" s="5">
        <v>4</v>
      </c>
      <c r="DV51" s="5">
        <v>8</v>
      </c>
      <c r="DW51" s="5">
        <v>4</v>
      </c>
    </row>
    <row r="52" spans="2:122" ht="12" customHeight="1" hidden="1">
      <c r="B52" s="23" t="s">
        <v>118</v>
      </c>
      <c r="C52" s="23"/>
      <c r="D52" s="23"/>
      <c r="E52" s="23"/>
      <c r="F52" s="23"/>
      <c r="G52" s="23"/>
      <c r="H52" s="23"/>
      <c r="I52" s="23"/>
      <c r="Q52" s="94" t="s">
        <v>32</v>
      </c>
      <c r="R52" s="97">
        <f t="shared" si="93"/>
        <v>815.78125</v>
      </c>
      <c r="S52" s="97">
        <f t="shared" si="94"/>
        <v>0</v>
      </c>
      <c r="T52" s="97">
        <f t="shared" si="95"/>
        <v>817.890625</v>
      </c>
      <c r="U52" s="97">
        <f t="shared" si="96"/>
        <v>813.671875</v>
      </c>
      <c r="V52" s="97">
        <f t="shared" si="97"/>
        <v>817.890625</v>
      </c>
      <c r="W52" s="97">
        <f t="shared" si="108"/>
        <v>817.890625</v>
      </c>
      <c r="X52" s="95" t="str">
        <f>IF(X51="Stop","Stop",$B$18)</f>
        <v>Tour</v>
      </c>
      <c r="Y52" s="97">
        <f t="shared" si="91"/>
        <v>815.78125</v>
      </c>
      <c r="Z52" s="97">
        <f t="shared" si="98"/>
        <v>817.890625</v>
      </c>
      <c r="AA52" s="97">
        <f t="shared" si="99"/>
        <v>816.8359375</v>
      </c>
      <c r="AB52" s="97">
        <f>IF(AND(S47=0,S48=0,S49=0,S50=0,S51=0,S52=0),(R52+R47)/2,ROUND(IF(SUM(S47:S54)&gt;0,AK52-$CP$16,AL52+$CP$16),0))</f>
        <v>750.390625</v>
      </c>
      <c r="AC52" s="97">
        <f t="shared" si="100"/>
        <v>750.390625</v>
      </c>
      <c r="AD52" s="97">
        <f t="shared" si="109"/>
        <v>811.5625</v>
      </c>
      <c r="AE52" s="97">
        <f t="shared" si="110"/>
        <v>815.78125</v>
      </c>
      <c r="AF52" s="100">
        <f t="shared" si="111"/>
        <v>2.109375</v>
      </c>
      <c r="AG52" s="98">
        <f t="shared" si="101"/>
        <v>685</v>
      </c>
      <c r="AH52" s="98">
        <f t="shared" si="102"/>
        <v>815.78125</v>
      </c>
      <c r="AI52" s="98">
        <f t="shared" si="103"/>
        <v>999</v>
      </c>
      <c r="AJ52" s="98">
        <f t="shared" si="104"/>
        <v>0</v>
      </c>
      <c r="AK52" s="98">
        <f t="shared" si="92"/>
        <v>907.390625</v>
      </c>
      <c r="AL52" s="98">
        <f t="shared" si="105"/>
        <v>342.5</v>
      </c>
      <c r="AM52" s="98">
        <f t="shared" si="112"/>
        <v>0</v>
      </c>
      <c r="AN52" s="98">
        <f t="shared" si="106"/>
        <v>0</v>
      </c>
      <c r="AO52" s="98">
        <f t="shared" si="113"/>
        <v>0</v>
      </c>
      <c r="AP52" s="98">
        <f t="shared" si="114"/>
        <v>604.390625</v>
      </c>
      <c r="AQ52" s="98">
        <f t="shared" si="115"/>
        <v>0</v>
      </c>
      <c r="AR52" s="98">
        <f t="shared" si="116"/>
        <v>685</v>
      </c>
      <c r="AS52" s="98">
        <f t="shared" si="107"/>
        <v>0</v>
      </c>
      <c r="AT52" s="4" t="s">
        <v>263</v>
      </c>
      <c r="AU52" s="125">
        <f t="shared" si="1"/>
        <v>733</v>
      </c>
      <c r="AV52" s="125">
        <f t="shared" si="2"/>
        <v>726</v>
      </c>
      <c r="AW52" s="125">
        <f t="shared" si="3"/>
        <v>610</v>
      </c>
      <c r="AX52" s="125">
        <f t="shared" si="4"/>
        <v>546</v>
      </c>
      <c r="AY52" s="125">
        <f t="shared" si="5"/>
        <v>568</v>
      </c>
      <c r="AZ52" s="125">
        <f t="shared" si="90"/>
        <v>-15</v>
      </c>
      <c r="BA52" s="125">
        <f t="shared" si="6"/>
        <v>15</v>
      </c>
      <c r="BB52" s="4">
        <v>53</v>
      </c>
      <c r="BC52" s="4">
        <v>5.851</v>
      </c>
      <c r="BD52" s="4" t="s">
        <v>181</v>
      </c>
      <c r="BE52" s="4" t="s">
        <v>182</v>
      </c>
      <c r="BF52" s="4">
        <v>109</v>
      </c>
      <c r="BG52" s="4">
        <v>146</v>
      </c>
      <c r="BH52" s="4">
        <v>183</v>
      </c>
      <c r="BI52" s="4">
        <v>221</v>
      </c>
      <c r="BJ52" s="4">
        <v>254</v>
      </c>
      <c r="BK52" s="4">
        <v>38</v>
      </c>
      <c r="BL52" s="88"/>
      <c r="BM52" s="88"/>
      <c r="BN52" s="88"/>
      <c r="BO52" s="88"/>
      <c r="BP52" s="88"/>
      <c r="BQ52" s="88"/>
      <c r="BR52" s="88"/>
      <c r="BS52" s="88">
        <v>0.781571447849274</v>
      </c>
      <c r="BT52" s="88">
        <v>0.739000022411346</v>
      </c>
      <c r="BU52" s="88"/>
      <c r="BV52" s="88">
        <v>0.724333345890045</v>
      </c>
      <c r="BW52" s="88">
        <v>0.675483882427216</v>
      </c>
      <c r="BX52" s="88">
        <v>0.664037048816681</v>
      </c>
      <c r="BY52" s="88">
        <v>0.642478287220001</v>
      </c>
      <c r="BZ52" s="4" t="s">
        <v>263</v>
      </c>
      <c r="CA52" s="88">
        <v>13.675</v>
      </c>
      <c r="CB52" s="88">
        <v>28.75</v>
      </c>
      <c r="CC52" s="88">
        <v>17.25</v>
      </c>
      <c r="CD52" s="88">
        <v>17</v>
      </c>
      <c r="CE52" s="88">
        <v>16.25</v>
      </c>
      <c r="CF52" s="88">
        <v>10.3</v>
      </c>
      <c r="CG52" s="88">
        <v>12.85</v>
      </c>
      <c r="CH52" s="88">
        <v>20.125</v>
      </c>
      <c r="CI52" s="88">
        <v>26.9</v>
      </c>
      <c r="CJ52" s="88">
        <v>14.175</v>
      </c>
      <c r="CK52" s="88">
        <v>11.225</v>
      </c>
      <c r="CL52" s="108">
        <v>1.23</v>
      </c>
      <c r="CM52" s="4" t="s">
        <v>182</v>
      </c>
      <c r="CN52" s="4">
        <v>40</v>
      </c>
      <c r="CT52" s="4" t="s">
        <v>263</v>
      </c>
      <c r="CU52" s="5" t="s">
        <v>284</v>
      </c>
      <c r="CV52" s="5">
        <v>733</v>
      </c>
      <c r="CW52" s="5">
        <v>726</v>
      </c>
      <c r="CX52" s="5">
        <v>610</v>
      </c>
      <c r="CY52" s="5">
        <v>546</v>
      </c>
      <c r="CZ52" s="5">
        <v>568</v>
      </c>
      <c r="DA52" s="5">
        <v>-30</v>
      </c>
      <c r="DB52" s="5">
        <v>40</v>
      </c>
      <c r="DK52" s="4" t="s">
        <v>263</v>
      </c>
      <c r="DL52" s="5">
        <v>7</v>
      </c>
      <c r="DM52" s="5">
        <v>3</v>
      </c>
      <c r="DO52" s="5">
        <v>9</v>
      </c>
      <c r="DP52" s="5">
        <v>31</v>
      </c>
      <c r="DQ52" s="5">
        <v>54</v>
      </c>
      <c r="DR52" s="5">
        <v>23</v>
      </c>
    </row>
    <row r="53" spans="2:122" ht="12" customHeight="1" hidden="1">
      <c r="B53" s="34" t="s">
        <v>131</v>
      </c>
      <c r="C53" s="23"/>
      <c r="D53" s="23"/>
      <c r="E53" s="23"/>
      <c r="F53" s="23"/>
      <c r="G53" s="23"/>
      <c r="H53" s="23"/>
      <c r="I53" s="23"/>
      <c r="Q53" s="94" t="s">
        <v>33</v>
      </c>
      <c r="R53" s="97">
        <f t="shared" si="93"/>
        <v>817.890625</v>
      </c>
      <c r="S53" s="97">
        <f t="shared" si="94"/>
        <v>0</v>
      </c>
      <c r="T53" s="97">
        <f t="shared" si="95"/>
        <v>818.9453125</v>
      </c>
      <c r="U53" s="97">
        <f t="shared" si="96"/>
        <v>816.8359375</v>
      </c>
      <c r="V53" s="97">
        <f t="shared" si="97"/>
        <v>818.9453125</v>
      </c>
      <c r="W53" s="97">
        <f t="shared" si="108"/>
        <v>818.9453125</v>
      </c>
      <c r="X53" s="95" t="str">
        <f>IF(X52="Stop","Stop",$B$19)</f>
        <v>Tour</v>
      </c>
      <c r="Y53" s="97">
        <f t="shared" si="91"/>
        <v>817.890625</v>
      </c>
      <c r="Z53" s="97">
        <f t="shared" si="98"/>
        <v>818.9453125</v>
      </c>
      <c r="AA53" s="97">
        <f t="shared" si="99"/>
        <v>818.41796875</v>
      </c>
      <c r="AB53" s="97">
        <f>IF(AND(S47=0,S48=0,S49=0,S50=0,S51=0,S52=0,S53=0),(R53+R47)/2,ROUND(IF(SUM(S47:S54)&gt;0,AK53-$CP$16,AL53+$CP$16),0))</f>
        <v>751.4453125</v>
      </c>
      <c r="AC53" s="97">
        <f t="shared" si="100"/>
        <v>751.4453125</v>
      </c>
      <c r="AD53" s="97">
        <f t="shared" si="109"/>
        <v>815.78125</v>
      </c>
      <c r="AE53" s="97">
        <f t="shared" si="110"/>
        <v>817.890625</v>
      </c>
      <c r="AF53" s="100">
        <f t="shared" si="111"/>
        <v>1.0546875</v>
      </c>
      <c r="AG53" s="98">
        <f t="shared" si="101"/>
        <v>685</v>
      </c>
      <c r="AH53" s="98">
        <f t="shared" si="102"/>
        <v>817.890625</v>
      </c>
      <c r="AI53" s="98">
        <f t="shared" si="103"/>
        <v>999</v>
      </c>
      <c r="AJ53" s="98">
        <f t="shared" si="104"/>
        <v>0</v>
      </c>
      <c r="AK53" s="98">
        <f t="shared" si="92"/>
        <v>908.4453125</v>
      </c>
      <c r="AL53" s="98">
        <f t="shared" si="105"/>
        <v>342.5</v>
      </c>
      <c r="AM53" s="98">
        <f t="shared" si="112"/>
        <v>0</v>
      </c>
      <c r="AN53" s="98">
        <f t="shared" si="106"/>
        <v>0</v>
      </c>
      <c r="AO53" s="98">
        <f t="shared" si="113"/>
        <v>0</v>
      </c>
      <c r="AP53" s="98">
        <f t="shared" si="114"/>
        <v>605.4453125</v>
      </c>
      <c r="AQ53" s="98">
        <f t="shared" si="115"/>
        <v>0</v>
      </c>
      <c r="AR53" s="98">
        <f t="shared" si="116"/>
        <v>685</v>
      </c>
      <c r="AS53" s="98">
        <f t="shared" si="107"/>
        <v>0</v>
      </c>
      <c r="AT53" s="4" t="s">
        <v>44</v>
      </c>
      <c r="AU53" s="125">
        <f t="shared" si="1"/>
        <v>564</v>
      </c>
      <c r="AV53" s="125">
        <f t="shared" si="2"/>
        <v>905</v>
      </c>
      <c r="AW53" s="125">
        <f t="shared" si="3"/>
        <v>360</v>
      </c>
      <c r="AX53" s="125">
        <f t="shared" si="4"/>
        <v>550</v>
      </c>
      <c r="AY53" s="125">
        <f t="shared" si="5"/>
        <v>581</v>
      </c>
      <c r="AZ53" s="125">
        <f t="shared" si="90"/>
        <v>-52</v>
      </c>
      <c r="BA53" s="125">
        <f t="shared" si="6"/>
        <v>52</v>
      </c>
      <c r="BB53" s="4">
        <v>44</v>
      </c>
      <c r="BC53" s="4">
        <v>6.968</v>
      </c>
      <c r="BD53" s="4" t="s">
        <v>180</v>
      </c>
      <c r="BE53" s="4" t="s">
        <v>181</v>
      </c>
      <c r="BF53" s="4">
        <v>120</v>
      </c>
      <c r="BG53" s="4">
        <v>161</v>
      </c>
      <c r="BH53" s="4">
        <v>202</v>
      </c>
      <c r="BI53" s="4">
        <v>243</v>
      </c>
      <c r="BJ53" s="4">
        <v>279</v>
      </c>
      <c r="BK53" s="4">
        <v>41</v>
      </c>
      <c r="BL53" s="88"/>
      <c r="BM53" s="88"/>
      <c r="BN53" s="88"/>
      <c r="BO53" s="88"/>
      <c r="BP53" s="88"/>
      <c r="BQ53" s="88"/>
      <c r="BR53" s="88"/>
      <c r="BS53" s="88">
        <v>0.791000008583069</v>
      </c>
      <c r="BT53" s="88">
        <v>0.802999973297119</v>
      </c>
      <c r="BU53" s="88">
        <v>0.801999986171722</v>
      </c>
      <c r="BV53" s="88">
        <v>0.767333328723907</v>
      </c>
      <c r="BW53" s="88">
        <v>0.743619024753571</v>
      </c>
      <c r="BX53" s="88">
        <v>0.713380932807922</v>
      </c>
      <c r="BY53" s="88">
        <v>0.6922727227211</v>
      </c>
      <c r="BZ53" s="4" t="s">
        <v>44</v>
      </c>
      <c r="CA53" s="88">
        <v>18.72</v>
      </c>
      <c r="CB53" s="88">
        <v>32.2</v>
      </c>
      <c r="CC53" s="88">
        <v>19</v>
      </c>
      <c r="CD53" s="88">
        <v>21.28</v>
      </c>
      <c r="CE53" s="88">
        <v>22.04</v>
      </c>
      <c r="CF53" s="88">
        <v>13.96</v>
      </c>
      <c r="CG53" s="88">
        <v>12.08</v>
      </c>
      <c r="CH53" s="88">
        <v>25.72</v>
      </c>
      <c r="CI53" s="88">
        <v>28.04</v>
      </c>
      <c r="CJ53" s="88">
        <v>32.04</v>
      </c>
      <c r="CK53" s="88">
        <v>10.96</v>
      </c>
      <c r="CL53" s="108">
        <v>1.1</v>
      </c>
      <c r="CM53" s="4" t="s">
        <v>181</v>
      </c>
      <c r="CN53" s="4">
        <v>25</v>
      </c>
      <c r="CT53" s="4" t="s">
        <v>44</v>
      </c>
      <c r="CU53" s="5" t="s">
        <v>44</v>
      </c>
      <c r="CV53" s="5">
        <v>564</v>
      </c>
      <c r="CW53" s="5">
        <v>905</v>
      </c>
      <c r="CX53" s="5">
        <v>360</v>
      </c>
      <c r="CY53" s="5">
        <v>550</v>
      </c>
      <c r="CZ53" s="5">
        <v>581</v>
      </c>
      <c r="DA53" s="5">
        <v>-104</v>
      </c>
      <c r="DB53" s="5">
        <v>26</v>
      </c>
      <c r="DK53" s="4" t="s">
        <v>44</v>
      </c>
      <c r="DL53" s="5">
        <v>1</v>
      </c>
      <c r="DM53" s="5">
        <v>11</v>
      </c>
      <c r="DN53" s="5">
        <v>4</v>
      </c>
      <c r="DO53" s="5">
        <v>18</v>
      </c>
      <c r="DP53" s="5">
        <v>21</v>
      </c>
      <c r="DQ53" s="5">
        <v>21</v>
      </c>
      <c r="DR53" s="5">
        <v>11</v>
      </c>
    </row>
    <row r="54" spans="2:129" ht="12" customHeight="1" hidden="1">
      <c r="B54" s="23" t="s">
        <v>119</v>
      </c>
      <c r="C54" s="23"/>
      <c r="D54" s="23"/>
      <c r="E54" s="23"/>
      <c r="F54" s="23"/>
      <c r="G54" s="23"/>
      <c r="H54" s="23"/>
      <c r="I54" s="23"/>
      <c r="Q54" s="101" t="s">
        <v>34</v>
      </c>
      <c r="R54" s="102">
        <f t="shared" si="93"/>
        <v>818.9453125</v>
      </c>
      <c r="S54" s="102">
        <f t="shared" si="94"/>
        <v>0</v>
      </c>
      <c r="T54" s="97">
        <f t="shared" si="95"/>
        <v>819.47265625</v>
      </c>
      <c r="U54" s="102">
        <f t="shared" si="96"/>
        <v>818.41796875</v>
      </c>
      <c r="V54" s="102">
        <f t="shared" si="97"/>
        <v>819.47265625</v>
      </c>
      <c r="W54" s="97">
        <f t="shared" si="108"/>
        <v>819.47265625</v>
      </c>
      <c r="X54" s="103" t="str">
        <f>IF(X53="Stop","Stop",$B$20)</f>
        <v>Tour</v>
      </c>
      <c r="Y54" s="102">
        <f t="shared" si="91"/>
        <v>818.9453125</v>
      </c>
      <c r="Z54" s="102">
        <f t="shared" si="98"/>
        <v>819.47265625</v>
      </c>
      <c r="AA54" s="102">
        <f t="shared" si="99"/>
        <v>819.208984375</v>
      </c>
      <c r="AB54" s="102">
        <f>IF(AND(S47=0,S48=0,S49=0,S50=0,S51=0,S52=0,S53=0,S54=0),(R54+R47)/2,ROUND(IF(SUM(S47:S54)&gt;0,AK54-$CP$16,AL54+$CP$16),0))</f>
        <v>751.97265625</v>
      </c>
      <c r="AC54" s="102">
        <f t="shared" si="100"/>
        <v>751.97265625</v>
      </c>
      <c r="AD54" s="102">
        <f t="shared" si="109"/>
        <v>817.890625</v>
      </c>
      <c r="AE54" s="102">
        <f t="shared" si="110"/>
        <v>818.9453125</v>
      </c>
      <c r="AF54" s="104">
        <f t="shared" si="111"/>
        <v>0.52734375</v>
      </c>
      <c r="AG54" s="98">
        <f t="shared" si="101"/>
        <v>685</v>
      </c>
      <c r="AH54" s="98">
        <f t="shared" si="102"/>
        <v>818.9453125</v>
      </c>
      <c r="AI54" s="98">
        <f t="shared" si="103"/>
        <v>999</v>
      </c>
      <c r="AJ54" s="98">
        <f t="shared" si="104"/>
        <v>0</v>
      </c>
      <c r="AK54" s="98">
        <f t="shared" si="92"/>
        <v>908.97265625</v>
      </c>
      <c r="AL54" s="98">
        <f t="shared" si="105"/>
        <v>342.5</v>
      </c>
      <c r="AM54" s="98">
        <f t="shared" si="112"/>
        <v>0</v>
      </c>
      <c r="AN54" s="98">
        <f t="shared" si="106"/>
        <v>0</v>
      </c>
      <c r="AO54" s="98">
        <f t="shared" si="113"/>
        <v>0</v>
      </c>
      <c r="AP54" s="98">
        <f t="shared" si="114"/>
        <v>605.97265625</v>
      </c>
      <c r="AQ54" s="98">
        <f t="shared" si="115"/>
        <v>0</v>
      </c>
      <c r="AR54" s="98">
        <f t="shared" si="116"/>
        <v>685</v>
      </c>
      <c r="AS54" s="98">
        <f t="shared" si="107"/>
        <v>0</v>
      </c>
      <c r="AT54" s="4" t="s">
        <v>64</v>
      </c>
      <c r="AU54" s="125">
        <f t="shared" si="1"/>
        <v>504</v>
      </c>
      <c r="AV54" s="125">
        <f t="shared" si="2"/>
        <v>764</v>
      </c>
      <c r="AW54" s="125">
        <f t="shared" si="3"/>
        <v>527</v>
      </c>
      <c r="AX54" s="125">
        <f t="shared" si="4"/>
        <v>433</v>
      </c>
      <c r="AY54" s="125">
        <f t="shared" si="5"/>
        <v>647</v>
      </c>
      <c r="AZ54" s="125">
        <f t="shared" si="90"/>
        <v>-19</v>
      </c>
      <c r="BA54" s="125">
        <f t="shared" si="6"/>
        <v>19</v>
      </c>
      <c r="BB54" s="4">
        <v>53</v>
      </c>
      <c r="BC54" s="4">
        <v>5.86</v>
      </c>
      <c r="BD54" s="4" t="s">
        <v>180</v>
      </c>
      <c r="BE54" s="4" t="s">
        <v>180</v>
      </c>
      <c r="BF54" s="4">
        <v>120</v>
      </c>
      <c r="BG54" s="4">
        <v>161</v>
      </c>
      <c r="BH54" s="4">
        <v>202</v>
      </c>
      <c r="BI54" s="4">
        <v>243</v>
      </c>
      <c r="BJ54" s="4">
        <v>279</v>
      </c>
      <c r="BK54" s="4">
        <v>41</v>
      </c>
      <c r="BL54" s="88"/>
      <c r="BM54" s="88">
        <v>0.321999996900558</v>
      </c>
      <c r="BN54" s="88"/>
      <c r="BO54" s="88">
        <v>0.414000004529953</v>
      </c>
      <c r="BP54" s="88"/>
      <c r="BQ54" s="88">
        <v>0.38587498664856</v>
      </c>
      <c r="BR54" s="88">
        <v>0.37049999833107</v>
      </c>
      <c r="BS54" s="88">
        <v>0.808571457862854</v>
      </c>
      <c r="BT54" s="88">
        <v>0.790444433689117</v>
      </c>
      <c r="BU54" s="88">
        <v>0.755142867565155</v>
      </c>
      <c r="BV54" s="88">
        <v>0.726857125759125</v>
      </c>
      <c r="BW54" s="88">
        <v>0.721249997615814</v>
      </c>
      <c r="BX54" s="88">
        <v>0.694812476634979</v>
      </c>
      <c r="BY54" s="88">
        <v>0.658999979496002</v>
      </c>
      <c r="BZ54" s="4" t="s">
        <v>64</v>
      </c>
      <c r="CA54" s="88">
        <v>12.2</v>
      </c>
      <c r="CB54" s="88">
        <v>23.06</v>
      </c>
      <c r="CC54" s="88">
        <v>15</v>
      </c>
      <c r="CD54" s="88">
        <v>19.88</v>
      </c>
      <c r="CE54" s="88">
        <v>16.14</v>
      </c>
      <c r="CF54" s="88">
        <v>10.88</v>
      </c>
      <c r="CG54" s="88">
        <v>9.98</v>
      </c>
      <c r="CH54" s="88">
        <v>25.94</v>
      </c>
      <c r="CI54" s="88">
        <v>19.98</v>
      </c>
      <c r="CJ54" s="88">
        <v>22.36</v>
      </c>
      <c r="CK54" s="88">
        <v>10.86</v>
      </c>
      <c r="CL54" s="108">
        <v>1.145</v>
      </c>
      <c r="CM54" s="4" t="s">
        <v>180</v>
      </c>
      <c r="CN54" s="4">
        <v>50</v>
      </c>
      <c r="CT54" s="4" t="s">
        <v>64</v>
      </c>
      <c r="CU54" s="5" t="s">
        <v>64</v>
      </c>
      <c r="CV54" s="5">
        <v>504</v>
      </c>
      <c r="CW54" s="5">
        <v>764</v>
      </c>
      <c r="CX54" s="5">
        <v>527</v>
      </c>
      <c r="CY54" s="5">
        <v>433</v>
      </c>
      <c r="CZ54" s="5">
        <v>647</v>
      </c>
      <c r="DA54" s="5">
        <v>-38</v>
      </c>
      <c r="DB54" s="5">
        <v>33</v>
      </c>
      <c r="DC54" s="5">
        <v>620</v>
      </c>
      <c r="DD54" s="5">
        <v>670</v>
      </c>
      <c r="DE54" s="5">
        <v>557</v>
      </c>
      <c r="DF54" s="5">
        <v>292</v>
      </c>
      <c r="DG54" s="5">
        <v>541</v>
      </c>
      <c r="DH54" s="5">
        <v>-13</v>
      </c>
      <c r="DI54" s="5">
        <v>18</v>
      </c>
      <c r="DK54" s="4" t="s">
        <v>64</v>
      </c>
      <c r="DL54" s="5">
        <v>7</v>
      </c>
      <c r="DM54" s="5">
        <v>9</v>
      </c>
      <c r="DN54" s="5">
        <v>7</v>
      </c>
      <c r="DO54" s="5">
        <v>35</v>
      </c>
      <c r="DP54" s="5">
        <v>28</v>
      </c>
      <c r="DQ54" s="5">
        <v>32</v>
      </c>
      <c r="DR54" s="5">
        <v>18</v>
      </c>
      <c r="DT54" s="5">
        <v>1</v>
      </c>
      <c r="DV54" s="5">
        <v>2</v>
      </c>
      <c r="DX54" s="5">
        <v>8</v>
      </c>
      <c r="DY54" s="5">
        <v>4</v>
      </c>
    </row>
    <row r="55" spans="2:126" ht="12" customHeight="1" hidden="1" thickBot="1">
      <c r="B55" s="23"/>
      <c r="C55" s="23"/>
      <c r="D55" s="23"/>
      <c r="E55" s="23"/>
      <c r="F55" s="23"/>
      <c r="G55" s="23"/>
      <c r="H55" s="23"/>
      <c r="I55" s="23"/>
      <c r="AT55" s="4" t="s">
        <v>81</v>
      </c>
      <c r="AU55" s="125">
        <f t="shared" si="1"/>
        <v>840</v>
      </c>
      <c r="AV55" s="125">
        <f t="shared" si="2"/>
        <v>552</v>
      </c>
      <c r="AW55" s="125">
        <f t="shared" si="3"/>
        <v>651</v>
      </c>
      <c r="AX55" s="125">
        <f t="shared" si="4"/>
        <v>538</v>
      </c>
      <c r="AY55" s="125">
        <f t="shared" si="5"/>
        <v>485</v>
      </c>
      <c r="AZ55" s="125">
        <f t="shared" si="90"/>
        <v>28.5</v>
      </c>
      <c r="BA55" s="125">
        <f t="shared" si="6"/>
        <v>-28.5</v>
      </c>
      <c r="BB55" s="4">
        <v>57</v>
      </c>
      <c r="BC55" s="4">
        <v>5.44</v>
      </c>
      <c r="BD55" s="4" t="s">
        <v>180</v>
      </c>
      <c r="BE55" s="4" t="s">
        <v>180</v>
      </c>
      <c r="BF55" s="4">
        <v>120</v>
      </c>
      <c r="BG55" s="4">
        <v>161</v>
      </c>
      <c r="BH55" s="4">
        <v>202</v>
      </c>
      <c r="BI55" s="4">
        <v>243</v>
      </c>
      <c r="BJ55" s="4">
        <v>279</v>
      </c>
      <c r="BK55" s="4">
        <v>41</v>
      </c>
      <c r="BL55" s="88"/>
      <c r="BM55" s="88"/>
      <c r="BN55" s="88"/>
      <c r="BO55" s="88">
        <v>0.41499999165535</v>
      </c>
      <c r="BP55" s="88"/>
      <c r="BQ55" s="88"/>
      <c r="BR55" s="88"/>
      <c r="BS55" s="88">
        <v>0.797999978065491</v>
      </c>
      <c r="BT55" s="88">
        <v>0.764750003814697</v>
      </c>
      <c r="BU55" s="88">
        <v>0.705999970436096</v>
      </c>
      <c r="BV55" s="88">
        <v>0.719624996185303</v>
      </c>
      <c r="BW55" s="88">
        <v>0.693918943405151</v>
      </c>
      <c r="BX55" s="88">
        <v>0.668205142021179</v>
      </c>
      <c r="BY55" s="88">
        <v>0.654933333396912</v>
      </c>
      <c r="BZ55" s="4" t="s">
        <v>81</v>
      </c>
      <c r="CA55" s="88">
        <v>18.2571428571429</v>
      </c>
      <c r="CB55" s="88">
        <v>18.3714285714286</v>
      </c>
      <c r="CC55" s="88">
        <v>31.5142857142857</v>
      </c>
      <c r="CD55" s="88">
        <v>31.2857142857143</v>
      </c>
      <c r="CE55" s="88">
        <v>14.9142857142857</v>
      </c>
      <c r="CF55" s="88">
        <v>21.6571428571429</v>
      </c>
      <c r="CG55" s="88">
        <v>11.4571428571429</v>
      </c>
      <c r="CH55" s="88">
        <v>18.0285714285714</v>
      </c>
      <c r="CI55" s="88">
        <v>21.2857142857143</v>
      </c>
      <c r="CJ55" s="88">
        <v>24.8571428571429</v>
      </c>
      <c r="CK55" s="88">
        <v>15.2</v>
      </c>
      <c r="CL55" s="108">
        <v>1.19</v>
      </c>
      <c r="CM55" s="4" t="s">
        <v>180</v>
      </c>
      <c r="CN55" s="4">
        <v>35</v>
      </c>
      <c r="CT55" s="4" t="s">
        <v>81</v>
      </c>
      <c r="CU55" s="5" t="s">
        <v>81</v>
      </c>
      <c r="CV55" s="5">
        <v>840</v>
      </c>
      <c r="CW55" s="5">
        <v>552</v>
      </c>
      <c r="CX55" s="5">
        <v>651</v>
      </c>
      <c r="CY55" s="5">
        <v>538</v>
      </c>
      <c r="CZ55" s="5">
        <v>485</v>
      </c>
      <c r="DA55" s="5">
        <v>57</v>
      </c>
      <c r="DB55" s="5">
        <v>34</v>
      </c>
      <c r="DK55" s="4" t="s">
        <v>81</v>
      </c>
      <c r="DL55" s="5">
        <v>13</v>
      </c>
      <c r="DM55" s="5">
        <v>4</v>
      </c>
      <c r="DN55" s="5">
        <v>3</v>
      </c>
      <c r="DO55" s="5">
        <v>16</v>
      </c>
      <c r="DP55" s="5">
        <v>37</v>
      </c>
      <c r="DQ55" s="5">
        <v>39</v>
      </c>
      <c r="DR55" s="5">
        <v>15</v>
      </c>
      <c r="DV55" s="5">
        <v>3</v>
      </c>
    </row>
    <row r="56" spans="2:129" ht="12" customHeight="1" hidden="1" thickBot="1">
      <c r="B56" s="25" t="s">
        <v>120</v>
      </c>
      <c r="C56" s="30"/>
      <c r="D56" s="30"/>
      <c r="E56" s="30"/>
      <c r="F56" s="30"/>
      <c r="G56" s="31"/>
      <c r="H56" s="23"/>
      <c r="I56" s="23"/>
      <c r="Q56" s="89" t="s">
        <v>8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1"/>
      <c r="AE56" s="91"/>
      <c r="AF56" s="92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4" t="s">
        <v>84</v>
      </c>
      <c r="AU56" s="125">
        <f t="shared" si="1"/>
        <v>732</v>
      </c>
      <c r="AV56" s="125">
        <f t="shared" si="2"/>
        <v>582</v>
      </c>
      <c r="AW56" s="125">
        <f t="shared" si="3"/>
        <v>523</v>
      </c>
      <c r="AX56" s="125">
        <f t="shared" si="4"/>
        <v>371</v>
      </c>
      <c r="AY56" s="125">
        <f t="shared" si="5"/>
        <v>583</v>
      </c>
      <c r="AZ56" s="125">
        <f t="shared" si="90"/>
        <v>21.5</v>
      </c>
      <c r="BA56" s="125">
        <f t="shared" si="6"/>
        <v>-21.5</v>
      </c>
      <c r="BB56" s="4">
        <v>55</v>
      </c>
      <c r="BC56" s="4">
        <v>5.555</v>
      </c>
      <c r="BD56" s="4" t="s">
        <v>180</v>
      </c>
      <c r="BE56" s="4" t="s">
        <v>182</v>
      </c>
      <c r="BF56" s="4">
        <v>120</v>
      </c>
      <c r="BG56" s="4">
        <v>161</v>
      </c>
      <c r="BH56" s="4">
        <v>202</v>
      </c>
      <c r="BI56" s="4">
        <v>243</v>
      </c>
      <c r="BJ56" s="4">
        <v>279</v>
      </c>
      <c r="BK56" s="4">
        <v>41</v>
      </c>
      <c r="BL56" s="88">
        <v>0.630333304405212</v>
      </c>
      <c r="BM56" s="88">
        <v>0.610000014305115</v>
      </c>
      <c r="BN56" s="88">
        <v>0.607800006866455</v>
      </c>
      <c r="BO56" s="88">
        <v>0.606000006198883</v>
      </c>
      <c r="BP56" s="88">
        <v>0.579874992370605</v>
      </c>
      <c r="BQ56" s="88">
        <v>0.540857136249542</v>
      </c>
      <c r="BR56" s="88">
        <v>0.54119998216629</v>
      </c>
      <c r="BS56" s="88">
        <v>0.752687513828278</v>
      </c>
      <c r="BT56" s="88">
        <v>0.720499992370605</v>
      </c>
      <c r="BU56" s="88">
        <v>0.751874983310699</v>
      </c>
      <c r="BV56" s="88">
        <v>0.698571443557739</v>
      </c>
      <c r="BW56" s="88">
        <v>0.662999987602234</v>
      </c>
      <c r="BX56" s="88">
        <v>0.647634923458099</v>
      </c>
      <c r="BY56" s="88">
        <v>0.620999991893768</v>
      </c>
      <c r="BZ56" s="4" t="s">
        <v>84</v>
      </c>
      <c r="CA56" s="88">
        <v>15.8070175438596</v>
      </c>
      <c r="CB56" s="88">
        <v>10.0877192982456</v>
      </c>
      <c r="CC56" s="88">
        <v>24.3508771929825</v>
      </c>
      <c r="CD56" s="88">
        <v>28.4385964912281</v>
      </c>
      <c r="CE56" s="88">
        <v>19.5789473684211</v>
      </c>
      <c r="CF56" s="88">
        <v>14.9649122807018</v>
      </c>
      <c r="CG56" s="88">
        <v>20.3859649122807</v>
      </c>
      <c r="CH56" s="88">
        <v>24.280701754386</v>
      </c>
      <c r="CI56" s="88">
        <v>28.6491228070175</v>
      </c>
      <c r="CJ56" s="88">
        <v>21.1052631578947</v>
      </c>
      <c r="CK56" s="88">
        <v>14.8070175438596</v>
      </c>
      <c r="CL56" s="108">
        <v>1.24</v>
      </c>
      <c r="CM56" s="4" t="s">
        <v>182</v>
      </c>
      <c r="CN56" s="4">
        <v>57</v>
      </c>
      <c r="CT56" s="4" t="s">
        <v>84</v>
      </c>
      <c r="CU56" s="5" t="s">
        <v>84</v>
      </c>
      <c r="CV56" s="5">
        <v>732</v>
      </c>
      <c r="CW56" s="5">
        <v>582</v>
      </c>
      <c r="CX56" s="5">
        <v>523</v>
      </c>
      <c r="CY56" s="5">
        <v>371</v>
      </c>
      <c r="CZ56" s="5">
        <v>583</v>
      </c>
      <c r="DA56" s="5">
        <v>43</v>
      </c>
      <c r="DB56" s="5">
        <v>42</v>
      </c>
      <c r="DC56" s="5">
        <v>850</v>
      </c>
      <c r="DD56" s="5">
        <v>452</v>
      </c>
      <c r="DE56" s="5">
        <v>646</v>
      </c>
      <c r="DF56" s="5">
        <v>138</v>
      </c>
      <c r="DG56" s="5">
        <v>403</v>
      </c>
      <c r="DH56" s="5">
        <v>36</v>
      </c>
      <c r="DI56" s="5">
        <v>16</v>
      </c>
      <c r="DK56" s="4" t="s">
        <v>84</v>
      </c>
      <c r="DL56" s="5">
        <v>16</v>
      </c>
      <c r="DM56" s="5">
        <v>4</v>
      </c>
      <c r="DN56" s="5">
        <v>8</v>
      </c>
      <c r="DO56" s="5">
        <v>14</v>
      </c>
      <c r="DP56" s="5">
        <v>34</v>
      </c>
      <c r="DQ56" s="5">
        <v>63</v>
      </c>
      <c r="DR56" s="5">
        <v>6</v>
      </c>
      <c r="DS56" s="5">
        <v>3</v>
      </c>
      <c r="DT56" s="5">
        <v>1</v>
      </c>
      <c r="DU56" s="5">
        <v>5</v>
      </c>
      <c r="DV56" s="5">
        <v>6</v>
      </c>
      <c r="DW56" s="5">
        <v>8</v>
      </c>
      <c r="DX56" s="5">
        <v>14</v>
      </c>
      <c r="DY56" s="5">
        <v>5</v>
      </c>
    </row>
    <row r="57" spans="2:129" ht="12" customHeight="1" hidden="1">
      <c r="B57" s="23" t="s">
        <v>121</v>
      </c>
      <c r="C57" s="23"/>
      <c r="D57" s="23"/>
      <c r="E57" s="23"/>
      <c r="F57" s="23"/>
      <c r="G57" s="23"/>
      <c r="H57" s="23"/>
      <c r="I57" s="23"/>
      <c r="Q57" s="94"/>
      <c r="R57" s="95"/>
      <c r="S57" s="95" t="s">
        <v>23</v>
      </c>
      <c r="T57" s="95"/>
      <c r="U57" s="95"/>
      <c r="V57" s="95"/>
      <c r="W57" s="95"/>
      <c r="X57" s="95"/>
      <c r="Y57" s="95" t="s">
        <v>24</v>
      </c>
      <c r="Z57" s="95" t="s">
        <v>25</v>
      </c>
      <c r="AA57" s="95" t="s">
        <v>26</v>
      </c>
      <c r="AB57" s="95"/>
      <c r="AC57" s="95"/>
      <c r="AD57" s="93" t="s">
        <v>24</v>
      </c>
      <c r="AE57" s="93" t="s">
        <v>25</v>
      </c>
      <c r="AF57" s="96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4" t="s">
        <v>78</v>
      </c>
      <c r="AU57" s="125">
        <f t="shared" si="1"/>
        <v>817</v>
      </c>
      <c r="AV57" s="125">
        <f t="shared" si="2"/>
        <v>566</v>
      </c>
      <c r="AW57" s="125">
        <f t="shared" si="3"/>
        <v>749</v>
      </c>
      <c r="AX57" s="125">
        <f t="shared" si="4"/>
        <v>573</v>
      </c>
      <c r="AY57" s="125">
        <f t="shared" si="5"/>
        <v>521</v>
      </c>
      <c r="AZ57" s="125">
        <f t="shared" si="90"/>
        <v>10</v>
      </c>
      <c r="BA57" s="125">
        <f t="shared" si="6"/>
        <v>-10</v>
      </c>
      <c r="BB57" s="4">
        <v>55</v>
      </c>
      <c r="BC57" s="4">
        <v>5.622</v>
      </c>
      <c r="BD57" s="4" t="s">
        <v>181</v>
      </c>
      <c r="BE57" s="4" t="s">
        <v>180</v>
      </c>
      <c r="BF57" s="4">
        <v>109</v>
      </c>
      <c r="BG57" s="4">
        <v>146</v>
      </c>
      <c r="BH57" s="4">
        <v>183</v>
      </c>
      <c r="BI57" s="4">
        <v>221</v>
      </c>
      <c r="BJ57" s="4">
        <v>254</v>
      </c>
      <c r="BK57" s="4">
        <v>38</v>
      </c>
      <c r="BL57" s="88"/>
      <c r="BM57" s="88">
        <v>0.648999989032745</v>
      </c>
      <c r="BN57" s="88">
        <v>0.680999994277954</v>
      </c>
      <c r="BO57" s="88">
        <v>0.641250014305115</v>
      </c>
      <c r="BP57" s="88">
        <v>0.668500006198883</v>
      </c>
      <c r="BQ57" s="88">
        <v>0.586399972438812</v>
      </c>
      <c r="BR57" s="88">
        <v>0.576399981975555</v>
      </c>
      <c r="BS57" s="88">
        <v>0.771375000476837</v>
      </c>
      <c r="BT57" s="88">
        <v>0.758333325386047</v>
      </c>
      <c r="BU57" s="88">
        <v>0.752133309841156</v>
      </c>
      <c r="BV57" s="88">
        <v>0.710270285606384</v>
      </c>
      <c r="BW57" s="88">
        <v>0.699861109256744</v>
      </c>
      <c r="BX57" s="88">
        <v>0.679309844970703</v>
      </c>
      <c r="BY57" s="88">
        <v>0.652866661548615</v>
      </c>
      <c r="BZ57" s="4" t="s">
        <v>78</v>
      </c>
      <c r="CA57" s="88">
        <v>19.85</v>
      </c>
      <c r="CB57" s="88">
        <v>28.8333333333333</v>
      </c>
      <c r="CC57" s="88">
        <v>20.7666666666667</v>
      </c>
      <c r="CD57" s="88">
        <v>23.0333333333333</v>
      </c>
      <c r="CE57" s="88">
        <v>14.2</v>
      </c>
      <c r="CF57" s="88">
        <v>15.4166666666667</v>
      </c>
      <c r="CG57" s="88">
        <v>16.0833333333333</v>
      </c>
      <c r="CH57" s="88">
        <v>17.5</v>
      </c>
      <c r="CI57" s="88">
        <v>21.7833333333333</v>
      </c>
      <c r="CJ57" s="88">
        <v>18.8666666666667</v>
      </c>
      <c r="CK57" s="88">
        <v>13.1833333333333</v>
      </c>
      <c r="CL57" s="108">
        <v>1.18</v>
      </c>
      <c r="CM57" s="4" t="s">
        <v>180</v>
      </c>
      <c r="CN57" s="4">
        <v>60</v>
      </c>
      <c r="CT57" s="4" t="s">
        <v>78</v>
      </c>
      <c r="CU57" s="5" t="s">
        <v>78</v>
      </c>
      <c r="CV57" s="5">
        <v>817</v>
      </c>
      <c r="CW57" s="5">
        <v>566</v>
      </c>
      <c r="CX57" s="5">
        <v>749</v>
      </c>
      <c r="CY57" s="5">
        <v>573</v>
      </c>
      <c r="CZ57" s="5">
        <v>521</v>
      </c>
      <c r="DA57" s="5">
        <v>20</v>
      </c>
      <c r="DB57" s="5">
        <v>62</v>
      </c>
      <c r="DK57" s="4" t="s">
        <v>78</v>
      </c>
      <c r="DL57" s="5">
        <v>8</v>
      </c>
      <c r="DM57" s="5">
        <v>9</v>
      </c>
      <c r="DN57" s="5">
        <v>15</v>
      </c>
      <c r="DO57" s="5">
        <v>37</v>
      </c>
      <c r="DP57" s="5">
        <v>36</v>
      </c>
      <c r="DQ57" s="5">
        <v>71</v>
      </c>
      <c r="DR57" s="5">
        <v>15</v>
      </c>
      <c r="DT57" s="5">
        <v>3</v>
      </c>
      <c r="DU57" s="5">
        <v>2</v>
      </c>
      <c r="DV57" s="5">
        <v>4</v>
      </c>
      <c r="DW57" s="5">
        <v>2</v>
      </c>
      <c r="DX57" s="5">
        <v>10</v>
      </c>
      <c r="DY57" s="5">
        <v>5</v>
      </c>
    </row>
    <row r="58" spans="2:127" ht="12" customHeight="1" hidden="1">
      <c r="B58" s="23" t="s">
        <v>122</v>
      </c>
      <c r="C58" s="23"/>
      <c r="D58" s="23"/>
      <c r="E58" s="23"/>
      <c r="F58" s="23"/>
      <c r="G58" s="23"/>
      <c r="H58" s="23"/>
      <c r="I58" s="23"/>
      <c r="Q58" s="94" t="s">
        <v>27</v>
      </c>
      <c r="R58" s="97">
        <f>L13</f>
        <v>590</v>
      </c>
      <c r="S58" s="97">
        <f>VLOOKUP(M13,$U$3:$V$9,2,FALSE)</f>
        <v>0</v>
      </c>
      <c r="T58" s="97">
        <f>IF(IF(S58=0,R58+$E$10,IF(S58=-1,R58+$E$10,IF(S58=-2,R58+(2*$E$10),IF(S58=-3,R58+(3*$E$10),IF(S58=1,R58-$E$10,IF(S58=2,R58-(2*$E$10),R58-(3*$E$10)))))))&gt;999,999,IF(S58=0,R58+$E$10,IF(S58=-1,R58+$E$10,IF(S58=-2,R58+(2*$E$10),IF(S58=-3,R58+(3*$E$10),IF(S58=1,R58-$E$10,IF(S58=2,R58-(2*$E$10),R58-(3*$E$10))))))))</f>
        <v>657.5</v>
      </c>
      <c r="U58" s="95"/>
      <c r="V58" s="95"/>
      <c r="W58" s="95"/>
      <c r="X58" s="95" t="str">
        <f>$B$13</f>
        <v>Tour</v>
      </c>
      <c r="Y58" s="97">
        <f aca="true" t="shared" si="117" ref="Y58:Y65">IF(S58=0,R58,IF(S58&lt;0,R58,T58))</f>
        <v>590</v>
      </c>
      <c r="Z58" s="97">
        <f>IF(S58&gt;0,R58,T58)</f>
        <v>657.5</v>
      </c>
      <c r="AA58" s="97">
        <f>AVERAGE(Y58:Z58)</f>
        <v>623.75</v>
      </c>
      <c r="AB58" s="97">
        <f>ROUND(IF(SUM($S$58:$S$65)&gt;0,AA58-$CP$18,AA58+$CP$18),0)</f>
        <v>691</v>
      </c>
      <c r="AC58" s="97">
        <f>AB58</f>
        <v>691</v>
      </c>
      <c r="AD58" s="98"/>
      <c r="AE58" s="98"/>
      <c r="AF58" s="99"/>
      <c r="AG58" s="98">
        <f>IF(S58=0,R58,999)</f>
        <v>590</v>
      </c>
      <c r="AH58" s="98">
        <f>IF(S58=0,R58,0)</f>
        <v>590</v>
      </c>
      <c r="AI58" s="98">
        <f>IF(S58=0,999,R58)</f>
        <v>999</v>
      </c>
      <c r="AJ58" s="98">
        <f>IF(S58=0,0,R58)</f>
        <v>0</v>
      </c>
      <c r="AK58" s="98">
        <f aca="true" t="shared" si="118" ref="AK58:AK65">IF(AG58-AH58=999,((AL58+AI58)/2),((AH58+AI58)/2))</f>
        <v>794.5</v>
      </c>
      <c r="AL58" s="98">
        <f>IF(R58=999,999,IF(AG58-AH58=999,(AJ58+AN58)/2,(AJ58+AG58)/2))</f>
        <v>295</v>
      </c>
      <c r="AM58" s="98"/>
      <c r="AN58" s="98"/>
      <c r="AO58" s="98"/>
      <c r="AP58" s="98"/>
      <c r="AQ58" s="98">
        <f>IF(S58=0,0,S58)</f>
        <v>0</v>
      </c>
      <c r="AR58" s="98">
        <f>R58</f>
        <v>590</v>
      </c>
      <c r="AS58" s="98">
        <f>IF(X58="Stop",IF(AQ57=0,0,((AR57+AR58)/2)+(2*$CP$18)),0)</f>
        <v>0</v>
      </c>
      <c r="AT58" s="4" t="s">
        <v>69</v>
      </c>
      <c r="AU58" s="125">
        <f t="shared" si="1"/>
        <v>667</v>
      </c>
      <c r="AV58" s="125">
        <f t="shared" si="2"/>
        <v>770</v>
      </c>
      <c r="AW58" s="125">
        <f t="shared" si="3"/>
        <v>464</v>
      </c>
      <c r="AX58" s="125">
        <f t="shared" si="4"/>
        <v>623</v>
      </c>
      <c r="AY58" s="125">
        <f t="shared" si="5"/>
        <v>802</v>
      </c>
      <c r="AZ58" s="125">
        <f t="shared" si="90"/>
        <v>-96</v>
      </c>
      <c r="BA58" s="125">
        <f t="shared" si="6"/>
        <v>96</v>
      </c>
      <c r="BB58" s="4">
        <v>71</v>
      </c>
      <c r="BC58" s="4">
        <v>4.251</v>
      </c>
      <c r="BD58" s="4" t="s">
        <v>180</v>
      </c>
      <c r="BE58" s="4" t="s">
        <v>182</v>
      </c>
      <c r="BF58" s="4">
        <v>120</v>
      </c>
      <c r="BG58" s="4">
        <v>161</v>
      </c>
      <c r="BH58" s="4">
        <v>202</v>
      </c>
      <c r="BI58" s="4">
        <v>243</v>
      </c>
      <c r="BJ58" s="4">
        <v>279</v>
      </c>
      <c r="BK58" s="4">
        <v>41</v>
      </c>
      <c r="BL58" s="88"/>
      <c r="BM58" s="88"/>
      <c r="BN58" s="88">
        <v>0.513000011444092</v>
      </c>
      <c r="BO58" s="88">
        <v>0.474999994039536</v>
      </c>
      <c r="BP58" s="88">
        <v>0.467500001192093</v>
      </c>
      <c r="BQ58" s="88"/>
      <c r="BR58" s="88"/>
      <c r="BS58" s="88">
        <v>0.746142864227295</v>
      </c>
      <c r="BT58" s="88"/>
      <c r="BU58" s="88">
        <v>0.712666690349579</v>
      </c>
      <c r="BV58" s="88">
        <v>0.689428567886353</v>
      </c>
      <c r="BW58" s="88">
        <v>0.693461537361145</v>
      </c>
      <c r="BX58" s="88">
        <v>0.655333340167999</v>
      </c>
      <c r="BY58" s="88">
        <v>0.634400010108948</v>
      </c>
      <c r="BZ58" s="4" t="s">
        <v>69</v>
      </c>
      <c r="CA58" s="88">
        <v>29.3333333333333</v>
      </c>
      <c r="CB58" s="88">
        <v>46.125</v>
      </c>
      <c r="CC58" s="88">
        <v>35.0416666666667</v>
      </c>
      <c r="CD58" s="88">
        <v>28.375</v>
      </c>
      <c r="CE58" s="88">
        <v>25.0416666666667</v>
      </c>
      <c r="CF58" s="88">
        <v>21.6666666666667</v>
      </c>
      <c r="CG58" s="88">
        <v>19.7083333333333</v>
      </c>
      <c r="CH58" s="88">
        <v>27.625</v>
      </c>
      <c r="CI58" s="88">
        <v>51.2083333333333</v>
      </c>
      <c r="CJ58" s="88">
        <v>39.2916666666667</v>
      </c>
      <c r="CK58" s="88">
        <v>17</v>
      </c>
      <c r="CL58" s="108">
        <v>1.22</v>
      </c>
      <c r="CM58" s="4" t="s">
        <v>182</v>
      </c>
      <c r="CN58" s="4">
        <v>24</v>
      </c>
      <c r="CT58" s="4" t="s">
        <v>69</v>
      </c>
      <c r="CU58" s="5" t="s">
        <v>69</v>
      </c>
      <c r="CV58" s="5">
        <v>667</v>
      </c>
      <c r="CW58" s="5">
        <v>770</v>
      </c>
      <c r="CX58" s="5">
        <v>464</v>
      </c>
      <c r="CY58" s="5">
        <v>623</v>
      </c>
      <c r="CZ58" s="5">
        <v>802</v>
      </c>
      <c r="DA58" s="5">
        <v>-192</v>
      </c>
      <c r="DB58" s="5">
        <v>21</v>
      </c>
      <c r="DC58" s="5">
        <v>727</v>
      </c>
      <c r="DD58" s="5">
        <v>622</v>
      </c>
      <c r="DE58" s="5">
        <v>564</v>
      </c>
      <c r="DF58" s="5">
        <v>410</v>
      </c>
      <c r="DG58" s="5">
        <v>668</v>
      </c>
      <c r="DH58" s="5">
        <v>-133</v>
      </c>
      <c r="DI58" s="5">
        <v>3</v>
      </c>
      <c r="DK58" s="4" t="s">
        <v>69</v>
      </c>
      <c r="DL58" s="5">
        <v>7</v>
      </c>
      <c r="DN58" s="5">
        <v>3</v>
      </c>
      <c r="DO58" s="5">
        <v>7</v>
      </c>
      <c r="DP58" s="5">
        <v>13</v>
      </c>
      <c r="DQ58" s="5">
        <v>27</v>
      </c>
      <c r="DR58" s="5">
        <v>5</v>
      </c>
      <c r="DU58" s="5">
        <v>1</v>
      </c>
      <c r="DV58" s="5">
        <v>1</v>
      </c>
      <c r="DW58" s="5">
        <v>2</v>
      </c>
    </row>
    <row r="59" spans="2:129" ht="12" customHeight="1" hidden="1" thickBot="1">
      <c r="B59" s="23"/>
      <c r="C59" s="23"/>
      <c r="D59" s="23"/>
      <c r="E59" s="23"/>
      <c r="F59" s="23"/>
      <c r="G59" s="23"/>
      <c r="H59" s="23"/>
      <c r="I59" s="23"/>
      <c r="Q59" s="94" t="s">
        <v>28</v>
      </c>
      <c r="R59" s="97">
        <f aca="true" t="shared" si="119" ref="R59:R65">L14</f>
        <v>657.5</v>
      </c>
      <c r="S59" s="97">
        <f aca="true" t="shared" si="120" ref="S59:S65">VLOOKUP(M14,$U$3:$V$9,2,FALSE)</f>
        <v>0</v>
      </c>
      <c r="T59" s="97">
        <f aca="true" t="shared" si="121" ref="T59:T65">IF(W59&gt;999,999,IF(W59&lt;1,1,W59))</f>
        <v>691.25</v>
      </c>
      <c r="U59" s="97">
        <f aca="true" t="shared" si="122" ref="U59:U65">IF(OR(S59=-2,S59=2),R59-($CP$18*2),IF(OR(S59=-3,S59=3),R59-($CP$18*3),R59-AF59))</f>
        <v>623.75</v>
      </c>
      <c r="V59" s="97">
        <f aca="true" t="shared" si="123" ref="V59:V65">IF(OR(S59=-2,S59=2),R59+($CP$18*2),IF(OR(S59=-3,S59=3),R59+($CP$18*3),R59+AF59))</f>
        <v>691.25</v>
      </c>
      <c r="W59" s="97">
        <f>IF(AND(S58-S59=0,S58=0),IF(SUM($S$58:$S$65)&lt;0,U59,V59),IF(AND(S58-S59&gt;0,S59=0),V59,IF(S58-S59&lt;0,IF(S59&gt;=0,U59,V59),IF(AND(S58-S59=0,S59&lt;0),V59,IF(AND(S58-S59&gt;0,S58=0),V59,U59)))))</f>
        <v>691.25</v>
      </c>
      <c r="X59" s="95" t="str">
        <f>IF(X58="Stop","Stop",$B$14)</f>
        <v>Tour</v>
      </c>
      <c r="Y59" s="97">
        <f t="shared" si="117"/>
        <v>657.5</v>
      </c>
      <c r="Z59" s="97">
        <f aca="true" t="shared" si="124" ref="Z59:Z65">IF(S59&gt;0,R59,T59)</f>
        <v>691.25</v>
      </c>
      <c r="AA59" s="97">
        <f aca="true" t="shared" si="125" ref="AA59:AA65">AVERAGE(Y59:Z59)</f>
        <v>674.375</v>
      </c>
      <c r="AB59" s="97">
        <f>IF(AND(S58=0,S59=0),(R59+R58)/2,ROUND(IF(SUM(S58:S65)&gt;0,AK59-$CP$16,AL59+$CP$16),0))</f>
        <v>623.75</v>
      </c>
      <c r="AC59" s="97">
        <f aca="true" t="shared" si="126" ref="AC59:AC65">IF(X59="stop",IF(AS59=0,AC58,AS59),AB59)</f>
        <v>623.75</v>
      </c>
      <c r="AD59" s="97">
        <f>IF(R59&lt;R58,R59,R58)</f>
        <v>590</v>
      </c>
      <c r="AE59" s="97">
        <f>IF(R59&gt;R58,R59,R58)</f>
        <v>657.5</v>
      </c>
      <c r="AF59" s="100">
        <f>IF(R58-R59&gt;0,(R58-R59)/2,(R59-R58)/2)</f>
        <v>33.75</v>
      </c>
      <c r="AG59" s="98">
        <f aca="true" t="shared" si="127" ref="AG59:AG65">IF(S59=0,IF(R59&lt;AG58,R59,AG58),AG58)</f>
        <v>590</v>
      </c>
      <c r="AH59" s="98">
        <f aca="true" t="shared" si="128" ref="AH59:AH65">IF(S59=0,IF(R59&gt;AH58,R59,AH58),AH58)</f>
        <v>657.5</v>
      </c>
      <c r="AI59" s="98">
        <f aca="true" t="shared" si="129" ref="AI59:AI65">IF(S59=0,AI58,IF(R59&lt;AI58,R59,AG58))</f>
        <v>999</v>
      </c>
      <c r="AJ59" s="98">
        <f aca="true" t="shared" si="130" ref="AJ59:AJ65">IF(S59=0,AJ58,IF(R59&gt;AJ58,R59,AJ58))</f>
        <v>0</v>
      </c>
      <c r="AK59" s="98">
        <f t="shared" si="118"/>
        <v>828.25</v>
      </c>
      <c r="AL59" s="98">
        <f aca="true" t="shared" si="131" ref="AL59:AL65">IF(R59=999,999,IF(AG59-AH59=999,(AJ59+AN59)/2,(AJ59+AG59)/2))</f>
        <v>295</v>
      </c>
      <c r="AM59" s="98">
        <f>S59-S58</f>
        <v>0</v>
      </c>
      <c r="AN59" s="98">
        <f aca="true" t="shared" si="132" ref="AN59:AN65">IF(AM59=0,AN58,R59)</f>
        <v>0</v>
      </c>
      <c r="AO59" s="98">
        <f>IF(S59=S58,0,1)</f>
        <v>0</v>
      </c>
      <c r="AP59" s="98">
        <f>IF(X59="Stop",AP58,IF(AO59=0,(R59+$R$14)/2,AC59))</f>
        <v>525.25</v>
      </c>
      <c r="AQ59" s="98">
        <f>IF(AQ58=0,0,IF(S59=0,0,S59))</f>
        <v>0</v>
      </c>
      <c r="AR59" s="98">
        <f>IF(AQ59=AQ58,AR58,R59)</f>
        <v>590</v>
      </c>
      <c r="AS59" s="98">
        <f aca="true" t="shared" si="133" ref="AS59:AS65">IF(X59="Stop",IF(AQ58=0,0,((AR58+AR59)/2)+(2*$CP$18)),0)</f>
        <v>0</v>
      </c>
      <c r="AT59" s="4" t="s">
        <v>45</v>
      </c>
      <c r="AU59" s="125">
        <f t="shared" si="1"/>
        <v>701</v>
      </c>
      <c r="AV59" s="125">
        <f t="shared" si="2"/>
        <v>751</v>
      </c>
      <c r="AW59" s="125">
        <f t="shared" si="3"/>
        <v>464</v>
      </c>
      <c r="AX59" s="125">
        <f t="shared" si="4"/>
        <v>512</v>
      </c>
      <c r="AY59" s="125">
        <f t="shared" si="5"/>
        <v>685</v>
      </c>
      <c r="AZ59" s="125">
        <f t="shared" si="90"/>
        <v>29</v>
      </c>
      <c r="BA59" s="125">
        <f t="shared" si="6"/>
        <v>-29</v>
      </c>
      <c r="BB59" s="4">
        <v>70</v>
      </c>
      <c r="BC59" s="4">
        <v>4.261</v>
      </c>
      <c r="BD59" s="4" t="s">
        <v>180</v>
      </c>
      <c r="BE59" s="4" t="s">
        <v>182</v>
      </c>
      <c r="BF59" s="4">
        <v>120</v>
      </c>
      <c r="BG59" s="4">
        <v>161</v>
      </c>
      <c r="BH59" s="4">
        <v>202</v>
      </c>
      <c r="BI59" s="4">
        <v>243</v>
      </c>
      <c r="BJ59" s="4">
        <v>279</v>
      </c>
      <c r="BK59" s="4">
        <v>41</v>
      </c>
      <c r="BL59" s="88">
        <v>0.563333332538605</v>
      </c>
      <c r="BM59" s="88">
        <v>0.610000014305115</v>
      </c>
      <c r="BN59" s="88">
        <v>0.540000021457672</v>
      </c>
      <c r="BO59" s="88">
        <v>0.514999985694885</v>
      </c>
      <c r="BP59" s="88">
        <v>0.500999987125397</v>
      </c>
      <c r="BQ59" s="88">
        <v>0.492428570985794</v>
      </c>
      <c r="BR59" s="88">
        <v>0.46900001168251</v>
      </c>
      <c r="BS59" s="88">
        <v>0.797722220420837</v>
      </c>
      <c r="BT59" s="88">
        <v>0.748428583145142</v>
      </c>
      <c r="BU59" s="88">
        <v>0.722249984741211</v>
      </c>
      <c r="BV59" s="88">
        <v>0.722062528133392</v>
      </c>
      <c r="BW59" s="88">
        <v>0.680920004844666</v>
      </c>
      <c r="BX59" s="88">
        <v>0.661307692527771</v>
      </c>
      <c r="BY59" s="88">
        <v>0.650937497615814</v>
      </c>
      <c r="BZ59" s="4" t="s">
        <v>45</v>
      </c>
      <c r="CA59" s="88">
        <v>13.1923076923077</v>
      </c>
      <c r="CB59" s="88">
        <v>14.7115384615385</v>
      </c>
      <c r="CC59" s="88">
        <v>18.6346153846154</v>
      </c>
      <c r="CD59" s="88">
        <v>17.0961538461538</v>
      </c>
      <c r="CE59" s="88">
        <v>15.2307692307692</v>
      </c>
      <c r="CF59" s="88">
        <v>17.1153846153846</v>
      </c>
      <c r="CG59" s="88">
        <v>15.6538461538462</v>
      </c>
      <c r="CH59" s="88">
        <v>30</v>
      </c>
      <c r="CI59" s="88">
        <v>21.1730769230769</v>
      </c>
      <c r="CJ59" s="88">
        <v>22.9230769230769</v>
      </c>
      <c r="CK59" s="88">
        <v>13.7884615384615</v>
      </c>
      <c r="CL59" s="108">
        <v>1.21</v>
      </c>
      <c r="CM59" s="4" t="s">
        <v>182</v>
      </c>
      <c r="CN59" s="4">
        <v>52</v>
      </c>
      <c r="CT59" s="4" t="s">
        <v>45</v>
      </c>
      <c r="CU59" s="5" t="s">
        <v>45</v>
      </c>
      <c r="CV59" s="5">
        <v>701</v>
      </c>
      <c r="CW59" s="5">
        <v>751</v>
      </c>
      <c r="CX59" s="5">
        <v>464</v>
      </c>
      <c r="CY59" s="5">
        <v>512</v>
      </c>
      <c r="CZ59" s="5">
        <v>685</v>
      </c>
      <c r="DA59" s="5">
        <v>58</v>
      </c>
      <c r="DB59" s="5">
        <v>45</v>
      </c>
      <c r="DC59" s="5">
        <v>805</v>
      </c>
      <c r="DD59" s="5">
        <v>624</v>
      </c>
      <c r="DE59" s="5">
        <v>571</v>
      </c>
      <c r="DF59" s="5">
        <v>284</v>
      </c>
      <c r="DG59" s="5">
        <v>540</v>
      </c>
      <c r="DH59" s="5">
        <v>53</v>
      </c>
      <c r="DI59" s="5">
        <v>7</v>
      </c>
      <c r="DK59" s="4" t="s">
        <v>45</v>
      </c>
      <c r="DL59" s="5">
        <v>18</v>
      </c>
      <c r="DM59" s="5">
        <v>7</v>
      </c>
      <c r="DN59" s="5">
        <v>4</v>
      </c>
      <c r="DO59" s="5">
        <v>16</v>
      </c>
      <c r="DP59" s="5">
        <v>25</v>
      </c>
      <c r="DQ59" s="5">
        <v>52</v>
      </c>
      <c r="DR59" s="5">
        <v>16</v>
      </c>
      <c r="DS59" s="5">
        <v>6</v>
      </c>
      <c r="DT59" s="5">
        <v>1</v>
      </c>
      <c r="DU59" s="5">
        <v>1</v>
      </c>
      <c r="DV59" s="5">
        <v>1</v>
      </c>
      <c r="DW59" s="5">
        <v>5</v>
      </c>
      <c r="DX59" s="5">
        <v>7</v>
      </c>
      <c r="DY59" s="5">
        <v>1</v>
      </c>
    </row>
    <row r="60" spans="2:45" ht="12" customHeight="1" hidden="1" thickBot="1">
      <c r="B60" s="25" t="s">
        <v>123</v>
      </c>
      <c r="C60" s="30"/>
      <c r="D60" s="30"/>
      <c r="E60" s="30"/>
      <c r="F60" s="30"/>
      <c r="G60" s="31"/>
      <c r="H60" s="23"/>
      <c r="I60" s="23"/>
      <c r="Q60" s="94" t="s">
        <v>29</v>
      </c>
      <c r="R60" s="97">
        <f t="shared" si="119"/>
        <v>691.25</v>
      </c>
      <c r="S60" s="97">
        <f t="shared" si="120"/>
        <v>0</v>
      </c>
      <c r="T60" s="97">
        <f t="shared" si="121"/>
        <v>708.125</v>
      </c>
      <c r="U60" s="97">
        <f t="shared" si="122"/>
        <v>674.375</v>
      </c>
      <c r="V60" s="97">
        <f t="shared" si="123"/>
        <v>708.125</v>
      </c>
      <c r="W60" s="97">
        <f aca="true" t="shared" si="134" ref="W60:W65">IF(AND(S59-S60=0,S59=0),IF(SUM($S$58:$S$65)&lt;0,U60,V60),IF(AND(S59-S60&gt;0,S60=0),V60,IF(S59-S60&lt;0,IF(S60&gt;=0,U60,V60),IF(AND(S59-S60=0,S60&lt;0),V60,IF(AND(S59-S60&gt;0,S59=0),V60,U60)))))</f>
        <v>708.125</v>
      </c>
      <c r="X60" s="95" t="str">
        <f>IF(X59="Stop","Stop",$B$15)</f>
        <v>Tour</v>
      </c>
      <c r="Y60" s="97">
        <f t="shared" si="117"/>
        <v>691.25</v>
      </c>
      <c r="Z60" s="97">
        <f t="shared" si="124"/>
        <v>708.125</v>
      </c>
      <c r="AA60" s="97">
        <f t="shared" si="125"/>
        <v>699.6875</v>
      </c>
      <c r="AB60" s="97">
        <f>IF(AND(S58=0,S59=0,S60=0),(R60+R58)/2,ROUND(IF(SUM(S58:S65)&gt;0,AK60-$CP$16,AL60+$CP$16),0))</f>
        <v>640.625</v>
      </c>
      <c r="AC60" s="97">
        <f t="shared" si="126"/>
        <v>640.625</v>
      </c>
      <c r="AD60" s="97">
        <f aca="true" t="shared" si="135" ref="AD60:AD65">IF(R60&lt;R59,R60,R59)</f>
        <v>657.5</v>
      </c>
      <c r="AE60" s="97">
        <f aca="true" t="shared" si="136" ref="AE60:AE65">IF(R60&gt;R59,R60,R59)</f>
        <v>691.25</v>
      </c>
      <c r="AF60" s="100">
        <f aca="true" t="shared" si="137" ref="AF60:AF65">IF(R59-R60&gt;0,(R59-R60)/2,(R60-R59)/2)</f>
        <v>16.875</v>
      </c>
      <c r="AG60" s="98">
        <f t="shared" si="127"/>
        <v>590</v>
      </c>
      <c r="AH60" s="98">
        <f t="shared" si="128"/>
        <v>691.25</v>
      </c>
      <c r="AI60" s="98">
        <f t="shared" si="129"/>
        <v>999</v>
      </c>
      <c r="AJ60" s="98">
        <f t="shared" si="130"/>
        <v>0</v>
      </c>
      <c r="AK60" s="98">
        <f t="shared" si="118"/>
        <v>845.125</v>
      </c>
      <c r="AL60" s="98">
        <f t="shared" si="131"/>
        <v>295</v>
      </c>
      <c r="AM60" s="98">
        <f aca="true" t="shared" si="138" ref="AM60:AM65">S60-S59</f>
        <v>0</v>
      </c>
      <c r="AN60" s="98">
        <f t="shared" si="132"/>
        <v>0</v>
      </c>
      <c r="AO60" s="98">
        <f aca="true" t="shared" si="139" ref="AO60:AO65">IF(S60=S59,0,1)</f>
        <v>0</v>
      </c>
      <c r="AP60" s="98">
        <f aca="true" t="shared" si="140" ref="AP60:AP65">IF(X60="Stop",AP59,IF(AO60=0,(R60+$R$14)/2,AC60))</f>
        <v>542.125</v>
      </c>
      <c r="AQ60" s="98">
        <f aca="true" t="shared" si="141" ref="AQ60:AQ65">IF(AQ59=0,0,IF(S60=0,0,S60))</f>
        <v>0</v>
      </c>
      <c r="AR60" s="98">
        <f aca="true" t="shared" si="142" ref="AR60:AR65">IF(AQ60=AQ59,AR59,R60)</f>
        <v>590</v>
      </c>
      <c r="AS60" s="98">
        <f t="shared" si="133"/>
        <v>0</v>
      </c>
    </row>
    <row r="61" spans="2:45" ht="12" customHeight="1" hidden="1">
      <c r="B61" s="23" t="s">
        <v>124</v>
      </c>
      <c r="C61" s="23"/>
      <c r="D61" s="23"/>
      <c r="E61" s="23"/>
      <c r="F61" s="23"/>
      <c r="G61" s="23"/>
      <c r="H61" s="23"/>
      <c r="I61" s="23"/>
      <c r="Q61" s="94" t="s">
        <v>30</v>
      </c>
      <c r="R61" s="97">
        <f t="shared" si="119"/>
        <v>708.125</v>
      </c>
      <c r="S61" s="97">
        <f t="shared" si="120"/>
        <v>0</v>
      </c>
      <c r="T61" s="97">
        <f t="shared" si="121"/>
        <v>716.5625</v>
      </c>
      <c r="U61" s="97">
        <f t="shared" si="122"/>
        <v>699.6875</v>
      </c>
      <c r="V61" s="97">
        <f t="shared" si="123"/>
        <v>716.5625</v>
      </c>
      <c r="W61" s="97">
        <f t="shared" si="134"/>
        <v>716.5625</v>
      </c>
      <c r="X61" s="95" t="str">
        <f>IF(X60="Stop","Stop",$B$16)</f>
        <v>Tour</v>
      </c>
      <c r="Y61" s="97">
        <f t="shared" si="117"/>
        <v>708.125</v>
      </c>
      <c r="Z61" s="97">
        <f t="shared" si="124"/>
        <v>716.5625</v>
      </c>
      <c r="AA61" s="97">
        <f t="shared" si="125"/>
        <v>712.34375</v>
      </c>
      <c r="AB61" s="97">
        <f>IF(AND(S58=0,S59=0,S60=0,S61=0),(R61+R58)/2,ROUND(IF(SUM(S58:S65)&gt;0,AK61-$CP$16,AL61+$CP$16),0))</f>
        <v>649.0625</v>
      </c>
      <c r="AC61" s="97">
        <f t="shared" si="126"/>
        <v>649.0625</v>
      </c>
      <c r="AD61" s="97">
        <f t="shared" si="135"/>
        <v>691.25</v>
      </c>
      <c r="AE61" s="97">
        <f t="shared" si="136"/>
        <v>708.125</v>
      </c>
      <c r="AF61" s="100">
        <f t="shared" si="137"/>
        <v>8.4375</v>
      </c>
      <c r="AG61" s="98">
        <f t="shared" si="127"/>
        <v>590</v>
      </c>
      <c r="AH61" s="98">
        <f t="shared" si="128"/>
        <v>708.125</v>
      </c>
      <c r="AI61" s="98">
        <f t="shared" si="129"/>
        <v>999</v>
      </c>
      <c r="AJ61" s="98">
        <f t="shared" si="130"/>
        <v>0</v>
      </c>
      <c r="AK61" s="98">
        <f t="shared" si="118"/>
        <v>853.5625</v>
      </c>
      <c r="AL61" s="98">
        <f t="shared" si="131"/>
        <v>295</v>
      </c>
      <c r="AM61" s="98">
        <f t="shared" si="138"/>
        <v>0</v>
      </c>
      <c r="AN61" s="98">
        <f t="shared" si="132"/>
        <v>0</v>
      </c>
      <c r="AO61" s="98">
        <f t="shared" si="139"/>
        <v>0</v>
      </c>
      <c r="AP61" s="98">
        <f t="shared" si="140"/>
        <v>550.5625</v>
      </c>
      <c r="AQ61" s="98">
        <f t="shared" si="141"/>
        <v>0</v>
      </c>
      <c r="AR61" s="98">
        <f t="shared" si="142"/>
        <v>590</v>
      </c>
      <c r="AS61" s="98">
        <f t="shared" si="133"/>
        <v>0</v>
      </c>
    </row>
    <row r="62" spans="2:45" ht="12" customHeight="1" hidden="1">
      <c r="B62" s="23" t="s">
        <v>125</v>
      </c>
      <c r="C62" s="23"/>
      <c r="D62" s="23"/>
      <c r="E62" s="23"/>
      <c r="F62" s="23"/>
      <c r="G62" s="23"/>
      <c r="H62" s="23"/>
      <c r="I62" s="23"/>
      <c r="Q62" s="94" t="s">
        <v>31</v>
      </c>
      <c r="R62" s="97">
        <f t="shared" si="119"/>
        <v>716.5625</v>
      </c>
      <c r="S62" s="97">
        <f t="shared" si="120"/>
        <v>0</v>
      </c>
      <c r="T62" s="97">
        <f t="shared" si="121"/>
        <v>720.78125</v>
      </c>
      <c r="U62" s="97">
        <f t="shared" si="122"/>
        <v>712.34375</v>
      </c>
      <c r="V62" s="97">
        <f t="shared" si="123"/>
        <v>720.78125</v>
      </c>
      <c r="W62" s="97">
        <f t="shared" si="134"/>
        <v>720.78125</v>
      </c>
      <c r="X62" s="95" t="str">
        <f>IF(X61="Stop","Stop",$B$17)</f>
        <v>Tour</v>
      </c>
      <c r="Y62" s="97">
        <f t="shared" si="117"/>
        <v>716.5625</v>
      </c>
      <c r="Z62" s="97">
        <f t="shared" si="124"/>
        <v>720.78125</v>
      </c>
      <c r="AA62" s="97">
        <f t="shared" si="125"/>
        <v>718.671875</v>
      </c>
      <c r="AB62" s="97">
        <f>IF(AND(S58=0,S59=0,S60=0,S61=0,S62=0),(R62+R58)/2,ROUND(IF(SUM(S58:S65)&gt;0,AK62-$CP$16,AL62+$CP$16),0))</f>
        <v>653.28125</v>
      </c>
      <c r="AC62" s="97">
        <f t="shared" si="126"/>
        <v>653.28125</v>
      </c>
      <c r="AD62" s="97">
        <f t="shared" si="135"/>
        <v>708.125</v>
      </c>
      <c r="AE62" s="97">
        <f t="shared" si="136"/>
        <v>716.5625</v>
      </c>
      <c r="AF62" s="100">
        <f t="shared" si="137"/>
        <v>4.21875</v>
      </c>
      <c r="AG62" s="98">
        <f t="shared" si="127"/>
        <v>590</v>
      </c>
      <c r="AH62" s="98">
        <f t="shared" si="128"/>
        <v>716.5625</v>
      </c>
      <c r="AI62" s="98">
        <f t="shared" si="129"/>
        <v>999</v>
      </c>
      <c r="AJ62" s="98">
        <f t="shared" si="130"/>
        <v>0</v>
      </c>
      <c r="AK62" s="98">
        <f t="shared" si="118"/>
        <v>857.78125</v>
      </c>
      <c r="AL62" s="98">
        <f t="shared" si="131"/>
        <v>295</v>
      </c>
      <c r="AM62" s="98">
        <f t="shared" si="138"/>
        <v>0</v>
      </c>
      <c r="AN62" s="98">
        <f t="shared" si="132"/>
        <v>0</v>
      </c>
      <c r="AO62" s="98">
        <f t="shared" si="139"/>
        <v>0</v>
      </c>
      <c r="AP62" s="98">
        <f t="shared" si="140"/>
        <v>554.78125</v>
      </c>
      <c r="AQ62" s="98">
        <f t="shared" si="141"/>
        <v>0</v>
      </c>
      <c r="AR62" s="98">
        <f t="shared" si="142"/>
        <v>590</v>
      </c>
      <c r="AS62" s="98">
        <f t="shared" si="133"/>
        <v>0</v>
      </c>
    </row>
    <row r="63" spans="2:110" ht="12" customHeight="1" hidden="1">
      <c r="B63" s="23" t="s">
        <v>126</v>
      </c>
      <c r="C63" s="23"/>
      <c r="D63" s="23"/>
      <c r="E63" s="23"/>
      <c r="F63" s="23"/>
      <c r="G63" s="23"/>
      <c r="H63" s="23"/>
      <c r="I63" s="23"/>
      <c r="Q63" s="94" t="s">
        <v>32</v>
      </c>
      <c r="R63" s="97">
        <f t="shared" si="119"/>
        <v>720.78125</v>
      </c>
      <c r="S63" s="97">
        <f t="shared" si="120"/>
        <v>0</v>
      </c>
      <c r="T63" s="97">
        <f t="shared" si="121"/>
        <v>722.890625</v>
      </c>
      <c r="U63" s="97">
        <f t="shared" si="122"/>
        <v>718.671875</v>
      </c>
      <c r="V63" s="97">
        <f t="shared" si="123"/>
        <v>722.890625</v>
      </c>
      <c r="W63" s="97">
        <f t="shared" si="134"/>
        <v>722.890625</v>
      </c>
      <c r="X63" s="95" t="str">
        <f>IF(X62="Stop","Stop",$B$18)</f>
        <v>Tour</v>
      </c>
      <c r="Y63" s="97">
        <f t="shared" si="117"/>
        <v>720.78125</v>
      </c>
      <c r="Z63" s="97">
        <f t="shared" si="124"/>
        <v>722.890625</v>
      </c>
      <c r="AA63" s="97">
        <f t="shared" si="125"/>
        <v>721.8359375</v>
      </c>
      <c r="AB63" s="97">
        <f>IF(AND(S58=0,S59=0,S60=0,S61=0,S62=0,S63=0),(R63+R58)/2,ROUND(IF(SUM(S58:S65)&gt;0,AK63-$CP$16,AL63+$CP$16),0))</f>
        <v>655.390625</v>
      </c>
      <c r="AC63" s="97">
        <f t="shared" si="126"/>
        <v>655.390625</v>
      </c>
      <c r="AD63" s="97">
        <f t="shared" si="135"/>
        <v>716.5625</v>
      </c>
      <c r="AE63" s="97">
        <f t="shared" si="136"/>
        <v>720.78125</v>
      </c>
      <c r="AF63" s="100">
        <f t="shared" si="137"/>
        <v>2.109375</v>
      </c>
      <c r="AG63" s="98">
        <f t="shared" si="127"/>
        <v>590</v>
      </c>
      <c r="AH63" s="98">
        <f t="shared" si="128"/>
        <v>720.78125</v>
      </c>
      <c r="AI63" s="98">
        <f t="shared" si="129"/>
        <v>999</v>
      </c>
      <c r="AJ63" s="98">
        <f t="shared" si="130"/>
        <v>0</v>
      </c>
      <c r="AK63" s="98">
        <f t="shared" si="118"/>
        <v>859.890625</v>
      </c>
      <c r="AL63" s="98">
        <f t="shared" si="131"/>
        <v>295</v>
      </c>
      <c r="AM63" s="98">
        <f t="shared" si="138"/>
        <v>0</v>
      </c>
      <c r="AN63" s="98">
        <f t="shared" si="132"/>
        <v>0</v>
      </c>
      <c r="AO63" s="98">
        <f t="shared" si="139"/>
        <v>0</v>
      </c>
      <c r="AP63" s="98">
        <f t="shared" si="140"/>
        <v>556.890625</v>
      </c>
      <c r="AQ63" s="98">
        <f t="shared" si="141"/>
        <v>0</v>
      </c>
      <c r="AR63" s="98">
        <f t="shared" si="142"/>
        <v>590</v>
      </c>
      <c r="AS63" s="98">
        <f t="shared" si="133"/>
        <v>0</v>
      </c>
      <c r="DF63" s="5" t="s">
        <v>220</v>
      </c>
    </row>
    <row r="64" spans="2:123" ht="12" customHeight="1" hidden="1">
      <c r="B64" s="34" t="s">
        <v>130</v>
      </c>
      <c r="C64" s="23"/>
      <c r="D64" s="23"/>
      <c r="E64" s="23"/>
      <c r="F64" s="23"/>
      <c r="G64" s="23"/>
      <c r="H64" s="23"/>
      <c r="I64" s="23"/>
      <c r="Q64" s="94" t="s">
        <v>33</v>
      </c>
      <c r="R64" s="97">
        <f t="shared" si="119"/>
        <v>722.890625</v>
      </c>
      <c r="S64" s="97">
        <f t="shared" si="120"/>
        <v>0</v>
      </c>
      <c r="T64" s="97">
        <f t="shared" si="121"/>
        <v>723.9453125</v>
      </c>
      <c r="U64" s="97">
        <f t="shared" si="122"/>
        <v>721.8359375</v>
      </c>
      <c r="V64" s="97">
        <f t="shared" si="123"/>
        <v>723.9453125</v>
      </c>
      <c r="W64" s="97">
        <f t="shared" si="134"/>
        <v>723.9453125</v>
      </c>
      <c r="X64" s="95" t="str">
        <f>IF(X63="Stop","Stop",$B$19)</f>
        <v>Tour</v>
      </c>
      <c r="Y64" s="97">
        <f t="shared" si="117"/>
        <v>722.890625</v>
      </c>
      <c r="Z64" s="97">
        <f t="shared" si="124"/>
        <v>723.9453125</v>
      </c>
      <c r="AA64" s="97">
        <f t="shared" si="125"/>
        <v>723.41796875</v>
      </c>
      <c r="AB64" s="97">
        <f>IF(AND(S58=0,S59=0,S60=0,S61=0,S62=0,S63=0,S64=0),(R64+R58)/2,ROUND(IF(SUM(S58:S65)&gt;0,AK64-$CP$16,AL64+$CP$16),0))</f>
        <v>656.4453125</v>
      </c>
      <c r="AC64" s="97">
        <f t="shared" si="126"/>
        <v>656.4453125</v>
      </c>
      <c r="AD64" s="97">
        <f t="shared" si="135"/>
        <v>720.78125</v>
      </c>
      <c r="AE64" s="97">
        <f t="shared" si="136"/>
        <v>722.890625</v>
      </c>
      <c r="AF64" s="100">
        <f t="shared" si="137"/>
        <v>1.0546875</v>
      </c>
      <c r="AG64" s="98">
        <f t="shared" si="127"/>
        <v>590</v>
      </c>
      <c r="AH64" s="98">
        <f t="shared" si="128"/>
        <v>722.890625</v>
      </c>
      <c r="AI64" s="98">
        <f t="shared" si="129"/>
        <v>999</v>
      </c>
      <c r="AJ64" s="98">
        <f t="shared" si="130"/>
        <v>0</v>
      </c>
      <c r="AK64" s="98">
        <f t="shared" si="118"/>
        <v>860.9453125</v>
      </c>
      <c r="AL64" s="98">
        <f t="shared" si="131"/>
        <v>295</v>
      </c>
      <c r="AM64" s="98">
        <f t="shared" si="138"/>
        <v>0</v>
      </c>
      <c r="AN64" s="98">
        <f t="shared" si="132"/>
        <v>0</v>
      </c>
      <c r="AO64" s="98">
        <f t="shared" si="139"/>
        <v>0</v>
      </c>
      <c r="AP64" s="98">
        <f t="shared" si="140"/>
        <v>557.9453125</v>
      </c>
      <c r="AQ64" s="98">
        <f t="shared" si="141"/>
        <v>0</v>
      </c>
      <c r="AR64" s="98">
        <f t="shared" si="142"/>
        <v>590</v>
      </c>
      <c r="AS64" s="98">
        <f t="shared" si="133"/>
        <v>0</v>
      </c>
      <c r="CV64" s="5" t="s">
        <v>185</v>
      </c>
      <c r="CW64" s="5" t="s">
        <v>186</v>
      </c>
      <c r="CX64" s="5" t="s">
        <v>187</v>
      </c>
      <c r="CY64" s="5" t="s">
        <v>188</v>
      </c>
      <c r="CZ64" s="5" t="s">
        <v>189</v>
      </c>
      <c r="DB64" s="5" t="s">
        <v>186</v>
      </c>
      <c r="DC64" s="5" t="s">
        <v>207</v>
      </c>
      <c r="DF64" s="5">
        <v>1</v>
      </c>
      <c r="DG64" s="5">
        <v>2</v>
      </c>
      <c r="DH64" s="5">
        <v>3</v>
      </c>
      <c r="DI64" s="5">
        <v>4</v>
      </c>
      <c r="DJ64" s="5">
        <v>5</v>
      </c>
      <c r="DK64" s="5">
        <v>6</v>
      </c>
      <c r="DL64" s="5">
        <v>7</v>
      </c>
      <c r="DM64" s="5">
        <v>1</v>
      </c>
      <c r="DN64" s="5">
        <v>2</v>
      </c>
      <c r="DO64" s="5">
        <v>3</v>
      </c>
      <c r="DP64" s="5">
        <v>4</v>
      </c>
      <c r="DQ64" s="5">
        <v>5</v>
      </c>
      <c r="DR64" s="5">
        <v>6</v>
      </c>
      <c r="DS64" s="5">
        <v>7</v>
      </c>
    </row>
    <row r="65" spans="2:123" ht="12" customHeight="1" hidden="1" thickBot="1">
      <c r="B65" s="23"/>
      <c r="C65" s="23"/>
      <c r="D65" s="23"/>
      <c r="E65" s="23"/>
      <c r="F65" s="23"/>
      <c r="G65" s="23"/>
      <c r="H65" s="23"/>
      <c r="I65" s="23"/>
      <c r="Q65" s="101" t="s">
        <v>34</v>
      </c>
      <c r="R65" s="102">
        <f t="shared" si="119"/>
        <v>723.9453125</v>
      </c>
      <c r="S65" s="102">
        <f t="shared" si="120"/>
        <v>0</v>
      </c>
      <c r="T65" s="97">
        <f t="shared" si="121"/>
        <v>724.47265625</v>
      </c>
      <c r="U65" s="102">
        <f t="shared" si="122"/>
        <v>723.41796875</v>
      </c>
      <c r="V65" s="102">
        <f t="shared" si="123"/>
        <v>724.47265625</v>
      </c>
      <c r="W65" s="97">
        <f t="shared" si="134"/>
        <v>724.47265625</v>
      </c>
      <c r="X65" s="103" t="str">
        <f>IF(X64="Stop","Stop",$B$20)</f>
        <v>Tour</v>
      </c>
      <c r="Y65" s="102">
        <f t="shared" si="117"/>
        <v>723.9453125</v>
      </c>
      <c r="Z65" s="102">
        <f t="shared" si="124"/>
        <v>724.47265625</v>
      </c>
      <c r="AA65" s="102">
        <f t="shared" si="125"/>
        <v>724.208984375</v>
      </c>
      <c r="AB65" s="102">
        <f>IF(AND(S58=0,S59=0,S60=0,S61=0,S62=0,S63=0,S64=0,S65=0),(R65+R58)/2,ROUND(IF(SUM(S58:S65)&gt;0,AK65-$CP$16,AL65+$CP$16),0))</f>
        <v>656.97265625</v>
      </c>
      <c r="AC65" s="102">
        <f t="shared" si="126"/>
        <v>656.97265625</v>
      </c>
      <c r="AD65" s="102">
        <f t="shared" si="135"/>
        <v>722.890625</v>
      </c>
      <c r="AE65" s="102">
        <f t="shared" si="136"/>
        <v>723.9453125</v>
      </c>
      <c r="AF65" s="104">
        <f t="shared" si="137"/>
        <v>0.52734375</v>
      </c>
      <c r="AG65" s="98">
        <f t="shared" si="127"/>
        <v>590</v>
      </c>
      <c r="AH65" s="98">
        <f t="shared" si="128"/>
        <v>723.9453125</v>
      </c>
      <c r="AI65" s="98">
        <f t="shared" si="129"/>
        <v>999</v>
      </c>
      <c r="AJ65" s="98">
        <f t="shared" si="130"/>
        <v>0</v>
      </c>
      <c r="AK65" s="98">
        <f t="shared" si="118"/>
        <v>861.47265625</v>
      </c>
      <c r="AL65" s="98">
        <f t="shared" si="131"/>
        <v>295</v>
      </c>
      <c r="AM65" s="98">
        <f t="shared" si="138"/>
        <v>0</v>
      </c>
      <c r="AN65" s="98">
        <f t="shared" si="132"/>
        <v>0</v>
      </c>
      <c r="AO65" s="98">
        <f t="shared" si="139"/>
        <v>0</v>
      </c>
      <c r="AP65" s="98">
        <f t="shared" si="140"/>
        <v>558.47265625</v>
      </c>
      <c r="AQ65" s="98">
        <f t="shared" si="141"/>
        <v>0</v>
      </c>
      <c r="AR65" s="98">
        <f t="shared" si="142"/>
        <v>590</v>
      </c>
      <c r="AS65" s="98">
        <f t="shared" si="133"/>
        <v>0</v>
      </c>
      <c r="CV65" s="5">
        <f>VLOOKUP($G$5,$AT$3:$BJ$65,13,FALSE)</f>
        <v>120</v>
      </c>
      <c r="CW65" s="5">
        <f>VLOOKUP($G$5,$AT$3:$BJ$65,14,FALSE)</f>
        <v>161</v>
      </c>
      <c r="CX65" s="5">
        <f>VLOOKUP($G$5,$AT$3:$BJ$65,15,FALSE)</f>
        <v>202</v>
      </c>
      <c r="CY65" s="5">
        <f>VLOOKUP($G$5,$AT$3:$BJ$65,16,FALSE)</f>
        <v>243</v>
      </c>
      <c r="CZ65" s="5">
        <f>VLOOKUP($G$5,$AT$3:$BJ$65,17,FALSE)</f>
        <v>279</v>
      </c>
      <c r="DB65" s="5">
        <f>VLOOKUP($G$5,$AT$3:$BJ$65,9,FALSE)</f>
        <v>71</v>
      </c>
      <c r="DC65" s="120">
        <f>VLOOKUP($G$5,$AT$3:$BJ$65,10,FALSE)</f>
        <v>4.325</v>
      </c>
      <c r="DF65" s="73">
        <f>VLOOKUP($G$5,$AT$3:$BY$65,19,FALSE)</f>
        <v>0.727666676044464</v>
      </c>
      <c r="DG65" s="73">
        <f>VLOOKUP($G$5,$AT$3:$BY$65,20,FALSE)</f>
        <v>0.6746666431427</v>
      </c>
      <c r="DH65" s="73">
        <f>VLOOKUP($G$5,$AT$3:$BY$65,21,FALSE)</f>
        <v>0.708000004291534</v>
      </c>
      <c r="DI65" s="73">
        <f>VLOOKUP($G$5,$AT$3:$BY$65,22,FALSE)</f>
        <v>0</v>
      </c>
      <c r="DJ65" s="73">
        <f>VLOOKUP($G$5,$AT$3:$BY$65,23,FALSE)</f>
        <v>0.628499984741211</v>
      </c>
      <c r="DK65" s="73">
        <f>VLOOKUP($G$5,$AT$3:$BY$65,24,FALSE)</f>
        <v>0.619333326816559</v>
      </c>
      <c r="DL65" s="73">
        <f>VLOOKUP($G$5,$AT$3:$BY$65,25,FALSE)</f>
        <v>0.620833337306976</v>
      </c>
      <c r="DM65" s="73">
        <f>VLOOKUP($G$5,$AT$3:$BY$65,26,FALSE)</f>
        <v>0.800999999046326</v>
      </c>
      <c r="DN65" s="73">
        <f>VLOOKUP($G$5,$AT$3:$BY$65,27,FALSE)</f>
        <v>0</v>
      </c>
      <c r="DO65" s="73">
        <f>VLOOKUP($G$5,$AT$3:$BY$65,28,FALSE)</f>
        <v>0</v>
      </c>
      <c r="DP65" s="73">
        <f>VLOOKUP($G$5,$AT$3:$BY$65,29,FALSE)</f>
        <v>0</v>
      </c>
      <c r="DQ65" s="73">
        <f>VLOOKUP($G$5,$AT$3:$BY$65,30,FALSE)</f>
        <v>0.736400008201599</v>
      </c>
      <c r="DR65" s="73">
        <f>VLOOKUP($G$5,$AT$3:$BY$65,31,FALSE)</f>
        <v>0.737142860889435</v>
      </c>
      <c r="DS65" s="73">
        <f>VLOOKUP($G$5,$AT$3:$BY$65,32,FALSE)</f>
        <v>0.716499984264374</v>
      </c>
    </row>
    <row r="66" spans="2:124" ht="12" customHeight="1" hidden="1" thickBot="1">
      <c r="B66" s="35" t="s">
        <v>127</v>
      </c>
      <c r="C66" s="36"/>
      <c r="D66" s="36"/>
      <c r="E66" s="36"/>
      <c r="F66" s="36"/>
      <c r="G66" s="37"/>
      <c r="CV66" s="5">
        <f>VLOOKUP($G$5,$AT$3:$BK$65,18,FALSE)</f>
        <v>41</v>
      </c>
      <c r="DT66" s="73"/>
    </row>
    <row r="67" ht="12" customHeight="1" hidden="1">
      <c r="B67" s="23" t="s">
        <v>128</v>
      </c>
    </row>
    <row r="68" spans="2:110" ht="12" customHeight="1" hidden="1">
      <c r="B68" s="23" t="s">
        <v>129</v>
      </c>
      <c r="CV68" s="5">
        <f>VLOOKUP($G$5,$BZ$3:$CK$64,2,FALSE)</f>
        <v>18.3846153846154</v>
      </c>
      <c r="CW68" s="5">
        <f>VLOOKUP($G$5,$BZ$3:$CK$64,3,FALSE)</f>
        <v>33.9230769230769</v>
      </c>
      <c r="CX68" s="5">
        <f>VLOOKUP($G$5,$BZ$3:$CK$64,4,FALSE)</f>
        <v>12.7692307692308</v>
      </c>
      <c r="CY68" s="5">
        <f>VLOOKUP($G$5,$BZ$3:$CK$64,5,FALSE)</f>
        <v>13.3846153846154</v>
      </c>
      <c r="CZ68" s="5">
        <f>VLOOKUP($G$5,$BZ$3:$CK$64,6,FALSE)</f>
        <v>13.7692307692308</v>
      </c>
      <c r="DA68" s="5">
        <f>VLOOKUP($G$5,$BZ$3:$CK$64,7,FALSE)</f>
        <v>16.2307692307692</v>
      </c>
      <c r="DB68" s="5">
        <f>VLOOKUP($G$5,$BZ$3:$CK$64,8,FALSE)</f>
        <v>11.6923076923077</v>
      </c>
      <c r="DC68" s="5">
        <f>VLOOKUP($G$5,$BZ$3:$CK$64,9,FALSE)</f>
        <v>23.6923076923077</v>
      </c>
      <c r="DD68" s="5">
        <f>VLOOKUP($G$5,$BZ$3:$CK$64,10,FALSE)</f>
        <v>29.3076923076923</v>
      </c>
      <c r="DE68" s="5">
        <f>VLOOKUP($G$5,$BZ$3:$CK$64,11,FALSE)</f>
        <v>17.3846153846154</v>
      </c>
      <c r="DF68" s="5">
        <f>VLOOKUP($G$5,$BZ$3:$CK$64,12,FALSE)</f>
        <v>14</v>
      </c>
    </row>
    <row r="69" ht="12" customHeight="1" hidden="1">
      <c r="CU69" s="5">
        <f>($CV$65-(($CZ$77-1)*(2.15+(0.001*($CZ$77-1)))))*((0.0028*$DJ$77)+1)-((0.0029*0)*$CV$65)</f>
        <v>122.149</v>
      </c>
    </row>
    <row r="70" ht="12" customHeight="1"/>
    <row r="71" spans="2:53" ht="12.75">
      <c r="B71" s="172" t="s">
        <v>12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AT71" s="4" t="s">
        <v>37</v>
      </c>
      <c r="AU71" s="4" t="s">
        <v>3</v>
      </c>
      <c r="AV71" s="4" t="s">
        <v>5</v>
      </c>
      <c r="AW71" s="4" t="s">
        <v>35</v>
      </c>
      <c r="AX71" s="4" t="s">
        <v>36</v>
      </c>
      <c r="AY71" s="4" t="s">
        <v>8</v>
      </c>
      <c r="AZ71" s="4" t="s">
        <v>91</v>
      </c>
      <c r="BA71" s="4" t="s">
        <v>92</v>
      </c>
    </row>
    <row r="72" spans="2:53" ht="13.5" thickBot="1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Q72" s="87"/>
      <c r="R72" s="87"/>
      <c r="S72" s="87"/>
      <c r="T72" s="87"/>
      <c r="U72" s="87"/>
      <c r="V72" s="87"/>
      <c r="AT72" s="4" t="s">
        <v>38</v>
      </c>
      <c r="AU72" s="4">
        <v>965</v>
      </c>
      <c r="AV72" s="4">
        <v>545</v>
      </c>
      <c r="AW72" s="4">
        <v>349</v>
      </c>
      <c r="AX72" s="4">
        <v>440</v>
      </c>
      <c r="AY72" s="4">
        <v>760</v>
      </c>
      <c r="AZ72" s="4">
        <v>20</v>
      </c>
      <c r="BA72" s="4">
        <v>-20</v>
      </c>
    </row>
    <row r="73" spans="97:133" ht="14.25" thickBot="1" thickTop="1">
      <c r="CS73" s="149" t="s">
        <v>230</v>
      </c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</row>
    <row r="74" spans="2:133" ht="13.5" thickBot="1">
      <c r="B74" s="173" t="s">
        <v>9</v>
      </c>
      <c r="C74" s="173"/>
      <c r="D74" s="173"/>
      <c r="E74" s="1">
        <v>0</v>
      </c>
      <c r="G74" s="176" t="s">
        <v>41</v>
      </c>
      <c r="H74" s="176"/>
      <c r="I74" s="176"/>
      <c r="J74" s="176"/>
      <c r="K74" s="176"/>
      <c r="L74" s="176"/>
      <c r="M74" s="176"/>
      <c r="CS74" s="150"/>
      <c r="CT74" s="76"/>
      <c r="CU74" s="156" t="s">
        <v>202</v>
      </c>
      <c r="CV74" s="157"/>
      <c r="CW74" s="157"/>
      <c r="CX74" s="157" t="str">
        <f>G74</f>
        <v>A1-Ring</v>
      </c>
      <c r="CY74" s="157"/>
      <c r="CZ74" s="157"/>
      <c r="DA74" s="157"/>
      <c r="DB74" s="157"/>
      <c r="DC74" s="157"/>
      <c r="DD74" s="157"/>
      <c r="DE74" s="157"/>
      <c r="DF74" s="157"/>
      <c r="DG74" s="157"/>
      <c r="DH74" s="160"/>
      <c r="DI74" s="76"/>
      <c r="DJ74" s="191" t="s">
        <v>203</v>
      </c>
      <c r="DK74" s="192"/>
      <c r="DL74" s="192"/>
      <c r="DM74" s="193">
        <f>DB65</f>
        <v>71</v>
      </c>
      <c r="DN74" s="193"/>
      <c r="DO74" s="193"/>
      <c r="DP74" s="193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7"/>
    </row>
    <row r="75" spans="7:133" ht="13.5" thickBot="1">
      <c r="G75" s="176"/>
      <c r="H75" s="176"/>
      <c r="I75" s="176"/>
      <c r="J75" s="176"/>
      <c r="K75" s="176"/>
      <c r="L75" s="176"/>
      <c r="M75" s="176"/>
      <c r="CS75" s="150"/>
      <c r="CT75" s="63"/>
      <c r="CU75" s="158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61"/>
      <c r="DI75" s="63"/>
      <c r="DJ75" s="192"/>
      <c r="DK75" s="192"/>
      <c r="DL75" s="192"/>
      <c r="DM75" s="193"/>
      <c r="DN75" s="193"/>
      <c r="DO75" s="193"/>
      <c r="DP75" s="19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77"/>
    </row>
    <row r="76" spans="2:133" ht="13.5" thickBot="1">
      <c r="B76" s="173" t="s">
        <v>11</v>
      </c>
      <c r="C76" s="173"/>
      <c r="D76" s="173"/>
      <c r="E76" s="1">
        <v>0</v>
      </c>
      <c r="G76" s="123"/>
      <c r="I76" s="122"/>
      <c r="CS76" s="150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77"/>
    </row>
    <row r="77" spans="7:133" ht="13.5" customHeight="1" thickBot="1">
      <c r="G77" s="6"/>
      <c r="H77" s="6" t="s">
        <v>3</v>
      </c>
      <c r="I77" s="6" t="s">
        <v>5</v>
      </c>
      <c r="J77" s="6" t="s">
        <v>35</v>
      </c>
      <c r="K77" s="6" t="s">
        <v>36</v>
      </c>
      <c r="L77" s="6" t="s">
        <v>102</v>
      </c>
      <c r="M77" s="129" t="s">
        <v>290</v>
      </c>
      <c r="N77" s="7"/>
      <c r="CS77" s="150"/>
      <c r="CT77" s="63"/>
      <c r="CU77" s="196" t="s">
        <v>204</v>
      </c>
      <c r="CV77" s="197"/>
      <c r="CW77" s="197"/>
      <c r="CX77" s="197"/>
      <c r="CY77" s="197"/>
      <c r="CZ77" s="194">
        <v>0</v>
      </c>
      <c r="DA77" s="194"/>
      <c r="DB77" s="195"/>
      <c r="DC77" s="63"/>
      <c r="DD77" s="63"/>
      <c r="DE77" s="196" t="s">
        <v>205</v>
      </c>
      <c r="DF77" s="197"/>
      <c r="DG77" s="197"/>
      <c r="DH77" s="197"/>
      <c r="DI77" s="197"/>
      <c r="DJ77" s="194">
        <v>0</v>
      </c>
      <c r="DK77" s="194"/>
      <c r="DL77" s="195"/>
      <c r="DM77" s="63"/>
      <c r="DN77" s="63"/>
      <c r="DO77" s="196" t="s">
        <v>206</v>
      </c>
      <c r="DP77" s="197"/>
      <c r="DQ77" s="197"/>
      <c r="DR77" s="197"/>
      <c r="DS77" s="197"/>
      <c r="DT77" s="194">
        <v>0</v>
      </c>
      <c r="DU77" s="194"/>
      <c r="DV77" s="195"/>
      <c r="DW77" s="63"/>
      <c r="DX77" s="63"/>
      <c r="DY77" s="63"/>
      <c r="DZ77" s="63"/>
      <c r="EA77" s="63"/>
      <c r="EB77" s="63"/>
      <c r="EC77" s="77"/>
    </row>
    <row r="78" spans="2:133" ht="12.75">
      <c r="B78" s="173" t="s">
        <v>10</v>
      </c>
      <c r="C78" s="173"/>
      <c r="D78" s="173"/>
      <c r="E78" s="8">
        <f>135-(0.1*E74)-(0.3*E76)</f>
        <v>135</v>
      </c>
      <c r="G78" s="6" t="s">
        <v>101</v>
      </c>
      <c r="H78" s="126">
        <f>H9</f>
        <v>393</v>
      </c>
      <c r="I78" s="127">
        <f>I9</f>
        <v>841</v>
      </c>
      <c r="J78" s="127">
        <f>J9</f>
        <v>692</v>
      </c>
      <c r="K78" s="127">
        <f>K9</f>
        <v>685</v>
      </c>
      <c r="L78" s="127">
        <f>L9</f>
        <v>590</v>
      </c>
      <c r="M78" s="129">
        <f>IF(N82="sec",VLOOKUP($G$74,$CT$3:$DI$69,9,FALSE),VLOOKUP($G$74,$CT$3:$DI$69,16,FALSE))</f>
        <v>6</v>
      </c>
      <c r="N78" s="7"/>
      <c r="CS78" s="150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77"/>
    </row>
    <row r="79" spans="5:133" ht="13.5" thickBot="1">
      <c r="E79" s="7">
        <f>E78/2</f>
        <v>67.5</v>
      </c>
      <c r="G79" s="5" t="s">
        <v>103</v>
      </c>
      <c r="H79" s="2"/>
      <c r="I79" s="3"/>
      <c r="J79" s="3"/>
      <c r="K79" s="3"/>
      <c r="L79" s="3"/>
      <c r="CS79" s="150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77"/>
    </row>
    <row r="80" spans="97:133" ht="13.5" thickBot="1">
      <c r="CS80" s="150"/>
      <c r="CT80" s="78"/>
      <c r="CU80" s="198" t="s">
        <v>195</v>
      </c>
      <c r="CV80" s="199"/>
      <c r="CW80" s="199"/>
      <c r="CX80" s="162"/>
      <c r="CY80" s="60"/>
      <c r="CZ80" s="198" t="s">
        <v>196</v>
      </c>
      <c r="DA80" s="199"/>
      <c r="DB80" s="199"/>
      <c r="DC80" s="162"/>
      <c r="DD80" s="60"/>
      <c r="DE80" s="198" t="s">
        <v>197</v>
      </c>
      <c r="DF80" s="199"/>
      <c r="DG80" s="199"/>
      <c r="DH80" s="162"/>
      <c r="DI80" s="60"/>
      <c r="DJ80" s="198" t="s">
        <v>198</v>
      </c>
      <c r="DK80" s="199"/>
      <c r="DL80" s="199"/>
      <c r="DM80" s="162"/>
      <c r="DN80" s="60"/>
      <c r="DO80" s="198" t="s">
        <v>199</v>
      </c>
      <c r="DP80" s="199"/>
      <c r="DQ80" s="199"/>
      <c r="DR80" s="162"/>
      <c r="DS80" s="60"/>
      <c r="DT80" s="198" t="s">
        <v>200</v>
      </c>
      <c r="DU80" s="199"/>
      <c r="DV80" s="199"/>
      <c r="DW80" s="162"/>
      <c r="DX80" s="60"/>
      <c r="DY80" s="198" t="s">
        <v>201</v>
      </c>
      <c r="DZ80" s="199"/>
      <c r="EA80" s="199"/>
      <c r="EB80" s="162"/>
      <c r="EC80" s="77"/>
    </row>
    <row r="81" spans="2:133" ht="13.5" thickBot="1">
      <c r="B81" s="177" t="s">
        <v>0</v>
      </c>
      <c r="C81" s="178"/>
      <c r="D81" s="30">
        <v>1</v>
      </c>
      <c r="E81" s="39" t="s">
        <v>3</v>
      </c>
      <c r="F81" s="40">
        <f>D13</f>
        <v>393</v>
      </c>
      <c r="G81" s="179" t="s">
        <v>147</v>
      </c>
      <c r="H81" s="179"/>
      <c r="I81" s="179"/>
      <c r="J81" s="179"/>
      <c r="K81" s="180"/>
      <c r="M81" s="140" t="s">
        <v>285</v>
      </c>
      <c r="N81" s="142"/>
      <c r="CS81" s="150"/>
      <c r="CT81" s="78"/>
      <c r="CU81" s="200"/>
      <c r="CV81" s="201"/>
      <c r="CW81" s="201"/>
      <c r="CX81" s="164"/>
      <c r="CY81" s="61"/>
      <c r="CZ81" s="200"/>
      <c r="DA81" s="201"/>
      <c r="DB81" s="201"/>
      <c r="DC81" s="164"/>
      <c r="DD81" s="61"/>
      <c r="DE81" s="200"/>
      <c r="DF81" s="201"/>
      <c r="DG81" s="201"/>
      <c r="DH81" s="164"/>
      <c r="DI81" s="61"/>
      <c r="DJ81" s="200"/>
      <c r="DK81" s="201"/>
      <c r="DL81" s="201"/>
      <c r="DM81" s="164"/>
      <c r="DN81" s="61"/>
      <c r="DO81" s="200"/>
      <c r="DP81" s="201"/>
      <c r="DQ81" s="201"/>
      <c r="DR81" s="164"/>
      <c r="DS81" s="61"/>
      <c r="DT81" s="200"/>
      <c r="DU81" s="201"/>
      <c r="DV81" s="201"/>
      <c r="DW81" s="164"/>
      <c r="DX81" s="61"/>
      <c r="DY81" s="200"/>
      <c r="DZ81" s="201"/>
      <c r="EA81" s="201"/>
      <c r="EB81" s="164"/>
      <c r="EC81" s="77"/>
    </row>
    <row r="82" spans="2:133" ht="13.5" thickBot="1">
      <c r="B82" s="38"/>
      <c r="C82" s="38"/>
      <c r="D82" s="38"/>
      <c r="E82" s="41" t="s">
        <v>5</v>
      </c>
      <c r="F82" s="42">
        <f>F13</f>
        <v>841</v>
      </c>
      <c r="G82" s="181" t="s">
        <v>147</v>
      </c>
      <c r="H82" s="181"/>
      <c r="I82" s="181"/>
      <c r="J82" s="181"/>
      <c r="K82" s="182"/>
      <c r="M82" s="55" t="s">
        <v>286</v>
      </c>
      <c r="N82" s="132" t="s">
        <v>266</v>
      </c>
      <c r="CS82" s="150"/>
      <c r="CT82" s="202" t="s">
        <v>191</v>
      </c>
      <c r="CU82" s="152">
        <f>($CV$65-(($CZ$77-1)*(2.15+(0.001*($CZ$77-1)))))*(1+((0.002085+((0.000043+(0.000001*($CZ$77*((($CZ$77-10)/10)*0.5))))*$CZ$77))*$DJ$77))-((0.0029*0)*$CV$65)</f>
        <v>122.149</v>
      </c>
      <c r="CV82" s="153"/>
      <c r="CW82" s="154">
        <f>CU82/$DC$65</f>
        <v>28.242543352601157</v>
      </c>
      <c r="CX82" s="155"/>
      <c r="CY82" s="62"/>
      <c r="CZ82" s="152">
        <f>($CV$65-(($CZ$77-1)*(2.15+(0.001*($CZ$77-1)))))*(1+((0.002085+((0.000043+(0.000001*($CZ$77*((($CZ$77-10)/10)*0.5))))*$CZ$77))*$DJ$77))-((0.0029*10)*$CV$65)</f>
        <v>118.669</v>
      </c>
      <c r="DA82" s="153"/>
      <c r="DB82" s="154">
        <f>CZ82/$DC$65</f>
        <v>27.437919075144507</v>
      </c>
      <c r="DC82" s="155"/>
      <c r="DD82" s="62"/>
      <c r="DE82" s="152">
        <f>($CV$65-(($CZ$77-1)*(2.15+(0.001*($CZ$77-1)))))*(1+((0.002085+((0.000043+(0.000001*($CZ$77*((($CZ$77-10)/10)*0.5))))*$CZ$77))*$DJ$77))-((0.0029*20)*$CV$65)</f>
        <v>115.18900000000001</v>
      </c>
      <c r="DF82" s="153"/>
      <c r="DG82" s="154">
        <f>DE82/$DC$65</f>
        <v>26.633294797687864</v>
      </c>
      <c r="DH82" s="155"/>
      <c r="DI82" s="62"/>
      <c r="DJ82" s="152">
        <f>($CV$65-(($CZ$77-1)*(2.15+(0.001*($CZ$77-1)))))*(1+((0.002085+((0.000043+(0.000001*($CZ$77*((($CZ$77-10)/10)*0.5))))*$CZ$77))*$DJ$77))-((0.0029*30)*$CV$65)</f>
        <v>111.709</v>
      </c>
      <c r="DK82" s="153"/>
      <c r="DL82" s="154">
        <f>DJ82/$DC$65</f>
        <v>25.828670520231213</v>
      </c>
      <c r="DM82" s="155"/>
      <c r="DN82" s="62"/>
      <c r="DO82" s="152">
        <f>($CV$65-(($CZ$77-1)*(2.15+(0.001*($CZ$77-1)))))*(1+((0.002085+((0.000043+(0.000001*($CZ$77*((($CZ$77-10)/10)*0.5))))*$CZ$77))*$DJ$77))-((0.0029*40)*$CV$65)</f>
        <v>108.229</v>
      </c>
      <c r="DP82" s="153"/>
      <c r="DQ82" s="154">
        <f>DO82/$DC$65</f>
        <v>25.024046242774567</v>
      </c>
      <c r="DR82" s="155"/>
      <c r="DS82" s="62"/>
      <c r="DT82" s="152">
        <f>($CV$65-(($CZ$77-1)*(2.15+(0.001*($CZ$77-1)))))*(1+((0.002085+((0.000043+(0.000001*($CZ$77*((($CZ$77-10)/10)*0.5))))*$CZ$77))*$DJ$77))-((0.0029*60)*$CV$65)</f>
        <v>101.269</v>
      </c>
      <c r="DU82" s="153"/>
      <c r="DV82" s="154">
        <f>DT82/$DC$65</f>
        <v>23.41479768786127</v>
      </c>
      <c r="DW82" s="155"/>
      <c r="DX82" s="62"/>
      <c r="DY82" s="152">
        <f>($CV$65-(($CZ$77-1)*(2.15+(0.001*($CZ$77-1)))))*(1+((0.002085+((0.000043+(0.000001*($CZ$77*((($CZ$77-10)/10)*0.5))))*$CZ$77))*$DJ$77))-((0.0029*80)*$CV$65)</f>
        <v>94.309</v>
      </c>
      <c r="DZ82" s="153"/>
      <c r="EA82" s="154">
        <f>DY82/$DC$65</f>
        <v>21.805549132947977</v>
      </c>
      <c r="EB82" s="155"/>
      <c r="EC82" s="77"/>
    </row>
    <row r="83" spans="2:133" ht="13.5" thickBot="1">
      <c r="B83" s="38"/>
      <c r="C83" s="38"/>
      <c r="D83" s="38"/>
      <c r="E83" s="43" t="s">
        <v>35</v>
      </c>
      <c r="F83" s="44">
        <f>H13</f>
        <v>692</v>
      </c>
      <c r="G83" s="183" t="s">
        <v>147</v>
      </c>
      <c r="H83" s="183"/>
      <c r="I83" s="183"/>
      <c r="J83" s="183"/>
      <c r="K83" s="184"/>
      <c r="M83" s="57" t="s">
        <v>287</v>
      </c>
      <c r="N83" s="133">
        <v>0</v>
      </c>
      <c r="CS83" s="150"/>
      <c r="CT83" s="163"/>
      <c r="CU83" s="58">
        <f>CU82*1.35</f>
        <v>164.90115</v>
      </c>
      <c r="CV83" s="64">
        <f>CU83/$DC$65</f>
        <v>38.12743352601156</v>
      </c>
      <c r="CW83" s="65">
        <f>CU82*1.09</f>
        <v>133.14241</v>
      </c>
      <c r="CX83" s="66">
        <f>CW83/$DC$65</f>
        <v>30.784372254335263</v>
      </c>
      <c r="CY83" s="67"/>
      <c r="CZ83" s="68">
        <f>CZ82*1.35</f>
        <v>160.20315</v>
      </c>
      <c r="DA83" s="64">
        <f>CZ83/$DC$65</f>
        <v>37.041190751445086</v>
      </c>
      <c r="DB83" s="65">
        <f>CZ82*1.09</f>
        <v>129.34921</v>
      </c>
      <c r="DC83" s="66">
        <f>DB83/$DC$65</f>
        <v>29.907331791907513</v>
      </c>
      <c r="DD83" s="67"/>
      <c r="DE83" s="68">
        <f>DE82*1.35</f>
        <v>155.50515000000001</v>
      </c>
      <c r="DF83" s="64">
        <f>DE83/$DC$65</f>
        <v>35.954947976878614</v>
      </c>
      <c r="DG83" s="65">
        <f>DE82*1.09</f>
        <v>125.55601000000001</v>
      </c>
      <c r="DH83" s="66">
        <f>DG83/$DC$65</f>
        <v>29.03029132947977</v>
      </c>
      <c r="DI83" s="67"/>
      <c r="DJ83" s="68">
        <f>DJ82*1.35</f>
        <v>150.80715</v>
      </c>
      <c r="DK83" s="64">
        <f>DJ83/$DC$65</f>
        <v>34.86870520231214</v>
      </c>
      <c r="DL83" s="65">
        <f>DJ82*1.09</f>
        <v>121.76281000000002</v>
      </c>
      <c r="DM83" s="66">
        <f>DL83/$DC$65</f>
        <v>28.153250867052027</v>
      </c>
      <c r="DN83" s="67"/>
      <c r="DO83" s="68">
        <f>DO82*1.35</f>
        <v>146.10915</v>
      </c>
      <c r="DP83" s="64">
        <f>DO83/$DC$65</f>
        <v>33.78246242774566</v>
      </c>
      <c r="DQ83" s="65">
        <f>DO82*1.09</f>
        <v>117.96961</v>
      </c>
      <c r="DR83" s="66">
        <f>DQ83/$DC$65</f>
        <v>27.276210404624276</v>
      </c>
      <c r="DS83" s="67"/>
      <c r="DT83" s="68">
        <f>DT82*1.35</f>
        <v>136.71315</v>
      </c>
      <c r="DU83" s="64">
        <f>DT83/$DC$65</f>
        <v>31.60997687861272</v>
      </c>
      <c r="DV83" s="65">
        <f>DT82*1.09</f>
        <v>110.38321000000002</v>
      </c>
      <c r="DW83" s="66">
        <f>DV83/$DC$65</f>
        <v>25.52212947976879</v>
      </c>
      <c r="DX83" s="67"/>
      <c r="DY83" s="68">
        <f>DY82*1.35</f>
        <v>127.31715</v>
      </c>
      <c r="DZ83" s="64">
        <f>DY83/$DC$65</f>
        <v>29.437491329479766</v>
      </c>
      <c r="EA83" s="65">
        <f>DY82*1.09</f>
        <v>102.79681000000001</v>
      </c>
      <c r="EB83" s="66">
        <f>EA83/$DC$65</f>
        <v>23.768048554913296</v>
      </c>
      <c r="EC83" s="77"/>
    </row>
    <row r="84" spans="2:133" ht="13.5" thickBot="1">
      <c r="B84" s="38"/>
      <c r="C84" s="38"/>
      <c r="D84" s="38"/>
      <c r="E84" s="41" t="s">
        <v>36</v>
      </c>
      <c r="F84" s="42">
        <f>J13</f>
        <v>685</v>
      </c>
      <c r="G84" s="181" t="s">
        <v>147</v>
      </c>
      <c r="H84" s="181"/>
      <c r="I84" s="181"/>
      <c r="J84" s="181"/>
      <c r="K84" s="182"/>
      <c r="CS84" s="150"/>
      <c r="CT84" s="164"/>
      <c r="CU84" s="59">
        <f>CU82*1.05</f>
        <v>128.25645</v>
      </c>
      <c r="CV84" s="69">
        <f>CU84/$DC$65</f>
        <v>29.654670520231214</v>
      </c>
      <c r="CW84" s="70"/>
      <c r="CX84" s="71"/>
      <c r="CY84" s="67"/>
      <c r="CZ84" s="72">
        <f>CZ82*1.05</f>
        <v>124.60245</v>
      </c>
      <c r="DA84" s="69">
        <f>CZ84/$DC$65</f>
        <v>28.809815028901735</v>
      </c>
      <c r="DB84" s="70"/>
      <c r="DC84" s="71"/>
      <c r="DD84" s="67"/>
      <c r="DE84" s="72">
        <f>DE82*1.05</f>
        <v>120.94845000000001</v>
      </c>
      <c r="DF84" s="69">
        <f>DE84/$DC$65</f>
        <v>27.964959537572255</v>
      </c>
      <c r="DG84" s="70"/>
      <c r="DH84" s="71"/>
      <c r="DI84" s="67"/>
      <c r="DJ84" s="72">
        <f>DJ82*1.05</f>
        <v>117.29445000000001</v>
      </c>
      <c r="DK84" s="69">
        <f>DJ84/$DC$65</f>
        <v>27.120104046242776</v>
      </c>
      <c r="DL84" s="70"/>
      <c r="DM84" s="71"/>
      <c r="DN84" s="67"/>
      <c r="DO84" s="72">
        <f>DO82*1.05</f>
        <v>113.64045</v>
      </c>
      <c r="DP84" s="69">
        <f>DO84/$DC$65</f>
        <v>26.275248554913293</v>
      </c>
      <c r="DQ84" s="70"/>
      <c r="DR84" s="71"/>
      <c r="DS84" s="67"/>
      <c r="DT84" s="72">
        <f>DT82*1.05</f>
        <v>106.33245000000001</v>
      </c>
      <c r="DU84" s="69">
        <f>DT84/$DC$65</f>
        <v>24.585537572254335</v>
      </c>
      <c r="DV84" s="70"/>
      <c r="DW84" s="71"/>
      <c r="DX84" s="67"/>
      <c r="DY84" s="72">
        <f>DY82*1.05</f>
        <v>99.02445</v>
      </c>
      <c r="DZ84" s="69">
        <f>DY84/$DC$65</f>
        <v>22.895826589595377</v>
      </c>
      <c r="EA84" s="70"/>
      <c r="EB84" s="71"/>
      <c r="EC84" s="77"/>
    </row>
    <row r="85" spans="2:133" ht="13.5" thickBot="1">
      <c r="B85" s="38"/>
      <c r="C85" s="38"/>
      <c r="D85" s="38"/>
      <c r="E85" s="45" t="s">
        <v>8</v>
      </c>
      <c r="F85" s="46">
        <f>L13</f>
        <v>590</v>
      </c>
      <c r="G85" s="185" t="s">
        <v>147</v>
      </c>
      <c r="H85" s="185"/>
      <c r="I85" s="185"/>
      <c r="J85" s="185"/>
      <c r="K85" s="186"/>
      <c r="M85" s="140" t="s">
        <v>295</v>
      </c>
      <c r="N85" s="142"/>
      <c r="CS85" s="150"/>
      <c r="CT85" s="162" t="s">
        <v>190</v>
      </c>
      <c r="CU85" s="152">
        <f>CU82+$CV$66</f>
        <v>163.149</v>
      </c>
      <c r="CV85" s="153"/>
      <c r="CW85" s="154">
        <f>CU85/$DC$65</f>
        <v>37.72231213872832</v>
      </c>
      <c r="CX85" s="155"/>
      <c r="CY85" s="78"/>
      <c r="CZ85" s="152">
        <f>CZ82+$CV$66</f>
        <v>159.66899999999998</v>
      </c>
      <c r="DA85" s="153"/>
      <c r="DB85" s="154">
        <f>CZ85/$DC$65</f>
        <v>36.91768786127167</v>
      </c>
      <c r="DC85" s="155"/>
      <c r="DD85" s="78"/>
      <c r="DE85" s="152">
        <f>DE82+$CV$66</f>
        <v>156.18900000000002</v>
      </c>
      <c r="DF85" s="153"/>
      <c r="DG85" s="154">
        <f>DE85/$DC$65</f>
        <v>36.113063583815034</v>
      </c>
      <c r="DH85" s="155"/>
      <c r="DI85" s="78"/>
      <c r="DJ85" s="152">
        <f>DJ82+$CV$66</f>
        <v>152.709</v>
      </c>
      <c r="DK85" s="153"/>
      <c r="DL85" s="154">
        <f>DJ85/$DC$65</f>
        <v>35.30843930635838</v>
      </c>
      <c r="DM85" s="155"/>
      <c r="DN85" s="78"/>
      <c r="DO85" s="152">
        <f>DO82+$CV$66</f>
        <v>149.22899999999998</v>
      </c>
      <c r="DP85" s="153"/>
      <c r="DQ85" s="154">
        <f>DO85/$DC$65</f>
        <v>34.50381502890173</v>
      </c>
      <c r="DR85" s="155"/>
      <c r="DS85" s="78"/>
      <c r="DT85" s="152">
        <f>DT82+$CV$66</f>
        <v>142.269</v>
      </c>
      <c r="DU85" s="153"/>
      <c r="DV85" s="154">
        <f>DT85/$DC$65</f>
        <v>32.89456647398844</v>
      </c>
      <c r="DW85" s="155"/>
      <c r="DX85" s="78"/>
      <c r="DY85" s="152">
        <f>DY82+$CV$66</f>
        <v>135.309</v>
      </c>
      <c r="DZ85" s="153"/>
      <c r="EA85" s="154">
        <f>DY85/$DC$65</f>
        <v>31.285317919075144</v>
      </c>
      <c r="EB85" s="155"/>
      <c r="EC85" s="77"/>
    </row>
    <row r="86" spans="2:133" ht="13.5" thickBot="1">
      <c r="B86" s="173"/>
      <c r="C86" s="173"/>
      <c r="D86" s="173"/>
      <c r="M86" s="55" t="s">
        <v>286</v>
      </c>
      <c r="N86" s="132" t="s">
        <v>266</v>
      </c>
      <c r="CS86" s="150"/>
      <c r="CT86" s="163"/>
      <c r="CU86" s="68">
        <f>CU85*1.35</f>
        <v>220.25115000000002</v>
      </c>
      <c r="CV86" s="64">
        <f>CU86/$DC$65</f>
        <v>50.92512138728324</v>
      </c>
      <c r="CW86" s="65">
        <f>CU85*1.09</f>
        <v>177.83241</v>
      </c>
      <c r="CX86" s="66">
        <f>CW86/$DC$65</f>
        <v>41.117320231213874</v>
      </c>
      <c r="CY86" s="79"/>
      <c r="CZ86" s="68">
        <f>CZ85*1.35</f>
        <v>215.55315</v>
      </c>
      <c r="DA86" s="64">
        <f>CZ86/$DC$65</f>
        <v>49.838878612716755</v>
      </c>
      <c r="DB86" s="65">
        <f>CZ85*1.09</f>
        <v>174.03921</v>
      </c>
      <c r="DC86" s="66">
        <f>DB86/$DC$65</f>
        <v>40.240279768786124</v>
      </c>
      <c r="DD86" s="79"/>
      <c r="DE86" s="68">
        <f>DE85*1.35</f>
        <v>210.85515000000004</v>
      </c>
      <c r="DF86" s="64">
        <f>DE86/$DC$65</f>
        <v>48.7526358381503</v>
      </c>
      <c r="DG86" s="65">
        <f>DE85*1.09</f>
        <v>170.24601000000004</v>
      </c>
      <c r="DH86" s="66">
        <f>DG86/$DC$65</f>
        <v>39.36323930635839</v>
      </c>
      <c r="DI86" s="79"/>
      <c r="DJ86" s="68">
        <f>DJ85*1.35</f>
        <v>206.15715000000003</v>
      </c>
      <c r="DK86" s="64">
        <f>DJ86/$DC$65</f>
        <v>47.66639306358382</v>
      </c>
      <c r="DL86" s="65">
        <f>DJ85*1.09</f>
        <v>166.45281000000003</v>
      </c>
      <c r="DM86" s="66">
        <f>DL86/$DC$65</f>
        <v>38.48619884393064</v>
      </c>
      <c r="DN86" s="79"/>
      <c r="DO86" s="68">
        <f>DO85*1.35</f>
        <v>201.45915</v>
      </c>
      <c r="DP86" s="64">
        <f>DO86/$DC$65</f>
        <v>46.58015028901734</v>
      </c>
      <c r="DQ86" s="65">
        <f>DO85*1.09</f>
        <v>162.65961</v>
      </c>
      <c r="DR86" s="66">
        <f>DQ86/$DC$65</f>
        <v>37.60915838150289</v>
      </c>
      <c r="DS86" s="79"/>
      <c r="DT86" s="68">
        <f>DT85*1.35</f>
        <v>192.06315</v>
      </c>
      <c r="DU86" s="64">
        <f>DT86/$DC$65</f>
        <v>44.407664739884396</v>
      </c>
      <c r="DV86" s="65">
        <f>DT85*1.09</f>
        <v>155.07321000000002</v>
      </c>
      <c r="DW86" s="66">
        <f>DV86/$DC$65</f>
        <v>35.8550774566474</v>
      </c>
      <c r="DX86" s="79"/>
      <c r="DY86" s="68">
        <f>DY85*1.35</f>
        <v>182.66715000000002</v>
      </c>
      <c r="DZ86" s="64">
        <f>DY86/$DC$65</f>
        <v>42.235179190751445</v>
      </c>
      <c r="EA86" s="65">
        <f>DY85*1.09</f>
        <v>147.48681000000002</v>
      </c>
      <c r="EB86" s="66">
        <f>EA86/$DC$65</f>
        <v>34.100996531791914</v>
      </c>
      <c r="EC86" s="77"/>
    </row>
    <row r="87" spans="2:133" ht="13.5" thickBot="1">
      <c r="B87" s="177" t="s">
        <v>0</v>
      </c>
      <c r="C87" s="178"/>
      <c r="D87" s="30">
        <v>2</v>
      </c>
      <c r="E87" s="39" t="s">
        <v>3</v>
      </c>
      <c r="F87" s="40">
        <f>D14</f>
        <v>460.5</v>
      </c>
      <c r="G87" s="179" t="s">
        <v>147</v>
      </c>
      <c r="H87" s="179"/>
      <c r="I87" s="179"/>
      <c r="J87" s="179"/>
      <c r="K87" s="180"/>
      <c r="M87" s="57" t="s">
        <v>287</v>
      </c>
      <c r="N87" s="133">
        <v>0</v>
      </c>
      <c r="CS87" s="150"/>
      <c r="CT87" s="164"/>
      <c r="CU87" s="72">
        <f>CU85*1.05</f>
        <v>171.30645</v>
      </c>
      <c r="CV87" s="69">
        <f>CU87/$DC$65</f>
        <v>39.60842774566474</v>
      </c>
      <c r="CW87" s="70"/>
      <c r="CX87" s="71"/>
      <c r="CY87" s="79"/>
      <c r="CZ87" s="72">
        <f>CZ85*1.05</f>
        <v>167.65245</v>
      </c>
      <c r="DA87" s="69">
        <f>CZ87/$DC$65</f>
        <v>38.76357225433526</v>
      </c>
      <c r="DB87" s="70"/>
      <c r="DC87" s="71"/>
      <c r="DD87" s="79"/>
      <c r="DE87" s="72">
        <f>DE85*1.05</f>
        <v>163.99845000000002</v>
      </c>
      <c r="DF87" s="69">
        <f>DE87/$DC$65</f>
        <v>37.91871676300578</v>
      </c>
      <c r="DG87" s="70"/>
      <c r="DH87" s="71"/>
      <c r="DI87" s="79"/>
      <c r="DJ87" s="72">
        <f>DJ85*1.05</f>
        <v>160.34445000000002</v>
      </c>
      <c r="DK87" s="69">
        <f>DJ87/$DC$65</f>
        <v>37.07386127167631</v>
      </c>
      <c r="DL87" s="70"/>
      <c r="DM87" s="71"/>
      <c r="DN87" s="79"/>
      <c r="DO87" s="72">
        <f>DO85*1.05</f>
        <v>156.69045</v>
      </c>
      <c r="DP87" s="69">
        <f>DO87/$DC$65</f>
        <v>36.22900578034682</v>
      </c>
      <c r="DQ87" s="70"/>
      <c r="DR87" s="71"/>
      <c r="DS87" s="79"/>
      <c r="DT87" s="72">
        <f>DT85*1.05</f>
        <v>149.38245</v>
      </c>
      <c r="DU87" s="69">
        <f>DT87/$DC$65</f>
        <v>34.53929479768786</v>
      </c>
      <c r="DV87" s="70"/>
      <c r="DW87" s="71"/>
      <c r="DX87" s="79"/>
      <c r="DY87" s="72">
        <f>DY85*1.05</f>
        <v>142.07445</v>
      </c>
      <c r="DZ87" s="69">
        <f>DY87/$DC$65</f>
        <v>32.8495838150289</v>
      </c>
      <c r="EA87" s="70"/>
      <c r="EB87" s="71"/>
      <c r="EC87" s="77"/>
    </row>
    <row r="88" spans="2:133" ht="13.5" thickBot="1">
      <c r="B88" s="38"/>
      <c r="C88" s="38"/>
      <c r="D88" s="38"/>
      <c r="E88" s="41" t="s">
        <v>5</v>
      </c>
      <c r="F88" s="42">
        <f>F14</f>
        <v>908.5</v>
      </c>
      <c r="G88" s="181" t="s">
        <v>147</v>
      </c>
      <c r="H88" s="181"/>
      <c r="I88" s="181"/>
      <c r="J88" s="181"/>
      <c r="K88" s="182"/>
      <c r="N88" s="131">
        <f>N87-N83</f>
        <v>0</v>
      </c>
      <c r="CS88" s="150"/>
      <c r="CT88" s="162" t="s">
        <v>192</v>
      </c>
      <c r="CU88" s="152">
        <f>CU85+$CV$66</f>
        <v>204.149</v>
      </c>
      <c r="CV88" s="153"/>
      <c r="CW88" s="154">
        <f>CU88/$DC$65</f>
        <v>47.20208092485549</v>
      </c>
      <c r="CX88" s="155"/>
      <c r="CY88" s="78"/>
      <c r="CZ88" s="152">
        <f>CZ85+$CV$66</f>
        <v>200.66899999999998</v>
      </c>
      <c r="DA88" s="153"/>
      <c r="DB88" s="154">
        <f>CZ88/$DC$65</f>
        <v>46.39745664739884</v>
      </c>
      <c r="DC88" s="155"/>
      <c r="DD88" s="78"/>
      <c r="DE88" s="152">
        <f>DE85+$CV$66</f>
        <v>197.18900000000002</v>
      </c>
      <c r="DF88" s="153"/>
      <c r="DG88" s="154">
        <f>DE88/$DC$65</f>
        <v>45.5928323699422</v>
      </c>
      <c r="DH88" s="155"/>
      <c r="DI88" s="78"/>
      <c r="DJ88" s="152">
        <f>DJ85+$CV$66</f>
        <v>193.709</v>
      </c>
      <c r="DK88" s="153"/>
      <c r="DL88" s="154">
        <f>DJ88/$DC$65</f>
        <v>44.78820809248555</v>
      </c>
      <c r="DM88" s="155"/>
      <c r="DN88" s="78"/>
      <c r="DO88" s="152">
        <f>DO85+$CV$66</f>
        <v>190.22899999999998</v>
      </c>
      <c r="DP88" s="153"/>
      <c r="DQ88" s="154">
        <f>DO88/$DC$65</f>
        <v>43.983583815028894</v>
      </c>
      <c r="DR88" s="155"/>
      <c r="DS88" s="78"/>
      <c r="DT88" s="152">
        <f>DT85+$CV$66</f>
        <v>183.269</v>
      </c>
      <c r="DU88" s="153"/>
      <c r="DV88" s="154">
        <f>DT88/$DC$65</f>
        <v>42.37433526011561</v>
      </c>
      <c r="DW88" s="155"/>
      <c r="DX88" s="78"/>
      <c r="DY88" s="152">
        <f>DY85+$CV$66</f>
        <v>176.309</v>
      </c>
      <c r="DZ88" s="153"/>
      <c r="EA88" s="154">
        <f>DY88/$DC$65</f>
        <v>40.76508670520231</v>
      </c>
      <c r="EB88" s="155"/>
      <c r="EC88" s="77"/>
    </row>
    <row r="89" spans="2:133" ht="12.75">
      <c r="B89" s="38"/>
      <c r="C89" s="38"/>
      <c r="D89" s="38"/>
      <c r="E89" s="43" t="s">
        <v>35</v>
      </c>
      <c r="F89" s="44">
        <f>H14</f>
        <v>759.5</v>
      </c>
      <c r="G89" s="183" t="s">
        <v>147</v>
      </c>
      <c r="H89" s="183"/>
      <c r="I89" s="183"/>
      <c r="J89" s="183"/>
      <c r="K89" s="184"/>
      <c r="M89" s="140" t="s">
        <v>288</v>
      </c>
      <c r="N89" s="142"/>
      <c r="CS89" s="150"/>
      <c r="CT89" s="163"/>
      <c r="CU89" s="68">
        <f>CU88*1.35</f>
        <v>275.60115</v>
      </c>
      <c r="CV89" s="64">
        <f>CU89/$DC$65</f>
        <v>63.72280924855492</v>
      </c>
      <c r="CW89" s="65">
        <f>CU88*1.09</f>
        <v>222.52241</v>
      </c>
      <c r="CX89" s="66">
        <f>CW89/$DC$65</f>
        <v>51.45026820809249</v>
      </c>
      <c r="CY89" s="79"/>
      <c r="CZ89" s="68">
        <f>CZ88*1.35</f>
        <v>270.90315</v>
      </c>
      <c r="DA89" s="64">
        <f>CZ89/$DC$65</f>
        <v>62.63656647398843</v>
      </c>
      <c r="DB89" s="65">
        <f>CZ88*1.09</f>
        <v>218.72921</v>
      </c>
      <c r="DC89" s="66">
        <f>DB89/$DC$65</f>
        <v>50.57322774566474</v>
      </c>
      <c r="DD89" s="79"/>
      <c r="DE89" s="68">
        <f>DE88*1.35</f>
        <v>266.20515000000006</v>
      </c>
      <c r="DF89" s="64">
        <f>DE89/$DC$65</f>
        <v>61.55032369942197</v>
      </c>
      <c r="DG89" s="65">
        <f>DE88*1.09</f>
        <v>214.93601000000004</v>
      </c>
      <c r="DH89" s="66">
        <f>DG89/$DC$65</f>
        <v>49.696187283237</v>
      </c>
      <c r="DI89" s="79"/>
      <c r="DJ89" s="68">
        <f>DJ88*1.35</f>
        <v>261.50715</v>
      </c>
      <c r="DK89" s="64">
        <f>DJ89/$DC$65</f>
        <v>60.464080924855494</v>
      </c>
      <c r="DL89" s="65">
        <f>DJ88*1.09</f>
        <v>211.14281000000003</v>
      </c>
      <c r="DM89" s="66">
        <f>DL89/$DC$65</f>
        <v>48.81914682080925</v>
      </c>
      <c r="DN89" s="79"/>
      <c r="DO89" s="68">
        <f>DO88*1.35</f>
        <v>256.80915</v>
      </c>
      <c r="DP89" s="64">
        <f>DO89/$DC$65</f>
        <v>59.377838150289016</v>
      </c>
      <c r="DQ89" s="65">
        <f>DO88*1.09</f>
        <v>207.34961</v>
      </c>
      <c r="DR89" s="66">
        <f>DQ89/$DC$65</f>
        <v>47.9421063583815</v>
      </c>
      <c r="DS89" s="79"/>
      <c r="DT89" s="68">
        <f>DT88*1.35</f>
        <v>247.41315000000003</v>
      </c>
      <c r="DU89" s="64">
        <f>DT89/$DC$65</f>
        <v>57.20535260115607</v>
      </c>
      <c r="DV89" s="65">
        <f>DT88*1.09</f>
        <v>199.76321000000002</v>
      </c>
      <c r="DW89" s="66">
        <f>DV89/$DC$65</f>
        <v>46.188025433526015</v>
      </c>
      <c r="DX89" s="79"/>
      <c r="DY89" s="68">
        <f>DY88*1.35</f>
        <v>238.01715000000002</v>
      </c>
      <c r="DZ89" s="64">
        <f>DY89/$DC$65</f>
        <v>55.03286705202312</v>
      </c>
      <c r="EA89" s="65">
        <f>DY88*1.09</f>
        <v>192.17681000000002</v>
      </c>
      <c r="EB89" s="66">
        <f>EA89/$DC$65</f>
        <v>44.43394450867052</v>
      </c>
      <c r="EC89" s="77"/>
    </row>
    <row r="90" spans="2:133" ht="13.5" thickBot="1">
      <c r="B90" s="38"/>
      <c r="C90" s="38"/>
      <c r="D90" s="38"/>
      <c r="E90" s="41" t="s">
        <v>36</v>
      </c>
      <c r="F90" s="42">
        <f>J14</f>
        <v>752.5</v>
      </c>
      <c r="G90" s="181" t="s">
        <v>147</v>
      </c>
      <c r="H90" s="181"/>
      <c r="I90" s="181"/>
      <c r="J90" s="181"/>
      <c r="K90" s="182"/>
      <c r="M90" s="55" t="s">
        <v>286</v>
      </c>
      <c r="N90" s="132" t="s">
        <v>266</v>
      </c>
      <c r="CS90" s="150"/>
      <c r="CT90" s="164"/>
      <c r="CU90" s="72">
        <f>CU88*1.05</f>
        <v>214.35645000000002</v>
      </c>
      <c r="CV90" s="69">
        <f>CU90/$DC$65</f>
        <v>49.56218497109827</v>
      </c>
      <c r="CW90" s="70"/>
      <c r="CX90" s="71"/>
      <c r="CY90" s="79"/>
      <c r="CZ90" s="72">
        <f>CZ88*1.05</f>
        <v>210.70245</v>
      </c>
      <c r="DA90" s="69">
        <f>CZ90/$DC$65</f>
        <v>48.717329479768786</v>
      </c>
      <c r="DB90" s="70"/>
      <c r="DC90" s="71"/>
      <c r="DD90" s="79"/>
      <c r="DE90" s="72">
        <f>DE88*1.05</f>
        <v>207.04845000000003</v>
      </c>
      <c r="DF90" s="69">
        <f>DE90/$DC$65</f>
        <v>47.87247398843931</v>
      </c>
      <c r="DG90" s="70"/>
      <c r="DH90" s="71"/>
      <c r="DI90" s="79"/>
      <c r="DJ90" s="72">
        <f>DJ88*1.05</f>
        <v>203.39445</v>
      </c>
      <c r="DK90" s="69">
        <f>DJ90/$DC$65</f>
        <v>47.02761849710983</v>
      </c>
      <c r="DL90" s="70"/>
      <c r="DM90" s="71"/>
      <c r="DN90" s="79"/>
      <c r="DO90" s="72">
        <f>DO88*1.05</f>
        <v>199.74044999999998</v>
      </c>
      <c r="DP90" s="69">
        <f>DO90/$DC$65</f>
        <v>46.18276300578034</v>
      </c>
      <c r="DQ90" s="70"/>
      <c r="DR90" s="71"/>
      <c r="DS90" s="79"/>
      <c r="DT90" s="72">
        <f>DT88*1.05</f>
        <v>192.43245000000002</v>
      </c>
      <c r="DU90" s="69">
        <f>DT90/$DC$65</f>
        <v>44.493052023121386</v>
      </c>
      <c r="DV90" s="70"/>
      <c r="DW90" s="71"/>
      <c r="DX90" s="79"/>
      <c r="DY90" s="72">
        <f>DY88*1.05</f>
        <v>185.12445</v>
      </c>
      <c r="DZ90" s="69">
        <f>DY90/$DC$65</f>
        <v>42.80334104046243</v>
      </c>
      <c r="EA90" s="70"/>
      <c r="EB90" s="71"/>
      <c r="EC90" s="77"/>
    </row>
    <row r="91" spans="2:133" ht="13.5" thickBot="1">
      <c r="B91" s="38"/>
      <c r="C91" s="38"/>
      <c r="D91" s="38"/>
      <c r="E91" s="45" t="s">
        <v>8</v>
      </c>
      <c r="F91" s="46">
        <f>L14</f>
        <v>657.5</v>
      </c>
      <c r="G91" s="185" t="s">
        <v>147</v>
      </c>
      <c r="H91" s="185"/>
      <c r="I91" s="185"/>
      <c r="J91" s="185"/>
      <c r="K91" s="186"/>
      <c r="M91" s="57" t="s">
        <v>289</v>
      </c>
      <c r="N91" s="133">
        <v>0</v>
      </c>
      <c r="CS91" s="150"/>
      <c r="CT91" s="162" t="s">
        <v>193</v>
      </c>
      <c r="CU91" s="152">
        <f>CU88+$CV$66</f>
        <v>245.149</v>
      </c>
      <c r="CV91" s="153"/>
      <c r="CW91" s="154">
        <f>CU91/$DC$65</f>
        <v>56.681849710982654</v>
      </c>
      <c r="CX91" s="155"/>
      <c r="CY91" s="78"/>
      <c r="CZ91" s="152">
        <f>CZ88+$CV$66</f>
        <v>241.66899999999998</v>
      </c>
      <c r="DA91" s="153"/>
      <c r="DB91" s="154">
        <f>CZ91/$DC$65</f>
        <v>55.87722543352601</v>
      </c>
      <c r="DC91" s="155"/>
      <c r="DD91" s="78"/>
      <c r="DE91" s="152">
        <f>DE88+$CV$66</f>
        <v>238.18900000000002</v>
      </c>
      <c r="DF91" s="153"/>
      <c r="DG91" s="154">
        <f>DE91/$DC$65</f>
        <v>55.07260115606937</v>
      </c>
      <c r="DH91" s="155"/>
      <c r="DI91" s="78"/>
      <c r="DJ91" s="152">
        <f>DJ88+$CV$66</f>
        <v>234.709</v>
      </c>
      <c r="DK91" s="153"/>
      <c r="DL91" s="154">
        <f>DJ91/$DC$65</f>
        <v>54.267976878612714</v>
      </c>
      <c r="DM91" s="155"/>
      <c r="DN91" s="78"/>
      <c r="DO91" s="152">
        <f>DO88+$CV$66</f>
        <v>231.22899999999998</v>
      </c>
      <c r="DP91" s="153"/>
      <c r="DQ91" s="154">
        <f>DO91/$DC$65</f>
        <v>53.46335260115606</v>
      </c>
      <c r="DR91" s="155"/>
      <c r="DS91" s="78"/>
      <c r="DT91" s="152">
        <f>DT88+$CV$66</f>
        <v>224.269</v>
      </c>
      <c r="DU91" s="153"/>
      <c r="DV91" s="154">
        <f>DT91/$DC$65</f>
        <v>51.854104046242774</v>
      </c>
      <c r="DW91" s="155"/>
      <c r="DX91" s="78"/>
      <c r="DY91" s="152">
        <f>DY88+$CV$66</f>
        <v>217.309</v>
      </c>
      <c r="DZ91" s="153"/>
      <c r="EA91" s="154">
        <f>DY91/$DC$65</f>
        <v>50.244855491329474</v>
      </c>
      <c r="EB91" s="155"/>
      <c r="EC91" s="77"/>
    </row>
    <row r="92" spans="14:133" ht="13.5" thickBot="1">
      <c r="N92" s="131">
        <f>N91-N83</f>
        <v>0</v>
      </c>
      <c r="CS92" s="150"/>
      <c r="CT92" s="163"/>
      <c r="CU92" s="68">
        <f>CU91*1.35</f>
        <v>330.95115000000004</v>
      </c>
      <c r="CV92" s="64">
        <f>CU92/$DC$65</f>
        <v>76.5204971098266</v>
      </c>
      <c r="CW92" s="65">
        <f>CU91*1.09</f>
        <v>267.21241000000003</v>
      </c>
      <c r="CX92" s="66">
        <f>CW92/$DC$65</f>
        <v>61.7832161849711</v>
      </c>
      <c r="CY92" s="79"/>
      <c r="CZ92" s="68">
        <f>CZ91*1.35</f>
        <v>326.25315</v>
      </c>
      <c r="DA92" s="64">
        <f>CZ92/$DC$65</f>
        <v>75.4342543352601</v>
      </c>
      <c r="DB92" s="65">
        <f>CZ91*1.09</f>
        <v>263.41921</v>
      </c>
      <c r="DC92" s="66">
        <f>DB92/$DC$65</f>
        <v>60.90617572254335</v>
      </c>
      <c r="DD92" s="79"/>
      <c r="DE92" s="68">
        <f>DE91*1.35</f>
        <v>321.55515</v>
      </c>
      <c r="DF92" s="64">
        <f>DE92/$DC$65</f>
        <v>74.34801156069365</v>
      </c>
      <c r="DG92" s="65">
        <f>DE91*1.09</f>
        <v>259.62601000000006</v>
      </c>
      <c r="DH92" s="66">
        <f>DG92/$DC$65</f>
        <v>60.029135260115616</v>
      </c>
      <c r="DI92" s="79"/>
      <c r="DJ92" s="68">
        <f>DJ91*1.35</f>
        <v>316.85715000000005</v>
      </c>
      <c r="DK92" s="64">
        <f>DJ92/$DC$65</f>
        <v>73.26176878612718</v>
      </c>
      <c r="DL92" s="65">
        <f>DJ91*1.09</f>
        <v>255.83281000000002</v>
      </c>
      <c r="DM92" s="66">
        <f>DL92/$DC$65</f>
        <v>59.152094797687866</v>
      </c>
      <c r="DN92" s="79"/>
      <c r="DO92" s="68">
        <f>DO91*1.35</f>
        <v>312.15915</v>
      </c>
      <c r="DP92" s="64">
        <f>DO92/$DC$65</f>
        <v>72.17552601156069</v>
      </c>
      <c r="DQ92" s="65">
        <f>DO91*1.09</f>
        <v>252.03961</v>
      </c>
      <c r="DR92" s="66">
        <f>DQ92/$DC$65</f>
        <v>58.275054335260116</v>
      </c>
      <c r="DS92" s="79"/>
      <c r="DT92" s="68">
        <f>DT91*1.35</f>
        <v>302.76315000000005</v>
      </c>
      <c r="DU92" s="64">
        <f>DT92/$DC$65</f>
        <v>70.00304046242775</v>
      </c>
      <c r="DV92" s="65">
        <f>DT91*1.09</f>
        <v>244.45321</v>
      </c>
      <c r="DW92" s="66">
        <f>DV92/$DC$65</f>
        <v>56.52097341040462</v>
      </c>
      <c r="DX92" s="79"/>
      <c r="DY92" s="68">
        <f>DY91*1.35</f>
        <v>293.36715000000004</v>
      </c>
      <c r="DZ92" s="64">
        <f>DY92/$DC$65</f>
        <v>67.8305549132948</v>
      </c>
      <c r="EA92" s="65">
        <f>DY91*1.09</f>
        <v>236.86681000000002</v>
      </c>
      <c r="EB92" s="66">
        <f>EA92/$DC$65</f>
        <v>54.766892485549135</v>
      </c>
      <c r="EC92" s="77"/>
    </row>
    <row r="93" spans="2:133" ht="13.5" thickBot="1">
      <c r="B93" s="177" t="s">
        <v>0</v>
      </c>
      <c r="C93" s="178"/>
      <c r="D93" s="30">
        <v>3</v>
      </c>
      <c r="E93" s="39" t="s">
        <v>3</v>
      </c>
      <c r="F93" s="40">
        <f>D15</f>
        <v>494.25</v>
      </c>
      <c r="G93" s="179" t="s">
        <v>147</v>
      </c>
      <c r="H93" s="179"/>
      <c r="I93" s="179"/>
      <c r="J93" s="179"/>
      <c r="K93" s="180"/>
      <c r="CS93" s="150"/>
      <c r="CT93" s="164"/>
      <c r="CU93" s="72">
        <f>CU91*1.05</f>
        <v>257.40645</v>
      </c>
      <c r="CV93" s="69">
        <f>CU93/$DC$65</f>
        <v>59.51594219653179</v>
      </c>
      <c r="CW93" s="70"/>
      <c r="CX93" s="71"/>
      <c r="CY93" s="79"/>
      <c r="CZ93" s="72">
        <f>CZ91*1.05</f>
        <v>253.75244999999998</v>
      </c>
      <c r="DA93" s="69">
        <f>CZ93/$DC$65</f>
        <v>58.671086705202306</v>
      </c>
      <c r="DB93" s="70"/>
      <c r="DC93" s="71"/>
      <c r="DD93" s="79"/>
      <c r="DE93" s="72">
        <f>DE91*1.05</f>
        <v>250.09845000000004</v>
      </c>
      <c r="DF93" s="69">
        <f>DE93/$DC$65</f>
        <v>57.82623121387284</v>
      </c>
      <c r="DG93" s="70"/>
      <c r="DH93" s="71"/>
      <c r="DI93" s="79"/>
      <c r="DJ93" s="72">
        <f>DJ91*1.05</f>
        <v>246.44445000000002</v>
      </c>
      <c r="DK93" s="69">
        <f>DJ93/$DC$65</f>
        <v>56.981375722543355</v>
      </c>
      <c r="DL93" s="70"/>
      <c r="DM93" s="71"/>
      <c r="DN93" s="79"/>
      <c r="DO93" s="72">
        <f>DO91*1.05</f>
        <v>242.79045</v>
      </c>
      <c r="DP93" s="69">
        <f>DO93/$DC$65</f>
        <v>56.13652023121387</v>
      </c>
      <c r="DQ93" s="70"/>
      <c r="DR93" s="71"/>
      <c r="DS93" s="79"/>
      <c r="DT93" s="72">
        <f>DT91*1.05</f>
        <v>235.48245000000003</v>
      </c>
      <c r="DU93" s="69">
        <f>DT93/$DC$65</f>
        <v>54.44680924855492</v>
      </c>
      <c r="DV93" s="70"/>
      <c r="DW93" s="71"/>
      <c r="DX93" s="79"/>
      <c r="DY93" s="72">
        <f>DY91*1.05</f>
        <v>228.17445</v>
      </c>
      <c r="DZ93" s="69">
        <f>DY93/$DC$65</f>
        <v>52.757098265895955</v>
      </c>
      <c r="EA93" s="70"/>
      <c r="EB93" s="71"/>
      <c r="EC93" s="77"/>
    </row>
    <row r="94" spans="2:133" ht="13.5" thickBot="1">
      <c r="B94" s="38"/>
      <c r="C94" s="38"/>
      <c r="D94" s="38"/>
      <c r="E94" s="41" t="s">
        <v>5</v>
      </c>
      <c r="F94" s="42">
        <f>F15</f>
        <v>942.25</v>
      </c>
      <c r="G94" s="181" t="s">
        <v>147</v>
      </c>
      <c r="H94" s="181"/>
      <c r="I94" s="181"/>
      <c r="J94" s="181"/>
      <c r="K94" s="182"/>
      <c r="CS94" s="150"/>
      <c r="CT94" s="162" t="s">
        <v>194</v>
      </c>
      <c r="CU94" s="152">
        <f>CU91+$CV$66-5</f>
        <v>281.149</v>
      </c>
      <c r="CV94" s="153"/>
      <c r="CW94" s="154">
        <f>CU94/$DC$65</f>
        <v>65.00554913294798</v>
      </c>
      <c r="CX94" s="155"/>
      <c r="CY94" s="78"/>
      <c r="CZ94" s="152">
        <f>CZ91+$CV$66-5</f>
        <v>277.669</v>
      </c>
      <c r="DA94" s="153"/>
      <c r="DB94" s="154">
        <f>CZ94/$DC$65</f>
        <v>64.20092485549132</v>
      </c>
      <c r="DC94" s="155"/>
      <c r="DD94" s="78"/>
      <c r="DE94" s="152">
        <f>DE91+$CV$66-5</f>
        <v>274.189</v>
      </c>
      <c r="DF94" s="153"/>
      <c r="DG94" s="154">
        <f>DE94/$DC$65</f>
        <v>63.39630057803468</v>
      </c>
      <c r="DH94" s="155"/>
      <c r="DI94" s="78"/>
      <c r="DJ94" s="152">
        <f>DJ91+$CV$66-5</f>
        <v>270.709</v>
      </c>
      <c r="DK94" s="153"/>
      <c r="DL94" s="154">
        <f>DJ94/$DC$65</f>
        <v>62.59167630057803</v>
      </c>
      <c r="DM94" s="155"/>
      <c r="DN94" s="78"/>
      <c r="DO94" s="152">
        <f>DO91+$CV$66-5</f>
        <v>267.229</v>
      </c>
      <c r="DP94" s="153"/>
      <c r="DQ94" s="154">
        <f>DO94/$DC$65</f>
        <v>61.78705202312138</v>
      </c>
      <c r="DR94" s="155"/>
      <c r="DS94" s="78"/>
      <c r="DT94" s="152">
        <f>DT91+$CV$66-5</f>
        <v>260.269</v>
      </c>
      <c r="DU94" s="153"/>
      <c r="DV94" s="154">
        <f>DT94/$DC$65</f>
        <v>60.17780346820809</v>
      </c>
      <c r="DW94" s="155"/>
      <c r="DX94" s="78"/>
      <c r="DY94" s="152">
        <f>DY91+$CV$66-5</f>
        <v>253.30899999999997</v>
      </c>
      <c r="DZ94" s="153"/>
      <c r="EA94" s="154">
        <f>DY94/$DC$65</f>
        <v>58.56855491329479</v>
      </c>
      <c r="EB94" s="155"/>
      <c r="EC94" s="77"/>
    </row>
    <row r="95" spans="2:133" ht="12.75">
      <c r="B95" s="38"/>
      <c r="C95" s="38"/>
      <c r="D95" s="38"/>
      <c r="E95" s="43" t="s">
        <v>35</v>
      </c>
      <c r="F95" s="44">
        <f>H15</f>
        <v>793.25</v>
      </c>
      <c r="G95" s="183" t="s">
        <v>147</v>
      </c>
      <c r="H95" s="183"/>
      <c r="I95" s="183"/>
      <c r="J95" s="183"/>
      <c r="K95" s="184"/>
      <c r="CS95" s="150"/>
      <c r="CT95" s="163"/>
      <c r="CU95" s="68">
        <f>CU94*1.35</f>
        <v>379.55115</v>
      </c>
      <c r="CV95" s="64">
        <f>CU95/$DC$65</f>
        <v>87.75749132947976</v>
      </c>
      <c r="CW95" s="65">
        <f>CU94*1.09</f>
        <v>306.45241000000004</v>
      </c>
      <c r="CX95" s="66">
        <f>CW95/$DC$65</f>
        <v>70.8560485549133</v>
      </c>
      <c r="CY95" s="79"/>
      <c r="CZ95" s="68">
        <f>CZ94*1.35</f>
        <v>374.85315</v>
      </c>
      <c r="DA95" s="64">
        <f>CZ95/$DC$65</f>
        <v>86.67124855491329</v>
      </c>
      <c r="DB95" s="65">
        <f>CZ94*1.09</f>
        <v>302.65921000000003</v>
      </c>
      <c r="DC95" s="66">
        <f>DB95/$DC$65</f>
        <v>69.97900809248556</v>
      </c>
      <c r="DD95" s="79"/>
      <c r="DE95" s="68">
        <f>DE94*1.35</f>
        <v>370.15515000000005</v>
      </c>
      <c r="DF95" s="64">
        <f>DE95/$DC$65</f>
        <v>85.58500578034683</v>
      </c>
      <c r="DG95" s="65">
        <f>DE94*1.09</f>
        <v>298.86601</v>
      </c>
      <c r="DH95" s="66">
        <f>DG95/$DC$65</f>
        <v>69.1019676300578</v>
      </c>
      <c r="DI95" s="79"/>
      <c r="DJ95" s="68">
        <f>DJ94*1.35</f>
        <v>365.45715</v>
      </c>
      <c r="DK95" s="64">
        <f>DJ95/$DC$65</f>
        <v>84.49876300578035</v>
      </c>
      <c r="DL95" s="65">
        <f>DJ94*1.09</f>
        <v>295.07281</v>
      </c>
      <c r="DM95" s="66">
        <f>DL95/$DC$65</f>
        <v>68.22492716763006</v>
      </c>
      <c r="DN95" s="79"/>
      <c r="DO95" s="68">
        <f>DO94*1.35</f>
        <v>360.75915</v>
      </c>
      <c r="DP95" s="64">
        <f>DO95/$DC$65</f>
        <v>83.41252023121386</v>
      </c>
      <c r="DQ95" s="65">
        <f>DO94*1.09</f>
        <v>291.27961</v>
      </c>
      <c r="DR95" s="66">
        <f>DQ95/$DC$65</f>
        <v>67.34788670520231</v>
      </c>
      <c r="DS95" s="79"/>
      <c r="DT95" s="68">
        <f>DT94*1.35</f>
        <v>351.36315</v>
      </c>
      <c r="DU95" s="64">
        <f>DT95/$DC$65</f>
        <v>81.24003468208093</v>
      </c>
      <c r="DV95" s="65">
        <f>DT94*1.09</f>
        <v>283.69321</v>
      </c>
      <c r="DW95" s="66">
        <f>DV95/$DC$65</f>
        <v>65.59380578034683</v>
      </c>
      <c r="DX95" s="79"/>
      <c r="DY95" s="68">
        <f>DY94*1.35</f>
        <v>341.96715</v>
      </c>
      <c r="DZ95" s="64">
        <f>DY95/$DC$65</f>
        <v>79.06754913294797</v>
      </c>
      <c r="EA95" s="65">
        <f>DY94*1.09</f>
        <v>276.10681</v>
      </c>
      <c r="EB95" s="66">
        <f>EA95/$DC$65</f>
        <v>63.839724855491326</v>
      </c>
      <c r="EC95" s="77"/>
    </row>
    <row r="96" spans="2:133" ht="13.5" thickBot="1">
      <c r="B96" s="38"/>
      <c r="C96" s="38"/>
      <c r="D96" s="38"/>
      <c r="E96" s="41" t="s">
        <v>36</v>
      </c>
      <c r="F96" s="42">
        <f>J15</f>
        <v>786.25</v>
      </c>
      <c r="G96" s="181" t="s">
        <v>147</v>
      </c>
      <c r="H96" s="181"/>
      <c r="I96" s="181"/>
      <c r="J96" s="181"/>
      <c r="K96" s="182"/>
      <c r="CS96" s="150"/>
      <c r="CT96" s="164"/>
      <c r="CU96" s="72">
        <f>CU94*1.05</f>
        <v>295.20645</v>
      </c>
      <c r="CV96" s="69">
        <f>CU96/$DC$65</f>
        <v>68.25582658959537</v>
      </c>
      <c r="CW96" s="70"/>
      <c r="CX96" s="71"/>
      <c r="CY96" s="79"/>
      <c r="CZ96" s="72">
        <f>CZ94*1.05</f>
        <v>291.55245</v>
      </c>
      <c r="DA96" s="69">
        <f>CZ96/$DC$65</f>
        <v>67.4109710982659</v>
      </c>
      <c r="DB96" s="70"/>
      <c r="DC96" s="71"/>
      <c r="DD96" s="79"/>
      <c r="DE96" s="72">
        <f>DE94*1.05</f>
        <v>287.89845</v>
      </c>
      <c r="DF96" s="69">
        <f>DE96/$DC$65</f>
        <v>66.56611560693642</v>
      </c>
      <c r="DG96" s="70"/>
      <c r="DH96" s="71"/>
      <c r="DI96" s="79"/>
      <c r="DJ96" s="72">
        <f>DJ94*1.05</f>
        <v>284.24445000000003</v>
      </c>
      <c r="DK96" s="69">
        <f>DJ96/$DC$65</f>
        <v>65.72126011560694</v>
      </c>
      <c r="DL96" s="70"/>
      <c r="DM96" s="71"/>
      <c r="DN96" s="79"/>
      <c r="DO96" s="72">
        <f>DO94*1.05</f>
        <v>280.59045</v>
      </c>
      <c r="DP96" s="69">
        <f>DO96/$DC$65</f>
        <v>64.87640462427746</v>
      </c>
      <c r="DQ96" s="70"/>
      <c r="DR96" s="71"/>
      <c r="DS96" s="79"/>
      <c r="DT96" s="72">
        <f>DT94*1.05</f>
        <v>273.28245000000004</v>
      </c>
      <c r="DU96" s="69">
        <f>DT96/$DC$65</f>
        <v>63.186693641618504</v>
      </c>
      <c r="DV96" s="70"/>
      <c r="DW96" s="71"/>
      <c r="DX96" s="79"/>
      <c r="DY96" s="72">
        <f>DY94*1.05</f>
        <v>265.97445</v>
      </c>
      <c r="DZ96" s="69">
        <f>DY96/$DC$65</f>
        <v>61.49698265895953</v>
      </c>
      <c r="EA96" s="70"/>
      <c r="EB96" s="71"/>
      <c r="EC96" s="77"/>
    </row>
    <row r="97" spans="2:133" ht="13.5" thickBot="1">
      <c r="B97" s="38"/>
      <c r="C97" s="38"/>
      <c r="D97" s="38"/>
      <c r="E97" s="45" t="s">
        <v>8</v>
      </c>
      <c r="F97" s="46">
        <f>L15</f>
        <v>691.25</v>
      </c>
      <c r="G97" s="185" t="s">
        <v>147</v>
      </c>
      <c r="H97" s="185"/>
      <c r="I97" s="185"/>
      <c r="J97" s="185"/>
      <c r="K97" s="186"/>
      <c r="CS97" s="150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7"/>
    </row>
    <row r="98" spans="97:133" ht="13.5" thickBot="1">
      <c r="CS98" s="150"/>
      <c r="CT98" s="162" t="s">
        <v>208</v>
      </c>
      <c r="CU98" s="152" t="s">
        <v>209</v>
      </c>
      <c r="CV98" s="153"/>
      <c r="CW98" s="153"/>
      <c r="CX98" s="203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7"/>
    </row>
    <row r="99" spans="2:133" ht="13.5" thickBot="1">
      <c r="B99" s="177" t="s">
        <v>0</v>
      </c>
      <c r="C99" s="178"/>
      <c r="D99" s="30">
        <v>4</v>
      </c>
      <c r="E99" s="39" t="s">
        <v>3</v>
      </c>
      <c r="F99" s="40">
        <f>D16</f>
        <v>511.125</v>
      </c>
      <c r="G99" s="179" t="s">
        <v>147</v>
      </c>
      <c r="H99" s="179"/>
      <c r="I99" s="179"/>
      <c r="J99" s="179"/>
      <c r="K99" s="180"/>
      <c r="CS99" s="150"/>
      <c r="CT99" s="163"/>
      <c r="CU99" s="204" t="s">
        <v>210</v>
      </c>
      <c r="CV99" s="205"/>
      <c r="CW99" s="206" t="s">
        <v>211</v>
      </c>
      <c r="CX99" s="207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7"/>
    </row>
    <row r="100" spans="2:133" ht="13.5" thickBot="1">
      <c r="B100" s="38"/>
      <c r="C100" s="38"/>
      <c r="D100" s="38"/>
      <c r="E100" s="41" t="s">
        <v>5</v>
      </c>
      <c r="F100" s="42">
        <f>F16</f>
        <v>959.125</v>
      </c>
      <c r="G100" s="181" t="s">
        <v>147</v>
      </c>
      <c r="H100" s="181"/>
      <c r="I100" s="181"/>
      <c r="J100" s="181"/>
      <c r="K100" s="182"/>
      <c r="CS100" s="150"/>
      <c r="CT100" s="164"/>
      <c r="CU100" s="208" t="s">
        <v>212</v>
      </c>
      <c r="CV100" s="209"/>
      <c r="CW100" s="210"/>
      <c r="CX100" s="211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7"/>
    </row>
    <row r="101" spans="2:133" ht="13.5" thickBot="1">
      <c r="B101" s="38"/>
      <c r="C101" s="38"/>
      <c r="D101" s="38"/>
      <c r="E101" s="43" t="s">
        <v>35</v>
      </c>
      <c r="F101" s="44">
        <f>H16</f>
        <v>810.125</v>
      </c>
      <c r="G101" s="183" t="s">
        <v>147</v>
      </c>
      <c r="H101" s="183"/>
      <c r="I101" s="183"/>
      <c r="J101" s="183"/>
      <c r="K101" s="184"/>
      <c r="CS101" s="151"/>
      <c r="CT101" s="80"/>
      <c r="CU101" s="212" t="s">
        <v>213</v>
      </c>
      <c r="CV101" s="212"/>
      <c r="CW101" s="213" t="s">
        <v>0</v>
      </c>
      <c r="CX101" s="213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1"/>
    </row>
    <row r="102" spans="2:133" ht="13.5" thickTop="1">
      <c r="B102" s="38"/>
      <c r="C102" s="38"/>
      <c r="D102" s="38"/>
      <c r="E102" s="41" t="s">
        <v>36</v>
      </c>
      <c r="F102" s="42">
        <f>J16</f>
        <v>803.125</v>
      </c>
      <c r="G102" s="181" t="s">
        <v>147</v>
      </c>
      <c r="H102" s="181"/>
      <c r="I102" s="181"/>
      <c r="J102" s="181"/>
      <c r="K102" s="182"/>
      <c r="CS102" s="149" t="s">
        <v>231</v>
      </c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5"/>
    </row>
    <row r="103" spans="2:133" ht="13.5" thickBot="1">
      <c r="B103" s="38"/>
      <c r="C103" s="38"/>
      <c r="D103" s="38"/>
      <c r="E103" s="45" t="s">
        <v>8</v>
      </c>
      <c r="F103" s="46">
        <f>L16</f>
        <v>708.125</v>
      </c>
      <c r="G103" s="185" t="s">
        <v>147</v>
      </c>
      <c r="H103" s="185"/>
      <c r="I103" s="185"/>
      <c r="J103" s="185"/>
      <c r="K103" s="186"/>
      <c r="CS103" s="150"/>
      <c r="CT103" s="76"/>
      <c r="CU103" s="222" t="s">
        <v>222</v>
      </c>
      <c r="CV103" s="223"/>
      <c r="CW103" s="223"/>
      <c r="CX103" s="223"/>
      <c r="CY103" s="76"/>
      <c r="CZ103" s="222" t="s">
        <v>224</v>
      </c>
      <c r="DA103" s="223"/>
      <c r="DB103" s="223"/>
      <c r="DC103" s="223"/>
      <c r="DD103" s="76"/>
      <c r="DE103" s="222" t="s">
        <v>225</v>
      </c>
      <c r="DF103" s="223"/>
      <c r="DG103" s="223"/>
      <c r="DH103" s="223"/>
      <c r="DI103" s="76"/>
      <c r="DJ103" s="222" t="s">
        <v>226</v>
      </c>
      <c r="DK103" s="223"/>
      <c r="DL103" s="223"/>
      <c r="DM103" s="223"/>
      <c r="DN103" s="76"/>
      <c r="DO103" s="222" t="s">
        <v>227</v>
      </c>
      <c r="DP103" s="223"/>
      <c r="DQ103" s="223"/>
      <c r="DR103" s="223"/>
      <c r="DS103" s="76"/>
      <c r="DT103" s="222" t="s">
        <v>228</v>
      </c>
      <c r="DU103" s="223"/>
      <c r="DV103" s="223"/>
      <c r="DW103" s="223"/>
      <c r="DX103" s="76"/>
      <c r="DY103" s="222" t="s">
        <v>229</v>
      </c>
      <c r="DZ103" s="223"/>
      <c r="EA103" s="223"/>
      <c r="EB103" s="223"/>
      <c r="EC103" s="77"/>
    </row>
    <row r="104" spans="97:133" ht="13.5" thickBot="1">
      <c r="CS104" s="150"/>
      <c r="CT104" s="76"/>
      <c r="CU104" s="224"/>
      <c r="CV104" s="224"/>
      <c r="CW104" s="224"/>
      <c r="CX104" s="224"/>
      <c r="CY104" s="76"/>
      <c r="CZ104" s="224"/>
      <c r="DA104" s="224"/>
      <c r="DB104" s="224"/>
      <c r="DC104" s="224"/>
      <c r="DD104" s="76"/>
      <c r="DE104" s="224"/>
      <c r="DF104" s="224"/>
      <c r="DG104" s="224"/>
      <c r="DH104" s="224"/>
      <c r="DI104" s="76"/>
      <c r="DJ104" s="224"/>
      <c r="DK104" s="224"/>
      <c r="DL104" s="224"/>
      <c r="DM104" s="224"/>
      <c r="DN104" s="76"/>
      <c r="DO104" s="224"/>
      <c r="DP104" s="224"/>
      <c r="DQ104" s="224"/>
      <c r="DR104" s="224"/>
      <c r="DS104" s="76"/>
      <c r="DT104" s="224"/>
      <c r="DU104" s="224"/>
      <c r="DV104" s="224"/>
      <c r="DW104" s="224"/>
      <c r="DX104" s="76"/>
      <c r="DY104" s="224"/>
      <c r="DZ104" s="224"/>
      <c r="EA104" s="224"/>
      <c r="EB104" s="224"/>
      <c r="EC104" s="77"/>
    </row>
    <row r="105" spans="2:133" ht="13.5" thickBot="1">
      <c r="B105" s="177" t="s">
        <v>0</v>
      </c>
      <c r="C105" s="178"/>
      <c r="D105" s="30">
        <v>5</v>
      </c>
      <c r="E105" s="39" t="s">
        <v>3</v>
      </c>
      <c r="F105" s="40">
        <f>D17</f>
        <v>519.5625</v>
      </c>
      <c r="G105" s="179" t="s">
        <v>147</v>
      </c>
      <c r="H105" s="179"/>
      <c r="I105" s="179"/>
      <c r="J105" s="179"/>
      <c r="K105" s="180"/>
      <c r="CS105" s="150"/>
      <c r="CT105" s="225" t="s">
        <v>221</v>
      </c>
      <c r="CU105" s="174" t="s">
        <v>218</v>
      </c>
      <c r="CV105" s="217"/>
      <c r="CW105" s="217"/>
      <c r="CX105" s="175"/>
      <c r="CY105" s="78"/>
      <c r="CZ105" s="174" t="s">
        <v>218</v>
      </c>
      <c r="DA105" s="217"/>
      <c r="DB105" s="217"/>
      <c r="DC105" s="175"/>
      <c r="DD105" s="78"/>
      <c r="DE105" s="174" t="s">
        <v>218</v>
      </c>
      <c r="DF105" s="217"/>
      <c r="DG105" s="217"/>
      <c r="DH105" s="175"/>
      <c r="DI105" s="78"/>
      <c r="DJ105" s="174" t="s">
        <v>218</v>
      </c>
      <c r="DK105" s="217"/>
      <c r="DL105" s="217"/>
      <c r="DM105" s="175"/>
      <c r="DN105" s="78"/>
      <c r="DO105" s="174" t="s">
        <v>218</v>
      </c>
      <c r="DP105" s="217"/>
      <c r="DQ105" s="217"/>
      <c r="DR105" s="175"/>
      <c r="DS105" s="78"/>
      <c r="DT105" s="174" t="s">
        <v>218</v>
      </c>
      <c r="DU105" s="217"/>
      <c r="DV105" s="217"/>
      <c r="DW105" s="175"/>
      <c r="DX105" s="78"/>
      <c r="DY105" s="174" t="s">
        <v>218</v>
      </c>
      <c r="DZ105" s="217"/>
      <c r="EA105" s="217"/>
      <c r="EB105" s="175"/>
      <c r="EC105" s="77"/>
    </row>
    <row r="106" spans="2:133" ht="12.75">
      <c r="B106" s="38"/>
      <c r="C106" s="38"/>
      <c r="D106" s="38"/>
      <c r="E106" s="41" t="s">
        <v>5</v>
      </c>
      <c r="F106" s="42">
        <f>F17</f>
        <v>967.5625</v>
      </c>
      <c r="G106" s="181" t="s">
        <v>147</v>
      </c>
      <c r="H106" s="181"/>
      <c r="I106" s="181"/>
      <c r="J106" s="181"/>
      <c r="K106" s="182"/>
      <c r="CS106" s="150"/>
      <c r="CT106" s="225"/>
      <c r="CU106" s="230">
        <f>DM$65*$DC$65*$DB$65</f>
        <v>245.96707470715057</v>
      </c>
      <c r="CV106" s="231"/>
      <c r="CW106" s="231"/>
      <c r="CX106" s="134">
        <f>VLOOKUP($G$5,$DK$3:$DY$62,2,FALSE)</f>
        <v>1</v>
      </c>
      <c r="CY106" s="78"/>
      <c r="CZ106" s="230">
        <f>DN65*$DC$65*$DB$65</f>
        <v>0</v>
      </c>
      <c r="DA106" s="231"/>
      <c r="DB106" s="231"/>
      <c r="DC106" s="134">
        <f>VLOOKUP($G$5,$DK$3:$DY$62,3,FALSE)</f>
        <v>0</v>
      </c>
      <c r="DD106" s="78"/>
      <c r="DE106" s="230">
        <f>DO65*$DC$65*$DB$65</f>
        <v>0</v>
      </c>
      <c r="DF106" s="231"/>
      <c r="DG106" s="231"/>
      <c r="DH106" s="134">
        <f>VLOOKUP($G$5,$DK$3:$DY$62,4,FALSE)</f>
        <v>0</v>
      </c>
      <c r="DI106" s="78"/>
      <c r="DJ106" s="230">
        <f>DP65*$DC$65*$DB$65</f>
        <v>0</v>
      </c>
      <c r="DK106" s="231"/>
      <c r="DL106" s="231"/>
      <c r="DM106" s="134">
        <f>VLOOKUP($G$5,$DK$3:$DY$62,5,FALSE)</f>
        <v>0</v>
      </c>
      <c r="DN106" s="78"/>
      <c r="DO106" s="230">
        <f>DQ65*$DC$65*$DB$65</f>
        <v>226.130032518506</v>
      </c>
      <c r="DP106" s="231"/>
      <c r="DQ106" s="231"/>
      <c r="DR106" s="134">
        <f>VLOOKUP($G$5,$DK$3:$DY$62,6,FALSE)</f>
        <v>5</v>
      </c>
      <c r="DS106" s="78"/>
      <c r="DT106" s="230">
        <f>DR65*$DC$65*$DB$65</f>
        <v>226.35814400762325</v>
      </c>
      <c r="DU106" s="231"/>
      <c r="DV106" s="231"/>
      <c r="DW106" s="134">
        <f>VLOOKUP($G$5,$DK$3:$DY$62,7,FALSE)</f>
        <v>7</v>
      </c>
      <c r="DX106" s="78"/>
      <c r="DY106" s="230">
        <f>DS65*$DC$65*$DB$65</f>
        <v>220.01923266798264</v>
      </c>
      <c r="DZ106" s="231"/>
      <c r="EA106" s="231"/>
      <c r="EB106" s="134">
        <f>VLOOKUP($G$5,$DK$3:$DY$62,8,FALSE)</f>
        <v>2</v>
      </c>
      <c r="EC106" s="77"/>
    </row>
    <row r="107" spans="2:133" ht="12.75">
      <c r="B107" s="38"/>
      <c r="C107" s="38"/>
      <c r="D107" s="38"/>
      <c r="E107" s="43" t="s">
        <v>35</v>
      </c>
      <c r="F107" s="44">
        <f>H17</f>
        <v>818.5625</v>
      </c>
      <c r="G107" s="183" t="s">
        <v>147</v>
      </c>
      <c r="H107" s="183"/>
      <c r="I107" s="183"/>
      <c r="J107" s="183"/>
      <c r="K107" s="184"/>
      <c r="CS107" s="150"/>
      <c r="CT107" s="225"/>
      <c r="CU107" s="218" t="s">
        <v>217</v>
      </c>
      <c r="CV107" s="219"/>
      <c r="CW107" s="220" t="s">
        <v>219</v>
      </c>
      <c r="CX107" s="221"/>
      <c r="CY107" s="78"/>
      <c r="CZ107" s="218" t="s">
        <v>217</v>
      </c>
      <c r="DA107" s="219"/>
      <c r="DB107" s="220" t="s">
        <v>219</v>
      </c>
      <c r="DC107" s="221"/>
      <c r="DD107" s="78"/>
      <c r="DE107" s="218" t="s">
        <v>217</v>
      </c>
      <c r="DF107" s="219"/>
      <c r="DG107" s="220" t="s">
        <v>219</v>
      </c>
      <c r="DH107" s="221"/>
      <c r="DI107" s="78"/>
      <c r="DJ107" s="218" t="s">
        <v>217</v>
      </c>
      <c r="DK107" s="219"/>
      <c r="DL107" s="220" t="s">
        <v>219</v>
      </c>
      <c r="DM107" s="221"/>
      <c r="DN107" s="78"/>
      <c r="DO107" s="218" t="s">
        <v>217</v>
      </c>
      <c r="DP107" s="219"/>
      <c r="DQ107" s="220" t="s">
        <v>219</v>
      </c>
      <c r="DR107" s="221"/>
      <c r="DS107" s="78"/>
      <c r="DT107" s="218" t="s">
        <v>217</v>
      </c>
      <c r="DU107" s="219"/>
      <c r="DV107" s="220" t="s">
        <v>219</v>
      </c>
      <c r="DW107" s="221"/>
      <c r="DX107" s="78"/>
      <c r="DY107" s="218" t="s">
        <v>217</v>
      </c>
      <c r="DZ107" s="219"/>
      <c r="EA107" s="220" t="s">
        <v>219</v>
      </c>
      <c r="EB107" s="221"/>
      <c r="EC107" s="77"/>
    </row>
    <row r="108" spans="2:133" ht="13.5" thickBot="1">
      <c r="B108" s="38"/>
      <c r="C108" s="38"/>
      <c r="D108" s="38"/>
      <c r="E108" s="41" t="s">
        <v>36</v>
      </c>
      <c r="F108" s="42">
        <f>J17</f>
        <v>811.5625</v>
      </c>
      <c r="G108" s="181" t="s">
        <v>147</v>
      </c>
      <c r="H108" s="181"/>
      <c r="I108" s="181"/>
      <c r="J108" s="181"/>
      <c r="K108" s="182"/>
      <c r="CS108" s="150"/>
      <c r="CT108" s="225"/>
      <c r="CU108" s="226">
        <f>DM65</f>
        <v>0.800999999046326</v>
      </c>
      <c r="CV108" s="227"/>
      <c r="CW108" s="215">
        <f>CU106/$DB$65</f>
        <v>3.4643249958753604</v>
      </c>
      <c r="CX108" s="216"/>
      <c r="CY108" s="78"/>
      <c r="CZ108" s="226">
        <f>DN65</f>
        <v>0</v>
      </c>
      <c r="DA108" s="227"/>
      <c r="DB108" s="228">
        <f>CZ106/$DB$65</f>
        <v>0</v>
      </c>
      <c r="DC108" s="229"/>
      <c r="DD108" s="78"/>
      <c r="DE108" s="226">
        <f>DO65</f>
        <v>0</v>
      </c>
      <c r="DF108" s="227"/>
      <c r="DG108" s="228">
        <f>DE106/$DB$65</f>
        <v>0</v>
      </c>
      <c r="DH108" s="229"/>
      <c r="DI108" s="78"/>
      <c r="DJ108" s="226">
        <f>DP65</f>
        <v>0</v>
      </c>
      <c r="DK108" s="227"/>
      <c r="DL108" s="228">
        <f>DJ106/$DB$65</f>
        <v>0</v>
      </c>
      <c r="DM108" s="229"/>
      <c r="DN108" s="78"/>
      <c r="DO108" s="226">
        <f>DQ65</f>
        <v>0.736400008201599</v>
      </c>
      <c r="DP108" s="227"/>
      <c r="DQ108" s="228">
        <f>DO106/$DB$65</f>
        <v>3.1849300354719157</v>
      </c>
      <c r="DR108" s="229"/>
      <c r="DS108" s="78"/>
      <c r="DT108" s="226">
        <f>DR65</f>
        <v>0.737142860889435</v>
      </c>
      <c r="DU108" s="227"/>
      <c r="DV108" s="228">
        <f>DT106/$DB$65</f>
        <v>3.1881428733468065</v>
      </c>
      <c r="DW108" s="229"/>
      <c r="DX108" s="78"/>
      <c r="DY108" s="226">
        <f>DS65</f>
        <v>0.716499984264374</v>
      </c>
      <c r="DZ108" s="227"/>
      <c r="EA108" s="228">
        <f>DY106/$DB$65</f>
        <v>3.0988624319434175</v>
      </c>
      <c r="EB108" s="229"/>
      <c r="EC108" s="77"/>
    </row>
    <row r="109" spans="2:133" ht="13.5" thickBot="1">
      <c r="B109" s="38"/>
      <c r="C109" s="38"/>
      <c r="D109" s="38"/>
      <c r="E109" s="45" t="s">
        <v>8</v>
      </c>
      <c r="F109" s="46">
        <f>L17</f>
        <v>716.5625</v>
      </c>
      <c r="G109" s="185" t="s">
        <v>147</v>
      </c>
      <c r="H109" s="185"/>
      <c r="I109" s="185"/>
      <c r="J109" s="185"/>
      <c r="K109" s="186"/>
      <c r="CS109" s="150"/>
      <c r="CT109" s="76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77"/>
    </row>
    <row r="110" spans="97:133" ht="13.5" thickBot="1">
      <c r="CS110" s="150"/>
      <c r="CT110" s="225" t="s">
        <v>223</v>
      </c>
      <c r="CU110" s="174" t="s">
        <v>218</v>
      </c>
      <c r="CV110" s="217"/>
      <c r="CW110" s="217"/>
      <c r="CX110" s="175"/>
      <c r="CY110" s="78"/>
      <c r="CZ110" s="174" t="s">
        <v>218</v>
      </c>
      <c r="DA110" s="217"/>
      <c r="DB110" s="217"/>
      <c r="DC110" s="175"/>
      <c r="DD110" s="78"/>
      <c r="DE110" s="174" t="s">
        <v>218</v>
      </c>
      <c r="DF110" s="217"/>
      <c r="DG110" s="217"/>
      <c r="DH110" s="175"/>
      <c r="DI110" s="78"/>
      <c r="DJ110" s="174" t="s">
        <v>218</v>
      </c>
      <c r="DK110" s="217"/>
      <c r="DL110" s="217"/>
      <c r="DM110" s="175"/>
      <c r="DN110" s="78"/>
      <c r="DO110" s="174" t="s">
        <v>218</v>
      </c>
      <c r="DP110" s="217"/>
      <c r="DQ110" s="217"/>
      <c r="DR110" s="175"/>
      <c r="DS110" s="78"/>
      <c r="DT110" s="174" t="s">
        <v>218</v>
      </c>
      <c r="DU110" s="217"/>
      <c r="DV110" s="217"/>
      <c r="DW110" s="175"/>
      <c r="DX110" s="78"/>
      <c r="DY110" s="174" t="s">
        <v>218</v>
      </c>
      <c r="DZ110" s="217"/>
      <c r="EA110" s="217"/>
      <c r="EB110" s="175"/>
      <c r="EC110" s="77"/>
    </row>
    <row r="111" spans="2:133" ht="13.5" thickBot="1">
      <c r="B111" s="177" t="s">
        <v>0</v>
      </c>
      <c r="C111" s="178"/>
      <c r="D111" s="30">
        <v>6</v>
      </c>
      <c r="E111" s="39" t="s">
        <v>3</v>
      </c>
      <c r="F111" s="40">
        <f>D18</f>
        <v>523.78125</v>
      </c>
      <c r="G111" s="179" t="s">
        <v>147</v>
      </c>
      <c r="H111" s="179"/>
      <c r="I111" s="179"/>
      <c r="J111" s="179"/>
      <c r="K111" s="180"/>
      <c r="CS111" s="150"/>
      <c r="CT111" s="225"/>
      <c r="CU111" s="230">
        <f>DF65*$DC$65*$DB$65</f>
        <v>223.4482445463538</v>
      </c>
      <c r="CV111" s="231"/>
      <c r="CW111" s="231"/>
      <c r="CX111" s="134">
        <f>VLOOKUP($G$5,$DK$3:$DY$62,9,FALSE)</f>
        <v>3</v>
      </c>
      <c r="CY111" s="78"/>
      <c r="CZ111" s="230">
        <f>DG65*$DC$65*$DB$65</f>
        <v>207.1732594430446</v>
      </c>
      <c r="DA111" s="231"/>
      <c r="DB111" s="231"/>
      <c r="DC111" s="134">
        <f>VLOOKUP($G$5,$DK$3:$DY$62,10,FALSE)</f>
        <v>3</v>
      </c>
      <c r="DD111" s="78"/>
      <c r="DE111" s="230">
        <f>DH65*$DC$65*$DB$65</f>
        <v>217.4091013178228</v>
      </c>
      <c r="DF111" s="231"/>
      <c r="DG111" s="231"/>
      <c r="DH111" s="134">
        <f>VLOOKUP($G$5,$DK$3:$DY$62,11,FALSE)</f>
        <v>3</v>
      </c>
      <c r="DI111" s="78"/>
      <c r="DJ111" s="230">
        <f>DI65*$DC$65*$DB$65</f>
        <v>0</v>
      </c>
      <c r="DK111" s="231"/>
      <c r="DL111" s="231"/>
      <c r="DM111" s="134">
        <f>VLOOKUP($G$5,$DK$3:$DY$62,12,FALSE)</f>
        <v>0</v>
      </c>
      <c r="DN111" s="78"/>
      <c r="DO111" s="230">
        <f>DJ65*$DC$65*$DB$65</f>
        <v>192.99663281440738</v>
      </c>
      <c r="DP111" s="231"/>
      <c r="DQ111" s="231"/>
      <c r="DR111" s="134">
        <f>VLOOKUP($G$5,$DK$3:$DY$62,13,FALSE)</f>
        <v>6</v>
      </c>
      <c r="DS111" s="78"/>
      <c r="DT111" s="230">
        <f>DK65*$DC$65*$DB$65</f>
        <v>190.18178133219484</v>
      </c>
      <c r="DU111" s="231"/>
      <c r="DV111" s="231"/>
      <c r="DW111" s="134">
        <f>VLOOKUP($G$5,$DK$3:$DY$62,14,FALSE)</f>
        <v>3</v>
      </c>
      <c r="DX111" s="78"/>
      <c r="DY111" s="230">
        <f>DL65*$DC$65*$DB$65</f>
        <v>190.64239705353967</v>
      </c>
      <c r="DZ111" s="231"/>
      <c r="EA111" s="231"/>
      <c r="EB111" s="134">
        <f>VLOOKUP($G$5,$DK$3:$DY$62,15,FALSE)</f>
        <v>6</v>
      </c>
      <c r="EC111" s="77"/>
    </row>
    <row r="112" spans="2:133" ht="12.75">
      <c r="B112" s="38"/>
      <c r="C112" s="38"/>
      <c r="D112" s="38"/>
      <c r="E112" s="41" t="s">
        <v>5</v>
      </c>
      <c r="F112" s="42">
        <f>F18</f>
        <v>971.78125</v>
      </c>
      <c r="G112" s="181" t="s">
        <v>147</v>
      </c>
      <c r="H112" s="181"/>
      <c r="I112" s="181"/>
      <c r="J112" s="181"/>
      <c r="K112" s="182"/>
      <c r="CS112" s="150"/>
      <c r="CT112" s="225"/>
      <c r="CU112" s="218" t="s">
        <v>217</v>
      </c>
      <c r="CV112" s="219"/>
      <c r="CW112" s="220" t="s">
        <v>219</v>
      </c>
      <c r="CX112" s="221"/>
      <c r="CY112" s="78"/>
      <c r="CZ112" s="218" t="s">
        <v>217</v>
      </c>
      <c r="DA112" s="219"/>
      <c r="DB112" s="220" t="s">
        <v>219</v>
      </c>
      <c r="DC112" s="221"/>
      <c r="DD112" s="78"/>
      <c r="DE112" s="218" t="s">
        <v>217</v>
      </c>
      <c r="DF112" s="219"/>
      <c r="DG112" s="220" t="s">
        <v>219</v>
      </c>
      <c r="DH112" s="221"/>
      <c r="DI112" s="78"/>
      <c r="DJ112" s="218" t="s">
        <v>217</v>
      </c>
      <c r="DK112" s="219"/>
      <c r="DL112" s="220" t="s">
        <v>219</v>
      </c>
      <c r="DM112" s="221"/>
      <c r="DN112" s="78"/>
      <c r="DO112" s="218" t="s">
        <v>217</v>
      </c>
      <c r="DP112" s="219"/>
      <c r="DQ112" s="220" t="s">
        <v>219</v>
      </c>
      <c r="DR112" s="221"/>
      <c r="DS112" s="78"/>
      <c r="DT112" s="218" t="s">
        <v>217</v>
      </c>
      <c r="DU112" s="219"/>
      <c r="DV112" s="220" t="s">
        <v>219</v>
      </c>
      <c r="DW112" s="221"/>
      <c r="DX112" s="78"/>
      <c r="DY112" s="218" t="s">
        <v>217</v>
      </c>
      <c r="DZ112" s="219"/>
      <c r="EA112" s="220" t="s">
        <v>219</v>
      </c>
      <c r="EB112" s="221"/>
      <c r="EC112" s="77"/>
    </row>
    <row r="113" spans="2:133" ht="13.5" thickBot="1">
      <c r="B113" s="38"/>
      <c r="C113" s="38"/>
      <c r="D113" s="38"/>
      <c r="E113" s="43" t="s">
        <v>35</v>
      </c>
      <c r="F113" s="44">
        <f>H18</f>
        <v>822.78125</v>
      </c>
      <c r="G113" s="183" t="s">
        <v>147</v>
      </c>
      <c r="H113" s="183"/>
      <c r="I113" s="183"/>
      <c r="J113" s="183"/>
      <c r="K113" s="184"/>
      <c r="CS113" s="150"/>
      <c r="CT113" s="225"/>
      <c r="CU113" s="226">
        <f>DF65</f>
        <v>0.727666676044464</v>
      </c>
      <c r="CV113" s="227"/>
      <c r="CW113" s="215">
        <f>CU111/$DB$65</f>
        <v>3.147158373892307</v>
      </c>
      <c r="CX113" s="216"/>
      <c r="CY113" s="78"/>
      <c r="CZ113" s="226">
        <f>DG65</f>
        <v>0.6746666431427</v>
      </c>
      <c r="DA113" s="227"/>
      <c r="DB113" s="215">
        <f>CZ111/$DB$65</f>
        <v>2.9179332315921775</v>
      </c>
      <c r="DC113" s="216"/>
      <c r="DD113" s="78"/>
      <c r="DE113" s="226">
        <f>DH65</f>
        <v>0.708000004291534</v>
      </c>
      <c r="DF113" s="227"/>
      <c r="DG113" s="215">
        <f>DE111/$DB$65</f>
        <v>3.0621000185608844</v>
      </c>
      <c r="DH113" s="216"/>
      <c r="DI113" s="78"/>
      <c r="DJ113" s="226">
        <f>DI65</f>
        <v>0</v>
      </c>
      <c r="DK113" s="227"/>
      <c r="DL113" s="215">
        <f>DJ111/$DB$65</f>
        <v>0</v>
      </c>
      <c r="DM113" s="216"/>
      <c r="DN113" s="78"/>
      <c r="DO113" s="226">
        <f>DJ65</f>
        <v>0.628499984741211</v>
      </c>
      <c r="DP113" s="227"/>
      <c r="DQ113" s="215">
        <f>DO111/$DB$65</f>
        <v>2.7182624340057377</v>
      </c>
      <c r="DR113" s="216"/>
      <c r="DS113" s="78"/>
      <c r="DT113" s="226">
        <f>DK65</f>
        <v>0.619333326816559</v>
      </c>
      <c r="DU113" s="227"/>
      <c r="DV113" s="215">
        <f>DT111/$DB$65</f>
        <v>2.6786166384816177</v>
      </c>
      <c r="DW113" s="216"/>
      <c r="DX113" s="78"/>
      <c r="DY113" s="226">
        <f>DL65</f>
        <v>0.620833337306976</v>
      </c>
      <c r="DZ113" s="227"/>
      <c r="EA113" s="215">
        <f>DY111/$DB$65</f>
        <v>2.6851041838526712</v>
      </c>
      <c r="EB113" s="216"/>
      <c r="EC113" s="77"/>
    </row>
    <row r="114" spans="2:133" ht="13.5" thickBot="1">
      <c r="B114" s="38"/>
      <c r="C114" s="38"/>
      <c r="D114" s="38"/>
      <c r="E114" s="41" t="s">
        <v>36</v>
      </c>
      <c r="F114" s="42">
        <f>J18</f>
        <v>815.78125</v>
      </c>
      <c r="G114" s="181" t="s">
        <v>147</v>
      </c>
      <c r="H114" s="181"/>
      <c r="I114" s="181"/>
      <c r="J114" s="181"/>
      <c r="K114" s="182"/>
      <c r="CS114" s="151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1"/>
    </row>
    <row r="115" spans="2:133" ht="14.25" thickBot="1" thickTop="1">
      <c r="B115" s="38"/>
      <c r="C115" s="38"/>
      <c r="D115" s="38"/>
      <c r="E115" s="45" t="s">
        <v>8</v>
      </c>
      <c r="F115" s="46">
        <f>L18</f>
        <v>720.78125</v>
      </c>
      <c r="G115" s="185" t="s">
        <v>147</v>
      </c>
      <c r="H115" s="185"/>
      <c r="I115" s="185"/>
      <c r="J115" s="185"/>
      <c r="K115" s="186"/>
      <c r="CS115" s="149" t="s">
        <v>240</v>
      </c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5"/>
    </row>
    <row r="116" spans="97:133" ht="13.5" thickBot="1">
      <c r="CS116" s="150"/>
      <c r="CT116" s="76"/>
      <c r="CU116" s="140" t="s">
        <v>232</v>
      </c>
      <c r="CV116" s="141"/>
      <c r="CW116" s="141"/>
      <c r="CX116" s="142"/>
      <c r="CY116" s="76"/>
      <c r="CZ116" s="140" t="s">
        <v>5</v>
      </c>
      <c r="DA116" s="141"/>
      <c r="DB116" s="141"/>
      <c r="DC116" s="142"/>
      <c r="DD116" s="76"/>
      <c r="DE116" s="140" t="s">
        <v>233</v>
      </c>
      <c r="DF116" s="141"/>
      <c r="DG116" s="141"/>
      <c r="DH116" s="142"/>
      <c r="DI116" s="76"/>
      <c r="DJ116" s="140" t="s">
        <v>234</v>
      </c>
      <c r="DK116" s="141"/>
      <c r="DL116" s="141"/>
      <c r="DM116" s="142"/>
      <c r="DN116" s="76"/>
      <c r="DO116" s="140" t="s">
        <v>235</v>
      </c>
      <c r="DP116" s="141"/>
      <c r="DQ116" s="141"/>
      <c r="DR116" s="142"/>
      <c r="DS116" s="76"/>
      <c r="DT116" s="140" t="s">
        <v>236</v>
      </c>
      <c r="DU116" s="141"/>
      <c r="DV116" s="141"/>
      <c r="DW116" s="142"/>
      <c r="DX116" s="76"/>
      <c r="DY116" s="140" t="s">
        <v>237</v>
      </c>
      <c r="DZ116" s="141"/>
      <c r="EA116" s="141"/>
      <c r="EB116" s="142"/>
      <c r="EC116" s="77"/>
    </row>
    <row r="117" spans="2:133" ht="13.5" thickBot="1">
      <c r="B117" s="177" t="s">
        <v>0</v>
      </c>
      <c r="C117" s="178"/>
      <c r="D117" s="30">
        <v>7</v>
      </c>
      <c r="E117" s="39" t="s">
        <v>3</v>
      </c>
      <c r="F117" s="40">
        <f>D19</f>
        <v>525.890625</v>
      </c>
      <c r="G117" s="179" t="s">
        <v>147</v>
      </c>
      <c r="H117" s="179"/>
      <c r="I117" s="179"/>
      <c r="J117" s="179"/>
      <c r="K117" s="180"/>
      <c r="CS117" s="150"/>
      <c r="CT117" s="76"/>
      <c r="CU117" s="143">
        <f>(CV68)/100</f>
        <v>0.18384615384615402</v>
      </c>
      <c r="CV117" s="144"/>
      <c r="CW117" s="144"/>
      <c r="CX117" s="145"/>
      <c r="CY117" s="76"/>
      <c r="CZ117" s="143">
        <f>CW68/100</f>
        <v>0.339230769230769</v>
      </c>
      <c r="DA117" s="144"/>
      <c r="DB117" s="144"/>
      <c r="DC117" s="145"/>
      <c r="DD117" s="76"/>
      <c r="DE117" s="143">
        <f>CX68/100</f>
        <v>0.127692307692308</v>
      </c>
      <c r="DF117" s="144"/>
      <c r="DG117" s="144"/>
      <c r="DH117" s="145"/>
      <c r="DI117" s="76"/>
      <c r="DJ117" s="143">
        <f>CY68/100</f>
        <v>0.133846153846154</v>
      </c>
      <c r="DK117" s="144"/>
      <c r="DL117" s="144"/>
      <c r="DM117" s="145"/>
      <c r="DN117" s="76"/>
      <c r="DO117" s="143">
        <f>CZ68/100</f>
        <v>0.137692307692308</v>
      </c>
      <c r="DP117" s="144"/>
      <c r="DQ117" s="144"/>
      <c r="DR117" s="145"/>
      <c r="DS117" s="76"/>
      <c r="DT117" s="143">
        <f>DA68/100</f>
        <v>0.16230769230769201</v>
      </c>
      <c r="DU117" s="144"/>
      <c r="DV117" s="144"/>
      <c r="DW117" s="145"/>
      <c r="DX117" s="76"/>
      <c r="DY117" s="143">
        <f>DB68/100</f>
        <v>0.116923076923077</v>
      </c>
      <c r="DZ117" s="144"/>
      <c r="EA117" s="144"/>
      <c r="EB117" s="145"/>
      <c r="EC117" s="77"/>
    </row>
    <row r="118" spans="2:133" ht="13.5" thickBot="1">
      <c r="B118" s="38"/>
      <c r="C118" s="38"/>
      <c r="D118" s="38"/>
      <c r="E118" s="41" t="s">
        <v>5</v>
      </c>
      <c r="F118" s="42">
        <f>F19</f>
        <v>973.890625</v>
      </c>
      <c r="G118" s="181" t="s">
        <v>147</v>
      </c>
      <c r="H118" s="181"/>
      <c r="I118" s="181"/>
      <c r="J118" s="181"/>
      <c r="K118" s="182"/>
      <c r="CS118" s="150"/>
      <c r="CT118" s="76"/>
      <c r="CU118" s="146"/>
      <c r="CV118" s="147"/>
      <c r="CW118" s="147"/>
      <c r="CX118" s="148"/>
      <c r="CY118" s="76"/>
      <c r="CZ118" s="146"/>
      <c r="DA118" s="147"/>
      <c r="DB118" s="147"/>
      <c r="DC118" s="148"/>
      <c r="DD118" s="76"/>
      <c r="DE118" s="146"/>
      <c r="DF118" s="147"/>
      <c r="DG118" s="147"/>
      <c r="DH118" s="148"/>
      <c r="DI118" s="76"/>
      <c r="DJ118" s="146"/>
      <c r="DK118" s="147"/>
      <c r="DL118" s="147"/>
      <c r="DM118" s="148"/>
      <c r="DN118" s="76"/>
      <c r="DO118" s="146"/>
      <c r="DP118" s="147"/>
      <c r="DQ118" s="147"/>
      <c r="DR118" s="148"/>
      <c r="DS118" s="76"/>
      <c r="DT118" s="146"/>
      <c r="DU118" s="147"/>
      <c r="DV118" s="147"/>
      <c r="DW118" s="148"/>
      <c r="DX118" s="76"/>
      <c r="DY118" s="146"/>
      <c r="DZ118" s="147"/>
      <c r="EA118" s="147"/>
      <c r="EB118" s="148"/>
      <c r="EC118" s="77"/>
    </row>
    <row r="119" spans="2:133" ht="13.5" thickBot="1">
      <c r="B119" s="38"/>
      <c r="C119" s="38"/>
      <c r="D119" s="38"/>
      <c r="E119" s="43" t="s">
        <v>35</v>
      </c>
      <c r="F119" s="44">
        <f>H19</f>
        <v>824.890625</v>
      </c>
      <c r="G119" s="183" t="s">
        <v>147</v>
      </c>
      <c r="H119" s="183"/>
      <c r="I119" s="183"/>
      <c r="J119" s="183"/>
      <c r="K119" s="184"/>
      <c r="CS119" s="150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7"/>
    </row>
    <row r="120" spans="2:133" ht="12.75">
      <c r="B120" s="38"/>
      <c r="C120" s="38"/>
      <c r="D120" s="38"/>
      <c r="E120" s="41" t="s">
        <v>36</v>
      </c>
      <c r="F120" s="42">
        <f>J19</f>
        <v>817.890625</v>
      </c>
      <c r="G120" s="181" t="s">
        <v>147</v>
      </c>
      <c r="H120" s="181"/>
      <c r="I120" s="181"/>
      <c r="J120" s="181"/>
      <c r="K120" s="182"/>
      <c r="CS120" s="150"/>
      <c r="CT120" s="76"/>
      <c r="CU120" s="140" t="s">
        <v>238</v>
      </c>
      <c r="CV120" s="141"/>
      <c r="CW120" s="141"/>
      <c r="CX120" s="142"/>
      <c r="CY120" s="76"/>
      <c r="CZ120" s="140" t="s">
        <v>6</v>
      </c>
      <c r="DA120" s="141"/>
      <c r="DB120" s="141"/>
      <c r="DC120" s="142"/>
      <c r="DD120" s="76"/>
      <c r="DE120" s="140" t="s">
        <v>8</v>
      </c>
      <c r="DF120" s="141"/>
      <c r="DG120" s="141"/>
      <c r="DH120" s="142"/>
      <c r="DI120" s="76"/>
      <c r="DJ120" s="140" t="s">
        <v>239</v>
      </c>
      <c r="DK120" s="141"/>
      <c r="DL120" s="141"/>
      <c r="DM120" s="142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7"/>
    </row>
    <row r="121" spans="2:133" ht="13.5" thickBot="1">
      <c r="B121" s="38"/>
      <c r="C121" s="38"/>
      <c r="D121" s="38"/>
      <c r="E121" s="45" t="s">
        <v>8</v>
      </c>
      <c r="F121" s="46">
        <f>L19</f>
        <v>722.890625</v>
      </c>
      <c r="G121" s="185" t="s">
        <v>147</v>
      </c>
      <c r="H121" s="185"/>
      <c r="I121" s="185"/>
      <c r="J121" s="185"/>
      <c r="K121" s="186"/>
      <c r="CS121" s="150"/>
      <c r="CT121" s="76"/>
      <c r="CU121" s="143">
        <f>DC68/100</f>
        <v>0.23692307692307701</v>
      </c>
      <c r="CV121" s="144"/>
      <c r="CW121" s="144"/>
      <c r="CX121" s="145"/>
      <c r="CY121" s="76"/>
      <c r="CZ121" s="143">
        <f>DD68/100</f>
        <v>0.293076923076923</v>
      </c>
      <c r="DA121" s="144"/>
      <c r="DB121" s="144"/>
      <c r="DC121" s="145"/>
      <c r="DD121" s="76"/>
      <c r="DE121" s="143">
        <f>DE68/100</f>
        <v>0.173846153846154</v>
      </c>
      <c r="DF121" s="144"/>
      <c r="DG121" s="144"/>
      <c r="DH121" s="145"/>
      <c r="DI121" s="76"/>
      <c r="DJ121" s="143">
        <f>DF68/100</f>
        <v>0.14</v>
      </c>
      <c r="DK121" s="144"/>
      <c r="DL121" s="144"/>
      <c r="DM121" s="145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7"/>
    </row>
    <row r="122" spans="97:133" ht="13.5" thickBot="1">
      <c r="CS122" s="150"/>
      <c r="CT122" s="76"/>
      <c r="CU122" s="146"/>
      <c r="CV122" s="147"/>
      <c r="CW122" s="147"/>
      <c r="CX122" s="148"/>
      <c r="CY122" s="76"/>
      <c r="CZ122" s="146"/>
      <c r="DA122" s="147"/>
      <c r="DB122" s="147"/>
      <c r="DC122" s="148"/>
      <c r="DD122" s="76"/>
      <c r="DE122" s="146"/>
      <c r="DF122" s="147"/>
      <c r="DG122" s="147"/>
      <c r="DH122" s="148"/>
      <c r="DI122" s="76"/>
      <c r="DJ122" s="146"/>
      <c r="DK122" s="147"/>
      <c r="DL122" s="147"/>
      <c r="DM122" s="148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7"/>
    </row>
    <row r="123" spans="2:133" ht="13.5" thickBot="1">
      <c r="B123" s="177" t="s">
        <v>0</v>
      </c>
      <c r="C123" s="178"/>
      <c r="D123" s="30">
        <v>8</v>
      </c>
      <c r="E123" s="39" t="s">
        <v>3</v>
      </c>
      <c r="F123" s="40">
        <f>D20</f>
        <v>526.9453125</v>
      </c>
      <c r="G123" s="179" t="s">
        <v>147</v>
      </c>
      <c r="H123" s="179"/>
      <c r="I123" s="179"/>
      <c r="J123" s="179"/>
      <c r="K123" s="180"/>
      <c r="CS123" s="151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1"/>
    </row>
    <row r="124" spans="2:11" ht="12.75">
      <c r="B124" s="38"/>
      <c r="C124" s="38"/>
      <c r="D124" s="38"/>
      <c r="E124" s="41" t="s">
        <v>5</v>
      </c>
      <c r="F124" s="42">
        <f>F20</f>
        <v>974.9453125</v>
      </c>
      <c r="G124" s="181" t="s">
        <v>147</v>
      </c>
      <c r="H124" s="181"/>
      <c r="I124" s="181"/>
      <c r="J124" s="181"/>
      <c r="K124" s="182"/>
    </row>
    <row r="125" spans="2:127" ht="13.5" thickBot="1">
      <c r="B125" s="38"/>
      <c r="C125" s="38"/>
      <c r="D125" s="38"/>
      <c r="E125" s="43" t="s">
        <v>35</v>
      </c>
      <c r="F125" s="44">
        <f>H20</f>
        <v>825.9453125</v>
      </c>
      <c r="G125" s="183" t="s">
        <v>147</v>
      </c>
      <c r="H125" s="183"/>
      <c r="I125" s="183"/>
      <c r="J125" s="183"/>
      <c r="K125" s="184"/>
      <c r="DP125" s="4"/>
      <c r="DQ125" s="4"/>
      <c r="DR125" s="4"/>
      <c r="DS125" s="4"/>
      <c r="DT125" s="4"/>
      <c r="DU125" s="4"/>
      <c r="DV125" s="4"/>
      <c r="DW125" s="4"/>
    </row>
    <row r="126" spans="2:127" ht="13.5" thickTop="1">
      <c r="B126" s="38"/>
      <c r="C126" s="38"/>
      <c r="D126" s="38"/>
      <c r="E126" s="41" t="s">
        <v>36</v>
      </c>
      <c r="F126" s="42">
        <f>J20</f>
        <v>818.9453125</v>
      </c>
      <c r="G126" s="181" t="s">
        <v>147</v>
      </c>
      <c r="H126" s="181"/>
      <c r="I126" s="181"/>
      <c r="J126" s="181"/>
      <c r="K126" s="182"/>
      <c r="CS126" s="117"/>
      <c r="CT126" s="249" t="s">
        <v>299</v>
      </c>
      <c r="CU126" s="249"/>
      <c r="CV126" s="249"/>
      <c r="CW126" s="249"/>
      <c r="CX126" s="249"/>
      <c r="CY126" s="249"/>
      <c r="CZ126" s="249"/>
      <c r="DA126" s="249"/>
      <c r="DB126" s="249"/>
      <c r="DC126" s="249"/>
      <c r="DD126" s="249"/>
      <c r="DE126" s="249"/>
      <c r="DF126" s="249"/>
      <c r="DG126" s="249"/>
      <c r="DH126" s="249"/>
      <c r="DI126" s="249"/>
      <c r="DJ126" s="249"/>
      <c r="DK126" s="249"/>
      <c r="DL126" s="249"/>
      <c r="DM126" s="249"/>
      <c r="DN126" s="75"/>
      <c r="DP126" s="7"/>
      <c r="DQ126" s="7"/>
      <c r="DR126" s="7"/>
      <c r="DS126" s="7"/>
      <c r="DT126" s="7"/>
      <c r="DU126" s="7"/>
      <c r="DV126" s="7"/>
      <c r="DW126" s="7"/>
    </row>
    <row r="127" spans="2:127" ht="13.5" thickBot="1">
      <c r="B127" s="38"/>
      <c r="C127" s="38"/>
      <c r="D127" s="38"/>
      <c r="E127" s="45" t="s">
        <v>8</v>
      </c>
      <c r="F127" s="46">
        <f>L20</f>
        <v>723.9453125</v>
      </c>
      <c r="G127" s="185" t="s">
        <v>147</v>
      </c>
      <c r="H127" s="185"/>
      <c r="I127" s="185"/>
      <c r="J127" s="185"/>
      <c r="K127" s="186"/>
      <c r="CS127" s="118"/>
      <c r="CT127" s="250"/>
      <c r="CU127" s="250"/>
      <c r="CV127" s="250"/>
      <c r="CW127" s="250"/>
      <c r="CX127" s="250"/>
      <c r="CY127" s="250"/>
      <c r="CZ127" s="250"/>
      <c r="DA127" s="250"/>
      <c r="DB127" s="250"/>
      <c r="DC127" s="250"/>
      <c r="DD127" s="250"/>
      <c r="DE127" s="250"/>
      <c r="DF127" s="250"/>
      <c r="DG127" s="250"/>
      <c r="DH127" s="250"/>
      <c r="DI127" s="250"/>
      <c r="DJ127" s="250"/>
      <c r="DK127" s="250"/>
      <c r="DL127" s="250"/>
      <c r="DM127" s="250"/>
      <c r="DN127" s="77"/>
      <c r="DP127" s="244" t="s">
        <v>260</v>
      </c>
      <c r="DQ127" s="244"/>
      <c r="DR127" s="244"/>
      <c r="DS127" s="7"/>
      <c r="DT127" s="244">
        <f>VLOOKUP($G$5,$BZ$3:$CL$64,13,FALSE)+(CU131*0.028+CZ131*0.01+E74*0.00025+E76*0.0005-CU132*0.00015)</f>
        <v>1.09</v>
      </c>
      <c r="DU127" s="244"/>
      <c r="DV127" s="244"/>
      <c r="DW127" s="244"/>
    </row>
    <row r="128" spans="97:127" ht="13.5" thickBot="1">
      <c r="CS128" s="118"/>
      <c r="CT128" s="109"/>
      <c r="CU128" s="110"/>
      <c r="CV128" s="110"/>
      <c r="CW128" s="110"/>
      <c r="CX128" s="110"/>
      <c r="CY128" s="110"/>
      <c r="CZ128" s="110"/>
      <c r="DA128" s="110"/>
      <c r="DB128" s="110"/>
      <c r="DC128" s="111"/>
      <c r="DD128" s="76"/>
      <c r="DE128" s="232" t="s">
        <v>255</v>
      </c>
      <c r="DF128" s="233"/>
      <c r="DG128" s="233"/>
      <c r="DH128" s="233"/>
      <c r="DI128" s="86"/>
      <c r="DJ128" s="245">
        <f>(DB65*DC65)/DT127</f>
        <v>281.7201834862385</v>
      </c>
      <c r="DK128" s="245"/>
      <c r="DL128" s="245"/>
      <c r="DM128" s="246"/>
      <c r="DN128" s="77"/>
      <c r="DP128" s="7"/>
      <c r="DQ128" s="7"/>
      <c r="DR128" s="7"/>
      <c r="DS128" s="7"/>
      <c r="DT128" s="7"/>
      <c r="DU128" s="7"/>
      <c r="DV128" s="7"/>
      <c r="DW128" s="7"/>
    </row>
    <row r="129" spans="8:127" ht="13.5" thickBot="1">
      <c r="H129" s="139"/>
      <c r="CS129" s="118"/>
      <c r="CT129" s="41"/>
      <c r="CU129" s="234" t="s">
        <v>252</v>
      </c>
      <c r="CV129" s="235"/>
      <c r="CW129" s="235"/>
      <c r="CX129" s="236"/>
      <c r="CY129" s="76"/>
      <c r="CZ129" s="234" t="s">
        <v>261</v>
      </c>
      <c r="DA129" s="235"/>
      <c r="DB129" s="235"/>
      <c r="DC129" s="240"/>
      <c r="DD129" s="76"/>
      <c r="DE129" s="232" t="s">
        <v>256</v>
      </c>
      <c r="DF129" s="233"/>
      <c r="DG129" s="233"/>
      <c r="DH129" s="233"/>
      <c r="DI129" s="86"/>
      <c r="DJ129" s="245">
        <f>DJ128/DB65</f>
        <v>3.9678899082568804</v>
      </c>
      <c r="DK129" s="245"/>
      <c r="DL129" s="245"/>
      <c r="DM129" s="246"/>
      <c r="DN129" s="77"/>
      <c r="DP129" s="4"/>
      <c r="DQ129" s="4"/>
      <c r="DR129" s="4"/>
      <c r="DS129" s="4"/>
      <c r="DT129" s="4"/>
      <c r="DU129" s="4"/>
      <c r="DV129" s="4"/>
      <c r="DW129" s="4"/>
    </row>
    <row r="130" spans="3:118" ht="14.25" thickBot="1">
      <c r="C130" s="166"/>
      <c r="E130" s="169" t="s">
        <v>291</v>
      </c>
      <c r="F130" s="170"/>
      <c r="G130" s="17" t="s">
        <v>97</v>
      </c>
      <c r="H130" s="131"/>
      <c r="I130" s="169" t="s">
        <v>292</v>
      </c>
      <c r="J130" s="170"/>
      <c r="K130" s="17" t="s">
        <v>97</v>
      </c>
      <c r="L130" s="131"/>
      <c r="M130" s="169" t="s">
        <v>297</v>
      </c>
      <c r="N130" s="170"/>
      <c r="O130" s="83" t="s">
        <v>97</v>
      </c>
      <c r="CS130" s="118"/>
      <c r="CT130" s="41"/>
      <c r="CU130" s="237"/>
      <c r="CV130" s="238"/>
      <c r="CW130" s="238"/>
      <c r="CX130" s="239"/>
      <c r="CY130" s="76"/>
      <c r="CZ130" s="237"/>
      <c r="DA130" s="238"/>
      <c r="DB130" s="238"/>
      <c r="DC130" s="241"/>
      <c r="DD130" s="76"/>
      <c r="DE130" s="232" t="s">
        <v>257</v>
      </c>
      <c r="DF130" s="233"/>
      <c r="DG130" s="233"/>
      <c r="DH130" s="233"/>
      <c r="DI130" s="86"/>
      <c r="DJ130" s="245">
        <f>DJ128/(DC65*DB65)</f>
        <v>0.9174311926605504</v>
      </c>
      <c r="DK130" s="245"/>
      <c r="DL130" s="245"/>
      <c r="DM130" s="246"/>
      <c r="DN130" s="77"/>
    </row>
    <row r="131" spans="3:118" ht="14.25" thickBot="1">
      <c r="C131" s="166"/>
      <c r="E131" s="18" t="s">
        <v>14</v>
      </c>
      <c r="F131" s="19">
        <f>F24</f>
        <v>459.97265625</v>
      </c>
      <c r="G131" s="20">
        <f>G24</f>
        <v>494.97265625</v>
      </c>
      <c r="H131" s="131">
        <f>ROUND(IF($N$82="sec",IF($N$86="sec",IF($N$88&gt;0,(F131+($N$88*4.1)),(F131+($N$88*(4.1)))),IF($N$88&gt;0,($N$88*4.1),($N$88*(4.1)))+(($N$87*(-3.898))+202.5)+F131),IF($N$86="pluie",IF($N$88&gt;0,(F131+($N$88*0.66)),(F131+($N$88*(0.66)))),IF($N$88&gt;0,($N$88*0.66),($N$88*(0.66)))+(($N$87*(3.898))-202.5)+F131)),0)</f>
        <v>460</v>
      </c>
      <c r="I131" s="18" t="s">
        <v>14</v>
      </c>
      <c r="J131" s="19">
        <f aca="true" t="shared" si="143" ref="J131:J136">IF(H131&lt;0,1,IF(H131&gt;999,999,H131))</f>
        <v>460</v>
      </c>
      <c r="K131" s="20">
        <f>J131+M10</f>
        <v>495</v>
      </c>
      <c r="L131" s="131">
        <f>ROUND(IF($N$82="sec",IF($N$90="sec",IF($N$92&gt;0,(F131+($N$92*4.1)),(F131+($N$92*(4.1)))),IF($N$92&gt;0,($N$92*4.1),($N$92*(4.1)))+(($N$91*(-3.898))+202.5)+F131),IF($N$90="pluie",IF($N$92&gt;0,(F131+($N$92*0.66)),(F131+($N$92*(0.66)))),IF($N$92&gt;0,($N$92*0.66),($N$92*(0.66)))+(($N$91*(3.898))-202.5)+F131)),0)</f>
        <v>460</v>
      </c>
      <c r="M131" s="18" t="s">
        <v>14</v>
      </c>
      <c r="N131" s="19">
        <f aca="true" t="shared" si="144" ref="N131:N136">IF(L131&lt;0,1,IF(L131&gt;999,999,L131))</f>
        <v>460</v>
      </c>
      <c r="O131" s="84">
        <f>N131+M11</f>
        <v>495</v>
      </c>
      <c r="CS131" s="118"/>
      <c r="CT131" s="112" t="s">
        <v>253</v>
      </c>
      <c r="CU131" s="242">
        <v>0</v>
      </c>
      <c r="CV131" s="242"/>
      <c r="CW131" s="242"/>
      <c r="CX131" s="242"/>
      <c r="CY131" s="76"/>
      <c r="CZ131" s="242">
        <v>0</v>
      </c>
      <c r="DA131" s="242"/>
      <c r="DB131" s="242"/>
      <c r="DC131" s="243"/>
      <c r="DD131" s="76"/>
      <c r="DE131" s="85"/>
      <c r="DF131" s="85"/>
      <c r="DG131" s="85"/>
      <c r="DH131" s="85"/>
      <c r="DI131" s="85"/>
      <c r="DJ131" s="85"/>
      <c r="DK131" s="85"/>
      <c r="DL131" s="85"/>
      <c r="DM131" s="85"/>
      <c r="DN131" s="77"/>
    </row>
    <row r="132" spans="3:118" ht="14.25" thickBot="1">
      <c r="C132" s="166"/>
      <c r="E132" s="18" t="s">
        <v>15</v>
      </c>
      <c r="F132" s="19">
        <f>F25</f>
        <v>459.97265625</v>
      </c>
      <c r="G132" s="20">
        <f>G25</f>
        <v>424.97265625</v>
      </c>
      <c r="H132" s="131">
        <f>ROUND(IF($N$82="sec",IF($N$86="sec",IF($N$88&gt;0,(F132+($N$88*4.1)),(F132+($N$88*(4.1)))),IF($N$88&gt;0,($N$88*4.1),($N$88*(4.1)))+(($N$87*(-3.898))+202.5)+F132),IF($N$86="pluie",IF($N$88&gt;0,(F132+($N$88*0.66)),(F132+($N$88*(0.66)))),IF($N$88&gt;0,($N$88*0.66),($N$88*(0.66)))+(($N$87*(3.898))-202.5)+F132)),0)</f>
        <v>460</v>
      </c>
      <c r="I132" s="18" t="s">
        <v>15</v>
      </c>
      <c r="J132" s="19">
        <f t="shared" si="143"/>
        <v>460</v>
      </c>
      <c r="K132" s="20">
        <f>J132+N10</f>
        <v>425</v>
      </c>
      <c r="L132" s="131">
        <f>ROUND(IF($N$82="sec",IF($N$90="sec",IF($N$92&gt;0,(F132+($N$92*4.1)),(F132+($N$92*(4.1)))),IF($N$92&gt;0,($N$92*4.1),($N$92*(4.1)))+(($N$91*(-3.898))+202.5)+F132),IF($N$90="pluie",IF($N$92&gt;0,(F132+($N$92*0.66)),(F132+($N$92*(0.66)))),IF($N$92&gt;0,($N$92*0.66),($N$92*(0.66)))+(($N$91*(3.898))-202.5)+F132)),0)</f>
        <v>460</v>
      </c>
      <c r="M132" s="18" t="s">
        <v>15</v>
      </c>
      <c r="N132" s="19">
        <f t="shared" si="144"/>
        <v>460</v>
      </c>
      <c r="O132" s="84">
        <f>N132+N11</f>
        <v>425</v>
      </c>
      <c r="CS132" s="118"/>
      <c r="CT132" s="113" t="s">
        <v>254</v>
      </c>
      <c r="CU132" s="242">
        <v>0</v>
      </c>
      <c r="CV132" s="242"/>
      <c r="CW132" s="242"/>
      <c r="CX132" s="242"/>
      <c r="CY132" s="76"/>
      <c r="CZ132" s="242">
        <v>0</v>
      </c>
      <c r="DA132" s="242"/>
      <c r="DB132" s="242"/>
      <c r="DC132" s="243"/>
      <c r="DD132" s="76"/>
      <c r="DE132" s="232" t="s">
        <v>258</v>
      </c>
      <c r="DF132" s="233"/>
      <c r="DG132" s="233"/>
      <c r="DH132" s="233"/>
      <c r="DI132" s="116"/>
      <c r="DJ132" s="247">
        <v>0</v>
      </c>
      <c r="DK132" s="247"/>
      <c r="DL132" s="247"/>
      <c r="DM132" s="248"/>
      <c r="DN132" s="77"/>
    </row>
    <row r="133" spans="3:118" ht="13.5" thickBot="1">
      <c r="C133" s="166"/>
      <c r="E133" s="18" t="s">
        <v>16</v>
      </c>
      <c r="F133" s="19">
        <f>F26</f>
        <v>907.97265625</v>
      </c>
      <c r="G133" s="20">
        <f>F133</f>
        <v>907.97265625</v>
      </c>
      <c r="H133" s="131">
        <f>ROUND(IF($N$82="sec",IF($N$86="sec",IF($N$88&gt;0,(F133-($N$88*3.5)),(F133+($N$88*(-3.5)))),IF($N$88&gt;0,-($N$88*3.5),($N$88*(-3.5)))+(($N$87*4.844)-225.2)+F133),IF($N$86="pluie",IF($N$88&gt;0,(F133+($N$88*(0.83))),(F133+($N$88*(0.83)))),IF($N$88&gt;0,($N$88*(0.83)),($N$88*(-0.83)))+(($N$87*(-4.844))+225.2)+F133)),0)</f>
        <v>908</v>
      </c>
      <c r="I133" s="18" t="s">
        <v>16</v>
      </c>
      <c r="J133" s="19">
        <f t="shared" si="143"/>
        <v>908</v>
      </c>
      <c r="K133" s="20">
        <f>J133</f>
        <v>908</v>
      </c>
      <c r="L133" s="131">
        <f>ROUND(IF($N$82="sec",IF($N$90="sec",IF($N$92&gt;0,(F133-($N$92*3.5)),(F133+($N$92*(-3.5)))),IF($N$92&gt;0,-($N$92*3.5),($N$92*(-3.5)))+(($N$91*(4.844))-225.2)+F133),IF($N$90="pluie",IF($N$92&gt;0,(F133+($N$92*(0.83))),(F133+($N$92*(0.83)))),IF($N$92&gt;0,($N$92*(0.83)),($N$92*(0.83)))+(($N$91*(-4.844))+225.2)+F133)),0)</f>
        <v>908</v>
      </c>
      <c r="M133" s="18" t="s">
        <v>16</v>
      </c>
      <c r="N133" s="19">
        <f t="shared" si="144"/>
        <v>908</v>
      </c>
      <c r="O133" s="84">
        <f>N133</f>
        <v>908</v>
      </c>
      <c r="CS133" s="118"/>
      <c r="CT133" s="51"/>
      <c r="CU133" s="114"/>
      <c r="CV133" s="114"/>
      <c r="CW133" s="114"/>
      <c r="CX133" s="114"/>
      <c r="CY133" s="114"/>
      <c r="CZ133" s="114"/>
      <c r="DA133" s="114"/>
      <c r="DB133" s="114"/>
      <c r="DC133" s="115"/>
      <c r="DD133" s="76"/>
      <c r="DE133" s="232" t="s">
        <v>259</v>
      </c>
      <c r="DF133" s="233"/>
      <c r="DG133" s="233"/>
      <c r="DH133" s="233"/>
      <c r="DI133" s="86"/>
      <c r="DJ133" s="245">
        <f>DJ132*DJ129</f>
        <v>0</v>
      </c>
      <c r="DK133" s="245"/>
      <c r="DL133" s="245"/>
      <c r="DM133" s="246"/>
      <c r="DN133" s="77"/>
    </row>
    <row r="134" spans="3:118" ht="13.5" thickBot="1">
      <c r="C134" s="166"/>
      <c r="E134" s="18" t="s">
        <v>17</v>
      </c>
      <c r="F134" s="19">
        <f>F27</f>
        <v>758.97265625</v>
      </c>
      <c r="G134" s="20">
        <f>F134</f>
        <v>758.97265625</v>
      </c>
      <c r="H134" s="131">
        <f>ROUND(IF($N$82="sec",IF($N$86="sec",IF($N$88&gt;0,(F134+($N$88*6)),(F134+($N$88*(6)))),IF($N$88&gt;0,($N$88*6),($N$88*(6)))+(($N$87*(-0.877))+84.14)+F134),IF($N$86="pluie",IF($N$88&gt;0,(F134+($N$88*4)),(F134+($N$88*(4)))),IF($N$88&gt;0,($N$88*4),($N$88*(4)))+(($N$87*(0.877))-84.14)+F134)),0)</f>
        <v>759</v>
      </c>
      <c r="I134" s="18" t="s">
        <v>17</v>
      </c>
      <c r="J134" s="19">
        <f t="shared" si="143"/>
        <v>759</v>
      </c>
      <c r="K134" s="20">
        <f>J134</f>
        <v>759</v>
      </c>
      <c r="L134" s="131">
        <f>ROUND(IF($N$82="sec",IF($N$90="sec",IF($N$92&gt;0,(F134+($N$92*6)),(F134+($N$92*(6)))),IF($N$92&gt;0,($N$92*6),($N$92*(6)))+(($N$91*(-0.877))+84.14)+F134),IF($N$90="pluie",IF($N$92&gt;0,(F134+($N$92*4)),(F134+($N$92*(4)))),IF($N$92&gt;0,($N$92*4),($N$92*(4)))+(($N$91*(0.877))-84.14)+F134)),0)</f>
        <v>759</v>
      </c>
      <c r="M134" s="18" t="s">
        <v>17</v>
      </c>
      <c r="N134" s="19">
        <f t="shared" si="144"/>
        <v>759</v>
      </c>
      <c r="O134" s="84">
        <f>N134</f>
        <v>759</v>
      </c>
      <c r="CS134" s="119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1"/>
    </row>
    <row r="135" spans="3:15" ht="13.5" thickTop="1">
      <c r="C135" s="166"/>
      <c r="E135" s="18" t="s">
        <v>18</v>
      </c>
      <c r="F135" s="19">
        <f>F28</f>
        <v>751.97265625</v>
      </c>
      <c r="G135" s="20">
        <f>F135</f>
        <v>751.97265625</v>
      </c>
      <c r="H135" s="131">
        <f>ROUND(IF($N$82="sec",IF($N$86="sec",IF($N$88&gt;0,(F135-($N$88*4)),(F135+($N$88*(-4)))),IF($N$88&gt;0,-($N$88*4),($N$88*(-4)))+(($N$87*(-3.502))-45.02)+F135),IF($N$86="pluie",IF($N$88&gt;0,(F135-($N$88*8.03)),(F135+($N$88*(-8.03)))),IF($N$88&gt;0,-($N$88*8.03),($N$88*(8.03)))+(($N$87*(3.502))+45.02)+F135)),0)</f>
        <v>752</v>
      </c>
      <c r="I135" s="18" t="s">
        <v>18</v>
      </c>
      <c r="J135" s="19">
        <f t="shared" si="143"/>
        <v>752</v>
      </c>
      <c r="K135" s="20">
        <f>J135</f>
        <v>752</v>
      </c>
      <c r="L135" s="131">
        <f>ROUND(IF($N$82="sec",IF($N$90="sec",IF($N$92&gt;0,(F135-($N$92*4)),(F135+($N$92*(-4)))),IF($N$92&gt;0,-($N$92*4),($N$92*(-4)))+(($N$91*(-3.502))-45.02)+F135),IF($N$90="pluie",IF($N$92&gt;0,(F135-($N$92*8.03)),(F135+($N$92*(-8.03)))),IF($N$92&gt;0,-($N$92*8.03),($N$92*(-8.03)))+(($N$91*(3.502))+45.02)+F135)),0)</f>
        <v>752</v>
      </c>
      <c r="M135" s="18" t="s">
        <v>18</v>
      </c>
      <c r="N135" s="19">
        <f t="shared" si="144"/>
        <v>752</v>
      </c>
      <c r="O135" s="84">
        <f>N135</f>
        <v>752</v>
      </c>
    </row>
    <row r="136" spans="3:15" ht="13.5" thickBot="1">
      <c r="C136" s="166"/>
      <c r="E136" s="21" t="s">
        <v>19</v>
      </c>
      <c r="F136" s="22">
        <f>F29</f>
        <v>656.97265625</v>
      </c>
      <c r="G136" s="20">
        <f>F136</f>
        <v>656.97265625</v>
      </c>
      <c r="H136" s="131">
        <f>ROUND(IF($N$82="sec",IF($N$86="sec",IF($N$88&gt;0,(F136-($N$88*6)),(F136+($N$88*(-6)))),IF($N$88&gt;0,-($N$88*6),($N$88*(-6)))+(($N$87*(4.907))-240.6)+F136),IF($N$86="pluie",IF($N$88&gt;0,(F136-($N$88*1)),(F136+($N$88*(-1)))),IF($N$88&gt;0,-($N$88*1),($N$88*(-1)))+(($N$87*(-4.907))+240.6)+F136)),0)</f>
        <v>657</v>
      </c>
      <c r="I136" s="21" t="s">
        <v>19</v>
      </c>
      <c r="J136" s="22">
        <f t="shared" si="143"/>
        <v>657</v>
      </c>
      <c r="K136" s="20">
        <f>J136</f>
        <v>657</v>
      </c>
      <c r="L136" s="131">
        <f>ROUND(IF($N$82="sec",IF($N$90="sec",IF($N$92&gt;0,(F136-($N$92*6)),(F136+($N$92*(-6)))),IF($N$92&gt;0,-($N$92*6),($N$92*(-6)))+(($N$91*(4.907))-240.6)+F136),IF($N$90="pluie",IF($N$92&gt;0,(F136-($N$92*1)),(F136+($N$92*(-1)))),IF($N$92&gt;0,-($N$92*1),($N$92*(-1)))+(($N$91*(-4.907))+240.6)+F136)),0)</f>
        <v>657</v>
      </c>
      <c r="M136" s="21" t="s">
        <v>19</v>
      </c>
      <c r="N136" s="22">
        <f t="shared" si="144"/>
        <v>657</v>
      </c>
      <c r="O136" s="84">
        <f>N136</f>
        <v>657</v>
      </c>
    </row>
    <row r="137" spans="8:15" ht="12.75">
      <c r="H137" s="131"/>
      <c r="I137" s="167"/>
      <c r="J137" s="167"/>
      <c r="K137" s="167"/>
      <c r="L137" s="131"/>
      <c r="M137" s="167"/>
      <c r="N137" s="167"/>
      <c r="O137" s="167"/>
    </row>
    <row r="138" spans="8:15" ht="12.75">
      <c r="H138" s="139"/>
      <c r="M138" s="168"/>
      <c r="N138" s="168"/>
      <c r="O138" s="168"/>
    </row>
    <row r="139" spans="4:12" ht="13.5" thickBot="1">
      <c r="D139" s="4"/>
      <c r="E139" s="4"/>
      <c r="F139" s="4"/>
      <c r="G139" s="4"/>
      <c r="H139" s="139"/>
      <c r="I139" s="4"/>
      <c r="J139" s="4"/>
      <c r="K139" s="4"/>
      <c r="L139" s="4"/>
    </row>
    <row r="140" spans="2:12" ht="13.5" thickBot="1">
      <c r="B140" s="187" t="s">
        <v>163</v>
      </c>
      <c r="C140" s="188"/>
      <c r="D140" s="188"/>
      <c r="E140" s="189" t="s">
        <v>164</v>
      </c>
      <c r="F140" s="190"/>
      <c r="G140" s="4"/>
      <c r="H140" s="4"/>
      <c r="I140" s="4"/>
      <c r="J140" s="4"/>
      <c r="K140" s="4"/>
      <c r="L140" s="4"/>
    </row>
    <row r="141" spans="4:12" ht="13.5" thickBot="1">
      <c r="D141" s="4"/>
      <c r="E141" s="53"/>
      <c r="F141" s="54"/>
      <c r="G141" s="4"/>
      <c r="H141" s="4"/>
      <c r="I141" s="4"/>
      <c r="J141" s="4"/>
      <c r="K141" s="4"/>
      <c r="L141" s="4"/>
    </row>
    <row r="142" spans="4:12" ht="13.5" thickBot="1">
      <c r="D142" s="4"/>
      <c r="E142" s="55" t="s">
        <v>166</v>
      </c>
      <c r="F142" s="1">
        <v>0</v>
      </c>
      <c r="G142" s="4"/>
      <c r="H142" s="4"/>
      <c r="I142" s="4"/>
      <c r="J142" s="4"/>
      <c r="K142" s="4"/>
      <c r="L142" s="4"/>
    </row>
    <row r="143" spans="4:12" ht="13.5" thickBot="1">
      <c r="D143" s="4"/>
      <c r="E143" s="55"/>
      <c r="F143" s="56"/>
      <c r="G143" s="4"/>
      <c r="H143" s="4"/>
      <c r="I143" s="4"/>
      <c r="J143" s="4"/>
      <c r="K143" s="4"/>
      <c r="L143" s="4"/>
    </row>
    <row r="144" spans="4:12" ht="13.5" thickBot="1">
      <c r="D144" s="4"/>
      <c r="E144" s="55" t="s">
        <v>167</v>
      </c>
      <c r="F144" s="1">
        <v>0</v>
      </c>
      <c r="G144" s="4"/>
      <c r="H144" s="4"/>
      <c r="I144" s="4"/>
      <c r="J144" s="4"/>
      <c r="K144" s="4"/>
      <c r="L144" s="4"/>
    </row>
    <row r="145" spans="4:12" ht="13.5" thickBot="1">
      <c r="D145" s="4"/>
      <c r="E145" s="55"/>
      <c r="F145" s="56"/>
      <c r="G145" s="4"/>
      <c r="H145" s="4"/>
      <c r="I145" s="4"/>
      <c r="J145" s="4"/>
      <c r="K145" s="4"/>
      <c r="L145" s="4"/>
    </row>
    <row r="146" spans="4:12" ht="13.5" thickBot="1">
      <c r="D146" s="4"/>
      <c r="E146" s="55" t="s">
        <v>168</v>
      </c>
      <c r="F146" s="1">
        <v>0</v>
      </c>
      <c r="G146" s="4"/>
      <c r="H146" s="4"/>
      <c r="I146" s="4"/>
      <c r="J146" s="4"/>
      <c r="K146" s="4"/>
      <c r="L146" s="4"/>
    </row>
    <row r="147" spans="4:12" ht="13.5" thickBot="1">
      <c r="D147" s="4"/>
      <c r="E147" s="55"/>
      <c r="F147" s="56"/>
      <c r="G147" s="4"/>
      <c r="H147" s="4"/>
      <c r="I147" s="4"/>
      <c r="J147" s="4"/>
      <c r="K147" s="4"/>
      <c r="L147" s="4"/>
    </row>
    <row r="148" spans="4:12" ht="13.5" thickBot="1">
      <c r="D148" s="4"/>
      <c r="E148" s="57" t="s">
        <v>165</v>
      </c>
      <c r="F148" s="1">
        <v>0</v>
      </c>
      <c r="G148" s="4"/>
      <c r="H148" s="4"/>
      <c r="I148" s="4"/>
      <c r="J148" s="4"/>
      <c r="K148" s="4"/>
      <c r="L148" s="4"/>
    </row>
    <row r="149" spans="4:13" ht="12.75"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8.75">
      <c r="B150" s="165" t="s">
        <v>104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</row>
    <row r="151" spans="2:13" ht="13.5" thickBot="1">
      <c r="B151" s="23"/>
      <c r="C151" s="23"/>
      <c r="D151" s="24"/>
      <c r="E151" s="24"/>
      <c r="F151" s="24"/>
      <c r="G151" s="24"/>
      <c r="H151" s="24"/>
      <c r="I151" s="24"/>
      <c r="J151" s="4"/>
      <c r="K151" s="4"/>
      <c r="L151" s="4"/>
      <c r="M151" s="4"/>
    </row>
    <row r="152" spans="2:13" ht="13.5" thickBot="1">
      <c r="B152" s="25" t="s">
        <v>105</v>
      </c>
      <c r="C152" s="26"/>
      <c r="D152" s="26"/>
      <c r="E152" s="26"/>
      <c r="F152" s="26"/>
      <c r="G152" s="27"/>
      <c r="H152" s="28"/>
      <c r="I152" s="28"/>
      <c r="J152" s="29"/>
      <c r="K152" s="29"/>
      <c r="L152" s="29"/>
      <c r="M152" s="29"/>
    </row>
    <row r="153" spans="2:9" ht="12.75">
      <c r="B153" s="23" t="s">
        <v>106</v>
      </c>
      <c r="C153" s="23"/>
      <c r="D153" s="23"/>
      <c r="E153" s="23"/>
      <c r="F153" s="23"/>
      <c r="G153" s="23"/>
      <c r="H153" s="23"/>
      <c r="I153" s="23"/>
    </row>
    <row r="154" spans="2:9" ht="12.75">
      <c r="B154" s="23" t="s">
        <v>107</v>
      </c>
      <c r="C154" s="23"/>
      <c r="D154" s="23"/>
      <c r="E154" s="23"/>
      <c r="F154" s="23"/>
      <c r="G154" s="23"/>
      <c r="H154" s="23"/>
      <c r="I154" s="23"/>
    </row>
    <row r="155" spans="2:9" ht="12.75">
      <c r="B155" s="24" t="s">
        <v>108</v>
      </c>
      <c r="C155" s="23"/>
      <c r="D155" s="23"/>
      <c r="E155" s="23"/>
      <c r="F155" s="23"/>
      <c r="G155" s="23"/>
      <c r="H155" s="23"/>
      <c r="I155" s="23"/>
    </row>
    <row r="156" spans="3:9" ht="13.5" thickBot="1">
      <c r="C156" s="23"/>
      <c r="D156" s="23"/>
      <c r="E156" s="23"/>
      <c r="F156" s="23"/>
      <c r="G156" s="23"/>
      <c r="H156" s="23"/>
      <c r="I156" s="23"/>
    </row>
    <row r="157" spans="2:9" ht="13.5" thickBot="1">
      <c r="B157" s="25" t="s">
        <v>109</v>
      </c>
      <c r="C157" s="30"/>
      <c r="D157" s="30"/>
      <c r="E157" s="30"/>
      <c r="F157" s="30"/>
      <c r="G157" s="31"/>
      <c r="H157" s="23"/>
      <c r="I157" s="23"/>
    </row>
    <row r="158" spans="2:9" ht="12.75">
      <c r="B158" s="23" t="s">
        <v>114</v>
      </c>
      <c r="C158" s="23"/>
      <c r="D158" s="23"/>
      <c r="E158" s="23"/>
      <c r="F158" s="23"/>
      <c r="G158" s="23"/>
      <c r="H158" s="23"/>
      <c r="I158" s="23"/>
    </row>
    <row r="159" spans="2:9" ht="12.75">
      <c r="B159" s="23" t="s">
        <v>115</v>
      </c>
      <c r="C159" s="23"/>
      <c r="D159" s="23"/>
      <c r="E159" s="23"/>
      <c r="F159" s="23"/>
      <c r="G159" s="23"/>
      <c r="H159" s="23"/>
      <c r="I159" s="23"/>
    </row>
    <row r="160" spans="2:9" ht="13.5" thickBot="1">
      <c r="B160" s="23"/>
      <c r="C160" s="23"/>
      <c r="D160" s="23"/>
      <c r="E160" s="23"/>
      <c r="F160" s="23"/>
      <c r="G160" s="23"/>
      <c r="H160" s="23"/>
      <c r="I160" s="23"/>
    </row>
    <row r="161" spans="2:9" ht="13.5" thickBot="1">
      <c r="B161" s="25" t="s">
        <v>113</v>
      </c>
      <c r="C161" s="30"/>
      <c r="D161" s="30"/>
      <c r="E161" s="30"/>
      <c r="F161" s="30"/>
      <c r="G161" s="31"/>
      <c r="H161" s="23"/>
      <c r="I161" s="23"/>
    </row>
    <row r="162" spans="2:11" ht="12.75">
      <c r="B162" s="23" t="s">
        <v>110</v>
      </c>
      <c r="C162" s="23"/>
      <c r="D162" s="23"/>
      <c r="E162" s="23"/>
      <c r="F162" s="23"/>
      <c r="G162" s="23"/>
      <c r="H162" s="23"/>
      <c r="I162" s="23"/>
      <c r="K162" s="32"/>
    </row>
    <row r="163" spans="2:9" ht="12.75">
      <c r="B163" s="23" t="s">
        <v>111</v>
      </c>
      <c r="C163" s="23"/>
      <c r="D163" s="23"/>
      <c r="E163" s="23"/>
      <c r="F163" s="23"/>
      <c r="G163" s="23"/>
      <c r="H163" s="23"/>
      <c r="I163" s="23"/>
    </row>
    <row r="164" spans="2:9" ht="12.75">
      <c r="B164" s="23" t="s">
        <v>112</v>
      </c>
      <c r="C164" s="23"/>
      <c r="D164" s="23"/>
      <c r="E164" s="23"/>
      <c r="F164" s="23"/>
      <c r="G164" s="23"/>
      <c r="H164" s="23"/>
      <c r="I164" s="23"/>
    </row>
    <row r="165" spans="2:9" ht="13.5" thickBot="1">
      <c r="B165" s="23"/>
      <c r="C165" s="23"/>
      <c r="D165" s="23"/>
      <c r="E165" s="23"/>
      <c r="F165" s="23"/>
      <c r="G165" s="23"/>
      <c r="H165" s="23"/>
      <c r="I165" s="23"/>
    </row>
    <row r="166" spans="2:11" ht="13.5" thickBot="1">
      <c r="B166" s="25" t="s">
        <v>116</v>
      </c>
      <c r="C166" s="30"/>
      <c r="D166" s="30"/>
      <c r="E166" s="30"/>
      <c r="F166" s="30"/>
      <c r="G166" s="31"/>
      <c r="H166" s="23"/>
      <c r="I166" s="23"/>
      <c r="K166" s="33"/>
    </row>
    <row r="167" spans="2:9" ht="12.75">
      <c r="B167" s="23" t="s">
        <v>117</v>
      </c>
      <c r="C167" s="23"/>
      <c r="D167" s="23"/>
      <c r="E167" s="23"/>
      <c r="F167" s="23"/>
      <c r="G167" s="23"/>
      <c r="H167" s="23"/>
      <c r="I167" s="23"/>
    </row>
    <row r="168" spans="2:9" ht="12.75">
      <c r="B168" s="23" t="s">
        <v>118</v>
      </c>
      <c r="C168" s="23"/>
      <c r="D168" s="23"/>
      <c r="E168" s="23"/>
      <c r="F168" s="23"/>
      <c r="G168" s="23"/>
      <c r="H168" s="23"/>
      <c r="I168" s="23"/>
    </row>
    <row r="169" spans="2:9" ht="12.75">
      <c r="B169" s="34" t="s">
        <v>131</v>
      </c>
      <c r="C169" s="23"/>
      <c r="D169" s="23"/>
      <c r="E169" s="23"/>
      <c r="F169" s="23"/>
      <c r="G169" s="23"/>
      <c r="H169" s="23"/>
      <c r="I169" s="23"/>
    </row>
    <row r="170" spans="2:9" ht="12.75">
      <c r="B170" s="23" t="s">
        <v>119</v>
      </c>
      <c r="C170" s="23"/>
      <c r="D170" s="23"/>
      <c r="E170" s="23"/>
      <c r="F170" s="23"/>
      <c r="G170" s="23"/>
      <c r="H170" s="23"/>
      <c r="I170" s="23"/>
    </row>
    <row r="171" spans="2:9" ht="13.5" thickBot="1">
      <c r="B171" s="23"/>
      <c r="C171" s="23"/>
      <c r="D171" s="23"/>
      <c r="E171" s="23"/>
      <c r="F171" s="23"/>
      <c r="G171" s="23"/>
      <c r="H171" s="23"/>
      <c r="I171" s="23"/>
    </row>
    <row r="172" spans="2:9" ht="13.5" thickBot="1">
      <c r="B172" s="25" t="s">
        <v>120</v>
      </c>
      <c r="C172" s="30"/>
      <c r="D172" s="30"/>
      <c r="E172" s="30"/>
      <c r="F172" s="30"/>
      <c r="G172" s="31"/>
      <c r="H172" s="23"/>
      <c r="I172" s="23"/>
    </row>
    <row r="173" spans="2:9" ht="12.75">
      <c r="B173" s="23" t="s">
        <v>121</v>
      </c>
      <c r="C173" s="23"/>
      <c r="D173" s="23"/>
      <c r="E173" s="23"/>
      <c r="F173" s="23"/>
      <c r="G173" s="23"/>
      <c r="H173" s="23"/>
      <c r="I173" s="23"/>
    </row>
    <row r="174" spans="2:9" ht="12.75">
      <c r="B174" s="23" t="s">
        <v>122</v>
      </c>
      <c r="C174" s="23"/>
      <c r="D174" s="23"/>
      <c r="E174" s="23"/>
      <c r="F174" s="23"/>
      <c r="G174" s="23"/>
      <c r="H174" s="23"/>
      <c r="I174" s="23"/>
    </row>
    <row r="175" spans="2:9" ht="13.5" thickBot="1">
      <c r="B175" s="23"/>
      <c r="C175" s="23"/>
      <c r="D175" s="23"/>
      <c r="E175" s="23"/>
      <c r="F175" s="23"/>
      <c r="G175" s="23"/>
      <c r="H175" s="23"/>
      <c r="I175" s="23"/>
    </row>
    <row r="176" spans="2:9" ht="13.5" thickBot="1">
      <c r="B176" s="25" t="s">
        <v>123</v>
      </c>
      <c r="C176" s="30"/>
      <c r="D176" s="30"/>
      <c r="E176" s="30"/>
      <c r="F176" s="30"/>
      <c r="G176" s="31"/>
      <c r="H176" s="23"/>
      <c r="I176" s="23"/>
    </row>
    <row r="177" spans="2:9" ht="12.75">
      <c r="B177" s="23" t="s">
        <v>124</v>
      </c>
      <c r="C177" s="23"/>
      <c r="D177" s="23"/>
      <c r="E177" s="23"/>
      <c r="F177" s="23"/>
      <c r="G177" s="23"/>
      <c r="H177" s="23"/>
      <c r="I177" s="23"/>
    </row>
    <row r="178" spans="2:9" ht="12.75">
      <c r="B178" s="23" t="s">
        <v>125</v>
      </c>
      <c r="C178" s="23"/>
      <c r="D178" s="23"/>
      <c r="E178" s="23"/>
      <c r="F178" s="23"/>
      <c r="G178" s="23"/>
      <c r="H178" s="23"/>
      <c r="I178" s="23"/>
    </row>
    <row r="179" spans="2:9" ht="12.75">
      <c r="B179" s="23" t="s">
        <v>126</v>
      </c>
      <c r="C179" s="23"/>
      <c r="D179" s="23"/>
      <c r="E179" s="23"/>
      <c r="F179" s="23"/>
      <c r="G179" s="23"/>
      <c r="H179" s="23"/>
      <c r="I179" s="23"/>
    </row>
    <row r="180" spans="2:9" ht="13.5">
      <c r="B180" s="34" t="s">
        <v>130</v>
      </c>
      <c r="C180" s="23"/>
      <c r="D180" s="23"/>
      <c r="E180" s="23"/>
      <c r="F180" s="23"/>
      <c r="G180" s="23"/>
      <c r="H180" s="23"/>
      <c r="I180" s="23"/>
    </row>
    <row r="181" spans="2:9" ht="13.5" thickBot="1">
      <c r="B181" s="23"/>
      <c r="C181" s="23"/>
      <c r="D181" s="23"/>
      <c r="E181" s="23"/>
      <c r="F181" s="23"/>
      <c r="G181" s="23"/>
      <c r="H181" s="23"/>
      <c r="I181" s="23"/>
    </row>
    <row r="182" spans="2:7" ht="13.5" thickBot="1">
      <c r="B182" s="35" t="s">
        <v>127</v>
      </c>
      <c r="C182" s="36"/>
      <c r="D182" s="36"/>
      <c r="E182" s="36"/>
      <c r="F182" s="36"/>
      <c r="G182" s="37"/>
    </row>
    <row r="183" ht="12.75">
      <c r="B183" s="23" t="s">
        <v>128</v>
      </c>
    </row>
    <row r="184" ht="12.75">
      <c r="B184" s="23" t="s">
        <v>129</v>
      </c>
    </row>
  </sheetData>
  <sheetProtection password="F4A7" sheet="1"/>
  <mergeCells count="325">
    <mergeCell ref="DJ106:DL106"/>
    <mergeCell ref="DO106:DQ106"/>
    <mergeCell ref="DT106:DV106"/>
    <mergeCell ref="DY106:EA106"/>
    <mergeCell ref="CU111:CW111"/>
    <mergeCell ref="CZ111:DB111"/>
    <mergeCell ref="DE111:DG111"/>
    <mergeCell ref="DJ111:DL111"/>
    <mergeCell ref="DO111:DQ111"/>
    <mergeCell ref="DT111:DV111"/>
    <mergeCell ref="M85:N85"/>
    <mergeCell ref="M89:N89"/>
    <mergeCell ref="M7:N7"/>
    <mergeCell ref="CU106:CW106"/>
    <mergeCell ref="CZ106:DB106"/>
    <mergeCell ref="DE106:DG106"/>
    <mergeCell ref="DE103:DH104"/>
    <mergeCell ref="DE105:DH105"/>
    <mergeCell ref="CT105:CT108"/>
    <mergeCell ref="CU108:CV108"/>
    <mergeCell ref="DP127:DR127"/>
    <mergeCell ref="DT127:DW127"/>
    <mergeCell ref="DJ128:DM128"/>
    <mergeCell ref="DE133:DH133"/>
    <mergeCell ref="DJ133:DM133"/>
    <mergeCell ref="DJ132:DM132"/>
    <mergeCell ref="CT126:DM127"/>
    <mergeCell ref="DJ129:DM129"/>
    <mergeCell ref="DJ130:DM130"/>
    <mergeCell ref="DE128:DH128"/>
    <mergeCell ref="DE129:DH129"/>
    <mergeCell ref="DE130:DH130"/>
    <mergeCell ref="DE132:DH132"/>
    <mergeCell ref="CU129:CX130"/>
    <mergeCell ref="CZ129:DC130"/>
    <mergeCell ref="CU131:CX131"/>
    <mergeCell ref="CU132:CX132"/>
    <mergeCell ref="CZ131:DC131"/>
    <mergeCell ref="CZ132:DC132"/>
    <mergeCell ref="DY113:DZ113"/>
    <mergeCell ref="EA113:EB113"/>
    <mergeCell ref="DY108:DZ108"/>
    <mergeCell ref="EA108:EB108"/>
    <mergeCell ref="DY110:EB110"/>
    <mergeCell ref="DY111:EA111"/>
    <mergeCell ref="DY103:EB104"/>
    <mergeCell ref="DY105:EB105"/>
    <mergeCell ref="DY107:DZ107"/>
    <mergeCell ref="EA107:EB107"/>
    <mergeCell ref="DT112:DU112"/>
    <mergeCell ref="DV112:DW112"/>
    <mergeCell ref="DT103:DW104"/>
    <mergeCell ref="DT105:DW105"/>
    <mergeCell ref="DY112:DZ112"/>
    <mergeCell ref="EA112:EB112"/>
    <mergeCell ref="DV113:DW113"/>
    <mergeCell ref="DT108:DU108"/>
    <mergeCell ref="DV108:DW108"/>
    <mergeCell ref="DT110:DW110"/>
    <mergeCell ref="DT107:DU107"/>
    <mergeCell ref="DV107:DW107"/>
    <mergeCell ref="DO113:DP113"/>
    <mergeCell ref="DQ113:DR113"/>
    <mergeCell ref="DO108:DP108"/>
    <mergeCell ref="DQ108:DR108"/>
    <mergeCell ref="DO110:DR110"/>
    <mergeCell ref="DT113:DU113"/>
    <mergeCell ref="DO103:DR104"/>
    <mergeCell ref="DO105:DR105"/>
    <mergeCell ref="DO107:DP107"/>
    <mergeCell ref="DQ107:DR107"/>
    <mergeCell ref="DJ112:DK112"/>
    <mergeCell ref="DL112:DM112"/>
    <mergeCell ref="DJ103:DM104"/>
    <mergeCell ref="DJ105:DM105"/>
    <mergeCell ref="DO112:DP112"/>
    <mergeCell ref="DQ112:DR112"/>
    <mergeCell ref="DL113:DM113"/>
    <mergeCell ref="DJ108:DK108"/>
    <mergeCell ref="DL108:DM108"/>
    <mergeCell ref="DJ110:DM110"/>
    <mergeCell ref="DJ107:DK107"/>
    <mergeCell ref="DL107:DM107"/>
    <mergeCell ref="DE113:DF113"/>
    <mergeCell ref="DG113:DH113"/>
    <mergeCell ref="DE108:DF108"/>
    <mergeCell ref="DG108:DH108"/>
    <mergeCell ref="DE110:DH110"/>
    <mergeCell ref="DJ113:DK113"/>
    <mergeCell ref="DG107:DH107"/>
    <mergeCell ref="CZ112:DA112"/>
    <mergeCell ref="DB112:DC112"/>
    <mergeCell ref="CZ103:DC104"/>
    <mergeCell ref="CZ105:DC105"/>
    <mergeCell ref="DE112:DF112"/>
    <mergeCell ref="DG112:DH112"/>
    <mergeCell ref="CZ113:DA113"/>
    <mergeCell ref="DB113:DC113"/>
    <mergeCell ref="CZ108:DA108"/>
    <mergeCell ref="DB108:DC108"/>
    <mergeCell ref="CZ110:DC110"/>
    <mergeCell ref="CZ107:DA107"/>
    <mergeCell ref="DB107:DC107"/>
    <mergeCell ref="CT110:CT113"/>
    <mergeCell ref="CU110:CX110"/>
    <mergeCell ref="CU112:CV112"/>
    <mergeCell ref="CW112:CX112"/>
    <mergeCell ref="CU113:CV113"/>
    <mergeCell ref="CW113:CX113"/>
    <mergeCell ref="CW108:CX108"/>
    <mergeCell ref="CU105:CX105"/>
    <mergeCell ref="CU107:CV107"/>
    <mergeCell ref="CW107:CX107"/>
    <mergeCell ref="DE94:DF94"/>
    <mergeCell ref="CU103:CX104"/>
    <mergeCell ref="CZ94:DA94"/>
    <mergeCell ref="DB94:DC94"/>
    <mergeCell ref="DE107:DF107"/>
    <mergeCell ref="CU94:CV94"/>
    <mergeCell ref="BS1:BY1"/>
    <mergeCell ref="BL1:BR1"/>
    <mergeCell ref="DY94:DZ94"/>
    <mergeCell ref="DY82:DZ82"/>
    <mergeCell ref="DY91:DZ91"/>
    <mergeCell ref="DO82:DP82"/>
    <mergeCell ref="DQ82:DR82"/>
    <mergeCell ref="DO85:DP85"/>
    <mergeCell ref="DV82:DW82"/>
    <mergeCell ref="DT85:DU85"/>
    <mergeCell ref="EA94:EB94"/>
    <mergeCell ref="CU101:CV101"/>
    <mergeCell ref="CW101:CX101"/>
    <mergeCell ref="DT94:DU94"/>
    <mergeCell ref="DV94:DW94"/>
    <mergeCell ref="DO94:DP94"/>
    <mergeCell ref="DQ94:DR94"/>
    <mergeCell ref="DJ94:DK94"/>
    <mergeCell ref="DL94:DM94"/>
    <mergeCell ref="DG94:DH94"/>
    <mergeCell ref="DO88:DP88"/>
    <mergeCell ref="DQ88:DR88"/>
    <mergeCell ref="DO91:DP91"/>
    <mergeCell ref="DQ91:DR91"/>
    <mergeCell ref="EA82:EB82"/>
    <mergeCell ref="DY85:DZ85"/>
    <mergeCell ref="EA85:EB85"/>
    <mergeCell ref="DY88:DZ88"/>
    <mergeCell ref="EA88:EB88"/>
    <mergeCell ref="EA91:EB91"/>
    <mergeCell ref="DQ85:DR85"/>
    <mergeCell ref="DV85:DW85"/>
    <mergeCell ref="DT88:DU88"/>
    <mergeCell ref="DV88:DW88"/>
    <mergeCell ref="DT91:DU91"/>
    <mergeCell ref="DV91:DW91"/>
    <mergeCell ref="DJ82:DK82"/>
    <mergeCell ref="DL82:DM82"/>
    <mergeCell ref="DJ85:DK85"/>
    <mergeCell ref="DL85:DM85"/>
    <mergeCell ref="DJ88:DK88"/>
    <mergeCell ref="DL88:DM88"/>
    <mergeCell ref="DJ91:DK91"/>
    <mergeCell ref="DL91:DM91"/>
    <mergeCell ref="DE82:DF82"/>
    <mergeCell ref="DG82:DH82"/>
    <mergeCell ref="DE85:DF85"/>
    <mergeCell ref="DG85:DH85"/>
    <mergeCell ref="DE88:DF88"/>
    <mergeCell ref="DG88:DH88"/>
    <mergeCell ref="DE91:DF91"/>
    <mergeCell ref="DG91:DH91"/>
    <mergeCell ref="CW94:CX94"/>
    <mergeCell ref="CZ82:DA82"/>
    <mergeCell ref="DB82:DC82"/>
    <mergeCell ref="CZ85:DA85"/>
    <mergeCell ref="DB85:DC85"/>
    <mergeCell ref="CZ88:DA88"/>
    <mergeCell ref="DB88:DC88"/>
    <mergeCell ref="CZ91:DA91"/>
    <mergeCell ref="DB91:DC91"/>
    <mergeCell ref="CT98:CT100"/>
    <mergeCell ref="CU98:CX98"/>
    <mergeCell ref="CU99:CV99"/>
    <mergeCell ref="CW99:CX99"/>
    <mergeCell ref="CU100:CV100"/>
    <mergeCell ref="CW100:CX100"/>
    <mergeCell ref="DT77:DV77"/>
    <mergeCell ref="DE77:DI77"/>
    <mergeCell ref="CT91:CT93"/>
    <mergeCell ref="CZ80:DC81"/>
    <mergeCell ref="CU77:CY77"/>
    <mergeCell ref="CU85:CV85"/>
    <mergeCell ref="CW85:CX85"/>
    <mergeCell ref="CU88:CV88"/>
    <mergeCell ref="CW88:CX88"/>
    <mergeCell ref="CZ77:DB77"/>
    <mergeCell ref="DY80:EB81"/>
    <mergeCell ref="CT82:CT84"/>
    <mergeCell ref="CU82:CV82"/>
    <mergeCell ref="CW82:CX82"/>
    <mergeCell ref="DE80:DH81"/>
    <mergeCell ref="DJ80:DM81"/>
    <mergeCell ref="DO80:DR81"/>
    <mergeCell ref="DT80:DW81"/>
    <mergeCell ref="CU80:CX81"/>
    <mergeCell ref="DT82:DU82"/>
    <mergeCell ref="G124:K124"/>
    <mergeCell ref="G125:K125"/>
    <mergeCell ref="G126:K126"/>
    <mergeCell ref="G127:K127"/>
    <mergeCell ref="DJ74:DL75"/>
    <mergeCell ref="DM74:DP75"/>
    <mergeCell ref="CT94:CT96"/>
    <mergeCell ref="DJ77:DL77"/>
    <mergeCell ref="CT85:CT87"/>
    <mergeCell ref="DO77:DS77"/>
    <mergeCell ref="M138:O138"/>
    <mergeCell ref="B150:M150"/>
    <mergeCell ref="B140:D140"/>
    <mergeCell ref="E140:F140"/>
    <mergeCell ref="C130:C136"/>
    <mergeCell ref="E130:F130"/>
    <mergeCell ref="I130:J130"/>
    <mergeCell ref="M130:N130"/>
    <mergeCell ref="I137:K137"/>
    <mergeCell ref="M137:O137"/>
    <mergeCell ref="B123:C123"/>
    <mergeCell ref="G123:K123"/>
    <mergeCell ref="B117:C117"/>
    <mergeCell ref="G117:K117"/>
    <mergeCell ref="G118:K118"/>
    <mergeCell ref="G119:K119"/>
    <mergeCell ref="G120:K120"/>
    <mergeCell ref="G121:K121"/>
    <mergeCell ref="G112:K112"/>
    <mergeCell ref="G113:K113"/>
    <mergeCell ref="G114:K114"/>
    <mergeCell ref="G115:K115"/>
    <mergeCell ref="G108:K108"/>
    <mergeCell ref="G109:K109"/>
    <mergeCell ref="B111:C111"/>
    <mergeCell ref="G111:K111"/>
    <mergeCell ref="B105:C105"/>
    <mergeCell ref="G105:K105"/>
    <mergeCell ref="G106:K106"/>
    <mergeCell ref="G107:K107"/>
    <mergeCell ref="G100:K100"/>
    <mergeCell ref="G101:K101"/>
    <mergeCell ref="G102:K102"/>
    <mergeCell ref="G103:K103"/>
    <mergeCell ref="G96:K96"/>
    <mergeCell ref="G97:K97"/>
    <mergeCell ref="B99:C99"/>
    <mergeCell ref="G99:K99"/>
    <mergeCell ref="B93:C93"/>
    <mergeCell ref="G93:K93"/>
    <mergeCell ref="G94:K94"/>
    <mergeCell ref="G95:K95"/>
    <mergeCell ref="G88:K88"/>
    <mergeCell ref="G89:K89"/>
    <mergeCell ref="G90:K90"/>
    <mergeCell ref="G91:K91"/>
    <mergeCell ref="G84:K84"/>
    <mergeCell ref="G85:K85"/>
    <mergeCell ref="B87:C87"/>
    <mergeCell ref="G87:K87"/>
    <mergeCell ref="B86:D86"/>
    <mergeCell ref="G81:K81"/>
    <mergeCell ref="G82:K82"/>
    <mergeCell ref="G83:K83"/>
    <mergeCell ref="B71:M72"/>
    <mergeCell ref="G74:M75"/>
    <mergeCell ref="B78:D78"/>
    <mergeCell ref="B74:D74"/>
    <mergeCell ref="B76:D76"/>
    <mergeCell ref="B81:C81"/>
    <mergeCell ref="M81:N81"/>
    <mergeCell ref="G5:M6"/>
    <mergeCell ref="B2:M3"/>
    <mergeCell ref="B7:D7"/>
    <mergeCell ref="B9:D9"/>
    <mergeCell ref="B5:D5"/>
    <mergeCell ref="L12:M12"/>
    <mergeCell ref="D12:E12"/>
    <mergeCell ref="F12:G12"/>
    <mergeCell ref="H12:I12"/>
    <mergeCell ref="J12:K12"/>
    <mergeCell ref="B34:M34"/>
    <mergeCell ref="C23:C29"/>
    <mergeCell ref="I30:K30"/>
    <mergeCell ref="M31:O31"/>
    <mergeCell ref="M30:O30"/>
    <mergeCell ref="E23:F23"/>
    <mergeCell ref="I23:J23"/>
    <mergeCell ref="M23:N23"/>
    <mergeCell ref="CS73:CS101"/>
    <mergeCell ref="CS102:CS114"/>
    <mergeCell ref="CU116:CX116"/>
    <mergeCell ref="CU117:CX118"/>
    <mergeCell ref="CS115:CS123"/>
    <mergeCell ref="CU91:CV91"/>
    <mergeCell ref="CW91:CX91"/>
    <mergeCell ref="CU74:CW75"/>
    <mergeCell ref="CX74:DH75"/>
    <mergeCell ref="CT88:CT90"/>
    <mergeCell ref="CZ116:DC116"/>
    <mergeCell ref="CZ117:DC118"/>
    <mergeCell ref="DE116:DH116"/>
    <mergeCell ref="DE117:DH118"/>
    <mergeCell ref="DJ116:DM116"/>
    <mergeCell ref="DJ117:DM118"/>
    <mergeCell ref="DO116:DR116"/>
    <mergeCell ref="DO117:DR118"/>
    <mergeCell ref="DT116:DW116"/>
    <mergeCell ref="DT117:DW118"/>
    <mergeCell ref="DY116:EB116"/>
    <mergeCell ref="DY117:EB118"/>
    <mergeCell ref="DJ120:DM120"/>
    <mergeCell ref="DJ121:DM122"/>
    <mergeCell ref="CU120:CX120"/>
    <mergeCell ref="CU121:CX122"/>
    <mergeCell ref="CZ120:DC120"/>
    <mergeCell ref="CZ121:DC122"/>
    <mergeCell ref="DE120:DH120"/>
    <mergeCell ref="DE121:DH122"/>
  </mergeCells>
  <dataValidations count="9">
    <dataValidation type="list" allowBlank="1" showInputMessage="1" showErrorMessage="1" sqref="B13:B20 B81:C81 B87:C87 B93:C93 B99:C99 B105:C105 B111:C111 B117:C117 B123:C123">
      <formula1>$P$3:$P$4</formula1>
    </dataValidation>
    <dataValidation type="list" allowBlank="1" showInputMessage="1" showErrorMessage="1" sqref="E13:E20 G81:J81 G87:J87 G93:J93 G99:J99 G105:J105 G111:J111 G117:J117 G123:J123">
      <formula1>$Q$3:$Q$9</formula1>
    </dataValidation>
    <dataValidation type="list" allowBlank="1" showInputMessage="1" showErrorMessage="1" sqref="G13:G20 G82:K82 G88:K88 G94:K94 G100:K100 G106:K106 G112:K112 G118:K118 G124:K124">
      <formula1>$R$3:$R$9</formula1>
    </dataValidation>
    <dataValidation type="list" allowBlank="1" showInputMessage="1" showErrorMessage="1" sqref="I13:I20 G83:K83 G89:K89 G95:K95 G101:K101 G107:K107 G113:K113 G119:K119 G125:K125">
      <formula1>$S$3:$S$9</formula1>
    </dataValidation>
    <dataValidation type="list" allowBlank="1" showInputMessage="1" showErrorMessage="1" sqref="K13:K20 G84:K84 G90:K90 G96:K96 G102:K102 G108:K108 G114:K114 G120:K120 G126:K126">
      <formula1>$T$3:$T$9</formula1>
    </dataValidation>
    <dataValidation type="list" allowBlank="1" showInputMessage="1" showErrorMessage="1" sqref="M13:M20 G85:K85 G91:K91 G97:K97 G103:K103 G109:K109 G115:K115 G121:K121 G127:K127">
      <formula1>$U$3:$U$9</formula1>
    </dataValidation>
    <dataValidation type="list" allowBlank="1" showInputMessage="1" showErrorMessage="1" sqref="G5:K6">
      <formula1>$AT$3:$AT$57</formula1>
    </dataValidation>
    <dataValidation type="list" allowBlank="1" showInputMessage="1" showErrorMessage="1" sqref="H76 N90 N86 N82">
      <formula1>Météo</formula1>
    </dataValidation>
    <dataValidation type="list" allowBlank="1" showInputMessage="1" showErrorMessage="1" sqref="G74:M75">
      <formula1>$AT$3:$AT$62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70"/>
  <sheetViews>
    <sheetView showGridLines="0" zoomScalePageLayoutView="0" workbookViewId="0" topLeftCell="A1">
      <selection activeCell="AA24" sqref="AA24"/>
    </sheetView>
  </sheetViews>
  <sheetFormatPr defaultColWidth="12" defaultRowHeight="12.75"/>
  <cols>
    <col min="1" max="1" width="4.83203125" style="5" customWidth="1"/>
    <col min="2" max="2" width="12" style="5" customWidth="1"/>
    <col min="3" max="3" width="5.33203125" style="5" customWidth="1"/>
    <col min="4" max="26" width="6.33203125" style="5" customWidth="1"/>
    <col min="27" max="27" width="12" style="5" customWidth="1"/>
    <col min="28" max="29" width="0" style="135" hidden="1" customWidth="1"/>
    <col min="30" max="40" width="12.66015625" style="135" hidden="1" customWidth="1"/>
    <col min="41" max="44" width="0" style="135" hidden="1" customWidth="1"/>
    <col min="45" max="16384" width="12" style="135" customWidth="1"/>
  </cols>
  <sheetData>
    <row r="1" spans="2:25" ht="12.75">
      <c r="B1" s="261" t="s">
        <v>305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2:43" ht="13.5" thickBo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AC2" s="135" t="str">
        <f>Reglages!BZ2</f>
        <v>circuit</v>
      </c>
      <c r="AD2" s="135" t="str">
        <f>Reglages!CA2</f>
        <v>cha</v>
      </c>
      <c r="AE2" s="135" t="str">
        <f>Reglages!CB2</f>
        <v>Mot</v>
      </c>
      <c r="AF2" s="135" t="str">
        <f>Reglages!CC2</f>
        <v>A Av</v>
      </c>
      <c r="AG2" s="135" t="str">
        <f>Reglages!CD2</f>
        <v>Aar</v>
      </c>
      <c r="AH2" s="135" t="str">
        <f>Reglages!CE2</f>
        <v>FP</v>
      </c>
      <c r="AI2" s="135" t="str">
        <f>Reglages!CF2</f>
        <v>Pont</v>
      </c>
      <c r="AJ2" s="135" t="str">
        <f>Reglages!CG2</f>
        <v>Refro</v>
      </c>
      <c r="AK2" s="135" t="str">
        <f>Reglages!CH2</f>
        <v>Boite</v>
      </c>
      <c r="AL2" s="135" t="str">
        <f>Reglages!CI2</f>
        <v>Frein</v>
      </c>
      <c r="AM2" s="135" t="str">
        <f>Reglages!CJ2</f>
        <v>Susp</v>
      </c>
      <c r="AN2" s="135" t="str">
        <f>Reglages!CK2</f>
        <v>Elec</v>
      </c>
      <c r="AO2" s="135" t="str">
        <f>Reglages!CL2</f>
        <v>coef ess</v>
      </c>
      <c r="AP2" s="135" t="str">
        <f>Reglages!CM2</f>
        <v>conso</v>
      </c>
      <c r="AQ2" s="135" t="str">
        <f>Reglages!CN2</f>
        <v>compte</v>
      </c>
    </row>
    <row r="3" spans="2:43" ht="12.75">
      <c r="B3" s="252" t="s">
        <v>267</v>
      </c>
      <c r="C3" s="252"/>
      <c r="D3" s="174" t="s">
        <v>300</v>
      </c>
      <c r="E3" s="175"/>
      <c r="F3" s="252" t="s">
        <v>5</v>
      </c>
      <c r="G3" s="252"/>
      <c r="H3" s="174" t="s">
        <v>301</v>
      </c>
      <c r="I3" s="175"/>
      <c r="J3" s="252" t="s">
        <v>302</v>
      </c>
      <c r="K3" s="252"/>
      <c r="L3" s="174" t="s">
        <v>245</v>
      </c>
      <c r="M3" s="175"/>
      <c r="N3" s="252" t="s">
        <v>236</v>
      </c>
      <c r="O3" s="252"/>
      <c r="P3" s="174" t="s">
        <v>303</v>
      </c>
      <c r="Q3" s="175"/>
      <c r="R3" s="252" t="s">
        <v>36</v>
      </c>
      <c r="S3" s="252"/>
      <c r="T3" s="174" t="s">
        <v>35</v>
      </c>
      <c r="U3" s="175"/>
      <c r="V3" s="252" t="s">
        <v>8</v>
      </c>
      <c r="W3" s="252"/>
      <c r="X3" s="174" t="s">
        <v>304</v>
      </c>
      <c r="Y3" s="175"/>
      <c r="AC3" s="135" t="str">
        <f>Reglages!BZ3</f>
        <v>A1-Ring</v>
      </c>
      <c r="AD3" s="136">
        <f>Reglages!CA3</f>
        <v>18.3846153846154</v>
      </c>
      <c r="AE3" s="136">
        <f>Reglages!CB3</f>
        <v>33.9230769230769</v>
      </c>
      <c r="AF3" s="136">
        <f>Reglages!CC3</f>
        <v>12.7692307692308</v>
      </c>
      <c r="AG3" s="136">
        <f>Reglages!CD3</f>
        <v>13.3846153846154</v>
      </c>
      <c r="AH3" s="136">
        <f>Reglages!CE3</f>
        <v>13.7692307692308</v>
      </c>
      <c r="AI3" s="136">
        <f>Reglages!CF3</f>
        <v>16.2307692307692</v>
      </c>
      <c r="AJ3" s="136">
        <f>Reglages!CG3</f>
        <v>11.6923076923077</v>
      </c>
      <c r="AK3" s="136">
        <f>Reglages!CH3</f>
        <v>23.6923076923077</v>
      </c>
      <c r="AL3" s="136">
        <f>Reglages!CI3</f>
        <v>29.3076923076923</v>
      </c>
      <c r="AM3" s="136">
        <f>Reglages!CJ3</f>
        <v>17.3846153846154</v>
      </c>
      <c r="AN3" s="136">
        <f>Reglages!CK3</f>
        <v>14</v>
      </c>
      <c r="AO3" s="135">
        <f>Reglages!CL3</f>
        <v>1.09</v>
      </c>
      <c r="AP3" s="135" t="str">
        <f>Reglages!CM3</f>
        <v>haute</v>
      </c>
      <c r="AQ3" s="135">
        <f>Reglages!CN3</f>
        <v>13</v>
      </c>
    </row>
    <row r="4" spans="4:43" ht="7.5" customHeight="1" thickBot="1">
      <c r="D4" s="41"/>
      <c r="E4" s="124"/>
      <c r="H4" s="41"/>
      <c r="I4" s="124"/>
      <c r="L4" s="41"/>
      <c r="M4" s="124"/>
      <c r="P4" s="41"/>
      <c r="Q4" s="124"/>
      <c r="T4" s="41"/>
      <c r="U4" s="124"/>
      <c r="X4" s="41"/>
      <c r="Y4" s="124"/>
      <c r="AC4" s="135" t="str">
        <f>Reglages!BZ4</f>
        <v>Adelaide</v>
      </c>
      <c r="AD4" s="136">
        <f>Reglages!CA4</f>
        <v>25.9807692307692</v>
      </c>
      <c r="AE4" s="136">
        <f>Reglages!CB4</f>
        <v>13.7692307692308</v>
      </c>
      <c r="AF4" s="136">
        <f>Reglages!CC4</f>
        <v>27.5192307692308</v>
      </c>
      <c r="AG4" s="136">
        <f>Reglages!CD4</f>
        <v>32.0384615384615</v>
      </c>
      <c r="AH4" s="136">
        <f>Reglages!CE4</f>
        <v>29.9807692307692</v>
      </c>
      <c r="AI4" s="136">
        <f>Reglages!CF4</f>
        <v>18.3653846153846</v>
      </c>
      <c r="AJ4" s="136">
        <f>Reglages!CG4</f>
        <v>21.6346153846154</v>
      </c>
      <c r="AK4" s="136">
        <f>Reglages!CH4</f>
        <v>20.5769230769231</v>
      </c>
      <c r="AL4" s="136">
        <f>Reglages!CI4</f>
        <v>16.8269230769231</v>
      </c>
      <c r="AM4" s="136">
        <f>Reglages!CJ4</f>
        <v>10.9230769230769</v>
      </c>
      <c r="AN4" s="136">
        <f>Reglages!CK4</f>
        <v>15.3461538461538</v>
      </c>
      <c r="AO4" s="135">
        <f>Reglages!CL4</f>
        <v>1.25</v>
      </c>
      <c r="AP4" s="135" t="str">
        <f>Reglages!CM4</f>
        <v>basse</v>
      </c>
      <c r="AQ4" s="135">
        <f>Reglages!CN4</f>
        <v>52</v>
      </c>
    </row>
    <row r="5" spans="2:43" ht="12.75">
      <c r="B5" s="257" t="s">
        <v>63</v>
      </c>
      <c r="C5" s="259">
        <f>VLOOKUP($B5,$AC$2:$AQ$71,15,FALSE)</f>
        <v>51</v>
      </c>
      <c r="D5" s="137">
        <f>VLOOKUP($B5,$AC$2:$AQ$68,2,FALSE)</f>
        <v>22.3333333333333</v>
      </c>
      <c r="E5" s="138">
        <f>D5</f>
        <v>22.3333333333333</v>
      </c>
      <c r="F5" s="137">
        <f>VLOOKUP($B5,$AC$2:$AQ$68,3,FALSE)</f>
        <v>25.2941176470588</v>
      </c>
      <c r="G5" s="138">
        <f>F5</f>
        <v>25.2941176470588</v>
      </c>
      <c r="H5" s="137">
        <f>VLOOKUP($B5,$AC$2:$AQ$68,4,FALSE)</f>
        <v>14.3137254901961</v>
      </c>
      <c r="I5" s="138">
        <f>H5</f>
        <v>14.3137254901961</v>
      </c>
      <c r="J5" s="137">
        <f>VLOOKUP($B5,$AC$2:$AQ$68,5,FALSE)</f>
        <v>16.6274509803922</v>
      </c>
      <c r="K5" s="138">
        <f>J5</f>
        <v>16.6274509803922</v>
      </c>
      <c r="L5" s="137">
        <f>VLOOKUP($B5,$AC$2:$AQ$68,6,FALSE)</f>
        <v>16.8235294117647</v>
      </c>
      <c r="M5" s="138">
        <f>L5</f>
        <v>16.8235294117647</v>
      </c>
      <c r="N5" s="137">
        <f>VLOOKUP($B5,$AC$2:$AQ$68,7,FALSE)</f>
        <v>16.5882352941176</v>
      </c>
      <c r="O5" s="138">
        <f>N5</f>
        <v>16.5882352941176</v>
      </c>
      <c r="P5" s="137">
        <f>VLOOKUP($B5,$AC$2:$AQ$68,8,FALSE)</f>
        <v>22.4901960784314</v>
      </c>
      <c r="Q5" s="138">
        <f>P5</f>
        <v>22.4901960784314</v>
      </c>
      <c r="R5" s="137">
        <f>VLOOKUP($B5,$AC$2:$AQ$68,9,FALSE)</f>
        <v>19.3921568627451</v>
      </c>
      <c r="S5" s="138">
        <f>R5</f>
        <v>19.3921568627451</v>
      </c>
      <c r="T5" s="137">
        <f>VLOOKUP($B5,$AC$2:$AQ$68,10,FALSE)</f>
        <v>36.0588235294118</v>
      </c>
      <c r="U5" s="138">
        <f>T5</f>
        <v>36.0588235294118</v>
      </c>
      <c r="V5" s="137">
        <f>VLOOKUP($B5,$AC$2:$AQ$68,11,FALSE)</f>
        <v>15.4117647058824</v>
      </c>
      <c r="W5" s="138">
        <f>V5</f>
        <v>15.4117647058824</v>
      </c>
      <c r="X5" s="137">
        <f>VLOOKUP($B5,$AC$2:$AQ$68,12,FALSE)</f>
        <v>14.3725490196078</v>
      </c>
      <c r="Y5" s="138">
        <f>X5</f>
        <v>14.3725490196078</v>
      </c>
      <c r="AC5" s="135" t="str">
        <f>Reglages!BZ5</f>
        <v>Ahvenisto</v>
      </c>
      <c r="AD5" s="136">
        <f>Reglages!CA5</f>
        <v>13.2857142857143</v>
      </c>
      <c r="AE5" s="136">
        <f>Reglages!CB5</f>
        <v>16.8979591836735</v>
      </c>
      <c r="AF5" s="136">
        <f>Reglages!CC5</f>
        <v>18.2857142857143</v>
      </c>
      <c r="AG5" s="136">
        <f>Reglages!CD5</f>
        <v>17.9795918367347</v>
      </c>
      <c r="AH5" s="136">
        <f>Reglages!CE5</f>
        <v>15.4285714285714</v>
      </c>
      <c r="AI5" s="136">
        <f>Reglages!CF5</f>
        <v>13.5918367346939</v>
      </c>
      <c r="AJ5" s="136">
        <f>Reglages!CG5</f>
        <v>10.8571428571429</v>
      </c>
      <c r="AK5" s="136">
        <f>Reglages!CH5</f>
        <v>16.8571428571429</v>
      </c>
      <c r="AL5" s="136">
        <f>Reglages!CI5</f>
        <v>20.6938775510204</v>
      </c>
      <c r="AM5" s="136">
        <f>Reglages!CJ5</f>
        <v>15.5102040816327</v>
      </c>
      <c r="AN5" s="136">
        <f>Reglages!CK5</f>
        <v>8.22448979591837</v>
      </c>
      <c r="AO5" s="135">
        <f>Reglages!CL5</f>
        <v>1.15</v>
      </c>
      <c r="AP5" s="135" t="str">
        <f>Reglages!CM5</f>
        <v>moyen</v>
      </c>
      <c r="AQ5" s="135">
        <f>Reglages!CN5</f>
        <v>49</v>
      </c>
    </row>
    <row r="6" spans="2:43" ht="13.5" thickBot="1">
      <c r="B6" s="258"/>
      <c r="C6" s="260"/>
      <c r="D6" s="253">
        <f>D5</f>
        <v>22.3333333333333</v>
      </c>
      <c r="E6" s="254"/>
      <c r="F6" s="253">
        <f>F5</f>
        <v>25.2941176470588</v>
      </c>
      <c r="G6" s="254"/>
      <c r="H6" s="253">
        <f>H5</f>
        <v>14.3137254901961</v>
      </c>
      <c r="I6" s="254"/>
      <c r="J6" s="253">
        <f>J5</f>
        <v>16.6274509803922</v>
      </c>
      <c r="K6" s="254"/>
      <c r="L6" s="253">
        <f>L5</f>
        <v>16.8235294117647</v>
      </c>
      <c r="M6" s="254"/>
      <c r="N6" s="253">
        <f>N5</f>
        <v>16.5882352941176</v>
      </c>
      <c r="O6" s="254"/>
      <c r="P6" s="253">
        <f>P5</f>
        <v>22.4901960784314</v>
      </c>
      <c r="Q6" s="254"/>
      <c r="R6" s="253">
        <f>R5</f>
        <v>19.3921568627451</v>
      </c>
      <c r="S6" s="254"/>
      <c r="T6" s="253">
        <f>T5</f>
        <v>36.0588235294118</v>
      </c>
      <c r="U6" s="254"/>
      <c r="V6" s="253">
        <f>V5</f>
        <v>15.4117647058824</v>
      </c>
      <c r="W6" s="254"/>
      <c r="X6" s="253">
        <f>X5</f>
        <v>14.3725490196078</v>
      </c>
      <c r="Y6" s="254"/>
      <c r="AC6" s="135" t="str">
        <f>Reglages!BZ6</f>
        <v>Anderstop</v>
      </c>
      <c r="AD6" s="136">
        <f>Reglages!CA6</f>
        <v>17.0243902439024</v>
      </c>
      <c r="AE6" s="136">
        <f>Reglages!CB6</f>
        <v>33.8048780487805</v>
      </c>
      <c r="AF6" s="136">
        <f>Reglages!CC6</f>
        <v>13.780487804878</v>
      </c>
      <c r="AG6" s="136">
        <f>Reglages!CD6</f>
        <v>13</v>
      </c>
      <c r="AH6" s="136">
        <f>Reglages!CE6</f>
        <v>28.4878048780488</v>
      </c>
      <c r="AI6" s="136">
        <f>Reglages!CF6</f>
        <v>18.7073170731707</v>
      </c>
      <c r="AJ6" s="136">
        <f>Reglages!CG6</f>
        <v>10.8292682926829</v>
      </c>
      <c r="AK6" s="136">
        <f>Reglages!CH6</f>
        <v>26.9268292682927</v>
      </c>
      <c r="AL6" s="136">
        <f>Reglages!CI6</f>
        <v>34.8292682926829</v>
      </c>
      <c r="AM6" s="136">
        <f>Reglages!CJ6</f>
        <v>16.1463414634146</v>
      </c>
      <c r="AN6" s="136">
        <f>Reglages!CK6</f>
        <v>9.26829268292683</v>
      </c>
      <c r="AO6" s="135">
        <f>Reglages!CL6</f>
        <v>1.085</v>
      </c>
      <c r="AP6" s="135" t="str">
        <f>Reglages!CM6</f>
        <v>haute</v>
      </c>
      <c r="AQ6" s="135">
        <f>Reglages!CN6</f>
        <v>41</v>
      </c>
    </row>
    <row r="7" spans="2:43" ht="12.75">
      <c r="B7" s="257" t="s">
        <v>66</v>
      </c>
      <c r="C7" s="259">
        <f>VLOOKUP($B7,$AC$2:$AQ$71,15,FALSE)</f>
        <v>46</v>
      </c>
      <c r="D7" s="137">
        <f>VLOOKUP($B7,$AC$2:$AQ$68,2,FALSE)</f>
        <v>18.0434782608696</v>
      </c>
      <c r="E7" s="138">
        <f>IF(E5+D7&gt;99,D7,E5+D7)</f>
        <v>40.3768115942029</v>
      </c>
      <c r="F7" s="137">
        <f>VLOOKUP($B7,$AC$2:$AQ$68,3,FALSE)</f>
        <v>32.2608695652174</v>
      </c>
      <c r="G7" s="138">
        <f>IF(G5+F7&gt;99,F7,G5+F7)</f>
        <v>57.5549872122762</v>
      </c>
      <c r="H7" s="137">
        <f>VLOOKUP($B7,$AC$2:$AQ$68,4,FALSE)</f>
        <v>23.5217391304348</v>
      </c>
      <c r="I7" s="138">
        <f>IF(I5+H7&gt;99,H7,I5+H7)</f>
        <v>37.8354646206309</v>
      </c>
      <c r="J7" s="137">
        <f>VLOOKUP($B7,$AC$2:$AQ$68,5,FALSE)</f>
        <v>18.9130434782609</v>
      </c>
      <c r="K7" s="138">
        <f>IF(K5+J7&gt;99,J7,K5+J7)</f>
        <v>35.5404944586531</v>
      </c>
      <c r="L7" s="137">
        <f>VLOOKUP($B7,$AC$2:$AQ$68,6,FALSE)</f>
        <v>23.1739130434783</v>
      </c>
      <c r="M7" s="138">
        <f>IF(M5+L7&gt;99,L7,M5+L7)</f>
        <v>39.997442455243004</v>
      </c>
      <c r="N7" s="137">
        <f>VLOOKUP($B7,$AC$2:$AQ$68,7,FALSE)</f>
        <v>13.0652173913043</v>
      </c>
      <c r="O7" s="138">
        <f>IF(O5+N7&gt;99,N7,O5+N7)</f>
        <v>29.653452685421897</v>
      </c>
      <c r="P7" s="137">
        <f>VLOOKUP($B7,$AC$2:$AQ$68,8,FALSE)</f>
        <v>23.0434782608696</v>
      </c>
      <c r="Q7" s="138">
        <f>IF(Q5+P7&gt;99,P7,Q5+P7)</f>
        <v>45.533674339301</v>
      </c>
      <c r="R7" s="137">
        <f>VLOOKUP($B7,$AC$2:$AQ$68,9,FALSE)</f>
        <v>26.3260869565217</v>
      </c>
      <c r="S7" s="138">
        <f>IF(S5+R7&gt;99,R7,S5+R7)</f>
        <v>45.7182438192668</v>
      </c>
      <c r="T7" s="137">
        <f>VLOOKUP($B7,$AC$2:$AQ$68,10,FALSE)</f>
        <v>30.5434782608696</v>
      </c>
      <c r="U7" s="138">
        <f>IF(U5+T7&gt;99,T7,U5+T7)</f>
        <v>66.60230179028139</v>
      </c>
      <c r="V7" s="137">
        <f>VLOOKUP($B7,$AC$2:$AQ$68,11,FALSE)</f>
        <v>18.304347826087</v>
      </c>
      <c r="W7" s="138">
        <f>IF(W5+V7&gt;99,V7,W5+V7)</f>
        <v>33.7161125319694</v>
      </c>
      <c r="X7" s="137">
        <f>VLOOKUP($B7,$AC$2:$AQ$68,12,FALSE)</f>
        <v>13.3260869565217</v>
      </c>
      <c r="Y7" s="138">
        <f>IF(Y5+X7&gt;99,X7,Y5+X7)</f>
        <v>27.6986359761295</v>
      </c>
      <c r="AC7" s="135" t="str">
        <f>Reglages!BZ7</f>
        <v>Austin</v>
      </c>
      <c r="AD7" s="136">
        <f>Reglages!CA7</f>
        <v>12.0434782608696</v>
      </c>
      <c r="AE7" s="136">
        <f>Reglages!CB7</f>
        <v>25.304347826087</v>
      </c>
      <c r="AF7" s="136">
        <f>Reglages!CC7</f>
        <v>19.7173913043478</v>
      </c>
      <c r="AG7" s="136">
        <f>Reglages!CD7</f>
        <v>19.7608695652174</v>
      </c>
      <c r="AH7" s="136">
        <f>Reglages!CE7</f>
        <v>13.5</v>
      </c>
      <c r="AI7" s="136">
        <f>Reglages!CF7</f>
        <v>12.8695652173913</v>
      </c>
      <c r="AJ7" s="136">
        <f>Reglages!CG7</f>
        <v>13.5217391304348</v>
      </c>
      <c r="AK7" s="136">
        <f>Reglages!CH7</f>
        <v>20.695652173913</v>
      </c>
      <c r="AL7" s="136">
        <f>Reglages!CI7</f>
        <v>25</v>
      </c>
      <c r="AM7" s="136">
        <f>Reglages!CJ7</f>
        <v>10.2826086956522</v>
      </c>
      <c r="AN7" s="136">
        <f>Reglages!CK7</f>
        <v>10.4130434782609</v>
      </c>
      <c r="AO7" s="135">
        <f>Reglages!CL7</f>
        <v>1.18</v>
      </c>
      <c r="AP7" s="135" t="str">
        <f>Reglages!CM7</f>
        <v>moyen</v>
      </c>
      <c r="AQ7" s="135">
        <f>Reglages!CN7</f>
        <v>46</v>
      </c>
    </row>
    <row r="8" spans="2:43" ht="13.5" thickBot="1">
      <c r="B8" s="258"/>
      <c r="C8" s="260"/>
      <c r="D8" s="253">
        <f>D7+D6</f>
        <v>40.3768115942029</v>
      </c>
      <c r="E8" s="255"/>
      <c r="F8" s="253">
        <f>F7+F6</f>
        <v>57.5549872122762</v>
      </c>
      <c r="G8" s="255"/>
      <c r="H8" s="253">
        <f>H7+H6</f>
        <v>37.8354646206309</v>
      </c>
      <c r="I8" s="255"/>
      <c r="J8" s="253">
        <f>J7+J6</f>
        <v>35.5404944586531</v>
      </c>
      <c r="K8" s="255"/>
      <c r="L8" s="253">
        <f>L7+L6</f>
        <v>39.997442455243004</v>
      </c>
      <c r="M8" s="255"/>
      <c r="N8" s="253">
        <f>N7+N6</f>
        <v>29.653452685421897</v>
      </c>
      <c r="O8" s="255"/>
      <c r="P8" s="253">
        <f>P7+P6</f>
        <v>45.533674339301</v>
      </c>
      <c r="Q8" s="255"/>
      <c r="R8" s="253">
        <f>R7+R6</f>
        <v>45.7182438192668</v>
      </c>
      <c r="S8" s="255"/>
      <c r="T8" s="253">
        <f>T7+T6</f>
        <v>66.60230179028139</v>
      </c>
      <c r="U8" s="255"/>
      <c r="V8" s="253">
        <f>V7+V6</f>
        <v>33.7161125319694</v>
      </c>
      <c r="W8" s="255"/>
      <c r="X8" s="253">
        <f>X7+X6</f>
        <v>27.6986359761295</v>
      </c>
      <c r="Y8" s="255"/>
      <c r="AC8" s="135" t="str">
        <f>Reglages!BZ8</f>
        <v>Avus</v>
      </c>
      <c r="AD8" s="136">
        <f>Reglages!CA8</f>
        <v>16.875</v>
      </c>
      <c r="AE8" s="136">
        <f>Reglages!CB8</f>
        <v>46</v>
      </c>
      <c r="AF8" s="136">
        <f>Reglages!CC8</f>
        <v>9</v>
      </c>
      <c r="AG8" s="136">
        <f>Reglages!CD8</f>
        <v>10</v>
      </c>
      <c r="AH8" s="136">
        <f>Reglages!CE8</f>
        <v>24.125</v>
      </c>
      <c r="AI8" s="136">
        <f>Reglages!CF8</f>
        <v>10</v>
      </c>
      <c r="AJ8" s="136">
        <f>Reglages!CG8</f>
        <v>11.875</v>
      </c>
      <c r="AK8" s="136">
        <f>Reglages!CH8</f>
        <v>13.75</v>
      </c>
      <c r="AL8" s="136">
        <f>Reglages!CI8</f>
        <v>14</v>
      </c>
      <c r="AM8" s="136">
        <f>Reglages!CJ8</f>
        <v>36.75</v>
      </c>
      <c r="AN8" s="136">
        <f>Reglages!CK8</f>
        <v>12.5</v>
      </c>
      <c r="AO8" s="135">
        <f>Reglages!CL8</f>
        <v>1.125</v>
      </c>
      <c r="AP8" s="135" t="str">
        <f>Reglages!CM8</f>
        <v>haute</v>
      </c>
      <c r="AQ8" s="135">
        <f>Reglages!CN8</f>
        <v>8</v>
      </c>
    </row>
    <row r="9" spans="2:43" ht="12.75">
      <c r="B9" s="257" t="s">
        <v>40</v>
      </c>
      <c r="C9" s="259">
        <f>VLOOKUP($B9,$AC$2:$AQ$71,15,FALSE)</f>
        <v>44</v>
      </c>
      <c r="D9" s="137">
        <f>VLOOKUP($B9,$AC$2:$AQ$68,2,FALSE)</f>
        <v>15.4090909090909</v>
      </c>
      <c r="E9" s="138">
        <f>IF(E7+D9&gt;99,D9,E7+D9)</f>
        <v>55.7859025032938</v>
      </c>
      <c r="F9" s="137">
        <f>VLOOKUP($B9,$AC$2:$AQ$68,3,FALSE)</f>
        <v>31.5</v>
      </c>
      <c r="G9" s="138">
        <f>IF(G7+F9&gt;99,F9,G7+F9)</f>
        <v>89.0549872122762</v>
      </c>
      <c r="H9" s="137">
        <f>VLOOKUP($B9,$AC$2:$AQ$68,4,FALSE)</f>
        <v>18.4545454545455</v>
      </c>
      <c r="I9" s="138">
        <f>IF(I7+H9&gt;99,H9,I7+H9)</f>
        <v>56.2900100751764</v>
      </c>
      <c r="J9" s="137">
        <f>VLOOKUP($B9,$AC$2:$AQ$68,5,FALSE)</f>
        <v>20.4545454545455</v>
      </c>
      <c r="K9" s="138">
        <f>IF(K7+J9&gt;99,J9,K7+J9)</f>
        <v>55.995039913198596</v>
      </c>
      <c r="L9" s="137">
        <f>VLOOKUP($B9,$AC$2:$AQ$68,6,FALSE)</f>
        <v>15.2272727272727</v>
      </c>
      <c r="M9" s="138">
        <f>IF(M7+L9&gt;99,L9,M7+L9)</f>
        <v>55.2247151825157</v>
      </c>
      <c r="N9" s="137">
        <f>VLOOKUP($B9,$AC$2:$AQ$68,7,FALSE)</f>
        <v>15.1363636363636</v>
      </c>
      <c r="O9" s="138">
        <f>IF(O7+N9&gt;99,N9,O7+N9)</f>
        <v>44.789816321785494</v>
      </c>
      <c r="P9" s="137">
        <f>VLOOKUP($B9,$AC$2:$AQ$68,8,FALSE)</f>
        <v>14.4318181818182</v>
      </c>
      <c r="Q9" s="138">
        <f>IF(Q7+P9&gt;99,P9,Q7+P9)</f>
        <v>59.9654925211192</v>
      </c>
      <c r="R9" s="137">
        <f>VLOOKUP($B9,$AC$2:$AQ$68,9,FALSE)</f>
        <v>22.1136363636364</v>
      </c>
      <c r="S9" s="138">
        <f>IF(S7+R9&gt;99,R9,S7+R9)</f>
        <v>67.8318801829032</v>
      </c>
      <c r="T9" s="137">
        <f>VLOOKUP($B9,$AC$2:$AQ$68,10,FALSE)</f>
        <v>25.5909090909091</v>
      </c>
      <c r="U9" s="138">
        <f>IF(U7+T9&gt;99,T9,U7+T9)</f>
        <v>92.19321088119048</v>
      </c>
      <c r="V9" s="137">
        <f>VLOOKUP($B9,$AC$2:$AQ$68,11,FALSE)</f>
        <v>15.6590909090909</v>
      </c>
      <c r="W9" s="138">
        <f>IF(W7+V9&gt;99,V9,W7+V9)</f>
        <v>49.3752034410603</v>
      </c>
      <c r="X9" s="137">
        <f>VLOOKUP($B9,$AC$2:$AQ$68,12,FALSE)</f>
        <v>12.1818181818182</v>
      </c>
      <c r="Y9" s="138">
        <f>IF(Y7+X9&gt;99,X9,Y7+X9)</f>
        <v>39.880454157947696</v>
      </c>
      <c r="AC9" s="135" t="str">
        <f>Reglages!BZ9</f>
        <v>Barcelona</v>
      </c>
      <c r="AD9" s="136">
        <f>Reglages!CA9</f>
        <v>18.5</v>
      </c>
      <c r="AE9" s="136">
        <f>Reglages!CB9</f>
        <v>40.375</v>
      </c>
      <c r="AF9" s="136">
        <f>Reglages!CC9</f>
        <v>29.375</v>
      </c>
      <c r="AG9" s="136">
        <f>Reglages!CD9</f>
        <v>35.625</v>
      </c>
      <c r="AH9" s="136">
        <f>Reglages!CE9</f>
        <v>23</v>
      </c>
      <c r="AI9" s="136">
        <f>Reglages!CF9</f>
        <v>16.4375</v>
      </c>
      <c r="AJ9" s="136">
        <f>Reglages!CG9</f>
        <v>16.25</v>
      </c>
      <c r="AK9" s="136">
        <f>Reglages!CH9</f>
        <v>25</v>
      </c>
      <c r="AL9" s="136">
        <f>Reglages!CI9</f>
        <v>35.1875</v>
      </c>
      <c r="AM9" s="136">
        <f>Reglages!CJ9</f>
        <v>28.75</v>
      </c>
      <c r="AN9" s="136">
        <f>Reglages!CK9</f>
        <v>14.0625</v>
      </c>
      <c r="AO9" s="135">
        <f>Reglages!CL9</f>
        <v>1.125</v>
      </c>
      <c r="AP9" s="135" t="str">
        <f>Reglages!CM9</f>
        <v>haute</v>
      </c>
      <c r="AQ9" s="135">
        <f>Reglages!CN9</f>
        <v>16</v>
      </c>
    </row>
    <row r="10" spans="2:43" ht="13.5" thickBot="1">
      <c r="B10" s="258"/>
      <c r="C10" s="260"/>
      <c r="D10" s="253">
        <f>D9+D8</f>
        <v>55.7859025032938</v>
      </c>
      <c r="E10" s="255"/>
      <c r="F10" s="253">
        <f>F9+F8</f>
        <v>89.0549872122762</v>
      </c>
      <c r="G10" s="255"/>
      <c r="H10" s="253">
        <f>H9+H8</f>
        <v>56.2900100751764</v>
      </c>
      <c r="I10" s="255"/>
      <c r="J10" s="253">
        <f>J9+J8</f>
        <v>55.995039913198596</v>
      </c>
      <c r="K10" s="255"/>
      <c r="L10" s="253">
        <f>L9+L8</f>
        <v>55.2247151825157</v>
      </c>
      <c r="M10" s="255"/>
      <c r="N10" s="253">
        <f>N9+N8</f>
        <v>44.789816321785494</v>
      </c>
      <c r="O10" s="255"/>
      <c r="P10" s="253">
        <f>P9+P8</f>
        <v>59.9654925211192</v>
      </c>
      <c r="Q10" s="255"/>
      <c r="R10" s="253">
        <f>R9+R8</f>
        <v>67.8318801829032</v>
      </c>
      <c r="S10" s="255"/>
      <c r="T10" s="253">
        <f>T9+T8</f>
        <v>92.19321088119048</v>
      </c>
      <c r="U10" s="255"/>
      <c r="V10" s="253">
        <f>V9+V8</f>
        <v>49.3752034410603</v>
      </c>
      <c r="W10" s="255"/>
      <c r="X10" s="253">
        <f>X9+X8</f>
        <v>39.880454157947696</v>
      </c>
      <c r="Y10" s="255"/>
      <c r="AC10" s="135" t="str">
        <f>Reglages!BZ10</f>
        <v>Brands Hatch</v>
      </c>
      <c r="AD10" s="136">
        <f>Reglages!CA10</f>
        <v>8.6</v>
      </c>
      <c r="AE10" s="136">
        <f>Reglages!CB10</f>
        <v>23.9333333333333</v>
      </c>
      <c r="AF10" s="136">
        <f>Reglages!CC10</f>
        <v>14.6333333333333</v>
      </c>
      <c r="AG10" s="136">
        <f>Reglages!CD10</f>
        <v>17.7333333333333</v>
      </c>
      <c r="AH10" s="136">
        <f>Reglages!CE10</f>
        <v>20.1</v>
      </c>
      <c r="AI10" s="136">
        <f>Reglages!CF10</f>
        <v>11.5</v>
      </c>
      <c r="AJ10" s="136">
        <f>Reglages!CG10</f>
        <v>9.43333333333333</v>
      </c>
      <c r="AK10" s="136">
        <f>Reglages!CH10</f>
        <v>15.3333333333333</v>
      </c>
      <c r="AL10" s="136">
        <f>Reglages!CI10</f>
        <v>26.5333333333333</v>
      </c>
      <c r="AM10" s="136">
        <f>Reglages!CJ10</f>
        <v>28.7</v>
      </c>
      <c r="AN10" s="136">
        <f>Reglages!CK10</f>
        <v>14.0666666666667</v>
      </c>
      <c r="AO10" s="135">
        <f>Reglages!CL10</f>
        <v>1.2</v>
      </c>
      <c r="AP10" s="135" t="str">
        <f>Reglages!CM10</f>
        <v>basse</v>
      </c>
      <c r="AQ10" s="135">
        <f>Reglages!CN10</f>
        <v>30</v>
      </c>
    </row>
    <row r="11" spans="2:43" ht="12.75">
      <c r="B11" s="257" t="s">
        <v>73</v>
      </c>
      <c r="C11" s="259">
        <f>VLOOKUP($B11,$AC$2:$AQ$71,15,FALSE)</f>
        <v>26</v>
      </c>
      <c r="D11" s="137">
        <f>VLOOKUP($B11,$AC$2:$AQ$68,2,FALSE)</f>
        <v>19.8461538461538</v>
      </c>
      <c r="E11" s="138">
        <f>IF(E9+D11&gt;99,D11,E9+D11)</f>
        <v>75.6320563494476</v>
      </c>
      <c r="F11" s="137">
        <f>VLOOKUP($B11,$AC$2:$AQ$68,3,FALSE)</f>
        <v>41.6538461538462</v>
      </c>
      <c r="G11" s="138">
        <f>IF(G9+F11&gt;99,F11,G9+F11)</f>
        <v>41.6538461538462</v>
      </c>
      <c r="H11" s="137">
        <f>VLOOKUP($B11,$AC$2:$AQ$68,4,FALSE)</f>
        <v>20.1153846153846</v>
      </c>
      <c r="I11" s="138">
        <f>IF(I9+H11&gt;99,H11,I9+H11)</f>
        <v>76.405394690561</v>
      </c>
      <c r="J11" s="137">
        <f>VLOOKUP($B11,$AC$2:$AQ$68,5,FALSE)</f>
        <v>21.6923076923077</v>
      </c>
      <c r="K11" s="138">
        <f>IF(K9+J11&gt;99,J11,K9+J11)</f>
        <v>77.68734760550629</v>
      </c>
      <c r="L11" s="137">
        <f>VLOOKUP($B11,$AC$2:$AQ$68,6,FALSE)</f>
        <v>26.1538461538462</v>
      </c>
      <c r="M11" s="138">
        <f>IF(M9+L11&gt;99,L11,M9+L11)</f>
        <v>81.3785613363619</v>
      </c>
      <c r="N11" s="137">
        <f>VLOOKUP($B11,$AC$2:$AQ$68,7,FALSE)</f>
        <v>18.6153846153846</v>
      </c>
      <c r="O11" s="138">
        <f>IF(O9+N11&gt;99,N11,O9+N11)</f>
        <v>63.40520093717009</v>
      </c>
      <c r="P11" s="137">
        <f>VLOOKUP($B11,$AC$2:$AQ$68,8,FALSE)</f>
        <v>15.3461538461538</v>
      </c>
      <c r="Q11" s="138">
        <f>IF(Q9+P11&gt;99,P11,Q9+P11)</f>
        <v>75.311646367273</v>
      </c>
      <c r="R11" s="137">
        <f>VLOOKUP($B11,$AC$2:$AQ$68,9,FALSE)</f>
        <v>31.1153846153846</v>
      </c>
      <c r="S11" s="138">
        <f>IF(S9+R11&gt;99,R11,S9+R11)</f>
        <v>98.9472647982878</v>
      </c>
      <c r="T11" s="137">
        <f>VLOOKUP($B11,$AC$2:$AQ$68,10,FALSE)</f>
        <v>38.3461538461538</v>
      </c>
      <c r="U11" s="138">
        <f>IF(U9+T11&gt;99,T11,U9+T11)</f>
        <v>38.3461538461538</v>
      </c>
      <c r="V11" s="137">
        <f>VLOOKUP($B11,$AC$2:$AQ$68,11,FALSE)</f>
        <v>22.7692307692308</v>
      </c>
      <c r="W11" s="138">
        <f>IF(W9+V11&gt;99,V11,W9+V11)</f>
        <v>72.1444342102911</v>
      </c>
      <c r="X11" s="137">
        <f>VLOOKUP($B11,$AC$2:$AQ$68,12,FALSE)</f>
        <v>18.9230769230769</v>
      </c>
      <c r="Y11" s="138">
        <f>IF(Y9+X11&gt;99,X11,Y9+X11)</f>
        <v>58.803531081024595</v>
      </c>
      <c r="AC11" s="135" t="str">
        <f>Reglages!BZ11</f>
        <v>Brasilia</v>
      </c>
      <c r="AD11" s="136">
        <f>Reglages!CA11</f>
        <v>13.9302325581395</v>
      </c>
      <c r="AE11" s="136">
        <f>Reglages!CB11</f>
        <v>27.2325581395349</v>
      </c>
      <c r="AF11" s="136">
        <f>Reglages!CC11</f>
        <v>18.1627906976744</v>
      </c>
      <c r="AG11" s="136">
        <f>Reglages!CD11</f>
        <v>21.8372093023256</v>
      </c>
      <c r="AH11" s="136">
        <f>Reglages!CE11</f>
        <v>14.7906976744186</v>
      </c>
      <c r="AI11" s="136">
        <f>Reglages!CF11</f>
        <v>13.6511627906977</v>
      </c>
      <c r="AJ11" s="136">
        <f>Reglages!CG11</f>
        <v>15.8372093023256</v>
      </c>
      <c r="AK11" s="136">
        <f>Reglages!CH11</f>
        <v>22.8837209302326</v>
      </c>
      <c r="AL11" s="136">
        <f>Reglages!CI11</f>
        <v>30.3720930232558</v>
      </c>
      <c r="AM11" s="136">
        <f>Reglages!CJ11</f>
        <v>14.5348837209302</v>
      </c>
      <c r="AN11" s="136">
        <f>Reglages!CK11</f>
        <v>12.4651162790698</v>
      </c>
      <c r="AO11" s="135">
        <f>Reglages!CL11</f>
        <v>1.07</v>
      </c>
      <c r="AP11" s="135" t="str">
        <f>Reglages!CM11</f>
        <v>haute</v>
      </c>
      <c r="AQ11" s="135">
        <f>Reglages!CN11</f>
        <v>43</v>
      </c>
    </row>
    <row r="12" spans="2:43" ht="13.5" thickBot="1">
      <c r="B12" s="258"/>
      <c r="C12" s="260"/>
      <c r="D12" s="253">
        <f>D11+D10</f>
        <v>75.6320563494476</v>
      </c>
      <c r="E12" s="255"/>
      <c r="F12" s="253">
        <f>F11+F10</f>
        <v>130.7088333661224</v>
      </c>
      <c r="G12" s="255"/>
      <c r="H12" s="253">
        <f>H11+H10</f>
        <v>76.405394690561</v>
      </c>
      <c r="I12" s="255"/>
      <c r="J12" s="253">
        <f>J11+J10</f>
        <v>77.68734760550629</v>
      </c>
      <c r="K12" s="255"/>
      <c r="L12" s="253">
        <f>L11+L10</f>
        <v>81.3785613363619</v>
      </c>
      <c r="M12" s="255"/>
      <c r="N12" s="253">
        <f>N11+N10</f>
        <v>63.40520093717009</v>
      </c>
      <c r="O12" s="255"/>
      <c r="P12" s="253">
        <f>P11+P10</f>
        <v>75.311646367273</v>
      </c>
      <c r="Q12" s="255"/>
      <c r="R12" s="253">
        <f>R11+R10</f>
        <v>98.9472647982878</v>
      </c>
      <c r="S12" s="255"/>
      <c r="T12" s="253">
        <f>T11+T10</f>
        <v>130.53936472734426</v>
      </c>
      <c r="U12" s="255"/>
      <c r="V12" s="253">
        <f>V11+V10</f>
        <v>72.1444342102911</v>
      </c>
      <c r="W12" s="255"/>
      <c r="X12" s="253">
        <f>X11+X10</f>
        <v>58.803531081024595</v>
      </c>
      <c r="Y12" s="255"/>
      <c r="AC12" s="135" t="str">
        <f>Reglages!BZ12</f>
        <v>Bremgarten</v>
      </c>
      <c r="AD12" s="136">
        <f>Reglages!CA12</f>
        <v>25.625</v>
      </c>
      <c r="AE12" s="136">
        <f>Reglages!CB12</f>
        <v>13.75</v>
      </c>
      <c r="AF12" s="136">
        <f>Reglages!CC12</f>
        <v>12.875</v>
      </c>
      <c r="AG12" s="136">
        <f>Reglages!CD12</f>
        <v>12.5</v>
      </c>
      <c r="AH12" s="136">
        <f>Reglages!CE12</f>
        <v>26.875</v>
      </c>
      <c r="AI12" s="136">
        <f>Reglages!CF12</f>
        <v>20.625</v>
      </c>
      <c r="AJ12" s="136">
        <f>Reglages!CG12</f>
        <v>8.875</v>
      </c>
      <c r="AK12" s="136">
        <f>Reglages!CH12</f>
        <v>23.625</v>
      </c>
      <c r="AL12" s="136">
        <f>Reglages!CI12</f>
        <v>19.875</v>
      </c>
      <c r="AM12" s="136">
        <f>Reglages!CJ12</f>
        <v>27.625</v>
      </c>
      <c r="AN12" s="136">
        <f>Reglages!CK12</f>
        <v>7.875</v>
      </c>
      <c r="AO12" s="135">
        <f>Reglages!CL12</f>
        <v>1.18</v>
      </c>
      <c r="AP12" s="135" t="str">
        <f>Reglages!CM12</f>
        <v>moyen</v>
      </c>
      <c r="AQ12" s="135">
        <f>Reglages!CN12</f>
        <v>8</v>
      </c>
    </row>
    <row r="13" spans="2:43" ht="12.75">
      <c r="B13" s="257" t="s">
        <v>60</v>
      </c>
      <c r="C13" s="259">
        <f>VLOOKUP($B13,$AC$2:$AQ$71,15,FALSE)</f>
        <v>22</v>
      </c>
      <c r="D13" s="137">
        <f>VLOOKUP($B13,$AC$2:$AQ$68,2,FALSE)</f>
        <v>20.7272727272727</v>
      </c>
      <c r="E13" s="138">
        <f>IF(E11+D13&gt;99,D13,E11+D13)</f>
        <v>96.3593290767203</v>
      </c>
      <c r="F13" s="137">
        <f>VLOOKUP($B13,$AC$2:$AQ$68,3,FALSE)</f>
        <v>32.8181818181818</v>
      </c>
      <c r="G13" s="138">
        <f>IF(G11+F13&gt;99,F13,G11+F13)</f>
        <v>74.472027972028</v>
      </c>
      <c r="H13" s="137">
        <f>VLOOKUP($B13,$AC$2:$AQ$68,4,FALSE)</f>
        <v>20.2727272727273</v>
      </c>
      <c r="I13" s="138">
        <f>IF(I11+H13&gt;99,H13,I11+H13)</f>
        <v>96.67812196328829</v>
      </c>
      <c r="J13" s="137">
        <f>VLOOKUP($B13,$AC$2:$AQ$68,5,FALSE)</f>
        <v>22.3636363636364</v>
      </c>
      <c r="K13" s="138">
        <f>IF(K11+J13&gt;99,J13,K11+J13)</f>
        <v>22.3636363636364</v>
      </c>
      <c r="L13" s="137">
        <f>VLOOKUP($B13,$AC$2:$AQ$68,6,FALSE)</f>
        <v>16.9090909090909</v>
      </c>
      <c r="M13" s="138">
        <f>IF(M11+L13&gt;99,L13,M11+L13)</f>
        <v>98.28765224545279</v>
      </c>
      <c r="N13" s="137">
        <f>VLOOKUP($B13,$AC$2:$AQ$68,7,FALSE)</f>
        <v>14.3636363636364</v>
      </c>
      <c r="O13" s="138">
        <f>IF(O11+N13&gt;99,N13,O11+N13)</f>
        <v>77.7688373008065</v>
      </c>
      <c r="P13" s="137">
        <f>VLOOKUP($B13,$AC$2:$AQ$68,8,FALSE)</f>
        <v>16.6818181818182</v>
      </c>
      <c r="Q13" s="138">
        <f>IF(Q11+P13&gt;99,P13,Q11+P13)</f>
        <v>91.9934645490912</v>
      </c>
      <c r="R13" s="137">
        <f>VLOOKUP($B13,$AC$2:$AQ$68,9,FALSE)</f>
        <v>26.2272727272727</v>
      </c>
      <c r="S13" s="138">
        <f>IF(S11+R13&gt;99,R13,S11+R13)</f>
        <v>26.2272727272727</v>
      </c>
      <c r="T13" s="137">
        <f>VLOOKUP($B13,$AC$2:$AQ$68,10,FALSE)</f>
        <v>33.7272727272727</v>
      </c>
      <c r="U13" s="138">
        <f>IF(U11+T13&gt;99,T13,U11+T13)</f>
        <v>72.0734265734265</v>
      </c>
      <c r="V13" s="137">
        <f>VLOOKUP($B13,$AC$2:$AQ$68,11,FALSE)</f>
        <v>23.7272727272727</v>
      </c>
      <c r="W13" s="138">
        <f>IF(W11+V13&gt;99,V13,W11+V13)</f>
        <v>95.8717069375638</v>
      </c>
      <c r="X13" s="137">
        <f>VLOOKUP($B13,$AC$2:$AQ$68,12,FALSE)</f>
        <v>16.7727272727273</v>
      </c>
      <c r="Y13" s="138">
        <f>IF(Y11+X13&gt;99,X13,Y11+X13)</f>
        <v>75.5762583537519</v>
      </c>
      <c r="AC13" s="135" t="str">
        <f>Reglages!BZ13</f>
        <v>Brno</v>
      </c>
      <c r="AD13" s="136">
        <f>Reglages!CA13</f>
        <v>17.2</v>
      </c>
      <c r="AE13" s="136">
        <f>Reglages!CB13</f>
        <v>29.1333333333333</v>
      </c>
      <c r="AF13" s="136">
        <f>Reglages!CC13</f>
        <v>18.5666666666667</v>
      </c>
      <c r="AG13" s="136">
        <f>Reglages!CD13</f>
        <v>15.4</v>
      </c>
      <c r="AH13" s="136">
        <f>Reglages!CE13</f>
        <v>19.0333333333333</v>
      </c>
      <c r="AI13" s="136">
        <f>Reglages!CF13</f>
        <v>17.7333333333333</v>
      </c>
      <c r="AJ13" s="136">
        <f>Reglages!CG13</f>
        <v>16.5666666666667</v>
      </c>
      <c r="AK13" s="136">
        <f>Reglages!CH13</f>
        <v>20.2</v>
      </c>
      <c r="AL13" s="136">
        <f>Reglages!CI13</f>
        <v>23.4</v>
      </c>
      <c r="AM13" s="136">
        <f>Reglages!CJ13</f>
        <v>18.4</v>
      </c>
      <c r="AN13" s="136">
        <f>Reglages!CK13</f>
        <v>13.6</v>
      </c>
      <c r="AO13" s="135">
        <f>Reglages!CL13</f>
        <v>1.18</v>
      </c>
      <c r="AP13" s="135" t="str">
        <f>Reglages!CM13</f>
        <v>moyen</v>
      </c>
      <c r="AQ13" s="135">
        <f>Reglages!CN13</f>
        <v>30</v>
      </c>
    </row>
    <row r="14" spans="2:43" ht="13.5" thickBot="1">
      <c r="B14" s="258"/>
      <c r="C14" s="260"/>
      <c r="D14" s="253">
        <f>D13+D12</f>
        <v>96.3593290767203</v>
      </c>
      <c r="E14" s="255"/>
      <c r="F14" s="253">
        <f>F13+F12</f>
        <v>163.52701518430422</v>
      </c>
      <c r="G14" s="255"/>
      <c r="H14" s="253">
        <f>H13+H12</f>
        <v>96.67812196328829</v>
      </c>
      <c r="I14" s="255"/>
      <c r="J14" s="253">
        <f>J13+J12</f>
        <v>100.05098396914269</v>
      </c>
      <c r="K14" s="255"/>
      <c r="L14" s="253">
        <f>L13+L12</f>
        <v>98.28765224545279</v>
      </c>
      <c r="M14" s="255"/>
      <c r="N14" s="253">
        <f>N13+N12</f>
        <v>77.7688373008065</v>
      </c>
      <c r="O14" s="255"/>
      <c r="P14" s="253">
        <f>P13+P12</f>
        <v>91.9934645490912</v>
      </c>
      <c r="Q14" s="255"/>
      <c r="R14" s="253">
        <f>R13+R12</f>
        <v>125.17453752556051</v>
      </c>
      <c r="S14" s="255"/>
      <c r="T14" s="253">
        <f>T13+T12</f>
        <v>164.26663745461695</v>
      </c>
      <c r="U14" s="255"/>
      <c r="V14" s="253">
        <f>V13+V12</f>
        <v>95.8717069375638</v>
      </c>
      <c r="W14" s="255"/>
      <c r="X14" s="253">
        <f>X13+X12</f>
        <v>75.5762583537519</v>
      </c>
      <c r="Y14" s="255"/>
      <c r="AC14" s="135" t="str">
        <f>Reglages!BZ14</f>
        <v>Bucharest Ring</v>
      </c>
      <c r="AD14" s="136">
        <f>Reglages!CA14</f>
        <v>19.8461538461538</v>
      </c>
      <c r="AE14" s="136">
        <f>Reglages!CB14</f>
        <v>41.6538461538462</v>
      </c>
      <c r="AF14" s="136">
        <f>Reglages!CC14</f>
        <v>20.1153846153846</v>
      </c>
      <c r="AG14" s="136">
        <f>Reglages!CD14</f>
        <v>21.6923076923077</v>
      </c>
      <c r="AH14" s="136">
        <f>Reglages!CE14</f>
        <v>26.1538461538462</v>
      </c>
      <c r="AI14" s="136">
        <f>Reglages!CF14</f>
        <v>18.6153846153846</v>
      </c>
      <c r="AJ14" s="136">
        <f>Reglages!CG14</f>
        <v>15.3461538461538</v>
      </c>
      <c r="AK14" s="136">
        <f>Reglages!CH14</f>
        <v>31.1153846153846</v>
      </c>
      <c r="AL14" s="136">
        <f>Reglages!CI14</f>
        <v>38.3461538461538</v>
      </c>
      <c r="AM14" s="136">
        <f>Reglages!CJ14</f>
        <v>22.7692307692308</v>
      </c>
      <c r="AN14" s="136">
        <f>Reglages!CK14</f>
        <v>18.9230769230769</v>
      </c>
      <c r="AO14" s="135">
        <f>Reglages!CL14</f>
        <v>1.05</v>
      </c>
      <c r="AP14" s="135" t="str">
        <f>Reglages!CM14</f>
        <v>tres haute</v>
      </c>
      <c r="AQ14" s="135">
        <f>Reglages!CN14</f>
        <v>26</v>
      </c>
    </row>
    <row r="15" spans="2:43" ht="12.75">
      <c r="B15" s="257" t="s">
        <v>80</v>
      </c>
      <c r="C15" s="259">
        <f>VLOOKUP($B15,$AC$2:$AQ$71,15,FALSE)</f>
        <v>16</v>
      </c>
      <c r="D15" s="137">
        <f>VLOOKUP($B15,$AC$2:$AQ$68,2,FALSE)</f>
        <v>26.0625</v>
      </c>
      <c r="E15" s="138">
        <f>IF(E13+D15&gt;99,D15,E13+D15)</f>
        <v>26.0625</v>
      </c>
      <c r="F15" s="137">
        <f>VLOOKUP($B15,$AC$2:$AQ$68,3,FALSE)</f>
        <v>37.3125</v>
      </c>
      <c r="G15" s="138">
        <f>IF(G13+F15&gt;99,F15,G13+F15)</f>
        <v>37.3125</v>
      </c>
      <c r="H15" s="137">
        <f>VLOOKUP($B15,$AC$2:$AQ$68,4,FALSE)</f>
        <v>26.4375</v>
      </c>
      <c r="I15" s="138">
        <f>IF(I13+H15&gt;99,H15,I13+H15)</f>
        <v>26.4375</v>
      </c>
      <c r="J15" s="137">
        <f>VLOOKUP($B15,$AC$2:$AQ$68,5,FALSE)</f>
        <v>28.6875</v>
      </c>
      <c r="K15" s="138">
        <f>IF(K13+J15&gt;99,J15,K13+J15)</f>
        <v>51.0511363636364</v>
      </c>
      <c r="L15" s="137">
        <f>VLOOKUP($B15,$AC$2:$AQ$68,6,FALSE)</f>
        <v>24.375</v>
      </c>
      <c r="M15" s="138">
        <f>IF(M13+L15&gt;99,L15,M13+L15)</f>
        <v>24.375</v>
      </c>
      <c r="N15" s="137">
        <f>VLOOKUP($B15,$AC$2:$AQ$68,7,FALSE)</f>
        <v>21</v>
      </c>
      <c r="O15" s="138">
        <f>IF(O13+N15&gt;99,N15,O13+N15)</f>
        <v>98.7688373008065</v>
      </c>
      <c r="P15" s="137">
        <f>VLOOKUP($B15,$AC$2:$AQ$68,8,FALSE)</f>
        <v>15.1875</v>
      </c>
      <c r="Q15" s="138">
        <f>IF(Q13+P15&gt;99,P15,Q13+P15)</f>
        <v>15.1875</v>
      </c>
      <c r="R15" s="137">
        <f>VLOOKUP($B15,$AC$2:$AQ$68,9,FALSE)</f>
        <v>22.75</v>
      </c>
      <c r="S15" s="138">
        <f>IF(S13+R15&gt;99,R15,S13+R15)</f>
        <v>48.977272727272705</v>
      </c>
      <c r="T15" s="137">
        <f>VLOOKUP($B15,$AC$2:$AQ$68,10,FALSE)</f>
        <v>35.8125</v>
      </c>
      <c r="U15" s="138">
        <f>IF(U13+T15&gt;99,T15,U13+T15)</f>
        <v>35.8125</v>
      </c>
      <c r="V15" s="137">
        <f>VLOOKUP($B15,$AC$2:$AQ$68,11,FALSE)</f>
        <v>32.4375</v>
      </c>
      <c r="W15" s="138">
        <f>IF(W13+V15&gt;99,V15,W13+V15)</f>
        <v>32.4375</v>
      </c>
      <c r="X15" s="137">
        <f>VLOOKUP($B15,$AC$2:$AQ$68,12,FALSE)</f>
        <v>17.0625</v>
      </c>
      <c r="Y15" s="138">
        <f>IF(Y13+X15&gt;99,X15,Y13+X15)</f>
        <v>92.6387583537519</v>
      </c>
      <c r="AC15" s="135" t="str">
        <f>Reglages!BZ15</f>
        <v>Buenos Aires</v>
      </c>
      <c r="AD15" s="136">
        <f>Reglages!CA15</f>
        <v>21.6111111111111</v>
      </c>
      <c r="AE15" s="136">
        <f>Reglages!CB15</f>
        <v>36.5</v>
      </c>
      <c r="AF15" s="136">
        <f>Reglages!CC15</f>
        <v>16.8333333333333</v>
      </c>
      <c r="AG15" s="136">
        <f>Reglages!CD15</f>
        <v>21.0277777777778</v>
      </c>
      <c r="AH15" s="136">
        <f>Reglages!CE15</f>
        <v>15.4722222222222</v>
      </c>
      <c r="AI15" s="136">
        <f>Reglages!CF15</f>
        <v>13.5</v>
      </c>
      <c r="AJ15" s="136">
        <f>Reglages!CG15</f>
        <v>18.4722222222222</v>
      </c>
      <c r="AK15" s="136">
        <f>Reglages!CH15</f>
        <v>38.6944444444444</v>
      </c>
      <c r="AL15" s="136">
        <f>Reglages!CI15</f>
        <v>47.3888888888889</v>
      </c>
      <c r="AM15" s="136">
        <f>Reglages!CJ15</f>
        <v>34.8055555555556</v>
      </c>
      <c r="AN15" s="136">
        <f>Reglages!CK15</f>
        <v>14.7777777777778</v>
      </c>
      <c r="AO15" s="135">
        <f>Reglages!CL15</f>
        <v>1.31</v>
      </c>
      <c r="AP15" s="135" t="str">
        <f>Reglages!CM15</f>
        <v>tres basse</v>
      </c>
      <c r="AQ15" s="135">
        <f>Reglages!CN15</f>
        <v>36</v>
      </c>
    </row>
    <row r="16" spans="2:43" ht="13.5" thickBot="1">
      <c r="B16" s="258"/>
      <c r="C16" s="260"/>
      <c r="D16" s="253">
        <f>D15+D14</f>
        <v>122.4218290767203</v>
      </c>
      <c r="E16" s="255"/>
      <c r="F16" s="253">
        <f>F15+F14</f>
        <v>200.83951518430422</v>
      </c>
      <c r="G16" s="255"/>
      <c r="H16" s="253">
        <f>H15+H14</f>
        <v>123.11562196328829</v>
      </c>
      <c r="I16" s="255"/>
      <c r="J16" s="253">
        <f>J15+J14</f>
        <v>128.7384839691427</v>
      </c>
      <c r="K16" s="255"/>
      <c r="L16" s="253">
        <f>L15+L14</f>
        <v>122.66265224545279</v>
      </c>
      <c r="M16" s="255"/>
      <c r="N16" s="253">
        <f>N15+N14</f>
        <v>98.7688373008065</v>
      </c>
      <c r="O16" s="255"/>
      <c r="P16" s="253">
        <f>P15+P14</f>
        <v>107.1809645490912</v>
      </c>
      <c r="Q16" s="255"/>
      <c r="R16" s="253">
        <f>R15+R14</f>
        <v>147.9245375255605</v>
      </c>
      <c r="S16" s="255"/>
      <c r="T16" s="253">
        <f>T15+T14</f>
        <v>200.07913745461695</v>
      </c>
      <c r="U16" s="255"/>
      <c r="V16" s="253">
        <f>V15+V14</f>
        <v>128.3092069375638</v>
      </c>
      <c r="W16" s="255"/>
      <c r="X16" s="253">
        <f>X15+X14</f>
        <v>92.6387583537519</v>
      </c>
      <c r="Y16" s="255"/>
      <c r="AC16" s="135" t="str">
        <f>Reglages!BZ16</f>
        <v>Estoril</v>
      </c>
      <c r="AD16" s="136">
        <f>Reglages!CA16</f>
        <v>15.8235294117647</v>
      </c>
      <c r="AE16" s="136">
        <f>Reglages!CB16</f>
        <v>35.1176470588235</v>
      </c>
      <c r="AF16" s="136">
        <f>Reglages!CC16</f>
        <v>21</v>
      </c>
      <c r="AG16" s="136">
        <f>Reglages!CD16</f>
        <v>18.3529411764706</v>
      </c>
      <c r="AH16" s="136">
        <f>Reglages!CE16</f>
        <v>20.1764705882353</v>
      </c>
      <c r="AI16" s="136">
        <f>Reglages!CF16</f>
        <v>14.3529411764706</v>
      </c>
      <c r="AJ16" s="136">
        <f>Reglages!CG16</f>
        <v>10.9411764705882</v>
      </c>
      <c r="AK16" s="136">
        <f>Reglages!CH16</f>
        <v>26.8235294117647</v>
      </c>
      <c r="AL16" s="136">
        <f>Reglages!CI16</f>
        <v>30.3529411764706</v>
      </c>
      <c r="AM16" s="136">
        <f>Reglages!CJ16</f>
        <v>23.7058823529412</v>
      </c>
      <c r="AN16" s="136">
        <f>Reglages!CK16</f>
        <v>10.2941176470588</v>
      </c>
      <c r="AO16" s="135">
        <f>Reglages!CL16</f>
        <v>1.2</v>
      </c>
      <c r="AP16" s="135" t="str">
        <f>Reglages!CM16</f>
        <v>moyen</v>
      </c>
      <c r="AQ16" s="135">
        <f>Reglages!CN16</f>
        <v>17</v>
      </c>
    </row>
    <row r="17" spans="2:43" ht="12.75">
      <c r="B17" s="257" t="s">
        <v>43</v>
      </c>
      <c r="C17" s="259">
        <f>VLOOKUP($B17,$AC$2:$AQ$71,15,FALSE)</f>
        <v>48</v>
      </c>
      <c r="D17" s="137">
        <f>VLOOKUP($B17,$AC$2:$AQ$68,2,FALSE)</f>
        <v>20</v>
      </c>
      <c r="E17" s="138">
        <f>IF(E15+D17&gt;99,D17,E15+D17)</f>
        <v>46.0625</v>
      </c>
      <c r="F17" s="137">
        <f>VLOOKUP($B17,$AC$2:$AQ$68,3,FALSE)</f>
        <v>40.75</v>
      </c>
      <c r="G17" s="138">
        <f>IF(G15+F17&gt;99,F17,G15+F17)</f>
        <v>78.0625</v>
      </c>
      <c r="H17" s="137">
        <f>VLOOKUP($B17,$AC$2:$AQ$68,4,FALSE)</f>
        <v>22.7291666666667</v>
      </c>
      <c r="I17" s="138">
        <f>IF(I15+H17&gt;99,H17,I15+H17)</f>
        <v>49.1666666666667</v>
      </c>
      <c r="J17" s="137">
        <f>VLOOKUP($B17,$AC$2:$AQ$68,5,FALSE)</f>
        <v>17.7083333333333</v>
      </c>
      <c r="K17" s="138">
        <f>IF(K15+J17&gt;99,J17,K15+J17)</f>
        <v>68.7594696969697</v>
      </c>
      <c r="L17" s="137">
        <f>VLOOKUP($B17,$AC$2:$AQ$68,6,FALSE)</f>
        <v>17.625</v>
      </c>
      <c r="M17" s="138">
        <f>IF(M15+L17&gt;99,L17,M15+L17)</f>
        <v>42</v>
      </c>
      <c r="N17" s="137">
        <f>VLOOKUP($B17,$AC$2:$AQ$68,7,FALSE)</f>
        <v>22.0625</v>
      </c>
      <c r="O17" s="138">
        <f>IF(O15+N17&gt;99,N17,O15+N17)</f>
        <v>22.0625</v>
      </c>
      <c r="P17" s="137">
        <f>VLOOKUP($B17,$AC$2:$AQ$68,8,FALSE)</f>
        <v>25.2916666666667</v>
      </c>
      <c r="Q17" s="138">
        <f>IF(Q15+P17&gt;99,P17,Q15+P17)</f>
        <v>40.4791666666667</v>
      </c>
      <c r="R17" s="137">
        <f>VLOOKUP($B17,$AC$2:$AQ$68,9,FALSE)</f>
        <v>21.6458333333333</v>
      </c>
      <c r="S17" s="138">
        <f>IF(S15+R17&gt;99,R17,S15+R17)</f>
        <v>70.623106060606</v>
      </c>
      <c r="T17" s="137">
        <f>VLOOKUP($B17,$AC$2:$AQ$68,10,FALSE)</f>
        <v>25.0416666666667</v>
      </c>
      <c r="U17" s="138">
        <f>IF(U15+T17&gt;99,T17,U15+T17)</f>
        <v>60.8541666666667</v>
      </c>
      <c r="V17" s="137">
        <f>VLOOKUP($B17,$AC$2:$AQ$68,11,FALSE)</f>
        <v>24.8125</v>
      </c>
      <c r="W17" s="138">
        <f>IF(W15+V17&gt;99,V17,W15+V17)</f>
        <v>57.25</v>
      </c>
      <c r="X17" s="137">
        <f>VLOOKUP($B17,$AC$2:$AQ$68,12,FALSE)</f>
        <v>12.375</v>
      </c>
      <c r="Y17" s="138">
        <f>IF(Y15+X17&gt;99,X17,Y15+X17)</f>
        <v>12.375</v>
      </c>
      <c r="AC17" s="135" t="str">
        <f>Reglages!BZ17</f>
        <v>Fiorano</v>
      </c>
      <c r="AD17" s="136">
        <f>Reglages!CA17</f>
        <v>20.7272727272727</v>
      </c>
      <c r="AE17" s="136">
        <f>Reglages!CB17</f>
        <v>32.8181818181818</v>
      </c>
      <c r="AF17" s="136">
        <f>Reglages!CC17</f>
        <v>20.2727272727273</v>
      </c>
      <c r="AG17" s="136">
        <f>Reglages!CD17</f>
        <v>22.3636363636364</v>
      </c>
      <c r="AH17" s="136">
        <f>Reglages!CE17</f>
        <v>16.9090909090909</v>
      </c>
      <c r="AI17" s="136">
        <f>Reglages!CF17</f>
        <v>14.3636363636364</v>
      </c>
      <c r="AJ17" s="136">
        <f>Reglages!CG17</f>
        <v>16.6818181818182</v>
      </c>
      <c r="AK17" s="136">
        <f>Reglages!CH17</f>
        <v>26.2272727272727</v>
      </c>
      <c r="AL17" s="136">
        <f>Reglages!CI17</f>
        <v>33.7272727272727</v>
      </c>
      <c r="AM17" s="136">
        <f>Reglages!CJ17</f>
        <v>23.7272727272727</v>
      </c>
      <c r="AN17" s="136">
        <f>Reglages!CK17</f>
        <v>16.7727272727273</v>
      </c>
      <c r="AO17" s="135">
        <f>Reglages!CL17</f>
        <v>1.0108</v>
      </c>
      <c r="AP17" s="135" t="str">
        <f>Reglages!CM17</f>
        <v>tres haute</v>
      </c>
      <c r="AQ17" s="135">
        <f>Reglages!CN17</f>
        <v>22</v>
      </c>
    </row>
    <row r="18" spans="2:43" ht="13.5" thickBot="1">
      <c r="B18" s="258"/>
      <c r="C18" s="260"/>
      <c r="D18" s="253">
        <f>D17+D16</f>
        <v>142.42182907672031</v>
      </c>
      <c r="E18" s="255"/>
      <c r="F18" s="253">
        <f>F17+F16</f>
        <v>241.58951518430422</v>
      </c>
      <c r="G18" s="255"/>
      <c r="H18" s="253">
        <f>H17+H16</f>
        <v>145.844788629955</v>
      </c>
      <c r="I18" s="255"/>
      <c r="J18" s="253">
        <f>J17+J16</f>
        <v>146.446817302476</v>
      </c>
      <c r="K18" s="255"/>
      <c r="L18" s="253">
        <f>L17+L16</f>
        <v>140.2876522454528</v>
      </c>
      <c r="M18" s="255"/>
      <c r="N18" s="253">
        <f>N17+N16</f>
        <v>120.8313373008065</v>
      </c>
      <c r="O18" s="255"/>
      <c r="P18" s="253">
        <f>P17+P16</f>
        <v>132.4726312157579</v>
      </c>
      <c r="Q18" s="255"/>
      <c r="R18" s="253">
        <f>R17+R16</f>
        <v>169.5703708588938</v>
      </c>
      <c r="S18" s="255"/>
      <c r="T18" s="253">
        <f>T17+T16</f>
        <v>225.12080412128364</v>
      </c>
      <c r="U18" s="255"/>
      <c r="V18" s="253">
        <f>V17+V16</f>
        <v>153.1217069375638</v>
      </c>
      <c r="W18" s="255"/>
      <c r="X18" s="253">
        <f>X17+X16</f>
        <v>105.0137583537519</v>
      </c>
      <c r="Y18" s="255"/>
      <c r="AC18" s="135" t="str">
        <f>Reglages!BZ18</f>
        <v>Fuji</v>
      </c>
      <c r="AD18" s="136">
        <f>Reglages!CA18</f>
        <v>22.3333333333333</v>
      </c>
      <c r="AE18" s="136">
        <f>Reglages!CB18</f>
        <v>25.2941176470588</v>
      </c>
      <c r="AF18" s="136">
        <f>Reglages!CC18</f>
        <v>14.3137254901961</v>
      </c>
      <c r="AG18" s="136">
        <f>Reglages!CD18</f>
        <v>16.6274509803922</v>
      </c>
      <c r="AH18" s="136">
        <f>Reglages!CE18</f>
        <v>16.8235294117647</v>
      </c>
      <c r="AI18" s="136">
        <f>Reglages!CF18</f>
        <v>16.5882352941176</v>
      </c>
      <c r="AJ18" s="136">
        <f>Reglages!CG18</f>
        <v>22.4901960784314</v>
      </c>
      <c r="AK18" s="136">
        <f>Reglages!CH18</f>
        <v>19.3921568627451</v>
      </c>
      <c r="AL18" s="136">
        <f>Reglages!CI18</f>
        <v>36.0588235294118</v>
      </c>
      <c r="AM18" s="136">
        <f>Reglages!CJ18</f>
        <v>15.4117647058824</v>
      </c>
      <c r="AN18" s="136">
        <f>Reglages!CK18</f>
        <v>14.3725490196078</v>
      </c>
      <c r="AO18" s="135">
        <f>Reglages!CL18</f>
        <v>1.1827</v>
      </c>
      <c r="AP18" s="135" t="str">
        <f>Reglages!CM18</f>
        <v>moyen</v>
      </c>
      <c r="AQ18" s="135">
        <f>Reglages!CN18</f>
        <v>51</v>
      </c>
    </row>
    <row r="19" spans="2:43" ht="12.75">
      <c r="B19" s="257" t="s">
        <v>75</v>
      </c>
      <c r="C19" s="259">
        <f>VLOOKUP($B19,$AC$2:$AQ$71,15,FALSE)</f>
        <v>49</v>
      </c>
      <c r="D19" s="137">
        <f>VLOOKUP($B19,$AC$2:$AQ$68,2,FALSE)</f>
        <v>21.3265306122449</v>
      </c>
      <c r="E19" s="138">
        <f>IF(E17+D19&gt;99,D19,E17+D19)</f>
        <v>67.3890306122449</v>
      </c>
      <c r="F19" s="137">
        <f>VLOOKUP($B19,$AC$2:$AQ$68,3,FALSE)</f>
        <v>15.6938775510204</v>
      </c>
      <c r="G19" s="138">
        <f>IF(G17+F19&gt;99,F19,G17+F19)</f>
        <v>93.75637755102039</v>
      </c>
      <c r="H19" s="137">
        <f>VLOOKUP($B19,$AC$2:$AQ$68,4,FALSE)</f>
        <v>24.3469387755102</v>
      </c>
      <c r="I19" s="138">
        <f>IF(I17+H19&gt;99,H19,I17+H19)</f>
        <v>73.5136054421769</v>
      </c>
      <c r="J19" s="137">
        <f>VLOOKUP($B19,$AC$2:$AQ$68,5,FALSE)</f>
        <v>21.5102040816327</v>
      </c>
      <c r="K19" s="138">
        <f>IF(K17+J19&gt;99,J19,K17+J19)</f>
        <v>90.2696737786024</v>
      </c>
      <c r="L19" s="137">
        <f>VLOOKUP($B19,$AC$2:$AQ$68,6,FALSE)</f>
        <v>24.4489795918367</v>
      </c>
      <c r="M19" s="138">
        <f>IF(M17+L19&gt;99,L19,M17+L19)</f>
        <v>66.4489795918367</v>
      </c>
      <c r="N19" s="137">
        <f>VLOOKUP($B19,$AC$2:$AQ$68,7,FALSE)</f>
        <v>17.6326530612245</v>
      </c>
      <c r="O19" s="138">
        <f>IF(O17+N19&gt;99,N19,O17+N19)</f>
        <v>39.6951530612245</v>
      </c>
      <c r="P19" s="137">
        <f>VLOOKUP($B19,$AC$2:$AQ$68,8,FALSE)</f>
        <v>21.0612244897959</v>
      </c>
      <c r="Q19" s="138">
        <f>IF(Q17+P19&gt;99,P19,Q17+P19)</f>
        <v>61.540391156462604</v>
      </c>
      <c r="R19" s="137">
        <f>VLOOKUP($B19,$AC$2:$AQ$68,9,FALSE)</f>
        <v>20.8163265306122</v>
      </c>
      <c r="S19" s="138">
        <f>IF(S17+R19&gt;99,R19,S17+R19)</f>
        <v>91.4394325912182</v>
      </c>
      <c r="T19" s="137">
        <f>VLOOKUP($B19,$AC$2:$AQ$68,10,FALSE)</f>
        <v>30.8367346938776</v>
      </c>
      <c r="U19" s="138">
        <f>IF(U17+T19&gt;99,T19,U17+T19)</f>
        <v>91.6909013605443</v>
      </c>
      <c r="V19" s="137">
        <f>VLOOKUP($B19,$AC$2:$AQ$68,11,FALSE)</f>
        <v>18.9795918367347</v>
      </c>
      <c r="W19" s="138">
        <f>IF(W17+V19&gt;99,V19,W17+V19)</f>
        <v>76.2295918367347</v>
      </c>
      <c r="X19" s="137">
        <f>VLOOKUP($B19,$AC$2:$AQ$68,12,FALSE)</f>
        <v>19.0408163265306</v>
      </c>
      <c r="Y19" s="138">
        <f>IF(Y17+X19&gt;99,X19,Y17+X19)</f>
        <v>31.4158163265306</v>
      </c>
      <c r="AC19" s="135" t="str">
        <f>Reglages!BZ19</f>
        <v>Hockenheim</v>
      </c>
      <c r="AD19" s="136">
        <f>Reglages!CA19</f>
        <v>20.4782608695652</v>
      </c>
      <c r="AE19" s="136">
        <f>Reglages!CB19</f>
        <v>39.6086956521739</v>
      </c>
      <c r="AF19" s="136">
        <f>Reglages!CC19</f>
        <v>14.695652173913</v>
      </c>
      <c r="AG19" s="136">
        <f>Reglages!CD19</f>
        <v>15.7826086956522</v>
      </c>
      <c r="AH19" s="136">
        <f>Reglages!CE19</f>
        <v>16.1304347826087</v>
      </c>
      <c r="AI19" s="136">
        <f>Reglages!CF19</f>
        <v>13.2608695652174</v>
      </c>
      <c r="AJ19" s="136">
        <f>Reglages!CG19</f>
        <v>14</v>
      </c>
      <c r="AK19" s="136">
        <f>Reglages!CH19</f>
        <v>25.2173913043478</v>
      </c>
      <c r="AL19" s="136">
        <f>Reglages!CI19</f>
        <v>34</v>
      </c>
      <c r="AM19" s="136">
        <f>Reglages!CJ19</f>
        <v>17.7826086956522</v>
      </c>
      <c r="AN19" s="136">
        <f>Reglages!CK19</f>
        <v>12.304347826087</v>
      </c>
      <c r="AO19" s="135">
        <f>Reglages!CL19</f>
        <v>1.12</v>
      </c>
      <c r="AP19" s="135" t="str">
        <f>Reglages!CM19</f>
        <v>haute</v>
      </c>
      <c r="AQ19" s="135">
        <f>Reglages!CN19</f>
        <v>23</v>
      </c>
    </row>
    <row r="20" spans="2:43" ht="13.5" thickBot="1">
      <c r="B20" s="258"/>
      <c r="C20" s="260"/>
      <c r="D20" s="253">
        <f>D19+D18</f>
        <v>163.74835968896522</v>
      </c>
      <c r="E20" s="255"/>
      <c r="F20" s="253">
        <f>F19+F18</f>
        <v>257.28339273532464</v>
      </c>
      <c r="G20" s="255"/>
      <c r="H20" s="253">
        <f>H19+H18</f>
        <v>170.1917274054652</v>
      </c>
      <c r="I20" s="255"/>
      <c r="J20" s="253">
        <f>J19+J18</f>
        <v>167.9570213841087</v>
      </c>
      <c r="K20" s="255"/>
      <c r="L20" s="253">
        <f>L19+L18</f>
        <v>164.73663183728948</v>
      </c>
      <c r="M20" s="255"/>
      <c r="N20" s="253">
        <f>N19+N18</f>
        <v>138.46399036203098</v>
      </c>
      <c r="O20" s="255"/>
      <c r="P20" s="253">
        <f>P19+P18</f>
        <v>153.5338557055538</v>
      </c>
      <c r="Q20" s="255"/>
      <c r="R20" s="253">
        <f>R19+R18</f>
        <v>190.386697389506</v>
      </c>
      <c r="S20" s="255"/>
      <c r="T20" s="253">
        <f>T19+T18</f>
        <v>255.95753881516123</v>
      </c>
      <c r="U20" s="255"/>
      <c r="V20" s="253">
        <f>V19+V18</f>
        <v>172.1012987742985</v>
      </c>
      <c r="W20" s="255"/>
      <c r="X20" s="253">
        <f>X19+X18</f>
        <v>124.0545746802825</v>
      </c>
      <c r="Y20" s="255"/>
      <c r="AC20" s="135" t="str">
        <f>Reglages!BZ20</f>
        <v>Hungaroring</v>
      </c>
      <c r="AD20" s="136">
        <f>Reglages!CA20</f>
        <v>18.6976744186047</v>
      </c>
      <c r="AE20" s="136">
        <f>Reglages!CB20</f>
        <v>25.5581395348837</v>
      </c>
      <c r="AF20" s="136">
        <f>Reglages!CC20</f>
        <v>52.953488372093</v>
      </c>
      <c r="AG20" s="136">
        <f>Reglages!CD20</f>
        <v>48.6511627906977</v>
      </c>
      <c r="AH20" s="136">
        <f>Reglages!CE20</f>
        <v>25.8604651162791</v>
      </c>
      <c r="AI20" s="136">
        <f>Reglages!CF20</f>
        <v>13.953488372093</v>
      </c>
      <c r="AJ20" s="136">
        <f>Reglages!CG20</f>
        <v>11.7209302325581</v>
      </c>
      <c r="AK20" s="136">
        <f>Reglages!CH20</f>
        <v>34.6046511627907</v>
      </c>
      <c r="AL20" s="136">
        <f>Reglages!CI20</f>
        <v>23.1395348837209</v>
      </c>
      <c r="AM20" s="136">
        <f>Reglages!CJ20</f>
        <v>38.5813953488372</v>
      </c>
      <c r="AN20" s="136">
        <f>Reglages!CK20</f>
        <v>9.88372093023256</v>
      </c>
      <c r="AO20" s="135">
        <f>Reglages!CL20</f>
        <v>1.35</v>
      </c>
      <c r="AP20" s="135" t="str">
        <f>Reglages!CM20</f>
        <v>tres basse</v>
      </c>
      <c r="AQ20" s="135">
        <f>Reglages!CN20</f>
        <v>43</v>
      </c>
    </row>
    <row r="21" spans="2:43" ht="12.75">
      <c r="B21" s="257" t="s">
        <v>59</v>
      </c>
      <c r="C21" s="259">
        <f>VLOOKUP($B21,$AC$2:$AQ$71,15,FALSE)</f>
        <v>54</v>
      </c>
      <c r="D21" s="137">
        <f>VLOOKUP($B21,$AC$2:$AQ$68,2,FALSE)</f>
        <v>18.8148148148148</v>
      </c>
      <c r="E21" s="138">
        <f>IF(E19+D21&gt;99,D21,E19+D21)</f>
        <v>86.20384542705969</v>
      </c>
      <c r="F21" s="137">
        <f>VLOOKUP($B21,$AC$2:$AQ$68,3,FALSE)</f>
        <v>30.5925925925926</v>
      </c>
      <c r="G21" s="138">
        <f>IF(G19+F21&gt;99,F21,G19+F21)</f>
        <v>30.5925925925926</v>
      </c>
      <c r="H21" s="137">
        <f>VLOOKUP($B21,$AC$2:$AQ$68,4,FALSE)</f>
        <v>26.0740740740741</v>
      </c>
      <c r="I21" s="138">
        <f>IF(I19+H21&gt;99,H21,I19+H21)</f>
        <v>26.0740740740741</v>
      </c>
      <c r="J21" s="137">
        <f>VLOOKUP($B21,$AC$2:$AQ$68,5,FALSE)</f>
        <v>22.3518518518519</v>
      </c>
      <c r="K21" s="138">
        <f>IF(K19+J21&gt;99,J21,K19+J21)</f>
        <v>22.3518518518519</v>
      </c>
      <c r="L21" s="137">
        <f>VLOOKUP($B21,$AC$2:$AQ$68,6,FALSE)</f>
        <v>16.7037037037037</v>
      </c>
      <c r="M21" s="138">
        <f>IF(M19+L21&gt;99,L21,M19+L21)</f>
        <v>83.1526832955404</v>
      </c>
      <c r="N21" s="137">
        <f>VLOOKUP($B21,$AC$2:$AQ$68,7,FALSE)</f>
        <v>11.3333333333333</v>
      </c>
      <c r="O21" s="138">
        <f>IF(O19+N21&gt;99,N21,O19+N21)</f>
        <v>51.0284863945578</v>
      </c>
      <c r="P21" s="137">
        <f>VLOOKUP($B21,$AC$2:$AQ$68,8,FALSE)</f>
        <v>14.7407407407407</v>
      </c>
      <c r="Q21" s="138">
        <f>IF(Q19+P21&gt;99,P21,Q19+P21)</f>
        <v>76.28113189720331</v>
      </c>
      <c r="R21" s="137">
        <f>VLOOKUP($B21,$AC$2:$AQ$68,9,FALSE)</f>
        <v>23.2592592592593</v>
      </c>
      <c r="S21" s="138">
        <f>IF(S19+R21&gt;99,R21,S19+R21)</f>
        <v>23.2592592592593</v>
      </c>
      <c r="T21" s="137">
        <f>VLOOKUP($B21,$AC$2:$AQ$68,10,FALSE)</f>
        <v>30.9814814814815</v>
      </c>
      <c r="U21" s="138">
        <f>IF(U19+T21&gt;99,T21,U19+T21)</f>
        <v>30.9814814814815</v>
      </c>
      <c r="V21" s="137">
        <f>VLOOKUP($B21,$AC$2:$AQ$68,11,FALSE)</f>
        <v>28.6111111111111</v>
      </c>
      <c r="W21" s="138">
        <f>IF(W19+V21&gt;99,V21,W19+V21)</f>
        <v>28.6111111111111</v>
      </c>
      <c r="X21" s="137">
        <f>VLOOKUP($B21,$AC$2:$AQ$68,12,FALSE)</f>
        <v>9.22222222222222</v>
      </c>
      <c r="Y21" s="138">
        <f>IF(Y19+X21&gt;99,X21,Y19+X21)</f>
        <v>40.63803854875282</v>
      </c>
      <c r="AC21" s="135" t="str">
        <f>Reglages!BZ21</f>
        <v>Imola</v>
      </c>
      <c r="AD21" s="136">
        <f>Reglages!CA21</f>
        <v>15.6206896551724</v>
      </c>
      <c r="AE21" s="136">
        <f>Reglages!CB21</f>
        <v>27.2758620689655</v>
      </c>
      <c r="AF21" s="136">
        <f>Reglages!CC21</f>
        <v>26.4827586206897</v>
      </c>
      <c r="AG21" s="136">
        <f>Reglages!CD21</f>
        <v>28.6206896551724</v>
      </c>
      <c r="AH21" s="136">
        <f>Reglages!CE21</f>
        <v>22.6896551724138</v>
      </c>
      <c r="AI21" s="136">
        <f>Reglages!CF21</f>
        <v>11.8275862068966</v>
      </c>
      <c r="AJ21" s="136">
        <f>Reglages!CG21</f>
        <v>13.8965517241379</v>
      </c>
      <c r="AK21" s="136">
        <f>Reglages!CH21</f>
        <v>26.1379310344828</v>
      </c>
      <c r="AL21" s="136">
        <f>Reglages!CI21</f>
        <v>31.448275862069</v>
      </c>
      <c r="AM21" s="136">
        <f>Reglages!CJ21</f>
        <v>26.4137931034483</v>
      </c>
      <c r="AN21" s="136">
        <f>Reglages!CK21</f>
        <v>13.2068965517241</v>
      </c>
      <c r="AO21" s="135">
        <f>Reglages!CL21</f>
        <v>1.15</v>
      </c>
      <c r="AP21" s="135" t="str">
        <f>Reglages!CM21</f>
        <v>moyen</v>
      </c>
      <c r="AQ21" s="135">
        <f>Reglages!CN21</f>
        <v>29</v>
      </c>
    </row>
    <row r="22" spans="2:43" ht="13.5" thickBot="1">
      <c r="B22" s="258"/>
      <c r="C22" s="260"/>
      <c r="D22" s="253">
        <f>D21+D20</f>
        <v>182.56317450378003</v>
      </c>
      <c r="E22" s="255"/>
      <c r="F22" s="253">
        <f>F21+F20</f>
        <v>287.87598532791725</v>
      </c>
      <c r="G22" s="255"/>
      <c r="H22" s="253">
        <f>H21+H20</f>
        <v>196.2658014795393</v>
      </c>
      <c r="I22" s="255"/>
      <c r="J22" s="253">
        <f>J21+J20</f>
        <v>190.30887323596062</v>
      </c>
      <c r="K22" s="255"/>
      <c r="L22" s="253">
        <f>L21+L20</f>
        <v>181.44033554099317</v>
      </c>
      <c r="M22" s="255"/>
      <c r="N22" s="253">
        <f>N21+N20</f>
        <v>149.7973236953643</v>
      </c>
      <c r="O22" s="255"/>
      <c r="P22" s="253">
        <f>P21+P20</f>
        <v>168.2745964462945</v>
      </c>
      <c r="Q22" s="255"/>
      <c r="R22" s="253">
        <f>R21+R20</f>
        <v>213.6459566487653</v>
      </c>
      <c r="S22" s="255"/>
      <c r="T22" s="253">
        <f>T21+T20</f>
        <v>286.93902029664275</v>
      </c>
      <c r="U22" s="255"/>
      <c r="V22" s="253">
        <f>V21+V20</f>
        <v>200.7124098854096</v>
      </c>
      <c r="W22" s="255"/>
      <c r="X22" s="253">
        <f>X21+X20</f>
        <v>133.2767969025047</v>
      </c>
      <c r="Y22" s="255"/>
      <c r="AC22" s="135" t="str">
        <f>Reglages!BZ22</f>
        <v>Indianapolis</v>
      </c>
      <c r="AD22" s="136">
        <f>Reglages!CA22</f>
        <v>34.5217391304348</v>
      </c>
      <c r="AE22" s="136">
        <f>Reglages!CB22</f>
        <v>44.304347826087</v>
      </c>
      <c r="AF22" s="136">
        <f>Reglages!CC22</f>
        <v>22.0869565217391</v>
      </c>
      <c r="AG22" s="136">
        <f>Reglages!CD22</f>
        <v>26.7391304347826</v>
      </c>
      <c r="AH22" s="136">
        <f>Reglages!CE22</f>
        <v>31.4782608695652</v>
      </c>
      <c r="AI22" s="136">
        <f>Reglages!CF22</f>
        <v>29.0869565217391</v>
      </c>
      <c r="AJ22" s="136">
        <f>Reglages!CG22</f>
        <v>14.6086956521739</v>
      </c>
      <c r="AK22" s="136">
        <f>Reglages!CH22</f>
        <v>35.5652173913044</v>
      </c>
      <c r="AL22" s="136">
        <f>Reglages!CI22</f>
        <v>41.0434782608696</v>
      </c>
      <c r="AM22" s="136">
        <f>Reglages!CJ22</f>
        <v>39</v>
      </c>
      <c r="AN22" s="136">
        <f>Reglages!CK22</f>
        <v>12.7826086956522</v>
      </c>
      <c r="AO22" s="135">
        <f>Reglages!CL22</f>
        <v>1.0958</v>
      </c>
      <c r="AP22" s="135" t="str">
        <f>Reglages!CM22</f>
        <v>haute</v>
      </c>
      <c r="AQ22" s="135">
        <f>Reglages!CN22</f>
        <v>23</v>
      </c>
    </row>
    <row r="23" spans="2:43" ht="12.75">
      <c r="B23" s="257" t="s">
        <v>84</v>
      </c>
      <c r="C23" s="259">
        <f>VLOOKUP($B23,$AC$2:$AQ$71,15,FALSE)</f>
        <v>57</v>
      </c>
      <c r="D23" s="137">
        <f>VLOOKUP($B23,$AC$2:$AQ$68,2,FALSE)</f>
        <v>15.8070175438596</v>
      </c>
      <c r="E23" s="138">
        <f>IF(E21+D23&gt;99,D23,E21+D23)</f>
        <v>15.8070175438596</v>
      </c>
      <c r="F23" s="137">
        <f>VLOOKUP($B23,$AC$2:$AQ$68,3,FALSE)</f>
        <v>10.0877192982456</v>
      </c>
      <c r="G23" s="138">
        <f>IF(G21+F23&gt;99,F23,G21+F23)</f>
        <v>40.6803118908382</v>
      </c>
      <c r="H23" s="137">
        <f>VLOOKUP($B23,$AC$2:$AQ$68,4,FALSE)</f>
        <v>24.3508771929825</v>
      </c>
      <c r="I23" s="138">
        <f>IF(I21+H23&gt;99,H23,I21+H23)</f>
        <v>50.4249512670566</v>
      </c>
      <c r="J23" s="137">
        <f>VLOOKUP($B23,$AC$2:$AQ$68,5,FALSE)</f>
        <v>28.4385964912281</v>
      </c>
      <c r="K23" s="138">
        <f>IF(K21+J23&gt;99,J23,K21+J23)</f>
        <v>50.79044834308</v>
      </c>
      <c r="L23" s="137">
        <f>VLOOKUP($B23,$AC$2:$AQ$68,6,FALSE)</f>
        <v>19.5789473684211</v>
      </c>
      <c r="M23" s="138">
        <f>IF(M21+L23&gt;99,L23,M21+L23)</f>
        <v>19.5789473684211</v>
      </c>
      <c r="N23" s="137">
        <f>VLOOKUP($B23,$AC$2:$AQ$68,7,FALSE)</f>
        <v>14.9649122807018</v>
      </c>
      <c r="O23" s="138">
        <f>IF(O21+N23&gt;99,N23,O21+N23)</f>
        <v>65.9933986752596</v>
      </c>
      <c r="P23" s="137">
        <f>VLOOKUP($B23,$AC$2:$AQ$68,8,FALSE)</f>
        <v>20.3859649122807</v>
      </c>
      <c r="Q23" s="138">
        <f>IF(Q21+P23&gt;99,P23,Q21+P23)</f>
        <v>96.66709680948401</v>
      </c>
      <c r="R23" s="137">
        <f>VLOOKUP($B23,$AC$2:$AQ$68,9,FALSE)</f>
        <v>24.280701754386</v>
      </c>
      <c r="S23" s="138">
        <f>IF(S21+R23&gt;99,R23,S21+R23)</f>
        <v>47.539961013645296</v>
      </c>
      <c r="T23" s="137">
        <f>VLOOKUP($B23,$AC$2:$AQ$68,10,FALSE)</f>
        <v>28.6491228070175</v>
      </c>
      <c r="U23" s="138">
        <f>IF(U21+T23&gt;99,T23,U21+T23)</f>
        <v>59.630604288499</v>
      </c>
      <c r="V23" s="137">
        <f>VLOOKUP($B23,$AC$2:$AQ$68,11,FALSE)</f>
        <v>21.1052631578947</v>
      </c>
      <c r="W23" s="138">
        <f>IF(W21+V23&gt;99,V23,W21+V23)</f>
        <v>49.7163742690058</v>
      </c>
      <c r="X23" s="137">
        <f>VLOOKUP($B23,$AC$2:$AQ$68,12,FALSE)</f>
        <v>14.8070175438596</v>
      </c>
      <c r="Y23" s="138">
        <f>IF(Y21+X23&gt;99,X23,Y21+X23)</f>
        <v>55.44505609261242</v>
      </c>
      <c r="AC23" s="135" t="str">
        <f>Reglages!BZ23</f>
        <v>Indianapolis Oval</v>
      </c>
      <c r="AD23" s="136">
        <f>Reglages!CA23</f>
        <v>19.5263157894737</v>
      </c>
      <c r="AE23" s="136">
        <f>Reglages!CB23</f>
        <v>52.5263157894737</v>
      </c>
      <c r="AF23" s="136">
        <f>Reglages!CC23</f>
        <v>12</v>
      </c>
      <c r="AG23" s="136">
        <f>Reglages!CD23</f>
        <v>13.6315789473684</v>
      </c>
      <c r="AH23" s="136">
        <f>Reglages!CE23</f>
        <v>21.6842105263158</v>
      </c>
      <c r="AI23" s="136">
        <f>Reglages!CF23</f>
        <v>16.7368421052632</v>
      </c>
      <c r="AJ23" s="136">
        <f>Reglages!CG23</f>
        <v>18.4210526315789</v>
      </c>
      <c r="AK23" s="136">
        <f>Reglages!CH23</f>
        <v>11.6842105263158</v>
      </c>
      <c r="AL23" s="136">
        <f>Reglages!CI23</f>
        <v>8</v>
      </c>
      <c r="AM23" s="136">
        <f>Reglages!CJ23</f>
        <v>19.6842105263158</v>
      </c>
      <c r="AN23" s="136">
        <f>Reglages!CK23</f>
        <v>13.7368421052632</v>
      </c>
      <c r="AO23" s="135">
        <f>Reglages!CL23</f>
        <v>1.05</v>
      </c>
      <c r="AP23" s="135" t="str">
        <f>Reglages!CM23</f>
        <v>tres haute</v>
      </c>
      <c r="AQ23" s="135">
        <f>Reglages!CN23</f>
        <v>19</v>
      </c>
    </row>
    <row r="24" spans="2:43" ht="13.5" thickBot="1">
      <c r="B24" s="258"/>
      <c r="C24" s="260"/>
      <c r="D24" s="253">
        <f>D23+D22</f>
        <v>198.37019204763962</v>
      </c>
      <c r="E24" s="255"/>
      <c r="F24" s="253">
        <f>F23+F22</f>
        <v>297.96370462616284</v>
      </c>
      <c r="G24" s="255"/>
      <c r="H24" s="253">
        <f>H23+H22</f>
        <v>220.6166786725218</v>
      </c>
      <c r="I24" s="255"/>
      <c r="J24" s="253">
        <f>J23+J22</f>
        <v>218.74746972718873</v>
      </c>
      <c r="K24" s="255"/>
      <c r="L24" s="253">
        <f>L23+L22</f>
        <v>201.01928290941427</v>
      </c>
      <c r="M24" s="255"/>
      <c r="N24" s="253">
        <f>N23+N22</f>
        <v>164.7622359760661</v>
      </c>
      <c r="O24" s="255"/>
      <c r="P24" s="253">
        <f>P23+P22</f>
        <v>188.6605613585752</v>
      </c>
      <c r="Q24" s="255"/>
      <c r="R24" s="253">
        <f>R23+R22</f>
        <v>237.9266584031513</v>
      </c>
      <c r="S24" s="255"/>
      <c r="T24" s="253">
        <f>T23+T22</f>
        <v>315.58814310366023</v>
      </c>
      <c r="U24" s="255"/>
      <c r="V24" s="253">
        <f>V23+V22</f>
        <v>221.81767304330432</v>
      </c>
      <c r="W24" s="255"/>
      <c r="X24" s="253">
        <f>X23+X22</f>
        <v>148.0838144463643</v>
      </c>
      <c r="Y24" s="255"/>
      <c r="AC24" s="135" t="str">
        <f>Reglages!BZ24</f>
        <v>Interlagos</v>
      </c>
      <c r="AD24" s="136">
        <f>Reglages!CA24</f>
        <v>29.5357142857143</v>
      </c>
      <c r="AE24" s="136">
        <f>Reglages!CB24</f>
        <v>38.8928571428571</v>
      </c>
      <c r="AF24" s="136">
        <f>Reglages!CC24</f>
        <v>23.5357142857143</v>
      </c>
      <c r="AG24" s="136">
        <f>Reglages!CD24</f>
        <v>17.7857142857143</v>
      </c>
      <c r="AH24" s="136">
        <f>Reglages!CE24</f>
        <v>33.4642857142857</v>
      </c>
      <c r="AI24" s="136">
        <f>Reglages!CF24</f>
        <v>17.4285714285714</v>
      </c>
      <c r="AJ24" s="136">
        <f>Reglages!CG24</f>
        <v>16</v>
      </c>
      <c r="AK24" s="136">
        <f>Reglages!CH24</f>
        <v>23.75</v>
      </c>
      <c r="AL24" s="136">
        <f>Reglages!CI24</f>
        <v>41.4285714285714</v>
      </c>
      <c r="AM24" s="136">
        <f>Reglages!CJ24</f>
        <v>29.1428571428571</v>
      </c>
      <c r="AN24" s="136">
        <f>Reglages!CK24</f>
        <v>15.6071428571429</v>
      </c>
      <c r="AO24" s="135">
        <f>Reglages!CL24</f>
        <v>1.18</v>
      </c>
      <c r="AP24" s="135" t="str">
        <f>Reglages!CM24</f>
        <v>moyen</v>
      </c>
      <c r="AQ24" s="135">
        <f>Reglages!CN24</f>
        <v>28</v>
      </c>
    </row>
    <row r="25" spans="2:43" ht="12.75">
      <c r="B25" s="257" t="s">
        <v>49</v>
      </c>
      <c r="C25" s="259">
        <f>VLOOKUP($B25,$AC$2:$AQ$71,15,FALSE)</f>
        <v>40</v>
      </c>
      <c r="D25" s="137">
        <f>VLOOKUP($B25,$AC$2:$AQ$68,2,FALSE)</f>
        <v>14.125</v>
      </c>
      <c r="E25" s="138">
        <f>IF(E23+D25&gt;99,D25,E23+D25)</f>
        <v>29.9320175438596</v>
      </c>
      <c r="F25" s="137">
        <f>VLOOKUP($B25,$AC$2:$AQ$68,3,FALSE)</f>
        <v>39.475</v>
      </c>
      <c r="G25" s="138">
        <f>IF(G23+F25&gt;99,F25,G23+F25)</f>
        <v>80.15531189083819</v>
      </c>
      <c r="H25" s="137">
        <f>VLOOKUP($B25,$AC$2:$AQ$68,4,FALSE)</f>
        <v>23.525</v>
      </c>
      <c r="I25" s="138">
        <f>IF(I23+H25&gt;99,H25,I23+H25)</f>
        <v>73.9499512670566</v>
      </c>
      <c r="J25" s="137">
        <f>VLOOKUP($B25,$AC$2:$AQ$68,5,FALSE)</f>
        <v>26.875</v>
      </c>
      <c r="K25" s="138">
        <f>IF(K23+J25&gt;99,J25,K23+J25)</f>
        <v>77.66544834308</v>
      </c>
      <c r="L25" s="137">
        <f>VLOOKUP($B25,$AC$2:$AQ$68,6,FALSE)</f>
        <v>23.825</v>
      </c>
      <c r="M25" s="138">
        <f>IF(M23+L25&gt;99,L25,M23+L25)</f>
        <v>43.4039473684211</v>
      </c>
      <c r="N25" s="137">
        <f>VLOOKUP($B25,$AC$2:$AQ$68,7,FALSE)</f>
        <v>19.225</v>
      </c>
      <c r="O25" s="138">
        <f>IF(O23+N25&gt;99,N25,O23+N25)</f>
        <v>85.2183986752596</v>
      </c>
      <c r="P25" s="137">
        <f>VLOOKUP($B25,$AC$2:$AQ$68,8,FALSE)</f>
        <v>18.325</v>
      </c>
      <c r="Q25" s="138">
        <f>IF(Q23+P25&gt;99,P25,Q23+P25)</f>
        <v>18.325</v>
      </c>
      <c r="R25" s="137">
        <f>VLOOKUP($B25,$AC$2:$AQ$68,9,FALSE)</f>
        <v>26.4</v>
      </c>
      <c r="S25" s="138">
        <f>IF(S23+R25&gt;99,R25,S23+R25)</f>
        <v>73.9399610136453</v>
      </c>
      <c r="T25" s="137">
        <f>VLOOKUP($B25,$AC$2:$AQ$68,10,FALSE)</f>
        <v>30.25</v>
      </c>
      <c r="U25" s="138">
        <f>IF(U23+T25&gt;99,T25,U23+T25)</f>
        <v>89.880604288499</v>
      </c>
      <c r="V25" s="137">
        <f>VLOOKUP($B25,$AC$2:$AQ$68,11,FALSE)</f>
        <v>33.575</v>
      </c>
      <c r="W25" s="138">
        <f>IF(W23+V25&gt;99,V25,W23+V25)</f>
        <v>83.2913742690058</v>
      </c>
      <c r="X25" s="137">
        <f>VLOOKUP($B25,$AC$2:$AQ$68,12,FALSE)</f>
        <v>12.825</v>
      </c>
      <c r="Y25" s="138">
        <f>IF(Y23+X25&gt;99,X25,Y23+X25)</f>
        <v>68.27005609261242</v>
      </c>
      <c r="AC25" s="135" t="str">
        <f>Reglages!BZ25</f>
        <v>Irungattukottai</v>
      </c>
      <c r="AD25" s="136">
        <f>Reglages!CA25</f>
        <v>19.1666666666667</v>
      </c>
      <c r="AE25" s="136">
        <f>Reglages!CB25</f>
        <v>34.2222222222222</v>
      </c>
      <c r="AF25" s="136">
        <f>Reglages!CC25</f>
        <v>30.7222222222222</v>
      </c>
      <c r="AG25" s="136">
        <f>Reglages!CD25</f>
        <v>28.9722222222222</v>
      </c>
      <c r="AH25" s="136">
        <f>Reglages!CE25</f>
        <v>25.2222222222222</v>
      </c>
      <c r="AI25" s="136">
        <f>Reglages!CF25</f>
        <v>23.1111111111111</v>
      </c>
      <c r="AJ25" s="136">
        <f>Reglages!CG25</f>
        <v>24.7222222222222</v>
      </c>
      <c r="AK25" s="136">
        <f>Reglages!CH25</f>
        <v>31.5</v>
      </c>
      <c r="AL25" s="136">
        <f>Reglages!CI25</f>
        <v>36.2777777777778</v>
      </c>
      <c r="AM25" s="136">
        <f>Reglages!CJ25</f>
        <v>24.1388888888889</v>
      </c>
      <c r="AN25" s="136">
        <f>Reglages!CK25</f>
        <v>14.0833333333333</v>
      </c>
      <c r="AO25" s="135">
        <f>Reglages!CL25</f>
        <v>1.1872</v>
      </c>
      <c r="AP25" s="135" t="str">
        <f>Reglages!CM25</f>
        <v>moyen</v>
      </c>
      <c r="AQ25" s="135">
        <f>Reglages!CN25</f>
        <v>36</v>
      </c>
    </row>
    <row r="26" spans="2:43" ht="13.5" thickBot="1">
      <c r="B26" s="258"/>
      <c r="C26" s="260"/>
      <c r="D26" s="253">
        <f>D25+D24</f>
        <v>212.49519204763962</v>
      </c>
      <c r="E26" s="255"/>
      <c r="F26" s="253">
        <f>F25+F24</f>
        <v>337.43870462616286</v>
      </c>
      <c r="G26" s="255"/>
      <c r="H26" s="253">
        <f>H25+H24</f>
        <v>244.1416786725218</v>
      </c>
      <c r="I26" s="255"/>
      <c r="J26" s="253">
        <f>J25+J24</f>
        <v>245.62246972718873</v>
      </c>
      <c r="K26" s="255"/>
      <c r="L26" s="253">
        <f>L25+L24</f>
        <v>224.84428290941426</v>
      </c>
      <c r="M26" s="255"/>
      <c r="N26" s="253">
        <f>N25+N24</f>
        <v>183.9872359760661</v>
      </c>
      <c r="O26" s="255"/>
      <c r="P26" s="253">
        <f>P25+P24</f>
        <v>206.98556135857518</v>
      </c>
      <c r="Q26" s="255"/>
      <c r="R26" s="253">
        <f>R25+R24</f>
        <v>264.32665840315127</v>
      </c>
      <c r="S26" s="255"/>
      <c r="T26" s="253">
        <f>T25+T24</f>
        <v>345.83814310366023</v>
      </c>
      <c r="U26" s="255"/>
      <c r="V26" s="253">
        <f>V25+V24</f>
        <v>255.39267304330434</v>
      </c>
      <c r="W26" s="255"/>
      <c r="X26" s="253">
        <f>X25+X24</f>
        <v>160.9088144463643</v>
      </c>
      <c r="Y26" s="255"/>
      <c r="AC26" s="135" t="str">
        <f>Reglages!BZ26</f>
        <v>Istanbul</v>
      </c>
      <c r="AD26" s="136">
        <f>Reglages!CA26</f>
        <v>19.2830188679245</v>
      </c>
      <c r="AE26" s="136">
        <f>Reglages!CB26</f>
        <v>20.6415094339623</v>
      </c>
      <c r="AF26" s="136">
        <f>Reglages!CC26</f>
        <v>12.5849056603774</v>
      </c>
      <c r="AG26" s="136">
        <f>Reglages!CD26</f>
        <v>14</v>
      </c>
      <c r="AH26" s="136">
        <f>Reglages!CE26</f>
        <v>14.5094339622642</v>
      </c>
      <c r="AI26" s="136">
        <f>Reglages!CF26</f>
        <v>15</v>
      </c>
      <c r="AJ26" s="136">
        <f>Reglages!CG26</f>
        <v>19.4150943396226</v>
      </c>
      <c r="AK26" s="136">
        <f>Reglages!CH26</f>
        <v>15.2452830188679</v>
      </c>
      <c r="AL26" s="136">
        <f>Reglages!CI26</f>
        <v>31.0754716981132</v>
      </c>
      <c r="AM26" s="136">
        <f>Reglages!CJ26</f>
        <v>14.2452830188679</v>
      </c>
      <c r="AN26" s="136">
        <f>Reglages!CK26</f>
        <v>12.5849056603774</v>
      </c>
      <c r="AO26" s="135">
        <f>Reglages!CL26</f>
        <v>1.15</v>
      </c>
      <c r="AP26" s="135" t="str">
        <f>Reglages!CM26</f>
        <v>moyen</v>
      </c>
      <c r="AQ26" s="135">
        <f>Reglages!CN26</f>
        <v>53</v>
      </c>
    </row>
    <row r="27" spans="2:43" ht="12.75">
      <c r="B27" s="257" t="s">
        <v>71</v>
      </c>
      <c r="C27" s="259">
        <f>VLOOKUP($B27,$AC$2:$AQ$71,15,FALSE)</f>
        <v>17</v>
      </c>
      <c r="D27" s="137">
        <f>VLOOKUP($B27,$AC$2:$AQ$68,2,FALSE)</f>
        <v>15.8235294117647</v>
      </c>
      <c r="E27" s="138">
        <f>IF(E25+D27&gt;99,D27,E25+D27)</f>
        <v>45.7555469556243</v>
      </c>
      <c r="F27" s="137">
        <f>VLOOKUP($B27,$AC$2:$AQ$68,3,FALSE)</f>
        <v>35.1176470588235</v>
      </c>
      <c r="G27" s="138">
        <f>IF(G25+F27&gt;99,F27,G25+F27)</f>
        <v>35.1176470588235</v>
      </c>
      <c r="H27" s="137">
        <f>VLOOKUP($B27,$AC$2:$AQ$68,4,FALSE)</f>
        <v>21</v>
      </c>
      <c r="I27" s="138">
        <f>IF(I25+H27&gt;99,H27,I25+H27)</f>
        <v>94.9499512670566</v>
      </c>
      <c r="J27" s="137">
        <f>VLOOKUP($B27,$AC$2:$AQ$68,5,FALSE)</f>
        <v>18.3529411764706</v>
      </c>
      <c r="K27" s="138">
        <f>IF(K25+J27&gt;99,J27,K25+J27)</f>
        <v>96.0183895195506</v>
      </c>
      <c r="L27" s="137">
        <f>VLOOKUP($B27,$AC$2:$AQ$68,6,FALSE)</f>
        <v>20.1764705882353</v>
      </c>
      <c r="M27" s="138">
        <f>IF(M25+L27&gt;99,L27,M25+L27)</f>
        <v>63.580417956656404</v>
      </c>
      <c r="N27" s="137">
        <f>VLOOKUP($B27,$AC$2:$AQ$68,7,FALSE)</f>
        <v>14.3529411764706</v>
      </c>
      <c r="O27" s="138">
        <f>IF(O25+N27&gt;99,N27,O25+N27)</f>
        <v>14.3529411764706</v>
      </c>
      <c r="P27" s="137">
        <f>VLOOKUP($B27,$AC$2:$AQ$68,8,FALSE)</f>
        <v>10.9411764705882</v>
      </c>
      <c r="Q27" s="138">
        <f>IF(Q25+P27&gt;99,P27,Q25+P27)</f>
        <v>29.2661764705882</v>
      </c>
      <c r="R27" s="137">
        <f>VLOOKUP($B27,$AC$2:$AQ$68,9,FALSE)</f>
        <v>26.8235294117647</v>
      </c>
      <c r="S27" s="138">
        <f>IF(S25+R27&gt;99,R27,S25+R27)</f>
        <v>26.8235294117647</v>
      </c>
      <c r="T27" s="137">
        <f>VLOOKUP($B27,$AC$2:$AQ$68,10,FALSE)</f>
        <v>30.3529411764706</v>
      </c>
      <c r="U27" s="138">
        <f>IF(U25+T27&gt;99,T27,U25+T27)</f>
        <v>30.3529411764706</v>
      </c>
      <c r="V27" s="137">
        <f>VLOOKUP($B27,$AC$2:$AQ$68,11,FALSE)</f>
        <v>23.7058823529412</v>
      </c>
      <c r="W27" s="138">
        <f>IF(W25+V27&gt;99,V27,W25+V27)</f>
        <v>23.7058823529412</v>
      </c>
      <c r="X27" s="137">
        <f>VLOOKUP($B27,$AC$2:$AQ$68,12,FALSE)</f>
        <v>10.2941176470588</v>
      </c>
      <c r="Y27" s="138">
        <f>IF(Y25+X27&gt;99,X27,Y25+X27)</f>
        <v>78.56417373967122</v>
      </c>
      <c r="AC27" s="135" t="str">
        <f>Reglages!BZ27</f>
        <v>Jerez</v>
      </c>
      <c r="AD27" s="136">
        <f>Reglages!CA27</f>
        <v>26.0625</v>
      </c>
      <c r="AE27" s="136">
        <f>Reglages!CB27</f>
        <v>37.3125</v>
      </c>
      <c r="AF27" s="136">
        <f>Reglages!CC27</f>
        <v>26.4375</v>
      </c>
      <c r="AG27" s="136">
        <f>Reglages!CD27</f>
        <v>28.6875</v>
      </c>
      <c r="AH27" s="136">
        <f>Reglages!CE27</f>
        <v>24.375</v>
      </c>
      <c r="AI27" s="136">
        <f>Reglages!CF27</f>
        <v>21</v>
      </c>
      <c r="AJ27" s="136">
        <f>Reglages!CG27</f>
        <v>15.1875</v>
      </c>
      <c r="AK27" s="136">
        <f>Reglages!CH27</f>
        <v>22.75</v>
      </c>
      <c r="AL27" s="136">
        <f>Reglages!CI27</f>
        <v>35.8125</v>
      </c>
      <c r="AM27" s="136">
        <f>Reglages!CJ27</f>
        <v>32.4375</v>
      </c>
      <c r="AN27" s="136">
        <f>Reglages!CK27</f>
        <v>17.0625</v>
      </c>
      <c r="AO27" s="135">
        <f>Reglages!CL27</f>
        <v>1.1</v>
      </c>
      <c r="AP27" s="135" t="str">
        <f>Reglages!CM27</f>
        <v>haute</v>
      </c>
      <c r="AQ27" s="135">
        <f>Reglages!CN27</f>
        <v>16</v>
      </c>
    </row>
    <row r="28" spans="2:43" ht="13.5" thickBot="1">
      <c r="B28" s="258"/>
      <c r="C28" s="260"/>
      <c r="D28" s="253">
        <f>D27+D26</f>
        <v>228.31872145940432</v>
      </c>
      <c r="E28" s="255"/>
      <c r="F28" s="253">
        <f>F27+F26</f>
        <v>372.55635168498634</v>
      </c>
      <c r="G28" s="255"/>
      <c r="H28" s="253">
        <f>H27+H26</f>
        <v>265.14167867252183</v>
      </c>
      <c r="I28" s="255"/>
      <c r="J28" s="253">
        <f>J27+J26</f>
        <v>263.97541090365934</v>
      </c>
      <c r="K28" s="255"/>
      <c r="L28" s="253">
        <f>L27+L26</f>
        <v>245.02075349764957</v>
      </c>
      <c r="M28" s="255"/>
      <c r="N28" s="253">
        <f>N27+N26</f>
        <v>198.3401771525367</v>
      </c>
      <c r="O28" s="255"/>
      <c r="P28" s="253">
        <f>P27+P26</f>
        <v>217.9267378291634</v>
      </c>
      <c r="Q28" s="255"/>
      <c r="R28" s="253">
        <f>R27+R26</f>
        <v>291.15018781491597</v>
      </c>
      <c r="S28" s="255"/>
      <c r="T28" s="253">
        <f>T27+T26</f>
        <v>376.19108428013084</v>
      </c>
      <c r="U28" s="255"/>
      <c r="V28" s="253">
        <f>V27+V26</f>
        <v>279.09855539624556</v>
      </c>
      <c r="W28" s="255"/>
      <c r="X28" s="253">
        <f>X27+X26</f>
        <v>171.2029320934231</v>
      </c>
      <c r="Y28" s="255"/>
      <c r="AC28" s="135" t="str">
        <f>Reglages!BZ28</f>
        <v>Kaunas</v>
      </c>
      <c r="AD28" s="136">
        <f>Reglages!CA28</f>
        <v>16.8863636363636</v>
      </c>
      <c r="AE28" s="136">
        <f>Reglages!CB28</f>
        <v>28.6590909090909</v>
      </c>
      <c r="AF28" s="136">
        <f>Reglages!CC28</f>
        <v>20.3181818181818</v>
      </c>
      <c r="AG28" s="136">
        <f>Reglages!CD28</f>
        <v>17.8636363636364</v>
      </c>
      <c r="AH28" s="136">
        <f>Reglages!CE28</f>
        <v>21.25</v>
      </c>
      <c r="AI28" s="136">
        <f>Reglages!CF28</f>
        <v>14.7954545454545</v>
      </c>
      <c r="AJ28" s="136">
        <f>Reglages!CG28</f>
        <v>10.2954545454545</v>
      </c>
      <c r="AK28" s="136">
        <f>Reglages!CH28</f>
        <v>14.8181818181818</v>
      </c>
      <c r="AL28" s="136">
        <f>Reglages!CI28</f>
        <v>8.68181818181818</v>
      </c>
      <c r="AM28" s="136">
        <f>Reglages!CJ28</f>
        <v>30.3636363636364</v>
      </c>
      <c r="AN28" s="136">
        <f>Reglages!CK28</f>
        <v>8.75</v>
      </c>
      <c r="AO28" s="135">
        <f>Reglages!CL28</f>
        <v>1.18</v>
      </c>
      <c r="AP28" s="135" t="str">
        <f>Reglages!CM28</f>
        <v>moyen</v>
      </c>
      <c r="AQ28" s="135">
        <f>Reglages!CN28</f>
        <v>44</v>
      </c>
    </row>
    <row r="29" spans="2:43" ht="12.75">
      <c r="B29" s="257" t="s">
        <v>52</v>
      </c>
      <c r="C29" s="259">
        <f>VLOOKUP($B29,$AC$2:$AQ$71,15,FALSE)</f>
        <v>20</v>
      </c>
      <c r="D29" s="137">
        <f>VLOOKUP($B29,$AC$2:$AQ$68,2,FALSE)</f>
        <v>17.05</v>
      </c>
      <c r="E29" s="138">
        <f>IF(E27+D29&gt;99,D29,E27+D29)</f>
        <v>62.805546955624294</v>
      </c>
      <c r="F29" s="137">
        <f>VLOOKUP($B29,$AC$2:$AQ$68,3,FALSE)</f>
        <v>31.95</v>
      </c>
      <c r="G29" s="138">
        <f>IF(G27+F29&gt;99,F29,G27+F29)</f>
        <v>67.0676470588235</v>
      </c>
      <c r="H29" s="137">
        <f>VLOOKUP($B29,$AC$2:$AQ$68,4,FALSE)</f>
        <v>21.3</v>
      </c>
      <c r="I29" s="138">
        <f>IF(I27+H29&gt;99,H29,I27+H29)</f>
        <v>21.3</v>
      </c>
      <c r="J29" s="137">
        <f>VLOOKUP($B29,$AC$2:$AQ$68,5,FALSE)</f>
        <v>18.7</v>
      </c>
      <c r="K29" s="138">
        <f>IF(K27+J29&gt;99,J29,K27+J29)</f>
        <v>18.7</v>
      </c>
      <c r="L29" s="137">
        <f>VLOOKUP($B29,$AC$2:$AQ$68,6,FALSE)</f>
        <v>20.4</v>
      </c>
      <c r="M29" s="138">
        <f>IF(M27+L29&gt;99,L29,M27+L29)</f>
        <v>83.9804179566564</v>
      </c>
      <c r="N29" s="137">
        <f>VLOOKUP($B29,$AC$2:$AQ$68,7,FALSE)</f>
        <v>15.25</v>
      </c>
      <c r="O29" s="138">
        <f>IF(O27+N29&gt;99,N29,O27+N29)</f>
        <v>29.6029411764706</v>
      </c>
      <c r="P29" s="137">
        <f>VLOOKUP($B29,$AC$2:$AQ$68,8,FALSE)</f>
        <v>15.7</v>
      </c>
      <c r="Q29" s="138">
        <f>IF(Q27+P29&gt;99,P29,Q27+P29)</f>
        <v>44.966176470588195</v>
      </c>
      <c r="R29" s="137">
        <f>VLOOKUP($B29,$AC$2:$AQ$68,9,FALSE)</f>
        <v>26.85</v>
      </c>
      <c r="S29" s="138">
        <f>IF(S27+R29&gt;99,R29,S27+R29)</f>
        <v>53.673529411764704</v>
      </c>
      <c r="T29" s="137">
        <f>VLOOKUP($B29,$AC$2:$AQ$68,10,FALSE)</f>
        <v>34.65</v>
      </c>
      <c r="U29" s="138">
        <f>IF(U27+T29&gt;99,T29,U27+T29)</f>
        <v>65.0029411764706</v>
      </c>
      <c r="V29" s="137">
        <f>VLOOKUP($B29,$AC$2:$AQ$68,11,FALSE)</f>
        <v>28.4</v>
      </c>
      <c r="W29" s="138">
        <f>IF(W27+V29&gt;99,V29,W27+V29)</f>
        <v>52.105882352941194</v>
      </c>
      <c r="X29" s="137">
        <f>VLOOKUP($B29,$AC$2:$AQ$68,12,FALSE)</f>
        <v>9.65</v>
      </c>
      <c r="Y29" s="138">
        <f>IF(Y27+X29&gt;99,X29,Y27+X29)</f>
        <v>88.21417373967122</v>
      </c>
      <c r="AC29" s="135" t="str">
        <f>Reglages!BZ29</f>
        <v>Kyalami</v>
      </c>
      <c r="AD29" s="136">
        <f>Reglages!CA29</f>
        <v>15.9636363636364</v>
      </c>
      <c r="AE29" s="136">
        <f>Reglages!CB29</f>
        <v>22.7454545454545</v>
      </c>
      <c r="AF29" s="136">
        <f>Reglages!CC29</f>
        <v>25.0545454545455</v>
      </c>
      <c r="AG29" s="136">
        <f>Reglages!CD29</f>
        <v>27.9272727272727</v>
      </c>
      <c r="AH29" s="136">
        <f>Reglages!CE29</f>
        <v>14.2545454545455</v>
      </c>
      <c r="AI29" s="136">
        <f>Reglages!CF29</f>
        <v>12.7272727272727</v>
      </c>
      <c r="AJ29" s="136">
        <f>Reglages!CG29</f>
        <v>23.1090909090909</v>
      </c>
      <c r="AK29" s="136">
        <f>Reglages!CH29</f>
        <v>31.5090909090909</v>
      </c>
      <c r="AL29" s="136">
        <f>Reglages!CI29</f>
        <v>19.5454545454545</v>
      </c>
      <c r="AM29" s="136">
        <f>Reglages!CJ29</f>
        <v>16.7636363636364</v>
      </c>
      <c r="AN29" s="136">
        <f>Reglages!CK29</f>
        <v>15.3272727272727</v>
      </c>
      <c r="AO29" s="135">
        <f>Reglages!CL29</f>
        <v>1.3</v>
      </c>
      <c r="AP29" s="135" t="str">
        <f>Reglages!CM29</f>
        <v>tres basse</v>
      </c>
      <c r="AQ29" s="135">
        <f>Reglages!CN29</f>
        <v>55</v>
      </c>
    </row>
    <row r="30" spans="2:43" ht="13.5" thickBot="1">
      <c r="B30" s="258"/>
      <c r="C30" s="260"/>
      <c r="D30" s="253">
        <f>D29+D28</f>
        <v>245.36872145940433</v>
      </c>
      <c r="E30" s="255"/>
      <c r="F30" s="253">
        <f>F29+F28</f>
        <v>404.5063516849863</v>
      </c>
      <c r="G30" s="255"/>
      <c r="H30" s="253">
        <f>H29+H28</f>
        <v>286.44167867252185</v>
      </c>
      <c r="I30" s="255"/>
      <c r="J30" s="253">
        <f>J29+J28</f>
        <v>282.6754109036593</v>
      </c>
      <c r="K30" s="255"/>
      <c r="L30" s="253">
        <f>L29+L28</f>
        <v>265.42075349764957</v>
      </c>
      <c r="M30" s="255"/>
      <c r="N30" s="253">
        <f>N29+N28</f>
        <v>213.5901771525367</v>
      </c>
      <c r="O30" s="255"/>
      <c r="P30" s="253">
        <f>P29+P28</f>
        <v>233.62673782916337</v>
      </c>
      <c r="Q30" s="255"/>
      <c r="R30" s="253">
        <f>R29+R28</f>
        <v>318.000187814916</v>
      </c>
      <c r="S30" s="255"/>
      <c r="T30" s="253">
        <f>T29+T28</f>
        <v>410.8410842801308</v>
      </c>
      <c r="U30" s="255"/>
      <c r="V30" s="253">
        <f>V29+V28</f>
        <v>307.49855539624554</v>
      </c>
      <c r="W30" s="255"/>
      <c r="X30" s="253">
        <f>X29+X28</f>
        <v>180.8529320934231</v>
      </c>
      <c r="Y30" s="255"/>
      <c r="AC30" s="135" t="str">
        <f>Reglages!BZ30</f>
        <v>Laguna Seca</v>
      </c>
      <c r="AD30" s="136">
        <f>Reglages!CA30</f>
        <v>21.6818181818182</v>
      </c>
      <c r="AE30" s="136">
        <f>Reglages!CB30</f>
        <v>26.2272727272727</v>
      </c>
      <c r="AF30" s="136">
        <f>Reglages!CC30</f>
        <v>19.4090909090909</v>
      </c>
      <c r="AG30" s="136">
        <f>Reglages!CD30</f>
        <v>13.2272727272727</v>
      </c>
      <c r="AH30" s="136">
        <f>Reglages!CE30</f>
        <v>12.3636363636364</v>
      </c>
      <c r="AI30" s="136">
        <f>Reglages!CF30</f>
        <v>11.4090909090909</v>
      </c>
      <c r="AJ30" s="136">
        <f>Reglages!CG30</f>
        <v>17.7272727272727</v>
      </c>
      <c r="AK30" s="136">
        <f>Reglages!CH30</f>
        <v>28.4545454545455</v>
      </c>
      <c r="AL30" s="136">
        <f>Reglages!CI30</f>
        <v>29.8636363636364</v>
      </c>
      <c r="AM30" s="136">
        <f>Reglages!CJ30</f>
        <v>25.1363636363636</v>
      </c>
      <c r="AN30" s="136">
        <f>Reglages!CK30</f>
        <v>6.59090909090909</v>
      </c>
      <c r="AO30" s="135">
        <f>Reglages!CL30</f>
        <v>1.055</v>
      </c>
      <c r="AP30" s="135" t="str">
        <f>Reglages!CM30</f>
        <v>tres haute</v>
      </c>
      <c r="AQ30" s="135">
        <f>Reglages!CN30</f>
        <v>22</v>
      </c>
    </row>
    <row r="31" spans="2:43" ht="12.75">
      <c r="B31" s="257" t="s">
        <v>85</v>
      </c>
      <c r="C31" s="259">
        <f>VLOOKUP($B31,$AC$2:$AQ$71,15,FALSE)</f>
        <v>30</v>
      </c>
      <c r="D31" s="137">
        <f>VLOOKUP($B31,$AC$2:$AQ$68,2,FALSE)</f>
        <v>8.6</v>
      </c>
      <c r="E31" s="138">
        <f>IF(E29+D31&gt;99,D31,E29+D31)</f>
        <v>71.40554695562429</v>
      </c>
      <c r="F31" s="137">
        <f>VLOOKUP($B31,$AC$2:$AQ$68,3,FALSE)</f>
        <v>23.9333333333333</v>
      </c>
      <c r="G31" s="138">
        <f>IF(G29+F31&gt;99,F31,G29+F31)</f>
        <v>91.0009803921568</v>
      </c>
      <c r="H31" s="137">
        <f>VLOOKUP($B31,$AC$2:$AQ$68,4,FALSE)</f>
        <v>14.6333333333333</v>
      </c>
      <c r="I31" s="138">
        <f>IF(I29+H31&gt;99,H31,I29+H31)</f>
        <v>35.9333333333333</v>
      </c>
      <c r="J31" s="137">
        <f>VLOOKUP($B31,$AC$2:$AQ$68,5,FALSE)</f>
        <v>17.7333333333333</v>
      </c>
      <c r="K31" s="138">
        <f>IF(K29+J31&gt;99,J31,K29+J31)</f>
        <v>36.433333333333294</v>
      </c>
      <c r="L31" s="137">
        <f>VLOOKUP($B31,$AC$2:$AQ$68,6,FALSE)</f>
        <v>20.1</v>
      </c>
      <c r="M31" s="138">
        <f>IF(M29+L31&gt;99,L31,M29+L31)</f>
        <v>20.1</v>
      </c>
      <c r="N31" s="137">
        <f>VLOOKUP($B31,$AC$2:$AQ$68,7,FALSE)</f>
        <v>11.5</v>
      </c>
      <c r="O31" s="138">
        <f>IF(O29+N31&gt;99,N31,O29+N31)</f>
        <v>41.1029411764706</v>
      </c>
      <c r="P31" s="137">
        <f>VLOOKUP($B31,$AC$2:$AQ$68,8,FALSE)</f>
        <v>9.43333333333333</v>
      </c>
      <c r="Q31" s="138">
        <f>IF(Q29+P31&gt;99,P31,Q29+P31)</f>
        <v>54.399509803921525</v>
      </c>
      <c r="R31" s="137">
        <f>VLOOKUP($B31,$AC$2:$AQ$68,9,FALSE)</f>
        <v>15.3333333333333</v>
      </c>
      <c r="S31" s="138">
        <f>IF(S29+R31&gt;99,R31,S29+R31)</f>
        <v>69.006862745098</v>
      </c>
      <c r="T31" s="137">
        <f>VLOOKUP($B31,$AC$2:$AQ$68,10,FALSE)</f>
        <v>26.5333333333333</v>
      </c>
      <c r="U31" s="138">
        <f>IF(U29+T31&gt;99,T31,U29+T31)</f>
        <v>91.5362745098039</v>
      </c>
      <c r="V31" s="137">
        <f>VLOOKUP($B31,$AC$2:$AQ$68,11,FALSE)</f>
        <v>28.7</v>
      </c>
      <c r="W31" s="138">
        <f>IF(W29+V31&gt;99,V31,W29+V31)</f>
        <v>80.8058823529412</v>
      </c>
      <c r="X31" s="137">
        <f>VLOOKUP($B31,$AC$2:$AQ$68,12,FALSE)</f>
        <v>14.0666666666667</v>
      </c>
      <c r="Y31" s="138">
        <f>IF(Y29+X31&gt;99,X31,Y29+X31)</f>
        <v>14.0666666666667</v>
      </c>
      <c r="AC31" s="135" t="str">
        <f>Reglages!BZ31</f>
        <v>Magny Cours</v>
      </c>
      <c r="AD31" s="136">
        <f>Reglages!CA31</f>
        <v>17.05</v>
      </c>
      <c r="AE31" s="136">
        <f>Reglages!CB31</f>
        <v>31.95</v>
      </c>
      <c r="AF31" s="136">
        <f>Reglages!CC31</f>
        <v>21.3</v>
      </c>
      <c r="AG31" s="136">
        <f>Reglages!CD31</f>
        <v>18.7</v>
      </c>
      <c r="AH31" s="136">
        <f>Reglages!CE31</f>
        <v>20.4</v>
      </c>
      <c r="AI31" s="136">
        <f>Reglages!CF31</f>
        <v>15.25</v>
      </c>
      <c r="AJ31" s="136">
        <f>Reglages!CG31</f>
        <v>15.7</v>
      </c>
      <c r="AK31" s="136">
        <f>Reglages!CH31</f>
        <v>26.85</v>
      </c>
      <c r="AL31" s="136">
        <f>Reglages!CI31</f>
        <v>34.65</v>
      </c>
      <c r="AM31" s="136">
        <f>Reglages!CJ31</f>
        <v>28.4</v>
      </c>
      <c r="AN31" s="136">
        <f>Reglages!CK31</f>
        <v>9.65</v>
      </c>
      <c r="AO31" s="135">
        <f>Reglages!CL31</f>
        <v>1.13</v>
      </c>
      <c r="AP31" s="135" t="str">
        <f>Reglages!CM31</f>
        <v>moyen</v>
      </c>
      <c r="AQ31" s="135">
        <f>Reglages!CN31</f>
        <v>20</v>
      </c>
    </row>
    <row r="32" spans="2:43" ht="13.5" thickBot="1">
      <c r="B32" s="258"/>
      <c r="C32" s="260"/>
      <c r="D32" s="253">
        <f>D31+D30</f>
        <v>253.96872145940432</v>
      </c>
      <c r="E32" s="255"/>
      <c r="F32" s="253">
        <f>F31+F30</f>
        <v>428.4396850183196</v>
      </c>
      <c r="G32" s="255"/>
      <c r="H32" s="253">
        <f>H31+H30</f>
        <v>301.07501200585517</v>
      </c>
      <c r="I32" s="255"/>
      <c r="J32" s="253">
        <f>J31+J30</f>
        <v>300.4087442369926</v>
      </c>
      <c r="K32" s="255"/>
      <c r="L32" s="253">
        <f>L31+L30</f>
        <v>285.5207534976496</v>
      </c>
      <c r="M32" s="255"/>
      <c r="N32" s="253">
        <f>N31+N30</f>
        <v>225.0901771525367</v>
      </c>
      <c r="O32" s="255"/>
      <c r="P32" s="253">
        <f>P31+P30</f>
        <v>243.0600711624967</v>
      </c>
      <c r="Q32" s="255"/>
      <c r="R32" s="253">
        <f>R31+R30</f>
        <v>333.3335211482493</v>
      </c>
      <c r="S32" s="255"/>
      <c r="T32" s="253">
        <f>T31+T30</f>
        <v>437.3744176134641</v>
      </c>
      <c r="U32" s="255"/>
      <c r="V32" s="253">
        <f>V31+V30</f>
        <v>336.1985553962455</v>
      </c>
      <c r="W32" s="255"/>
      <c r="X32" s="253">
        <f>X31+X30</f>
        <v>194.9195987600898</v>
      </c>
      <c r="Y32" s="255"/>
      <c r="AC32" s="135" t="str">
        <f>Reglages!BZ32</f>
        <v>Melbourne</v>
      </c>
      <c r="AD32" s="136">
        <f>Reglages!CA32</f>
        <v>15.4090909090909</v>
      </c>
      <c r="AE32" s="136">
        <f>Reglages!CB32</f>
        <v>31.5</v>
      </c>
      <c r="AF32" s="136">
        <f>Reglages!CC32</f>
        <v>18.4545454545455</v>
      </c>
      <c r="AG32" s="136">
        <f>Reglages!CD32</f>
        <v>20.4545454545455</v>
      </c>
      <c r="AH32" s="136">
        <f>Reglages!CE32</f>
        <v>15.2272727272727</v>
      </c>
      <c r="AI32" s="136">
        <f>Reglages!CF32</f>
        <v>15.1363636363636</v>
      </c>
      <c r="AJ32" s="136">
        <f>Reglages!CG32</f>
        <v>14.4318181818182</v>
      </c>
      <c r="AK32" s="136">
        <f>Reglages!CH32</f>
        <v>22.1136363636364</v>
      </c>
      <c r="AL32" s="136">
        <f>Reglages!CI32</f>
        <v>25.5909090909091</v>
      </c>
      <c r="AM32" s="136">
        <f>Reglages!CJ32</f>
        <v>15.6590909090909</v>
      </c>
      <c r="AN32" s="136">
        <f>Reglages!CK32</f>
        <v>12.1818181818182</v>
      </c>
      <c r="AO32" s="135">
        <f>Reglages!CL32</f>
        <v>1.15</v>
      </c>
      <c r="AP32" s="135" t="str">
        <f>Reglages!CM32</f>
        <v>moyen</v>
      </c>
      <c r="AQ32" s="135">
        <f>Reglages!CN32</f>
        <v>44</v>
      </c>
    </row>
    <row r="33" spans="2:43" ht="12.75">
      <c r="B33" s="257" t="s">
        <v>263</v>
      </c>
      <c r="C33" s="259">
        <f>VLOOKUP($B33,$AC$2:$AQ$71,15,FALSE)</f>
        <v>40</v>
      </c>
      <c r="D33" s="137">
        <f>VLOOKUP($B33,$AC$2:$AQ$68,2,FALSE)</f>
        <v>13.675</v>
      </c>
      <c r="E33" s="138">
        <f>IF(E31+D33&gt;99,D33,E31+D33)</f>
        <v>85.08054695562429</v>
      </c>
      <c r="F33" s="137">
        <f>VLOOKUP($B33,$AC$2:$AQ$68,3,FALSE)</f>
        <v>28.75</v>
      </c>
      <c r="G33" s="138">
        <f>IF(G31+F33&gt;99,F33,G31+F33)</f>
        <v>28.75</v>
      </c>
      <c r="H33" s="137">
        <f>VLOOKUP($B33,$AC$2:$AQ$68,4,FALSE)</f>
        <v>17.25</v>
      </c>
      <c r="I33" s="138">
        <f>IF(I31+H33&gt;99,H33,I31+H33)</f>
        <v>53.1833333333333</v>
      </c>
      <c r="J33" s="137">
        <f>VLOOKUP($B33,$AC$2:$AQ$68,5,FALSE)</f>
        <v>17</v>
      </c>
      <c r="K33" s="138">
        <f>IF(K31+J33&gt;99,J33,K31+J33)</f>
        <v>53.433333333333294</v>
      </c>
      <c r="L33" s="137">
        <f>VLOOKUP($B33,$AC$2:$AQ$68,6,FALSE)</f>
        <v>16.25</v>
      </c>
      <c r="M33" s="138">
        <f>IF(M31+L33&gt;99,L33,M31+L33)</f>
        <v>36.35</v>
      </c>
      <c r="N33" s="137">
        <f>VLOOKUP($B33,$AC$2:$AQ$68,7,FALSE)</f>
        <v>10.3</v>
      </c>
      <c r="O33" s="138">
        <f>IF(O31+N33&gt;99,N33,O31+N33)</f>
        <v>51.402941176470605</v>
      </c>
      <c r="P33" s="137">
        <f>VLOOKUP($B33,$AC$2:$AQ$68,8,FALSE)</f>
        <v>12.85</v>
      </c>
      <c r="Q33" s="138">
        <f>IF(Q31+P33&gt;99,P33,Q31+P33)</f>
        <v>67.24950980392153</v>
      </c>
      <c r="R33" s="137">
        <f>VLOOKUP($B33,$AC$2:$AQ$68,9,FALSE)</f>
        <v>20.125</v>
      </c>
      <c r="S33" s="138">
        <f>IF(S31+R33&gt;99,R33,S31+R33)</f>
        <v>89.131862745098</v>
      </c>
      <c r="T33" s="137">
        <f>VLOOKUP($B33,$AC$2:$AQ$68,10,FALSE)</f>
        <v>26.9</v>
      </c>
      <c r="U33" s="138">
        <f>IF(U31+T33&gt;99,T33,U31+T33)</f>
        <v>26.9</v>
      </c>
      <c r="V33" s="137">
        <f>VLOOKUP($B33,$AC$2:$AQ$68,11,FALSE)</f>
        <v>14.175</v>
      </c>
      <c r="W33" s="138">
        <f>IF(W31+V33&gt;99,V33,W31+V33)</f>
        <v>94.9808823529412</v>
      </c>
      <c r="X33" s="137">
        <f>VLOOKUP($B33,$AC$2:$AQ$68,12,FALSE)</f>
        <v>11.225</v>
      </c>
      <c r="Y33" s="138">
        <f>IF(Y31+X33&gt;99,X33,Y31+X33)</f>
        <v>25.2916666666667</v>
      </c>
      <c r="AC33" s="135" t="str">
        <f>Reglages!BZ33</f>
        <v>Mexico City</v>
      </c>
      <c r="AD33" s="136">
        <f>Reglages!CA33</f>
        <v>10.3448275862069</v>
      </c>
      <c r="AE33" s="136">
        <f>Reglages!CB33</f>
        <v>18.2586206896552</v>
      </c>
      <c r="AF33" s="136">
        <f>Reglages!CC33</f>
        <v>13.0862068965517</v>
      </c>
      <c r="AG33" s="136">
        <f>Reglages!CD33</f>
        <v>11.7758620689655</v>
      </c>
      <c r="AH33" s="136">
        <f>Reglages!CE33</f>
        <v>15.7241379310345</v>
      </c>
      <c r="AI33" s="136">
        <f>Reglages!CF33</f>
        <v>11.3275862068966</v>
      </c>
      <c r="AJ33" s="136">
        <f>Reglages!CG33</f>
        <v>15.3793103448276</v>
      </c>
      <c r="AK33" s="136">
        <f>Reglages!CH33</f>
        <v>23.8620689655172</v>
      </c>
      <c r="AL33" s="136">
        <f>Reglages!CI33</f>
        <v>10.948275862069</v>
      </c>
      <c r="AM33" s="136">
        <f>Reglages!CJ33</f>
        <v>27.4310344827586</v>
      </c>
      <c r="AN33" s="136">
        <f>Reglages!CK33</f>
        <v>13.6206896551724</v>
      </c>
      <c r="AO33" s="135">
        <f>Reglages!CL33</f>
        <v>1.21</v>
      </c>
      <c r="AP33" s="135" t="str">
        <f>Reglages!CM33</f>
        <v>basse</v>
      </c>
      <c r="AQ33" s="135">
        <f>Reglages!CN33</f>
        <v>58</v>
      </c>
    </row>
    <row r="34" spans="2:43" ht="13.5" thickBot="1">
      <c r="B34" s="258"/>
      <c r="C34" s="260"/>
      <c r="D34" s="253">
        <f>D33+D32</f>
        <v>267.64372145940433</v>
      </c>
      <c r="E34" s="255"/>
      <c r="F34" s="253">
        <f>F33+F32</f>
        <v>457.1896850183196</v>
      </c>
      <c r="G34" s="255"/>
      <c r="H34" s="253">
        <f>H33+H32</f>
        <v>318.32501200585517</v>
      </c>
      <c r="I34" s="255"/>
      <c r="J34" s="253">
        <f>J33+J32</f>
        <v>317.4087442369926</v>
      </c>
      <c r="K34" s="255"/>
      <c r="L34" s="253">
        <f>L33+L32</f>
        <v>301.7707534976496</v>
      </c>
      <c r="M34" s="255"/>
      <c r="N34" s="253">
        <f>N33+N32</f>
        <v>235.39017715253672</v>
      </c>
      <c r="O34" s="255"/>
      <c r="P34" s="253">
        <f>P33+P32</f>
        <v>255.9100711624967</v>
      </c>
      <c r="Q34" s="255"/>
      <c r="R34" s="253">
        <f>R33+R32</f>
        <v>353.4585211482493</v>
      </c>
      <c r="S34" s="255"/>
      <c r="T34" s="253">
        <f>T33+T32</f>
        <v>464.2744176134641</v>
      </c>
      <c r="U34" s="255"/>
      <c r="V34" s="253">
        <f>V33+V32</f>
        <v>350.37355539624554</v>
      </c>
      <c r="W34" s="255"/>
      <c r="X34" s="253">
        <f>X33+X32</f>
        <v>206.1445987600898</v>
      </c>
      <c r="Y34" s="255"/>
      <c r="AC34" s="135" t="str">
        <f>Reglages!BZ34</f>
        <v>Monte Carlo</v>
      </c>
      <c r="AD34" s="136">
        <f>Reglages!CA34</f>
        <v>10.804347826087</v>
      </c>
      <c r="AE34" s="136">
        <f>Reglages!CB34</f>
        <v>13.304347826087</v>
      </c>
      <c r="AF34" s="136">
        <f>Reglages!CC34</f>
        <v>38.3913043478261</v>
      </c>
      <c r="AG34" s="136">
        <f>Reglages!CD34</f>
        <v>38.195652173913</v>
      </c>
      <c r="AH34" s="136">
        <f>Reglages!CE34</f>
        <v>20.4130434782609</v>
      </c>
      <c r="AI34" s="136">
        <f>Reglages!CF34</f>
        <v>7.67391304347826</v>
      </c>
      <c r="AJ34" s="136">
        <f>Reglages!CG34</f>
        <v>10.8695652173913</v>
      </c>
      <c r="AK34" s="136">
        <f>Reglages!CH34</f>
        <v>20.8478260869565</v>
      </c>
      <c r="AL34" s="136">
        <f>Reglages!CI34</f>
        <v>34.0652173913044</v>
      </c>
      <c r="AM34" s="136">
        <f>Reglages!CJ34</f>
        <v>27.1086956521739</v>
      </c>
      <c r="AN34" s="136">
        <f>Reglages!CK34</f>
        <v>9.52173913043478</v>
      </c>
      <c r="AO34" s="135">
        <f>Reglages!CL34</f>
        <v>1.23</v>
      </c>
      <c r="AP34" s="135" t="str">
        <f>Reglages!CM34</f>
        <v>basse</v>
      </c>
      <c r="AQ34" s="135">
        <f>Reglages!CN34</f>
        <v>46</v>
      </c>
    </row>
    <row r="35" spans="2:43" ht="12.75">
      <c r="B35" s="257" t="s">
        <v>77</v>
      </c>
      <c r="C35" s="259">
        <f>VLOOKUP($B35,$AC$2:$AQ$71,15,FALSE)</f>
        <v>55</v>
      </c>
      <c r="D35" s="137">
        <f>VLOOKUP($B35,$AC$2:$AQ$68,2,FALSE)</f>
        <v>15.9636363636364</v>
      </c>
      <c r="E35" s="138">
        <f>IF(E33+D35&gt;99,D35,E33+D35)</f>
        <v>15.9636363636364</v>
      </c>
      <c r="F35" s="137">
        <f>VLOOKUP($B35,$AC$2:$AQ$68,3,FALSE)</f>
        <v>22.7454545454545</v>
      </c>
      <c r="G35" s="138">
        <f>IF(G33+F35&gt;99,F35,G33+F35)</f>
        <v>51.4954545454545</v>
      </c>
      <c r="H35" s="137">
        <f>VLOOKUP($B35,$AC$2:$AQ$68,4,FALSE)</f>
        <v>25.0545454545455</v>
      </c>
      <c r="I35" s="138">
        <f>IF(I33+H35&gt;99,H35,I33+H35)</f>
        <v>78.2378787878788</v>
      </c>
      <c r="J35" s="137">
        <f>VLOOKUP($B35,$AC$2:$AQ$68,5,FALSE)</f>
        <v>27.9272727272727</v>
      </c>
      <c r="K35" s="138">
        <f>IF(K33+J35&gt;99,J35,K33+J35)</f>
        <v>81.36060606060599</v>
      </c>
      <c r="L35" s="137">
        <f>VLOOKUP($B35,$AC$2:$AQ$68,6,FALSE)</f>
        <v>14.2545454545455</v>
      </c>
      <c r="M35" s="138">
        <f>IF(M33+L35&gt;99,L35,M33+L35)</f>
        <v>50.6045454545455</v>
      </c>
      <c r="N35" s="137">
        <f>VLOOKUP($B35,$AC$2:$AQ$68,7,FALSE)</f>
        <v>12.7272727272727</v>
      </c>
      <c r="O35" s="138">
        <f>IF(O33+N35&gt;99,N35,O33+N35)</f>
        <v>64.13021390374331</v>
      </c>
      <c r="P35" s="137">
        <f>VLOOKUP($B35,$AC$2:$AQ$68,8,FALSE)</f>
        <v>23.1090909090909</v>
      </c>
      <c r="Q35" s="138">
        <f>IF(Q33+P35&gt;99,P35,Q33+P35)</f>
        <v>90.35860071301242</v>
      </c>
      <c r="R35" s="137">
        <f>VLOOKUP($B35,$AC$2:$AQ$68,9,FALSE)</f>
        <v>31.5090909090909</v>
      </c>
      <c r="S35" s="138">
        <f>IF(S33+R35&gt;99,R35,S33+R35)</f>
        <v>31.5090909090909</v>
      </c>
      <c r="T35" s="137">
        <f>VLOOKUP($B35,$AC$2:$AQ$68,10,FALSE)</f>
        <v>19.5454545454545</v>
      </c>
      <c r="U35" s="138">
        <f>IF(U33+T35&gt;99,T35,U33+T35)</f>
        <v>46.445454545454496</v>
      </c>
      <c r="V35" s="137">
        <f>VLOOKUP($B35,$AC$2:$AQ$68,11,FALSE)</f>
        <v>16.7636363636364</v>
      </c>
      <c r="W35" s="138">
        <f>IF(W33+V35&gt;99,V35,W33+V35)</f>
        <v>16.7636363636364</v>
      </c>
      <c r="X35" s="137">
        <f>VLOOKUP($B35,$AC$2:$AQ$68,12,FALSE)</f>
        <v>15.3272727272727</v>
      </c>
      <c r="Y35" s="138">
        <f>IF(Y33+X35&gt;99,X35,Y33+X35)</f>
        <v>40.6189393939394</v>
      </c>
      <c r="AC35" s="135" t="str">
        <f>Reglages!BZ35</f>
        <v>Montreal</v>
      </c>
      <c r="AD35" s="136">
        <f>Reglages!CA35</f>
        <v>19.4</v>
      </c>
      <c r="AE35" s="136">
        <f>Reglages!CB35</f>
        <v>33.6444444444444</v>
      </c>
      <c r="AF35" s="136">
        <f>Reglages!CC35</f>
        <v>20.2222222222222</v>
      </c>
      <c r="AG35" s="136">
        <f>Reglages!CD35</f>
        <v>12.6222222222222</v>
      </c>
      <c r="AH35" s="136">
        <f>Reglages!CE35</f>
        <v>18.8222222222222</v>
      </c>
      <c r="AI35" s="136">
        <f>Reglages!CF35</f>
        <v>13.9777777777778</v>
      </c>
      <c r="AJ35" s="136">
        <f>Reglages!CG35</f>
        <v>10.1333333333333</v>
      </c>
      <c r="AK35" s="136">
        <f>Reglages!CH35</f>
        <v>27.3111111111111</v>
      </c>
      <c r="AL35" s="136">
        <f>Reglages!CI35</f>
        <v>37.0888888888889</v>
      </c>
      <c r="AM35" s="136">
        <f>Reglages!CJ35</f>
        <v>32.4666666666667</v>
      </c>
      <c r="AN35" s="136">
        <f>Reglages!CK35</f>
        <v>10.1555555555556</v>
      </c>
      <c r="AO35" s="135">
        <f>Reglages!CL35</f>
        <v>1.15</v>
      </c>
      <c r="AP35" s="135" t="str">
        <f>Reglages!CM35</f>
        <v>moyen</v>
      </c>
      <c r="AQ35" s="135">
        <f>Reglages!CN35</f>
        <v>45</v>
      </c>
    </row>
    <row r="36" spans="2:43" ht="13.5" thickBot="1">
      <c r="B36" s="258"/>
      <c r="C36" s="260"/>
      <c r="D36" s="253">
        <f>D35+D34</f>
        <v>283.60735782304073</v>
      </c>
      <c r="E36" s="255"/>
      <c r="F36" s="253">
        <f>F35+F34</f>
        <v>479.9351395637741</v>
      </c>
      <c r="G36" s="255"/>
      <c r="H36" s="253">
        <f>H35+H34</f>
        <v>343.3795574604007</v>
      </c>
      <c r="I36" s="255"/>
      <c r="J36" s="253">
        <f>J35+J34</f>
        <v>345.3360169642653</v>
      </c>
      <c r="K36" s="255"/>
      <c r="L36" s="253">
        <f>L35+L34</f>
        <v>316.0252989521951</v>
      </c>
      <c r="M36" s="255"/>
      <c r="N36" s="253">
        <f>N35+N34</f>
        <v>248.1174498798094</v>
      </c>
      <c r="O36" s="255"/>
      <c r="P36" s="253">
        <f>P35+P34</f>
        <v>279.01916207158763</v>
      </c>
      <c r="Q36" s="255"/>
      <c r="R36" s="253">
        <f>R35+R34</f>
        <v>384.9676120573402</v>
      </c>
      <c r="S36" s="255"/>
      <c r="T36" s="253">
        <f>T35+T34</f>
        <v>483.8198721589186</v>
      </c>
      <c r="U36" s="255"/>
      <c r="V36" s="253">
        <f>V35+V34</f>
        <v>367.13719175988194</v>
      </c>
      <c r="W36" s="255"/>
      <c r="X36" s="253">
        <f>X35+X34</f>
        <v>221.47187148736248</v>
      </c>
      <c r="Y36" s="255"/>
      <c r="AC36" s="135" t="str">
        <f>Reglages!BZ36</f>
        <v>Monza</v>
      </c>
      <c r="AD36" s="136">
        <f>Reglages!CA36</f>
        <v>21.2666666666667</v>
      </c>
      <c r="AE36" s="136">
        <f>Reglages!CB36</f>
        <v>39.6666666666667</v>
      </c>
      <c r="AF36" s="136">
        <f>Reglages!CC36</f>
        <v>14.4666666666667</v>
      </c>
      <c r="AG36" s="136">
        <f>Reglages!CD36</f>
        <v>11.3666666666667</v>
      </c>
      <c r="AH36" s="136">
        <f>Reglages!CE36</f>
        <v>19.8666666666667</v>
      </c>
      <c r="AI36" s="136">
        <f>Reglages!CF36</f>
        <v>17.4666666666667</v>
      </c>
      <c r="AJ36" s="136">
        <f>Reglages!CG36</f>
        <v>13.5666666666667</v>
      </c>
      <c r="AK36" s="136">
        <f>Reglages!CH36</f>
        <v>30.8333333333333</v>
      </c>
      <c r="AL36" s="136">
        <f>Reglages!CI36</f>
        <v>36.8666666666667</v>
      </c>
      <c r="AM36" s="136">
        <f>Reglages!CJ36</f>
        <v>20.7</v>
      </c>
      <c r="AN36" s="136">
        <f>Reglages!CK36</f>
        <v>15.2</v>
      </c>
      <c r="AO36" s="135">
        <f>Reglages!CL36</f>
        <v>1.04</v>
      </c>
      <c r="AP36" s="135" t="str">
        <f>Reglages!CM36</f>
        <v>tres haute</v>
      </c>
      <c r="AQ36" s="135">
        <f>Reglages!CN36</f>
        <v>30</v>
      </c>
    </row>
    <row r="37" spans="2:43" ht="12.75">
      <c r="B37" s="257" t="s">
        <v>88</v>
      </c>
      <c r="C37" s="259">
        <f>VLOOKUP($B37,$AC$2:$AQ$71,15,FALSE)</f>
        <v>23</v>
      </c>
      <c r="D37" s="137">
        <f>VLOOKUP($B37,$AC$2:$AQ$68,2,FALSE)</f>
        <v>34.5217391304348</v>
      </c>
      <c r="E37" s="138">
        <f>IF(E35+D37&gt;99,D37,E35+D37)</f>
        <v>50.48537549407121</v>
      </c>
      <c r="F37" s="137">
        <f>VLOOKUP($B37,$AC$2:$AQ$68,3,FALSE)</f>
        <v>44.304347826087</v>
      </c>
      <c r="G37" s="138">
        <f>IF(G35+F37&gt;99,F37,G35+F37)</f>
        <v>95.7998023715415</v>
      </c>
      <c r="H37" s="137">
        <f>VLOOKUP($B37,$AC$2:$AQ$68,4,FALSE)</f>
        <v>22.0869565217391</v>
      </c>
      <c r="I37" s="138">
        <f>IF(I35+H37&gt;99,H37,I35+H37)</f>
        <v>22.0869565217391</v>
      </c>
      <c r="J37" s="137">
        <f>VLOOKUP($B37,$AC$2:$AQ$68,5,FALSE)</f>
        <v>26.7391304347826</v>
      </c>
      <c r="K37" s="138">
        <f>IF(K35+J37&gt;99,J37,K35+J37)</f>
        <v>26.7391304347826</v>
      </c>
      <c r="L37" s="137">
        <f>VLOOKUP($B37,$AC$2:$AQ$68,6,FALSE)</f>
        <v>31.4782608695652</v>
      </c>
      <c r="M37" s="138">
        <f>IF(M35+L37&gt;99,L37,M35+L37)</f>
        <v>82.0828063241107</v>
      </c>
      <c r="N37" s="137">
        <f>VLOOKUP($B37,$AC$2:$AQ$68,7,FALSE)</f>
        <v>29.0869565217391</v>
      </c>
      <c r="O37" s="138">
        <f>IF(O35+N37&gt;99,N37,O35+N37)</f>
        <v>93.21717042548241</v>
      </c>
      <c r="P37" s="137">
        <f>VLOOKUP($B37,$AC$2:$AQ$68,8,FALSE)</f>
        <v>14.6086956521739</v>
      </c>
      <c r="Q37" s="138">
        <f>IF(Q35+P37&gt;99,P37,Q35+P37)</f>
        <v>14.6086956521739</v>
      </c>
      <c r="R37" s="137">
        <f>VLOOKUP($B37,$AC$2:$AQ$68,9,FALSE)</f>
        <v>35.5652173913044</v>
      </c>
      <c r="S37" s="138">
        <f>IF(S35+R37&gt;99,R37,S35+R37)</f>
        <v>67.0743083003953</v>
      </c>
      <c r="T37" s="137">
        <f>VLOOKUP($B37,$AC$2:$AQ$68,10,FALSE)</f>
        <v>41.0434782608696</v>
      </c>
      <c r="U37" s="138">
        <f>IF(U35+T37&gt;99,T37,U35+T37)</f>
        <v>87.4889328063241</v>
      </c>
      <c r="V37" s="137">
        <f>VLOOKUP($B37,$AC$2:$AQ$68,11,FALSE)</f>
        <v>39</v>
      </c>
      <c r="W37" s="138">
        <f>IF(W35+V37&gt;99,V37,W35+V37)</f>
        <v>55.7636363636364</v>
      </c>
      <c r="X37" s="137">
        <f>VLOOKUP($B37,$AC$2:$AQ$68,12,FALSE)</f>
        <v>12.7826086956522</v>
      </c>
      <c r="Y37" s="138">
        <f>IF(Y35+X37&gt;99,X37,Y35+X37)</f>
        <v>53.4015480895916</v>
      </c>
      <c r="AC37" s="135" t="str">
        <f>Reglages!BZ37</f>
        <v>Mugello</v>
      </c>
      <c r="AD37" s="136">
        <f>Reglages!CA37</f>
        <v>15.75</v>
      </c>
      <c r="AE37" s="136">
        <f>Reglages!CB37</f>
        <v>14.84375</v>
      </c>
      <c r="AF37" s="136">
        <f>Reglages!CC37</f>
        <v>18.5</v>
      </c>
      <c r="AG37" s="136">
        <f>Reglages!CD37</f>
        <v>13.375</v>
      </c>
      <c r="AH37" s="136">
        <f>Reglages!CE37</f>
        <v>19.375</v>
      </c>
      <c r="AI37" s="136">
        <f>Reglages!CF37</f>
        <v>22.40625</v>
      </c>
      <c r="AJ37" s="136">
        <f>Reglages!CG37</f>
        <v>23.4375</v>
      </c>
      <c r="AK37" s="136">
        <f>Reglages!CH37</f>
        <v>25.65625</v>
      </c>
      <c r="AL37" s="136">
        <f>Reglages!CI37</f>
        <v>23.3125</v>
      </c>
      <c r="AM37" s="136">
        <f>Reglages!CJ37</f>
        <v>19.4375</v>
      </c>
      <c r="AN37" s="136">
        <f>Reglages!CK37</f>
        <v>12.71875</v>
      </c>
      <c r="AO37" s="135">
        <f>Reglages!CL37</f>
        <v>1.15</v>
      </c>
      <c r="AP37" s="135" t="str">
        <f>Reglages!CM37</f>
        <v>moyen</v>
      </c>
      <c r="AQ37" s="135">
        <f>Reglages!CN37</f>
        <v>32</v>
      </c>
    </row>
    <row r="38" spans="2:43" ht="13.5" thickBot="1">
      <c r="B38" s="258"/>
      <c r="C38" s="260"/>
      <c r="D38" s="253">
        <f>D37+D36</f>
        <v>318.12909695347554</v>
      </c>
      <c r="E38" s="255"/>
      <c r="F38" s="253">
        <f>F37+F36</f>
        <v>524.2394873898611</v>
      </c>
      <c r="G38" s="255"/>
      <c r="H38" s="253">
        <f>H37+H36</f>
        <v>365.4665139821398</v>
      </c>
      <c r="I38" s="255"/>
      <c r="J38" s="253">
        <f>J37+J36</f>
        <v>372.0751473990479</v>
      </c>
      <c r="K38" s="255"/>
      <c r="L38" s="253">
        <f>L37+L36</f>
        <v>347.5035598217603</v>
      </c>
      <c r="M38" s="255"/>
      <c r="N38" s="253">
        <f>N37+N36</f>
        <v>277.2044064015485</v>
      </c>
      <c r="O38" s="255"/>
      <c r="P38" s="253">
        <f>P37+P36</f>
        <v>293.6278577237615</v>
      </c>
      <c r="Q38" s="255"/>
      <c r="R38" s="253">
        <f>R37+R36</f>
        <v>420.53282944864463</v>
      </c>
      <c r="S38" s="255"/>
      <c r="T38" s="253">
        <f>T37+T36</f>
        <v>524.8633504197882</v>
      </c>
      <c r="U38" s="255"/>
      <c r="V38" s="253">
        <f>V37+V36</f>
        <v>406.13719175988194</v>
      </c>
      <c r="W38" s="255"/>
      <c r="X38" s="253">
        <f>X37+X36</f>
        <v>234.25448018301466</v>
      </c>
      <c r="Y38" s="255"/>
      <c r="AC38" s="135" t="str">
        <f>Reglages!BZ38</f>
        <v>New Delhi</v>
      </c>
      <c r="AD38" s="136">
        <f>Reglages!CA38</f>
        <v>18.8148148148148</v>
      </c>
      <c r="AE38" s="136">
        <f>Reglages!CB38</f>
        <v>30.5925925925926</v>
      </c>
      <c r="AF38" s="136">
        <f>Reglages!CC38</f>
        <v>26.0740740740741</v>
      </c>
      <c r="AG38" s="136">
        <f>Reglages!CD38</f>
        <v>22.3518518518519</v>
      </c>
      <c r="AH38" s="136">
        <f>Reglages!CE38</f>
        <v>16.7037037037037</v>
      </c>
      <c r="AI38" s="136">
        <f>Reglages!CF38</f>
        <v>11.3333333333333</v>
      </c>
      <c r="AJ38" s="136">
        <f>Reglages!CG38</f>
        <v>14.7407407407407</v>
      </c>
      <c r="AK38" s="136">
        <f>Reglages!CH38</f>
        <v>23.2592592592593</v>
      </c>
      <c r="AL38" s="136">
        <f>Reglages!CI38</f>
        <v>30.9814814814815</v>
      </c>
      <c r="AM38" s="136">
        <f>Reglages!CJ38</f>
        <v>28.6111111111111</v>
      </c>
      <c r="AN38" s="136">
        <f>Reglages!CK38</f>
        <v>9.22222222222222</v>
      </c>
      <c r="AO38" s="135">
        <f>Reglages!CL38</f>
        <v>1.19</v>
      </c>
      <c r="AP38" s="135" t="str">
        <f>Reglages!CM38</f>
        <v>moyen</v>
      </c>
      <c r="AQ38" s="135">
        <f>Reglages!CN38</f>
        <v>54</v>
      </c>
    </row>
    <row r="39" spans="2:43" ht="12.75">
      <c r="B39" s="256"/>
      <c r="AC39" s="135" t="str">
        <f>Reglages!BZ39</f>
        <v>Nurburgring</v>
      </c>
      <c r="AD39" s="136">
        <f>Reglages!CA39</f>
        <v>21.8571428571429</v>
      </c>
      <c r="AE39" s="136">
        <f>Reglages!CB39</f>
        <v>32.1428571428571</v>
      </c>
      <c r="AF39" s="136">
        <f>Reglages!CC39</f>
        <v>18.6428571428571</v>
      </c>
      <c r="AG39" s="136">
        <f>Reglages!CD39</f>
        <v>24.3928571428571</v>
      </c>
      <c r="AH39" s="136">
        <f>Reglages!CE39</f>
        <v>21.4642857142857</v>
      </c>
      <c r="AI39" s="136">
        <f>Reglages!CF39</f>
        <v>11.8928571428571</v>
      </c>
      <c r="AJ39" s="136">
        <f>Reglages!CG39</f>
        <v>12.6428571428571</v>
      </c>
      <c r="AK39" s="136">
        <f>Reglages!CH39</f>
        <v>21.5714285714286</v>
      </c>
      <c r="AL39" s="136">
        <f>Reglages!CI39</f>
        <v>35.8928571428571</v>
      </c>
      <c r="AM39" s="136">
        <f>Reglages!CJ39</f>
        <v>32.2142857142857</v>
      </c>
      <c r="AN39" s="136">
        <f>Reglages!CK39</f>
        <v>8.67857142857143</v>
      </c>
      <c r="AO39" s="135">
        <f>Reglages!CL39</f>
        <v>1.305</v>
      </c>
      <c r="AP39" s="135" t="str">
        <f>Reglages!CM39</f>
        <v>tres basse</v>
      </c>
      <c r="AQ39" s="135">
        <f>Reglages!CN39</f>
        <v>28</v>
      </c>
    </row>
    <row r="40" spans="2:43" ht="12.75">
      <c r="B40" s="256"/>
      <c r="AC40" s="135" t="str">
        <f>Reglages!BZ40</f>
        <v>Oesterreichring</v>
      </c>
      <c r="AD40" s="136">
        <f>Reglages!CA40</f>
        <v>14.780487804878</v>
      </c>
      <c r="AE40" s="136">
        <f>Reglages!CB40</f>
        <v>32.2926829268293</v>
      </c>
      <c r="AF40" s="136">
        <f>Reglages!CC40</f>
        <v>18.3658536585366</v>
      </c>
      <c r="AG40" s="136">
        <f>Reglages!CD40</f>
        <v>21.0487804878049</v>
      </c>
      <c r="AH40" s="136">
        <f>Reglages!CE40</f>
        <v>16.0731707317073</v>
      </c>
      <c r="AI40" s="136">
        <f>Reglages!CF40</f>
        <v>14.0975609756098</v>
      </c>
      <c r="AJ40" s="136">
        <f>Reglages!CG40</f>
        <v>15.8048780487805</v>
      </c>
      <c r="AK40" s="136">
        <f>Reglages!CH40</f>
        <v>18.0975609756098</v>
      </c>
      <c r="AL40" s="136">
        <f>Reglages!CI40</f>
        <v>25.4146341463415</v>
      </c>
      <c r="AM40" s="136">
        <f>Reglages!CJ40</f>
        <v>16.9024390243902</v>
      </c>
      <c r="AN40" s="136">
        <f>Reglages!CK40</f>
        <v>9.73170731707317</v>
      </c>
      <c r="AO40" s="135">
        <f>Reglages!CL40</f>
        <v>1.12</v>
      </c>
      <c r="AP40" s="135" t="str">
        <f>Reglages!CM40</f>
        <v>haute</v>
      </c>
      <c r="AQ40" s="135">
        <f>Reglages!CN40</f>
        <v>41</v>
      </c>
    </row>
    <row r="41" spans="29:43" ht="12.75">
      <c r="AC41" s="135" t="str">
        <f>Reglages!BZ41</f>
        <v>Paul Ricard</v>
      </c>
      <c r="AD41" s="136">
        <f>Reglages!CA41</f>
        <v>19.3720930232558</v>
      </c>
      <c r="AE41" s="136">
        <f>Reglages!CB41</f>
        <v>41.6744186046512</v>
      </c>
      <c r="AF41" s="136">
        <f>Reglages!CC41</f>
        <v>19.8837209302326</v>
      </c>
      <c r="AG41" s="136">
        <f>Reglages!CD41</f>
        <v>25.6046511627907</v>
      </c>
      <c r="AH41" s="136">
        <f>Reglages!CE41</f>
        <v>22.7441860465116</v>
      </c>
      <c r="AI41" s="136">
        <f>Reglages!CF41</f>
        <v>12.1860465116279</v>
      </c>
      <c r="AJ41" s="136">
        <f>Reglages!CG41</f>
        <v>14.1162790697674</v>
      </c>
      <c r="AK41" s="136">
        <f>Reglages!CH41</f>
        <v>21.7906976744186</v>
      </c>
      <c r="AL41" s="136">
        <f>Reglages!CI41</f>
        <v>35.906976744186</v>
      </c>
      <c r="AM41" s="136">
        <f>Reglages!CJ41</f>
        <v>18.2790697674419</v>
      </c>
      <c r="AN41" s="136">
        <f>Reglages!CK41</f>
        <v>9.46511627906977</v>
      </c>
      <c r="AO41" s="135">
        <f>Reglages!CL41</f>
        <v>1.07</v>
      </c>
      <c r="AP41" s="135" t="str">
        <f>Reglages!CM41</f>
        <v>haute</v>
      </c>
      <c r="AQ41" s="135">
        <f>Reglages!CN41</f>
        <v>43</v>
      </c>
    </row>
    <row r="42" spans="29:43" ht="12.75">
      <c r="AC42" s="135" t="str">
        <f>Reglages!BZ42</f>
        <v>Portimao</v>
      </c>
      <c r="AD42" s="136">
        <f>Reglages!CA42</f>
        <v>16.2352941176471</v>
      </c>
      <c r="AE42" s="136">
        <f>Reglages!CB42</f>
        <v>15.1372549019608</v>
      </c>
      <c r="AF42" s="136">
        <f>Reglages!CC42</f>
        <v>16.6274509803922</v>
      </c>
      <c r="AG42" s="136">
        <f>Reglages!CD42</f>
        <v>18.0392156862745</v>
      </c>
      <c r="AH42" s="136">
        <f>Reglages!CE42</f>
        <v>30.9607843137255</v>
      </c>
      <c r="AI42" s="136">
        <f>Reglages!CF42</f>
        <v>15.5098039215686</v>
      </c>
      <c r="AJ42" s="136">
        <f>Reglages!CG42</f>
        <v>15.1176470588235</v>
      </c>
      <c r="AK42" s="136">
        <f>Reglages!CH42</f>
        <v>15.6274509803922</v>
      </c>
      <c r="AL42" s="136">
        <f>Reglages!CI42</f>
        <v>22.3137254901961</v>
      </c>
      <c r="AM42" s="136">
        <f>Reglages!CJ42</f>
        <v>33.4117647058824</v>
      </c>
      <c r="AN42" s="136">
        <f>Reglages!CK42</f>
        <v>12.8823529411765</v>
      </c>
      <c r="AO42" s="135">
        <f>Reglages!CL42</f>
        <v>1.18</v>
      </c>
      <c r="AP42" s="135" t="str">
        <f>Reglages!CM42</f>
        <v>moyen</v>
      </c>
      <c r="AQ42" s="135">
        <f>Reglages!CN42</f>
        <v>51</v>
      </c>
    </row>
    <row r="43" spans="29:43" ht="12.75">
      <c r="AC43" s="135" t="str">
        <f>Reglages!BZ43</f>
        <v>Poznan</v>
      </c>
      <c r="AD43" s="136">
        <f>Reglages!CA43</f>
        <v>19.9487179487179</v>
      </c>
      <c r="AE43" s="136">
        <f>Reglages!CB43</f>
        <v>28.2051282051282</v>
      </c>
      <c r="AF43" s="136">
        <f>Reglages!CC43</f>
        <v>23.6153846153846</v>
      </c>
      <c r="AG43" s="136">
        <f>Reglages!CD43</f>
        <v>28.0512820512821</v>
      </c>
      <c r="AH43" s="136">
        <f>Reglages!CE43</f>
        <v>24.4358974358974</v>
      </c>
      <c r="AI43" s="136">
        <f>Reglages!CF43</f>
        <v>19.974358974359</v>
      </c>
      <c r="AJ43" s="136">
        <f>Reglages!CG43</f>
        <v>17.6666666666667</v>
      </c>
      <c r="AK43" s="136">
        <f>Reglages!CH43</f>
        <v>21</v>
      </c>
      <c r="AL43" s="136">
        <f>Reglages!CI43</f>
        <v>21.8205128205128</v>
      </c>
      <c r="AM43" s="136">
        <f>Reglages!CJ43</f>
        <v>17.6923076923077</v>
      </c>
      <c r="AN43" s="136">
        <f>Reglages!CK43</f>
        <v>15.025641025641</v>
      </c>
      <c r="AO43" s="135">
        <f>Reglages!CL43</f>
        <v>1.23</v>
      </c>
      <c r="AP43" s="135" t="str">
        <f>Reglages!CM43</f>
        <v>basse</v>
      </c>
      <c r="AQ43" s="135">
        <f>Reglages!CN43</f>
        <v>39</v>
      </c>
    </row>
    <row r="44" spans="29:43" ht="12.75">
      <c r="AC44" s="135" t="str">
        <f>Reglages!BZ44</f>
        <v>Rafaelo Oval</v>
      </c>
      <c r="AD44" s="136">
        <f>Reglages!CA44</f>
        <v>17.1578947368421</v>
      </c>
      <c r="AE44" s="136">
        <f>Reglages!CB44</f>
        <v>60.0263157894737</v>
      </c>
      <c r="AF44" s="136">
        <f>Reglages!CC44</f>
        <v>9.94736842105263</v>
      </c>
      <c r="AG44" s="136">
        <f>Reglages!CD44</f>
        <v>11.5526315789474</v>
      </c>
      <c r="AH44" s="136">
        <f>Reglages!CE44</f>
        <v>20.9210526315789</v>
      </c>
      <c r="AI44" s="136">
        <f>Reglages!CF44</f>
        <v>12.2894736842105</v>
      </c>
      <c r="AJ44" s="136">
        <f>Reglages!CG44</f>
        <v>15.8157894736842</v>
      </c>
      <c r="AK44" s="136">
        <f>Reglages!CH44</f>
        <v>18.0526315789474</v>
      </c>
      <c r="AL44" s="136">
        <f>Reglages!CI44</f>
        <v>17.1052631578947</v>
      </c>
      <c r="AM44" s="136">
        <f>Reglages!CJ44</f>
        <v>24.3421052631579</v>
      </c>
      <c r="AN44" s="136">
        <f>Reglages!CK44</f>
        <v>11.5526315789474</v>
      </c>
      <c r="AO44" s="135">
        <f>Reglages!CL44</f>
        <v>1.0375</v>
      </c>
      <c r="AP44" s="135" t="str">
        <f>Reglages!CM44</f>
        <v>tres haute</v>
      </c>
      <c r="AQ44" s="135">
        <f>Reglages!CN44</f>
        <v>38</v>
      </c>
    </row>
    <row r="45" spans="29:43" ht="12.75">
      <c r="AC45" s="135" t="str">
        <f>Reglages!BZ45</f>
        <v>Sakhir</v>
      </c>
      <c r="AD45" s="136">
        <f>Reglages!CA45</f>
        <v>20</v>
      </c>
      <c r="AE45" s="136">
        <f>Reglages!CB45</f>
        <v>40.75</v>
      </c>
      <c r="AF45" s="136">
        <f>Reglages!CC45</f>
        <v>22.7291666666667</v>
      </c>
      <c r="AG45" s="136">
        <f>Reglages!CD45</f>
        <v>17.7083333333333</v>
      </c>
      <c r="AH45" s="136">
        <f>Reglages!CE45</f>
        <v>17.625</v>
      </c>
      <c r="AI45" s="136">
        <f>Reglages!CF45</f>
        <v>22.0625</v>
      </c>
      <c r="AJ45" s="136">
        <f>Reglages!CG45</f>
        <v>25.2916666666667</v>
      </c>
      <c r="AK45" s="136">
        <f>Reglages!CH45</f>
        <v>21.6458333333333</v>
      </c>
      <c r="AL45" s="136">
        <f>Reglages!CI45</f>
        <v>25.0416666666667</v>
      </c>
      <c r="AM45" s="136">
        <f>Reglages!CJ45</f>
        <v>24.8125</v>
      </c>
      <c r="AN45" s="136">
        <f>Reglages!CK45</f>
        <v>12.375</v>
      </c>
      <c r="AO45" s="135">
        <f>Reglages!CL45</f>
        <v>1.0345</v>
      </c>
      <c r="AP45" s="135" t="str">
        <f>Reglages!CM45</f>
        <v>tres haute</v>
      </c>
      <c r="AQ45" s="135">
        <f>Reglages!CN45</f>
        <v>48</v>
      </c>
    </row>
    <row r="46" spans="29:43" ht="12.75">
      <c r="AC46" s="135" t="str">
        <f>Reglages!BZ46</f>
        <v>Sepang</v>
      </c>
      <c r="AD46" s="136">
        <f>Reglages!CA46</f>
        <v>18.0434782608696</v>
      </c>
      <c r="AE46" s="136">
        <f>Reglages!CB46</f>
        <v>32.2608695652174</v>
      </c>
      <c r="AF46" s="136">
        <f>Reglages!CC46</f>
        <v>23.5217391304348</v>
      </c>
      <c r="AG46" s="136">
        <f>Reglages!CD46</f>
        <v>18.9130434782609</v>
      </c>
      <c r="AH46" s="136">
        <f>Reglages!CE46</f>
        <v>23.1739130434783</v>
      </c>
      <c r="AI46" s="136">
        <f>Reglages!CF46</f>
        <v>13.0652173913043</v>
      </c>
      <c r="AJ46" s="136">
        <f>Reglages!CG46</f>
        <v>23.0434782608696</v>
      </c>
      <c r="AK46" s="136">
        <f>Reglages!CH46</f>
        <v>26.3260869565217</v>
      </c>
      <c r="AL46" s="136">
        <f>Reglages!CI46</f>
        <v>30.5434782608696</v>
      </c>
      <c r="AM46" s="136">
        <f>Reglages!CJ46</f>
        <v>18.304347826087</v>
      </c>
      <c r="AN46" s="136">
        <f>Reglages!CK46</f>
        <v>13.3260869565217</v>
      </c>
      <c r="AO46" s="135">
        <f>Reglages!CL46</f>
        <v>1.185</v>
      </c>
      <c r="AP46" s="135" t="str">
        <f>Reglages!CM46</f>
        <v>moyen</v>
      </c>
      <c r="AQ46" s="135">
        <f>Reglages!CN46</f>
        <v>46</v>
      </c>
    </row>
    <row r="47" spans="29:43" ht="12.75">
      <c r="AC47" s="135" t="str">
        <f>Reglages!BZ47</f>
        <v>Serres</v>
      </c>
      <c r="AD47" s="136">
        <f>Reglages!CA47</f>
        <v>17.8723404255319</v>
      </c>
      <c r="AE47" s="136">
        <f>Reglages!CB47</f>
        <v>20.936170212766</v>
      </c>
      <c r="AF47" s="136">
        <f>Reglages!CC47</f>
        <v>17.4893617021277</v>
      </c>
      <c r="AG47" s="136">
        <f>Reglages!CD47</f>
        <v>19.0425531914894</v>
      </c>
      <c r="AH47" s="136">
        <f>Reglages!CE47</f>
        <v>16.8297872340426</v>
      </c>
      <c r="AI47" s="136">
        <f>Reglages!CF47</f>
        <v>13.9574468085106</v>
      </c>
      <c r="AJ47" s="136">
        <f>Reglages!CG47</f>
        <v>16.0851063829787</v>
      </c>
      <c r="AK47" s="136">
        <f>Reglages!CH47</f>
        <v>23.4468085106383</v>
      </c>
      <c r="AL47" s="136">
        <f>Reglages!CI47</f>
        <v>20</v>
      </c>
      <c r="AM47" s="136">
        <f>Reglages!CJ47</f>
        <v>20.3617021276596</v>
      </c>
      <c r="AN47" s="136">
        <f>Reglages!CK47</f>
        <v>14.4255319148936</v>
      </c>
      <c r="AO47" s="135">
        <f>Reglages!CL47</f>
        <v>1.18</v>
      </c>
      <c r="AP47" s="135" t="str">
        <f>Reglages!CM47</f>
        <v>moyen</v>
      </c>
      <c r="AQ47" s="135">
        <f>Reglages!CN47</f>
        <v>47</v>
      </c>
    </row>
    <row r="48" spans="29:43" ht="12.75">
      <c r="AC48" s="135" t="str">
        <f>Reglages!BZ48</f>
        <v>Shanghai</v>
      </c>
      <c r="AD48" s="136">
        <f>Reglages!CA48</f>
        <v>14.125</v>
      </c>
      <c r="AE48" s="136">
        <f>Reglages!CB48</f>
        <v>39.475</v>
      </c>
      <c r="AF48" s="136">
        <f>Reglages!CC48</f>
        <v>23.525</v>
      </c>
      <c r="AG48" s="136">
        <f>Reglages!CD48</f>
        <v>26.875</v>
      </c>
      <c r="AH48" s="136">
        <f>Reglages!CE48</f>
        <v>23.825</v>
      </c>
      <c r="AI48" s="136">
        <f>Reglages!CF48</f>
        <v>19.225</v>
      </c>
      <c r="AJ48" s="136">
        <f>Reglages!CG48</f>
        <v>18.325</v>
      </c>
      <c r="AK48" s="136">
        <f>Reglages!CH48</f>
        <v>26.4</v>
      </c>
      <c r="AL48" s="136">
        <f>Reglages!CI48</f>
        <v>30.25</v>
      </c>
      <c r="AM48" s="136">
        <f>Reglages!CJ48</f>
        <v>33.575</v>
      </c>
      <c r="AN48" s="136">
        <f>Reglages!CK48</f>
        <v>12.825</v>
      </c>
      <c r="AO48" s="135">
        <f>Reglages!CL48</f>
        <v>1.015</v>
      </c>
      <c r="AP48" s="135" t="str">
        <f>Reglages!CM48</f>
        <v>tres haute</v>
      </c>
      <c r="AQ48" s="135">
        <f>Reglages!CN48</f>
        <v>40</v>
      </c>
    </row>
    <row r="49" spans="29:43" ht="12.75">
      <c r="AC49" s="135" t="str">
        <f>Reglages!BZ49</f>
        <v>Silverstone</v>
      </c>
      <c r="AD49" s="136">
        <f>Reglages!CA49</f>
        <v>17.9473684210526</v>
      </c>
      <c r="AE49" s="136">
        <f>Reglages!CB49</f>
        <v>36.5789473684211</v>
      </c>
      <c r="AF49" s="136">
        <f>Reglages!CC49</f>
        <v>15.8947368421053</v>
      </c>
      <c r="AG49" s="136">
        <f>Reglages!CD49</f>
        <v>18.9736842105263</v>
      </c>
      <c r="AH49" s="136">
        <f>Reglages!CE49</f>
        <v>20.1315789473684</v>
      </c>
      <c r="AI49" s="136">
        <f>Reglages!CF49</f>
        <v>12.8157894736842</v>
      </c>
      <c r="AJ49" s="136">
        <f>Reglages!CG49</f>
        <v>12.2894736842105</v>
      </c>
      <c r="AK49" s="136">
        <f>Reglages!CH49</f>
        <v>26.6315789473684</v>
      </c>
      <c r="AL49" s="136">
        <f>Reglages!CI49</f>
        <v>19.7894736842105</v>
      </c>
      <c r="AM49" s="136">
        <f>Reglages!CJ49</f>
        <v>15.9210526315789</v>
      </c>
      <c r="AN49" s="136">
        <f>Reglages!CK49</f>
        <v>9.55263157894737</v>
      </c>
      <c r="AO49" s="135">
        <f>Reglages!CL49</f>
        <v>1.12</v>
      </c>
      <c r="AP49" s="135" t="str">
        <f>Reglages!CM49</f>
        <v>haute</v>
      </c>
      <c r="AQ49" s="135">
        <f>Reglages!CN49</f>
        <v>38</v>
      </c>
    </row>
    <row r="50" spans="29:43" ht="12.75">
      <c r="AC50" s="135" t="str">
        <f>Reglages!BZ50</f>
        <v>Singapore</v>
      </c>
      <c r="AD50" s="136">
        <f>Reglages!CA50</f>
        <v>21.3265306122449</v>
      </c>
      <c r="AE50" s="136">
        <f>Reglages!CB50</f>
        <v>15.6938775510204</v>
      </c>
      <c r="AF50" s="136">
        <f>Reglages!CC50</f>
        <v>24.3469387755102</v>
      </c>
      <c r="AG50" s="136">
        <f>Reglages!CD50</f>
        <v>21.5102040816327</v>
      </c>
      <c r="AH50" s="136">
        <f>Reglages!CE50</f>
        <v>24.4489795918367</v>
      </c>
      <c r="AI50" s="136">
        <f>Reglages!CF50</f>
        <v>17.6326530612245</v>
      </c>
      <c r="AJ50" s="136">
        <f>Reglages!CG50</f>
        <v>21.0612244897959</v>
      </c>
      <c r="AK50" s="136">
        <f>Reglages!CH50</f>
        <v>20.8163265306122</v>
      </c>
      <c r="AL50" s="136">
        <f>Reglages!CI50</f>
        <v>30.8367346938776</v>
      </c>
      <c r="AM50" s="136">
        <f>Reglages!CJ50</f>
        <v>18.9795918367347</v>
      </c>
      <c r="AN50" s="136">
        <f>Reglages!CK50</f>
        <v>19.0408163265306</v>
      </c>
      <c r="AO50" s="135">
        <f>Reglages!CL50</f>
        <v>1.17</v>
      </c>
      <c r="AP50" s="135" t="str">
        <f>Reglages!CM50</f>
        <v>moyen</v>
      </c>
      <c r="AQ50" s="135">
        <f>Reglages!CN50</f>
        <v>49</v>
      </c>
    </row>
    <row r="51" spans="29:43" ht="12.75">
      <c r="AC51" s="135" t="str">
        <f>Reglages!BZ51</f>
        <v>Slovakiaring</v>
      </c>
      <c r="AD51" s="136">
        <f>Reglages!CA51</f>
        <v>15.1388888888889</v>
      </c>
      <c r="AE51" s="136">
        <f>Reglages!CB51</f>
        <v>32.1944444444444</v>
      </c>
      <c r="AF51" s="136">
        <f>Reglages!CC51</f>
        <v>17.75</v>
      </c>
      <c r="AG51" s="136">
        <f>Reglages!CD51</f>
        <v>20.25</v>
      </c>
      <c r="AH51" s="136">
        <f>Reglages!CE51</f>
        <v>26.25</v>
      </c>
      <c r="AI51" s="136">
        <f>Reglages!CF51</f>
        <v>13.2777777777778</v>
      </c>
      <c r="AJ51" s="136">
        <f>Reglages!CG51</f>
        <v>11.5277777777778</v>
      </c>
      <c r="AK51" s="136">
        <f>Reglages!CH51</f>
        <v>31.8888888888889</v>
      </c>
      <c r="AL51" s="136">
        <f>Reglages!CI51</f>
        <v>21.8888888888889</v>
      </c>
      <c r="AM51" s="136">
        <f>Reglages!CJ51</f>
        <v>28.0555555555556</v>
      </c>
      <c r="AN51" s="136">
        <f>Reglages!CK51</f>
        <v>10.8055555555556</v>
      </c>
      <c r="AO51" s="135">
        <f>Reglages!CL51</f>
        <v>1.11</v>
      </c>
      <c r="AP51" s="135" t="str">
        <f>Reglages!CM51</f>
        <v>haute</v>
      </c>
      <c r="AQ51" s="135">
        <f>Reglages!CN51</f>
        <v>36</v>
      </c>
    </row>
    <row r="52" spans="29:43" ht="12.75">
      <c r="AC52" s="135" t="str">
        <f>Reglages!BZ52</f>
        <v>Sotchi</v>
      </c>
      <c r="AD52" s="136">
        <f>Reglages!CA52</f>
        <v>13.675</v>
      </c>
      <c r="AE52" s="136">
        <f>Reglages!CB52</f>
        <v>28.75</v>
      </c>
      <c r="AF52" s="136">
        <f>Reglages!CC52</f>
        <v>17.25</v>
      </c>
      <c r="AG52" s="136">
        <f>Reglages!CD52</f>
        <v>17</v>
      </c>
      <c r="AH52" s="136">
        <f>Reglages!CE52</f>
        <v>16.25</v>
      </c>
      <c r="AI52" s="136">
        <f>Reglages!CF52</f>
        <v>10.3</v>
      </c>
      <c r="AJ52" s="136">
        <f>Reglages!CG52</f>
        <v>12.85</v>
      </c>
      <c r="AK52" s="136">
        <f>Reglages!CH52</f>
        <v>20.125</v>
      </c>
      <c r="AL52" s="136">
        <f>Reglages!CI52</f>
        <v>26.9</v>
      </c>
      <c r="AM52" s="136">
        <f>Reglages!CJ52</f>
        <v>14.175</v>
      </c>
      <c r="AN52" s="136">
        <f>Reglages!CK52</f>
        <v>11.225</v>
      </c>
      <c r="AO52" s="135">
        <f>Reglages!CL52</f>
        <v>1.23</v>
      </c>
      <c r="AP52" s="135" t="str">
        <f>Reglages!CM52</f>
        <v>basse</v>
      </c>
      <c r="AQ52" s="135">
        <f>Reglages!CN52</f>
        <v>40</v>
      </c>
    </row>
    <row r="53" spans="29:43" ht="12.75">
      <c r="AC53" s="135" t="str">
        <f>Reglages!BZ53</f>
        <v>Spa</v>
      </c>
      <c r="AD53" s="136">
        <f>Reglages!CA53</f>
        <v>18.72</v>
      </c>
      <c r="AE53" s="136">
        <f>Reglages!CB53</f>
        <v>32.2</v>
      </c>
      <c r="AF53" s="136">
        <f>Reglages!CC53</f>
        <v>19</v>
      </c>
      <c r="AG53" s="136">
        <f>Reglages!CD53</f>
        <v>21.28</v>
      </c>
      <c r="AH53" s="136">
        <f>Reglages!CE53</f>
        <v>22.04</v>
      </c>
      <c r="AI53" s="136">
        <f>Reglages!CF53</f>
        <v>13.96</v>
      </c>
      <c r="AJ53" s="136">
        <f>Reglages!CG53</f>
        <v>12.08</v>
      </c>
      <c r="AK53" s="136">
        <f>Reglages!CH53</f>
        <v>25.72</v>
      </c>
      <c r="AL53" s="136">
        <f>Reglages!CI53</f>
        <v>28.04</v>
      </c>
      <c r="AM53" s="136">
        <f>Reglages!CJ53</f>
        <v>32.04</v>
      </c>
      <c r="AN53" s="136">
        <f>Reglages!CK53</f>
        <v>10.96</v>
      </c>
      <c r="AO53" s="135">
        <f>Reglages!CL53</f>
        <v>1.1</v>
      </c>
      <c r="AP53" s="135" t="str">
        <f>Reglages!CM53</f>
        <v>haute</v>
      </c>
      <c r="AQ53" s="135">
        <f>Reglages!CN53</f>
        <v>25</v>
      </c>
    </row>
    <row r="54" spans="29:43" ht="12.75">
      <c r="AC54" s="135" t="str">
        <f>Reglages!BZ54</f>
        <v>Suzuka</v>
      </c>
      <c r="AD54" s="136">
        <f>Reglages!CA54</f>
        <v>12.2</v>
      </c>
      <c r="AE54" s="136">
        <f>Reglages!CB54</f>
        <v>23.06</v>
      </c>
      <c r="AF54" s="136">
        <f>Reglages!CC54</f>
        <v>15</v>
      </c>
      <c r="AG54" s="136">
        <f>Reglages!CD54</f>
        <v>19.88</v>
      </c>
      <c r="AH54" s="136">
        <f>Reglages!CE54</f>
        <v>16.14</v>
      </c>
      <c r="AI54" s="136">
        <f>Reglages!CF54</f>
        <v>10.88</v>
      </c>
      <c r="AJ54" s="136">
        <f>Reglages!CG54</f>
        <v>9.98</v>
      </c>
      <c r="AK54" s="136">
        <f>Reglages!CH54</f>
        <v>25.94</v>
      </c>
      <c r="AL54" s="136">
        <f>Reglages!CI54</f>
        <v>19.98</v>
      </c>
      <c r="AM54" s="136">
        <f>Reglages!CJ54</f>
        <v>22.36</v>
      </c>
      <c r="AN54" s="136">
        <f>Reglages!CK54</f>
        <v>10.86</v>
      </c>
      <c r="AO54" s="135">
        <f>Reglages!CL54</f>
        <v>1.145</v>
      </c>
      <c r="AP54" s="135" t="str">
        <f>Reglages!CM54</f>
        <v>moyen</v>
      </c>
      <c r="AQ54" s="135">
        <f>Reglages!CN54</f>
        <v>50</v>
      </c>
    </row>
    <row r="55" spans="29:43" ht="12.75">
      <c r="AC55" s="135" t="str">
        <f>Reglages!BZ55</f>
        <v>Valencia</v>
      </c>
      <c r="AD55" s="136">
        <f>Reglages!CA55</f>
        <v>18.2571428571429</v>
      </c>
      <c r="AE55" s="136">
        <f>Reglages!CB55</f>
        <v>18.3714285714286</v>
      </c>
      <c r="AF55" s="136">
        <f>Reglages!CC55</f>
        <v>31.5142857142857</v>
      </c>
      <c r="AG55" s="136">
        <f>Reglages!CD55</f>
        <v>31.2857142857143</v>
      </c>
      <c r="AH55" s="136">
        <f>Reglages!CE55</f>
        <v>14.9142857142857</v>
      </c>
      <c r="AI55" s="136">
        <f>Reglages!CF55</f>
        <v>21.6571428571429</v>
      </c>
      <c r="AJ55" s="136">
        <f>Reglages!CG55</f>
        <v>11.4571428571429</v>
      </c>
      <c r="AK55" s="136">
        <f>Reglages!CH55</f>
        <v>18.0285714285714</v>
      </c>
      <c r="AL55" s="136">
        <f>Reglages!CI55</f>
        <v>21.2857142857143</v>
      </c>
      <c r="AM55" s="136">
        <f>Reglages!CJ55</f>
        <v>24.8571428571429</v>
      </c>
      <c r="AN55" s="136">
        <f>Reglages!CK55</f>
        <v>15.2</v>
      </c>
      <c r="AO55" s="135">
        <f>Reglages!CL55</f>
        <v>1.19</v>
      </c>
      <c r="AP55" s="135" t="str">
        <f>Reglages!CM55</f>
        <v>moyen</v>
      </c>
      <c r="AQ55" s="135">
        <f>Reglages!CN55</f>
        <v>35</v>
      </c>
    </row>
    <row r="56" spans="29:43" ht="12.75">
      <c r="AC56" s="135" t="str">
        <f>Reglages!BZ56</f>
        <v>Yas Marina</v>
      </c>
      <c r="AD56" s="136">
        <f>Reglages!CA56</f>
        <v>15.8070175438596</v>
      </c>
      <c r="AE56" s="136">
        <f>Reglages!CB56</f>
        <v>10.0877192982456</v>
      </c>
      <c r="AF56" s="136">
        <f>Reglages!CC56</f>
        <v>24.3508771929825</v>
      </c>
      <c r="AG56" s="136">
        <f>Reglages!CD56</f>
        <v>28.4385964912281</v>
      </c>
      <c r="AH56" s="136">
        <f>Reglages!CE56</f>
        <v>19.5789473684211</v>
      </c>
      <c r="AI56" s="136">
        <f>Reglages!CF56</f>
        <v>14.9649122807018</v>
      </c>
      <c r="AJ56" s="136">
        <f>Reglages!CG56</f>
        <v>20.3859649122807</v>
      </c>
      <c r="AK56" s="136">
        <f>Reglages!CH56</f>
        <v>24.280701754386</v>
      </c>
      <c r="AL56" s="136">
        <f>Reglages!CI56</f>
        <v>28.6491228070175</v>
      </c>
      <c r="AM56" s="136">
        <f>Reglages!CJ56</f>
        <v>21.1052631578947</v>
      </c>
      <c r="AN56" s="136">
        <f>Reglages!CK56</f>
        <v>14.8070175438596</v>
      </c>
      <c r="AO56" s="135">
        <f>Reglages!CL56</f>
        <v>1.24</v>
      </c>
      <c r="AP56" s="135" t="str">
        <f>Reglages!CM56</f>
        <v>basse</v>
      </c>
      <c r="AQ56" s="135">
        <f>Reglages!CN56</f>
        <v>57</v>
      </c>
    </row>
    <row r="57" spans="29:43" ht="12.75">
      <c r="AC57" s="135" t="str">
        <f>Reglages!BZ57</f>
        <v>Yeongam</v>
      </c>
      <c r="AD57" s="136">
        <f>Reglages!CA57</f>
        <v>19.85</v>
      </c>
      <c r="AE57" s="136">
        <f>Reglages!CB57</f>
        <v>28.8333333333333</v>
      </c>
      <c r="AF57" s="136">
        <f>Reglages!CC57</f>
        <v>20.7666666666667</v>
      </c>
      <c r="AG57" s="136">
        <f>Reglages!CD57</f>
        <v>23.0333333333333</v>
      </c>
      <c r="AH57" s="136">
        <f>Reglages!CE57</f>
        <v>14.2</v>
      </c>
      <c r="AI57" s="136">
        <f>Reglages!CF57</f>
        <v>15.4166666666667</v>
      </c>
      <c r="AJ57" s="136">
        <f>Reglages!CG57</f>
        <v>16.0833333333333</v>
      </c>
      <c r="AK57" s="136">
        <f>Reglages!CH57</f>
        <v>17.5</v>
      </c>
      <c r="AL57" s="136">
        <f>Reglages!CI57</f>
        <v>21.7833333333333</v>
      </c>
      <c r="AM57" s="136">
        <f>Reglages!CJ57</f>
        <v>18.8666666666667</v>
      </c>
      <c r="AN57" s="136">
        <f>Reglages!CK57</f>
        <v>13.1833333333333</v>
      </c>
      <c r="AO57" s="135">
        <f>Reglages!CL57</f>
        <v>1.18</v>
      </c>
      <c r="AP57" s="135" t="str">
        <f>Reglages!CM57</f>
        <v>moyen</v>
      </c>
      <c r="AQ57" s="135">
        <f>Reglages!CN57</f>
        <v>60</v>
      </c>
    </row>
    <row r="58" spans="29:43" ht="12.75">
      <c r="AC58" s="135" t="str">
        <f>Reglages!BZ58</f>
        <v>Zandvoort</v>
      </c>
      <c r="AD58" s="136">
        <f>Reglages!CA58</f>
        <v>29.3333333333333</v>
      </c>
      <c r="AE58" s="136">
        <f>Reglages!CB58</f>
        <v>46.125</v>
      </c>
      <c r="AF58" s="136">
        <f>Reglages!CC58</f>
        <v>35.0416666666667</v>
      </c>
      <c r="AG58" s="136">
        <f>Reglages!CD58</f>
        <v>28.375</v>
      </c>
      <c r="AH58" s="136">
        <f>Reglages!CE58</f>
        <v>25.0416666666667</v>
      </c>
      <c r="AI58" s="136">
        <f>Reglages!CF58</f>
        <v>21.6666666666667</v>
      </c>
      <c r="AJ58" s="136">
        <f>Reglages!CG58</f>
        <v>19.7083333333333</v>
      </c>
      <c r="AK58" s="136">
        <f>Reglages!CH58</f>
        <v>27.625</v>
      </c>
      <c r="AL58" s="136">
        <f>Reglages!CI58</f>
        <v>51.2083333333333</v>
      </c>
      <c r="AM58" s="136">
        <f>Reglages!CJ58</f>
        <v>39.2916666666667</v>
      </c>
      <c r="AN58" s="136">
        <f>Reglages!CK58</f>
        <v>17</v>
      </c>
      <c r="AO58" s="135">
        <f>Reglages!CL58</f>
        <v>1.22</v>
      </c>
      <c r="AP58" s="135" t="str">
        <f>Reglages!CM58</f>
        <v>basse</v>
      </c>
      <c r="AQ58" s="135">
        <f>Reglages!CN58</f>
        <v>24</v>
      </c>
    </row>
    <row r="59" spans="29:43" ht="12.75">
      <c r="AC59" s="135" t="str">
        <f>Reglages!BZ59</f>
        <v>Zolder</v>
      </c>
      <c r="AD59" s="136">
        <f>Reglages!CA59</f>
        <v>13.1923076923077</v>
      </c>
      <c r="AE59" s="136">
        <f>Reglages!CB59</f>
        <v>14.7115384615385</v>
      </c>
      <c r="AF59" s="136">
        <f>Reglages!CC59</f>
        <v>18.6346153846154</v>
      </c>
      <c r="AG59" s="136">
        <f>Reglages!CD59</f>
        <v>17.0961538461538</v>
      </c>
      <c r="AH59" s="136">
        <f>Reglages!CE59</f>
        <v>15.2307692307692</v>
      </c>
      <c r="AI59" s="136">
        <f>Reglages!CF59</f>
        <v>17.1153846153846</v>
      </c>
      <c r="AJ59" s="136">
        <f>Reglages!CG59</f>
        <v>15.6538461538462</v>
      </c>
      <c r="AK59" s="136">
        <f>Reglages!CH59</f>
        <v>30</v>
      </c>
      <c r="AL59" s="136">
        <f>Reglages!CI59</f>
        <v>21.1730769230769</v>
      </c>
      <c r="AM59" s="136">
        <f>Reglages!CJ59</f>
        <v>22.9230769230769</v>
      </c>
      <c r="AN59" s="136">
        <f>Reglages!CK59</f>
        <v>13.7884615384615</v>
      </c>
      <c r="AO59" s="135">
        <f>Reglages!CL59</f>
        <v>1.21</v>
      </c>
      <c r="AP59" s="135" t="str">
        <f>Reglages!CM59</f>
        <v>basse</v>
      </c>
      <c r="AQ59" s="135">
        <f>Reglages!CN59</f>
        <v>52</v>
      </c>
    </row>
    <row r="60" spans="29:43" ht="12.75">
      <c r="AC60" s="135">
        <f>Reglages!BZ60</f>
        <v>0</v>
      </c>
      <c r="AD60" s="135">
        <f>Reglages!CA60</f>
        <v>0</v>
      </c>
      <c r="AE60" s="135">
        <f>Reglages!CB60</f>
        <v>0</v>
      </c>
      <c r="AF60" s="135">
        <f>Reglages!CC60</f>
        <v>0</v>
      </c>
      <c r="AG60" s="135">
        <f>Reglages!CD60</f>
        <v>0</v>
      </c>
      <c r="AH60" s="135">
        <f>Reglages!CE60</f>
        <v>0</v>
      </c>
      <c r="AI60" s="135">
        <f>Reglages!CF60</f>
        <v>0</v>
      </c>
      <c r="AJ60" s="135">
        <f>Reglages!CG60</f>
        <v>0</v>
      </c>
      <c r="AK60" s="135">
        <f>Reglages!CH60</f>
        <v>0</v>
      </c>
      <c r="AL60" s="135">
        <f>Reglages!CI60</f>
        <v>0</v>
      </c>
      <c r="AM60" s="135">
        <f>Reglages!CJ60</f>
        <v>0</v>
      </c>
      <c r="AN60" s="135">
        <f>Reglages!CK60</f>
        <v>0</v>
      </c>
      <c r="AO60" s="135">
        <f>Reglages!CL60</f>
        <v>0</v>
      </c>
      <c r="AP60" s="135">
        <f>Reglages!CM60</f>
        <v>0</v>
      </c>
      <c r="AQ60" s="135">
        <f>Reglages!CN60</f>
        <v>0</v>
      </c>
    </row>
    <row r="61" spans="29:43" ht="12.75">
      <c r="AC61" s="135">
        <f>Reglages!BZ61</f>
        <v>0</v>
      </c>
      <c r="AD61" s="135">
        <f>Reglages!CA61</f>
        <v>0</v>
      </c>
      <c r="AE61" s="135">
        <f>Reglages!CB61</f>
        <v>0</v>
      </c>
      <c r="AF61" s="135">
        <f>Reglages!CC61</f>
        <v>0</v>
      </c>
      <c r="AG61" s="135">
        <f>Reglages!CD61</f>
        <v>0</v>
      </c>
      <c r="AH61" s="135">
        <f>Reglages!CE61</f>
        <v>0</v>
      </c>
      <c r="AI61" s="135">
        <f>Reglages!CF61</f>
        <v>0</v>
      </c>
      <c r="AJ61" s="135">
        <f>Reglages!CG61</f>
        <v>0</v>
      </c>
      <c r="AK61" s="135">
        <f>Reglages!CH61</f>
        <v>0</v>
      </c>
      <c r="AL61" s="135">
        <f>Reglages!CI61</f>
        <v>0</v>
      </c>
      <c r="AM61" s="135">
        <f>Reglages!CJ61</f>
        <v>0</v>
      </c>
      <c r="AN61" s="135">
        <f>Reglages!CK61</f>
        <v>0</v>
      </c>
      <c r="AO61" s="135">
        <f>Reglages!CL61</f>
        <v>0</v>
      </c>
      <c r="AP61" s="135">
        <f>Reglages!CM61</f>
        <v>0</v>
      </c>
      <c r="AQ61" s="135">
        <f>Reglages!CN61</f>
        <v>0</v>
      </c>
    </row>
    <row r="62" spans="29:43" ht="12.75">
      <c r="AC62" s="135">
        <f>Reglages!BZ62</f>
        <v>0</v>
      </c>
      <c r="AD62" s="135">
        <f>Reglages!CA62</f>
        <v>0</v>
      </c>
      <c r="AE62" s="135">
        <f>Reglages!CB62</f>
        <v>0</v>
      </c>
      <c r="AF62" s="135">
        <f>Reglages!CC62</f>
        <v>0</v>
      </c>
      <c r="AG62" s="135">
        <f>Reglages!CD62</f>
        <v>0</v>
      </c>
      <c r="AH62" s="135">
        <f>Reglages!CE62</f>
        <v>0</v>
      </c>
      <c r="AI62" s="135">
        <f>Reglages!CF62</f>
        <v>0</v>
      </c>
      <c r="AJ62" s="135">
        <f>Reglages!CG62</f>
        <v>0</v>
      </c>
      <c r="AK62" s="135">
        <f>Reglages!CH62</f>
        <v>0</v>
      </c>
      <c r="AL62" s="135">
        <f>Reglages!CI62</f>
        <v>0</v>
      </c>
      <c r="AM62" s="135">
        <f>Reglages!CJ62</f>
        <v>0</v>
      </c>
      <c r="AN62" s="135">
        <f>Reglages!CK62</f>
        <v>0</v>
      </c>
      <c r="AO62" s="135">
        <f>Reglages!CL62</f>
        <v>0</v>
      </c>
      <c r="AP62" s="135">
        <f>Reglages!CM62</f>
        <v>0</v>
      </c>
      <c r="AQ62" s="135">
        <f>Reglages!CN62</f>
        <v>0</v>
      </c>
    </row>
    <row r="63" spans="29:43" ht="12.75">
      <c r="AC63" s="135">
        <f>Reglages!BZ63</f>
        <v>0</v>
      </c>
      <c r="AD63" s="135">
        <f>Reglages!CA63</f>
        <v>0</v>
      </c>
      <c r="AE63" s="135">
        <f>Reglages!CB63</f>
        <v>0</v>
      </c>
      <c r="AF63" s="135">
        <f>Reglages!CC63</f>
        <v>0</v>
      </c>
      <c r="AG63" s="135">
        <f>Reglages!CD63</f>
        <v>0</v>
      </c>
      <c r="AH63" s="135">
        <f>Reglages!CE63</f>
        <v>0</v>
      </c>
      <c r="AI63" s="135">
        <f>Reglages!CF63</f>
        <v>0</v>
      </c>
      <c r="AJ63" s="135">
        <f>Reglages!CG63</f>
        <v>0</v>
      </c>
      <c r="AK63" s="135">
        <f>Reglages!CH63</f>
        <v>0</v>
      </c>
      <c r="AL63" s="135">
        <f>Reglages!CI63</f>
        <v>0</v>
      </c>
      <c r="AM63" s="135">
        <f>Reglages!CJ63</f>
        <v>0</v>
      </c>
      <c r="AN63" s="135">
        <f>Reglages!CK63</f>
        <v>0</v>
      </c>
      <c r="AO63" s="135">
        <f>Reglages!CL63</f>
        <v>0</v>
      </c>
      <c r="AP63" s="135">
        <f>Reglages!CM63</f>
        <v>0</v>
      </c>
      <c r="AQ63" s="135">
        <f>Reglages!CN63</f>
        <v>0</v>
      </c>
    </row>
    <row r="64" spans="29:43" ht="12.75">
      <c r="AC64" s="135">
        <f>Reglages!BZ64</f>
        <v>0</v>
      </c>
      <c r="AD64" s="135">
        <f>Reglages!CA64</f>
        <v>0</v>
      </c>
      <c r="AE64" s="135">
        <f>Reglages!CB64</f>
        <v>0</v>
      </c>
      <c r="AF64" s="135">
        <f>Reglages!CC64</f>
        <v>0</v>
      </c>
      <c r="AG64" s="135">
        <f>Reglages!CD64</f>
        <v>0</v>
      </c>
      <c r="AH64" s="135">
        <f>Reglages!CE64</f>
        <v>0</v>
      </c>
      <c r="AI64" s="135">
        <f>Reglages!CF64</f>
        <v>0</v>
      </c>
      <c r="AJ64" s="135">
        <f>Reglages!CG64</f>
        <v>0</v>
      </c>
      <c r="AK64" s="135">
        <f>Reglages!CH64</f>
        <v>0</v>
      </c>
      <c r="AL64" s="135">
        <f>Reglages!CI64</f>
        <v>0</v>
      </c>
      <c r="AM64" s="135">
        <f>Reglages!CJ64</f>
        <v>0</v>
      </c>
      <c r="AN64" s="135">
        <f>Reglages!CK64</f>
        <v>0</v>
      </c>
      <c r="AO64" s="135">
        <f>Reglages!CL64</f>
        <v>0</v>
      </c>
      <c r="AP64" s="135">
        <f>Reglages!CM64</f>
        <v>0</v>
      </c>
      <c r="AQ64" s="135">
        <f>Reglages!CN64</f>
        <v>0</v>
      </c>
    </row>
    <row r="65" spans="29:43" ht="12.75">
      <c r="AC65" s="135">
        <f>Reglages!BZ65</f>
        <v>0</v>
      </c>
      <c r="AD65" s="135">
        <f>Reglages!CA65</f>
        <v>0</v>
      </c>
      <c r="AE65" s="135">
        <f>Reglages!CB65</f>
        <v>0</v>
      </c>
      <c r="AF65" s="135">
        <f>Reglages!CC65</f>
        <v>0</v>
      </c>
      <c r="AG65" s="135">
        <f>Reglages!CD65</f>
        <v>0</v>
      </c>
      <c r="AH65" s="135">
        <f>Reglages!CE65</f>
        <v>0</v>
      </c>
      <c r="AI65" s="135">
        <f>Reglages!CF65</f>
        <v>0</v>
      </c>
      <c r="AJ65" s="135">
        <f>Reglages!CG65</f>
        <v>0</v>
      </c>
      <c r="AK65" s="135">
        <f>Reglages!CH65</f>
        <v>0</v>
      </c>
      <c r="AL65" s="135">
        <f>Reglages!CI65</f>
        <v>0</v>
      </c>
      <c r="AM65" s="135">
        <f>Reglages!CJ65</f>
        <v>0</v>
      </c>
      <c r="AN65" s="135">
        <f>Reglages!CK65</f>
        <v>0</v>
      </c>
      <c r="AO65" s="135">
        <f>Reglages!CL65</f>
        <v>0</v>
      </c>
      <c r="AP65" s="135">
        <f>Reglages!CM65</f>
        <v>0</v>
      </c>
      <c r="AQ65" s="135">
        <f>Reglages!CN65</f>
        <v>0</v>
      </c>
    </row>
    <row r="66" spans="29:43" ht="12.75">
      <c r="AC66" s="135">
        <f>Reglages!BZ66</f>
        <v>0</v>
      </c>
      <c r="AD66" s="135">
        <f>Reglages!CA66</f>
        <v>0</v>
      </c>
      <c r="AE66" s="135">
        <f>Reglages!CB66</f>
        <v>0</v>
      </c>
      <c r="AF66" s="135">
        <f>Reglages!CC66</f>
        <v>0</v>
      </c>
      <c r="AG66" s="135">
        <f>Reglages!CD66</f>
        <v>0</v>
      </c>
      <c r="AH66" s="135">
        <f>Reglages!CE66</f>
        <v>0</v>
      </c>
      <c r="AI66" s="135">
        <f>Reglages!CF66</f>
        <v>0</v>
      </c>
      <c r="AJ66" s="135">
        <f>Reglages!CG66</f>
        <v>0</v>
      </c>
      <c r="AK66" s="135">
        <f>Reglages!CH66</f>
        <v>0</v>
      </c>
      <c r="AL66" s="135">
        <f>Reglages!CI66</f>
        <v>0</v>
      </c>
      <c r="AM66" s="135">
        <f>Reglages!CJ66</f>
        <v>0</v>
      </c>
      <c r="AN66" s="135">
        <f>Reglages!CK66</f>
        <v>0</v>
      </c>
      <c r="AO66" s="135">
        <f>Reglages!CL66</f>
        <v>0</v>
      </c>
      <c r="AP66" s="135">
        <f>Reglages!CM66</f>
        <v>0</v>
      </c>
      <c r="AQ66" s="135">
        <f>Reglages!CN66</f>
        <v>0</v>
      </c>
    </row>
    <row r="67" spans="29:43" ht="12.75">
      <c r="AC67" s="135">
        <f>Reglages!BZ67</f>
        <v>0</v>
      </c>
      <c r="AD67" s="135">
        <f>Reglages!CA67</f>
        <v>0</v>
      </c>
      <c r="AE67" s="135">
        <f>Reglages!CB67</f>
        <v>0</v>
      </c>
      <c r="AF67" s="135">
        <f>Reglages!CC67</f>
        <v>0</v>
      </c>
      <c r="AG67" s="135">
        <f>Reglages!CD67</f>
        <v>0</v>
      </c>
      <c r="AH67" s="135">
        <f>Reglages!CE67</f>
        <v>0</v>
      </c>
      <c r="AI67" s="135">
        <f>Reglages!CF67</f>
        <v>0</v>
      </c>
      <c r="AJ67" s="135">
        <f>Reglages!CG67</f>
        <v>0</v>
      </c>
      <c r="AK67" s="135">
        <f>Reglages!CH67</f>
        <v>0</v>
      </c>
      <c r="AL67" s="135">
        <f>Reglages!CI67</f>
        <v>0</v>
      </c>
      <c r="AM67" s="135">
        <f>Reglages!CJ67</f>
        <v>0</v>
      </c>
      <c r="AN67" s="135">
        <f>Reglages!CK67</f>
        <v>0</v>
      </c>
      <c r="AO67" s="135">
        <f>Reglages!CL67</f>
        <v>0</v>
      </c>
      <c r="AP67" s="135">
        <f>Reglages!CM67</f>
        <v>0</v>
      </c>
      <c r="AQ67" s="135">
        <f>Reglages!CN67</f>
        <v>0</v>
      </c>
    </row>
    <row r="68" spans="29:43" ht="12.75">
      <c r="AC68" s="135">
        <f>Reglages!BZ68</f>
        <v>0</v>
      </c>
      <c r="AD68" s="135">
        <f>Reglages!CA68</f>
        <v>0</v>
      </c>
      <c r="AE68" s="135">
        <f>Reglages!CB68</f>
        <v>0</v>
      </c>
      <c r="AF68" s="135">
        <f>Reglages!CC68</f>
        <v>0</v>
      </c>
      <c r="AG68" s="135">
        <f>Reglages!CD68</f>
        <v>0</v>
      </c>
      <c r="AH68" s="135">
        <f>Reglages!CE68</f>
        <v>0</v>
      </c>
      <c r="AI68" s="135">
        <f>Reglages!CF68</f>
        <v>0</v>
      </c>
      <c r="AJ68" s="135">
        <f>Reglages!CG68</f>
        <v>0</v>
      </c>
      <c r="AK68" s="135">
        <f>Reglages!CH68</f>
        <v>0</v>
      </c>
      <c r="AL68" s="135">
        <f>Reglages!CI68</f>
        <v>0</v>
      </c>
      <c r="AM68" s="135">
        <f>Reglages!CJ68</f>
        <v>0</v>
      </c>
      <c r="AN68" s="135">
        <f>Reglages!CK68</f>
        <v>0</v>
      </c>
      <c r="AO68" s="135">
        <f>Reglages!CL68</f>
        <v>0</v>
      </c>
      <c r="AP68" s="135">
        <f>Reglages!CM68</f>
        <v>0</v>
      </c>
      <c r="AQ68" s="135">
        <f>Reglages!CN68</f>
        <v>0</v>
      </c>
    </row>
    <row r="69" spans="29:43" ht="12.75">
      <c r="AC69" s="135">
        <f>Reglages!BZ69</f>
        <v>0</v>
      </c>
      <c r="AD69" s="135">
        <f>Reglages!CA69</f>
        <v>0</v>
      </c>
      <c r="AE69" s="135">
        <f>Reglages!CB69</f>
        <v>0</v>
      </c>
      <c r="AF69" s="135">
        <f>Reglages!CC69</f>
        <v>0</v>
      </c>
      <c r="AG69" s="135">
        <f>Reglages!CD69</f>
        <v>0</v>
      </c>
      <c r="AH69" s="135">
        <f>Reglages!CE69</f>
        <v>0</v>
      </c>
      <c r="AI69" s="135">
        <f>Reglages!CF69</f>
        <v>0</v>
      </c>
      <c r="AJ69" s="135">
        <f>Reglages!CG69</f>
        <v>0</v>
      </c>
      <c r="AK69" s="135">
        <f>Reglages!CH69</f>
        <v>0</v>
      </c>
      <c r="AL69" s="135">
        <f>Reglages!CI69</f>
        <v>0</v>
      </c>
      <c r="AM69" s="135">
        <f>Reglages!CJ69</f>
        <v>0</v>
      </c>
      <c r="AN69" s="135">
        <f>Reglages!CK69</f>
        <v>0</v>
      </c>
      <c r="AO69" s="135">
        <f>Reglages!CL69</f>
        <v>0</v>
      </c>
      <c r="AP69" s="135">
        <f>Reglages!CM69</f>
        <v>0</v>
      </c>
      <c r="AQ69" s="135">
        <f>Reglages!CN69</f>
        <v>0</v>
      </c>
    </row>
    <row r="70" spans="29:43" ht="12.75">
      <c r="AC70" s="135">
        <f>Reglages!BZ70</f>
        <v>0</v>
      </c>
      <c r="AD70" s="135">
        <f>Reglages!CA70</f>
        <v>0</v>
      </c>
      <c r="AE70" s="135">
        <f>Reglages!CB70</f>
        <v>0</v>
      </c>
      <c r="AF70" s="135">
        <f>Reglages!CC70</f>
        <v>0</v>
      </c>
      <c r="AG70" s="135">
        <f>Reglages!CD70</f>
        <v>0</v>
      </c>
      <c r="AH70" s="135">
        <f>Reglages!CE70</f>
        <v>0</v>
      </c>
      <c r="AI70" s="135">
        <f>Reglages!CF70</f>
        <v>0</v>
      </c>
      <c r="AJ70" s="135">
        <f>Reglages!CG70</f>
        <v>0</v>
      </c>
      <c r="AK70" s="135">
        <f>Reglages!CH70</f>
        <v>0</v>
      </c>
      <c r="AL70" s="135">
        <f>Reglages!CI70</f>
        <v>0</v>
      </c>
      <c r="AM70" s="135">
        <f>Reglages!CJ70</f>
        <v>0</v>
      </c>
      <c r="AN70" s="135">
        <f>Reglages!CK70</f>
        <v>0</v>
      </c>
      <c r="AO70" s="135">
        <f>Reglages!CL70</f>
        <v>0</v>
      </c>
      <c r="AP70" s="135">
        <f>Reglages!CM70</f>
        <v>0</v>
      </c>
      <c r="AQ70" s="135">
        <f>Reglages!CN70</f>
        <v>0</v>
      </c>
    </row>
  </sheetData>
  <sheetProtection/>
  <mergeCells count="235">
    <mergeCell ref="B1:Y2"/>
    <mergeCell ref="C27:C28"/>
    <mergeCell ref="C29:C30"/>
    <mergeCell ref="C31:C32"/>
    <mergeCell ref="C33:C34"/>
    <mergeCell ref="C35:C36"/>
    <mergeCell ref="N36:O36"/>
    <mergeCell ref="P36:Q36"/>
    <mergeCell ref="R36:S36"/>
    <mergeCell ref="T36:U36"/>
    <mergeCell ref="C37:C38"/>
    <mergeCell ref="C15:C16"/>
    <mergeCell ref="C17:C18"/>
    <mergeCell ref="C19:C20"/>
    <mergeCell ref="C21:C22"/>
    <mergeCell ref="C23:C24"/>
    <mergeCell ref="C25:C26"/>
    <mergeCell ref="P38:Q38"/>
    <mergeCell ref="R38:S38"/>
    <mergeCell ref="T38:U38"/>
    <mergeCell ref="V38:W38"/>
    <mergeCell ref="X38:Y38"/>
    <mergeCell ref="C5:C6"/>
    <mergeCell ref="C7:C8"/>
    <mergeCell ref="C9:C10"/>
    <mergeCell ref="C11:C12"/>
    <mergeCell ref="C13:C14"/>
    <mergeCell ref="D38:E38"/>
    <mergeCell ref="F38:G38"/>
    <mergeCell ref="H38:I38"/>
    <mergeCell ref="J38:K38"/>
    <mergeCell ref="L38:M38"/>
    <mergeCell ref="N38:O38"/>
    <mergeCell ref="V36:W36"/>
    <mergeCell ref="X36:Y36"/>
    <mergeCell ref="P34:Q34"/>
    <mergeCell ref="R34:S34"/>
    <mergeCell ref="T34:U34"/>
    <mergeCell ref="V34:W34"/>
    <mergeCell ref="X34:Y34"/>
    <mergeCell ref="D36:E36"/>
    <mergeCell ref="F36:G36"/>
    <mergeCell ref="H36:I36"/>
    <mergeCell ref="J36:K36"/>
    <mergeCell ref="L36:M36"/>
    <mergeCell ref="D34:E34"/>
    <mergeCell ref="F34:G34"/>
    <mergeCell ref="H34:I34"/>
    <mergeCell ref="J34:K34"/>
    <mergeCell ref="L34:M34"/>
    <mergeCell ref="N34:O34"/>
    <mergeCell ref="N32:O32"/>
    <mergeCell ref="P32:Q32"/>
    <mergeCell ref="R32:S32"/>
    <mergeCell ref="T32:U32"/>
    <mergeCell ref="V32:W32"/>
    <mergeCell ref="X32:Y32"/>
    <mergeCell ref="P30:Q30"/>
    <mergeCell ref="R30:S30"/>
    <mergeCell ref="T30:U30"/>
    <mergeCell ref="V30:W30"/>
    <mergeCell ref="X30:Y30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N30:O30"/>
    <mergeCell ref="N28:O28"/>
    <mergeCell ref="P28:Q28"/>
    <mergeCell ref="R28:S28"/>
    <mergeCell ref="T28:U28"/>
    <mergeCell ref="V28:W28"/>
    <mergeCell ref="X28:Y28"/>
    <mergeCell ref="P26:Q26"/>
    <mergeCell ref="R26:S26"/>
    <mergeCell ref="T26:U26"/>
    <mergeCell ref="V26:W26"/>
    <mergeCell ref="X26:Y26"/>
    <mergeCell ref="D28:E28"/>
    <mergeCell ref="F28:G28"/>
    <mergeCell ref="H28:I28"/>
    <mergeCell ref="J28:K28"/>
    <mergeCell ref="L28:M28"/>
    <mergeCell ref="D26:E26"/>
    <mergeCell ref="F26:G26"/>
    <mergeCell ref="H26:I26"/>
    <mergeCell ref="J26:K26"/>
    <mergeCell ref="L26:M26"/>
    <mergeCell ref="N26:O26"/>
    <mergeCell ref="N24:O24"/>
    <mergeCell ref="P24:Q24"/>
    <mergeCell ref="R24:S24"/>
    <mergeCell ref="T24:U24"/>
    <mergeCell ref="V24:W24"/>
    <mergeCell ref="X24:Y24"/>
    <mergeCell ref="P22:Q22"/>
    <mergeCell ref="R22:S22"/>
    <mergeCell ref="T22:U22"/>
    <mergeCell ref="V22:W22"/>
    <mergeCell ref="X22:Y22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0:O20"/>
    <mergeCell ref="P20:Q20"/>
    <mergeCell ref="R20:S20"/>
    <mergeCell ref="T20:U20"/>
    <mergeCell ref="V20:W20"/>
    <mergeCell ref="X20:Y20"/>
    <mergeCell ref="P18:Q18"/>
    <mergeCell ref="R18:S18"/>
    <mergeCell ref="T18:U18"/>
    <mergeCell ref="V18:W18"/>
    <mergeCell ref="X18:Y18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N18:O18"/>
    <mergeCell ref="N16:O16"/>
    <mergeCell ref="P16:Q16"/>
    <mergeCell ref="R16:S16"/>
    <mergeCell ref="T16:U16"/>
    <mergeCell ref="V16:W16"/>
    <mergeCell ref="X16:Y16"/>
    <mergeCell ref="P14:Q14"/>
    <mergeCell ref="R14:S14"/>
    <mergeCell ref="T14:U14"/>
    <mergeCell ref="V14:W14"/>
    <mergeCell ref="X14:Y14"/>
    <mergeCell ref="D16:E16"/>
    <mergeCell ref="F16:G16"/>
    <mergeCell ref="H16:I16"/>
    <mergeCell ref="J16:K16"/>
    <mergeCell ref="L16:M16"/>
    <mergeCell ref="D14:E14"/>
    <mergeCell ref="F14:G14"/>
    <mergeCell ref="H14:I14"/>
    <mergeCell ref="J14:K14"/>
    <mergeCell ref="L14:M14"/>
    <mergeCell ref="N14:O14"/>
    <mergeCell ref="N12:O12"/>
    <mergeCell ref="P12:Q12"/>
    <mergeCell ref="R12:S12"/>
    <mergeCell ref="T12:U12"/>
    <mergeCell ref="V12:W12"/>
    <mergeCell ref="X12:Y12"/>
    <mergeCell ref="P10:Q10"/>
    <mergeCell ref="R10:S10"/>
    <mergeCell ref="T10:U10"/>
    <mergeCell ref="V10:W10"/>
    <mergeCell ref="X10:Y10"/>
    <mergeCell ref="D12:E12"/>
    <mergeCell ref="F12:G12"/>
    <mergeCell ref="H12:I12"/>
    <mergeCell ref="J12:K12"/>
    <mergeCell ref="L12:M12"/>
    <mergeCell ref="D10:E10"/>
    <mergeCell ref="F10:G10"/>
    <mergeCell ref="H10:I10"/>
    <mergeCell ref="J10:K10"/>
    <mergeCell ref="L10:M10"/>
    <mergeCell ref="N10:O10"/>
    <mergeCell ref="N8:O8"/>
    <mergeCell ref="P8:Q8"/>
    <mergeCell ref="R8:S8"/>
    <mergeCell ref="T8:U8"/>
    <mergeCell ref="V8:W8"/>
    <mergeCell ref="H6:I6"/>
    <mergeCell ref="J6:K6"/>
    <mergeCell ref="L6:M6"/>
    <mergeCell ref="X8:Y8"/>
    <mergeCell ref="P6:Q6"/>
    <mergeCell ref="R6:S6"/>
    <mergeCell ref="T6:U6"/>
    <mergeCell ref="V6:W6"/>
    <mergeCell ref="X6:Y6"/>
    <mergeCell ref="B35:B36"/>
    <mergeCell ref="B37:B38"/>
    <mergeCell ref="B5:B6"/>
    <mergeCell ref="B7:B8"/>
    <mergeCell ref="B9:B10"/>
    <mergeCell ref="B11:B12"/>
    <mergeCell ref="B13:B14"/>
    <mergeCell ref="B15:B16"/>
    <mergeCell ref="B39:B40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R3:S3"/>
    <mergeCell ref="T3:U3"/>
    <mergeCell ref="N6:O6"/>
    <mergeCell ref="D8:E8"/>
    <mergeCell ref="F8:G8"/>
    <mergeCell ref="H8:I8"/>
    <mergeCell ref="J8:K8"/>
    <mergeCell ref="L8:M8"/>
    <mergeCell ref="D6:E6"/>
    <mergeCell ref="F6:G6"/>
    <mergeCell ref="V3:W3"/>
    <mergeCell ref="X3:Y3"/>
    <mergeCell ref="B3:C3"/>
    <mergeCell ref="D3:E3"/>
    <mergeCell ref="F3:G3"/>
    <mergeCell ref="H3:I3"/>
    <mergeCell ref="J3:K3"/>
    <mergeCell ref="L3:M3"/>
    <mergeCell ref="N3:O3"/>
    <mergeCell ref="P3:Q3"/>
  </mergeCells>
  <dataValidations count="1">
    <dataValidation type="list" allowBlank="1" showInputMessage="1" showErrorMessage="1" sqref="B5:B38">
      <formula1>$AC$3:$AC$66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PAGES</dc:creator>
  <cp:keywords/>
  <dc:description/>
  <cp:lastModifiedBy>PAGES</cp:lastModifiedBy>
  <cp:lastPrinted>2014-05-10T07:41:49Z</cp:lastPrinted>
  <dcterms:created xsi:type="dcterms:W3CDTF">2013-11-24T15:08:07Z</dcterms:created>
  <dcterms:modified xsi:type="dcterms:W3CDTF">2016-04-14T21:17:18Z</dcterms:modified>
  <cp:category/>
  <cp:version/>
  <cp:contentType/>
  <cp:contentStatus/>
</cp:coreProperties>
</file>