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215" yWindow="1275" windowWidth="12915" windowHeight="7320"/>
  </bookViews>
  <sheets>
    <sheet name="Calculs" sheetId="1" r:id="rId1"/>
    <sheet name="DQE SOUBASSEMENT" sheetId="5" r:id="rId2"/>
    <sheet name="DQE ELEVATION" sheetId="6" r:id="rId3"/>
    <sheet name="DQE CHARPENTE-COUVERTURE" sheetId="7" r:id="rId4"/>
    <sheet name="Données" sheetId="2" r:id="rId5"/>
  </sheets>
  <calcPr calcId="145621"/>
</workbook>
</file>

<file path=xl/calcChain.xml><?xml version="1.0" encoding="utf-8"?>
<calcChain xmlns="http://schemas.openxmlformats.org/spreadsheetml/2006/main">
  <c r="D23" i="7" l="1"/>
  <c r="D22" i="7"/>
  <c r="D20" i="7"/>
  <c r="F20" i="7" s="1"/>
  <c r="F23" i="7"/>
  <c r="F22" i="7"/>
  <c r="D17" i="7"/>
  <c r="F17" i="7" s="1"/>
  <c r="D16" i="7"/>
  <c r="F16" i="7" s="1"/>
  <c r="D15" i="7"/>
  <c r="F15" i="7" s="1"/>
  <c r="D14" i="7"/>
  <c r="F14" i="7" s="1"/>
  <c r="D13" i="7"/>
  <c r="D12" i="7"/>
  <c r="D11" i="7"/>
  <c r="D8" i="7"/>
  <c r="D7" i="7"/>
  <c r="D6" i="7"/>
  <c r="D5" i="7"/>
  <c r="P117" i="1"/>
  <c r="D4" i="7"/>
  <c r="D3" i="7"/>
  <c r="D21" i="7" l="1"/>
  <c r="F21" i="7" s="1"/>
  <c r="P225" i="1"/>
  <c r="P203" i="1" l="1"/>
  <c r="P180" i="1"/>
  <c r="P181" i="1" s="1"/>
  <c r="R87" i="1"/>
  <c r="O87" i="1"/>
  <c r="P102" i="1"/>
  <c r="P101" i="1"/>
  <c r="P67" i="1" l="1"/>
  <c r="P66" i="1"/>
  <c r="P28" i="1"/>
  <c r="P14" i="1"/>
  <c r="P13" i="1"/>
  <c r="F13" i="7"/>
  <c r="F12" i="7"/>
  <c r="F11" i="7"/>
  <c r="F8" i="7"/>
  <c r="F7" i="7"/>
  <c r="F6" i="7"/>
  <c r="F5" i="7"/>
  <c r="F4" i="7"/>
  <c r="F3" i="7"/>
  <c r="D18" i="6"/>
  <c r="D17" i="6"/>
  <c r="D16" i="6"/>
  <c r="D13" i="6"/>
  <c r="D12" i="6"/>
  <c r="D11" i="6"/>
  <c r="D8" i="6"/>
  <c r="D7" i="6"/>
  <c r="D6" i="6"/>
  <c r="D5" i="6"/>
  <c r="D4" i="6"/>
  <c r="D3" i="6"/>
  <c r="E47" i="7" l="1"/>
  <c r="E49" i="7" s="1"/>
  <c r="E48" i="7" s="1"/>
  <c r="P9" i="1"/>
  <c r="P43" i="1"/>
  <c r="F18" i="6" l="1"/>
  <c r="F17" i="6"/>
  <c r="F16" i="6"/>
  <c r="F13" i="6"/>
  <c r="F12" i="6"/>
  <c r="F11" i="6"/>
  <c r="F8" i="6"/>
  <c r="F7" i="6"/>
  <c r="F6" i="6"/>
  <c r="F5" i="6"/>
  <c r="F4" i="6"/>
  <c r="F3" i="6"/>
  <c r="E47" i="6" s="1"/>
  <c r="D24" i="5"/>
  <c r="F24" i="5" s="1"/>
  <c r="D23" i="5"/>
  <c r="D18" i="5"/>
  <c r="D17" i="5"/>
  <c r="F17" i="5" s="1"/>
  <c r="D13" i="5"/>
  <c r="F13" i="5" s="1"/>
  <c r="D12" i="5"/>
  <c r="P8" i="1"/>
  <c r="D11" i="5"/>
  <c r="F11" i="5" s="1"/>
  <c r="D8" i="5"/>
  <c r="F8" i="5" s="1"/>
  <c r="D7" i="5"/>
  <c r="D6" i="5"/>
  <c r="D5" i="5"/>
  <c r="F5" i="5" s="1"/>
  <c r="D4" i="5"/>
  <c r="D3" i="5"/>
  <c r="F3" i="5" s="1"/>
  <c r="F4" i="5"/>
  <c r="F6" i="5"/>
  <c r="F7" i="5"/>
  <c r="F12" i="5"/>
  <c r="F18" i="5"/>
  <c r="F23" i="5"/>
  <c r="E49" i="6" l="1"/>
  <c r="E48" i="6" s="1"/>
  <c r="X88" i="1"/>
  <c r="O88" i="1"/>
  <c r="P277" i="1"/>
  <c r="T285" i="1"/>
  <c r="P281" i="1" s="1"/>
  <c r="K10" i="2"/>
  <c r="K11" i="2" s="1"/>
  <c r="K3" i="2"/>
  <c r="K4" i="2" s="1"/>
  <c r="C274" i="1" l="1"/>
  <c r="U286" i="1" s="1"/>
  <c r="U285" i="1" l="1"/>
  <c r="V286" i="1" s="1"/>
  <c r="F270" i="1"/>
  <c r="P271" i="1"/>
  <c r="P110" i="1"/>
  <c r="P156" i="1"/>
  <c r="P231" i="1"/>
  <c r="P282" i="1" l="1"/>
  <c r="V283" i="1"/>
  <c r="T283" i="1"/>
  <c r="P274" i="1"/>
  <c r="P275" i="1" s="1"/>
  <c r="P276" i="1" s="1"/>
  <c r="P232" i="1"/>
  <c r="P234" i="1" s="1"/>
  <c r="P236" i="1" s="1"/>
  <c r="P239" i="1" s="1"/>
  <c r="P128" i="1"/>
  <c r="M10" i="2" l="1"/>
  <c r="M11" i="2" s="1"/>
  <c r="L13" i="2" s="1"/>
  <c r="U287" i="1"/>
  <c r="P238" i="1"/>
  <c r="P261" i="1" l="1"/>
  <c r="P259" i="1"/>
  <c r="P260" i="1" s="1"/>
  <c r="P254" i="1"/>
  <c r="P253" i="1"/>
  <c r="P247" i="1"/>
  <c r="F248" i="1"/>
  <c r="P249" i="1" s="1"/>
  <c r="P104" i="1"/>
  <c r="P255" i="1" l="1"/>
  <c r="P257" i="1" s="1"/>
  <c r="P206" i="1"/>
  <c r="P207" i="1" l="1"/>
  <c r="P208" i="1" s="1"/>
  <c r="U189" i="1"/>
  <c r="U191" i="1" s="1"/>
  <c r="R180" i="1"/>
  <c r="P173" i="1"/>
  <c r="P172" i="1" s="1"/>
  <c r="P163" i="1"/>
  <c r="P130" i="1"/>
  <c r="P127" i="1" s="1"/>
  <c r="P209" i="1" l="1"/>
  <c r="P210" i="1" s="1"/>
  <c r="P211" i="1"/>
  <c r="P169" i="1"/>
  <c r="P170" i="1" s="1"/>
  <c r="P167" i="1"/>
  <c r="P168" i="1" s="1"/>
  <c r="P165" i="1"/>
  <c r="P166" i="1" s="1"/>
  <c r="P164" i="1"/>
  <c r="P158" i="1"/>
  <c r="P157" i="1"/>
  <c r="P162" i="1"/>
  <c r="P212" i="1" l="1"/>
  <c r="Q217" i="1" s="1"/>
  <c r="P161" i="1"/>
  <c r="R156" i="1"/>
  <c r="P214" i="1" l="1"/>
  <c r="R133" i="1"/>
  <c r="P133" i="1" s="1"/>
  <c r="P123" i="1"/>
  <c r="P125" i="1" s="1"/>
  <c r="P115" i="1"/>
  <c r="P107" i="1"/>
  <c r="P118" i="1"/>
  <c r="R120" i="1"/>
  <c r="P138" i="1" l="1"/>
  <c r="P139" i="1" s="1"/>
  <c r="P124" i="1"/>
  <c r="P116" i="1"/>
  <c r="P111" i="1"/>
  <c r="X96" i="1"/>
  <c r="O96" i="1" s="1"/>
  <c r="X87" i="1"/>
  <c r="X95" i="1"/>
  <c r="O95" i="1" s="1"/>
  <c r="X97" i="1"/>
  <c r="O97" i="1" s="1"/>
  <c r="X98" i="1"/>
  <c r="O98" i="1" s="1"/>
  <c r="X94" i="1"/>
  <c r="O94" i="1" s="1"/>
  <c r="X89" i="1"/>
  <c r="O89" i="1" s="1"/>
  <c r="X90" i="1"/>
  <c r="O90" i="1" s="1"/>
  <c r="X91" i="1"/>
  <c r="O91" i="1" s="1"/>
  <c r="X92" i="1"/>
  <c r="O92" i="1" s="1"/>
  <c r="X93" i="1"/>
  <c r="O93" i="1" s="1"/>
  <c r="N99" i="1"/>
  <c r="R98" i="1"/>
  <c r="R90" i="1"/>
  <c r="R91" i="1"/>
  <c r="R92" i="1"/>
  <c r="R93" i="1"/>
  <c r="S93" i="1" s="1"/>
  <c r="S90" i="1"/>
  <c r="S91" i="1"/>
  <c r="S92" i="1"/>
  <c r="S98" i="1"/>
  <c r="P112" i="1" l="1"/>
  <c r="P272" i="1" s="1"/>
  <c r="O99" i="1"/>
  <c r="H86" i="1"/>
  <c r="M99" i="1"/>
  <c r="U90" i="1"/>
  <c r="V88" i="1"/>
  <c r="R88" i="1" s="1"/>
  <c r="S88" i="1" s="1"/>
  <c r="V89" i="1"/>
  <c r="R89" i="1" s="1"/>
  <c r="S89" i="1" s="1"/>
  <c r="V90" i="1"/>
  <c r="V91" i="1"/>
  <c r="V92" i="1"/>
  <c r="V93" i="1"/>
  <c r="V94" i="1"/>
  <c r="V95" i="1"/>
  <c r="R95" i="1" s="1"/>
  <c r="S95" i="1" s="1"/>
  <c r="V96" i="1"/>
  <c r="R96" i="1" s="1"/>
  <c r="S96" i="1" s="1"/>
  <c r="V97" i="1"/>
  <c r="R97" i="1" s="1"/>
  <c r="S97" i="1" s="1"/>
  <c r="V98" i="1"/>
  <c r="V87" i="1"/>
  <c r="D25" i="5"/>
  <c r="F25" i="5" s="1"/>
  <c r="P69" i="1"/>
  <c r="P65" i="1"/>
  <c r="P63" i="1"/>
  <c r="P64" i="1" s="1"/>
  <c r="P46" i="1"/>
  <c r="P47" i="1" s="1"/>
  <c r="P45" i="1"/>
  <c r="P42" i="1"/>
  <c r="P29" i="1"/>
  <c r="P30" i="1" s="1"/>
  <c r="P17" i="1"/>
  <c r="P12" i="1"/>
  <c r="G36" i="1"/>
  <c r="P10" i="1" s="1"/>
  <c r="P11" i="1" s="1"/>
  <c r="B36" i="1"/>
  <c r="P6" i="1" s="1"/>
  <c r="P70" i="1" l="1"/>
  <c r="D27" i="5"/>
  <c r="F27" i="5" s="1"/>
  <c r="R94" i="1"/>
  <c r="S94" i="1" s="1"/>
  <c r="P159" i="1"/>
  <c r="P221" i="1"/>
  <c r="P222" i="1" s="1"/>
  <c r="P80" i="1"/>
  <c r="P160" i="1"/>
  <c r="P171" i="1"/>
  <c r="P141" i="1"/>
  <c r="P142" i="1" s="1"/>
  <c r="I86" i="1"/>
  <c r="P250" i="1" s="1"/>
  <c r="P108" i="1"/>
  <c r="T88" i="1"/>
  <c r="P88" i="1" s="1"/>
  <c r="T92" i="1"/>
  <c r="P92" i="1" s="1"/>
  <c r="T96" i="1"/>
  <c r="Q96" i="1" s="1"/>
  <c r="T89" i="1"/>
  <c r="P89" i="1" s="1"/>
  <c r="T91" i="1"/>
  <c r="P91" i="1" s="1"/>
  <c r="T93" i="1"/>
  <c r="P93" i="1" s="1"/>
  <c r="T95" i="1"/>
  <c r="Q95" i="1" s="1"/>
  <c r="T97" i="1"/>
  <c r="Q97" i="1" s="1"/>
  <c r="T90" i="1"/>
  <c r="P90" i="1" s="1"/>
  <c r="T94" i="1"/>
  <c r="Q94" i="1" s="1"/>
  <c r="T98" i="1"/>
  <c r="Q98" i="1" s="1"/>
  <c r="S87" i="1"/>
  <c r="P54" i="1"/>
  <c r="P68" i="1"/>
  <c r="D26" i="5" s="1"/>
  <c r="F26" i="5" s="1"/>
  <c r="T87" i="1"/>
  <c r="P48" i="1"/>
  <c r="P49" i="1" s="1"/>
  <c r="P50" i="1" s="1"/>
  <c r="P7" i="1"/>
  <c r="P25" i="1"/>
  <c r="P26" i="1" s="1"/>
  <c r="P27" i="1" s="1"/>
  <c r="P44" i="1"/>
  <c r="P71" i="1" l="1"/>
  <c r="D28" i="5" s="1"/>
  <c r="F28" i="5" s="1"/>
  <c r="D29" i="5"/>
  <c r="F29" i="5" s="1"/>
  <c r="S99" i="1"/>
  <c r="P248" i="1" s="1"/>
  <c r="P251" i="1" s="1"/>
  <c r="Q99" i="1"/>
  <c r="P31" i="1" s="1"/>
  <c r="P109" i="1"/>
  <c r="P119" i="1"/>
  <c r="P120" i="1" s="1"/>
  <c r="P121" i="1" s="1"/>
  <c r="P122" i="1" s="1"/>
  <c r="P135" i="1"/>
  <c r="P136" i="1" s="1"/>
  <c r="P144" i="1"/>
  <c r="P145" i="1" s="1"/>
  <c r="P87" i="1"/>
  <c r="P99" i="1" s="1"/>
  <c r="R99" i="1"/>
  <c r="P52" i="1"/>
  <c r="P53" i="1" s="1"/>
  <c r="U93" i="1"/>
  <c r="U92" i="1" s="1"/>
  <c r="P184" i="1" l="1"/>
  <c r="P185" i="1" s="1"/>
  <c r="P33" i="1"/>
  <c r="D20" i="5" s="1"/>
  <c r="F20" i="5" s="1"/>
  <c r="D19" i="5"/>
  <c r="F19" i="5" s="1"/>
  <c r="P81" i="1"/>
  <c r="P82" i="1" s="1"/>
  <c r="P32" i="1"/>
  <c r="P113" i="1"/>
  <c r="P114" i="1" s="1"/>
  <c r="P126" i="1"/>
  <c r="P147" i="1"/>
  <c r="P186" i="1" l="1"/>
  <c r="P189" i="1" s="1"/>
  <c r="P187" i="1" l="1"/>
  <c r="P188" i="1" s="1"/>
  <c r="P190" i="1"/>
  <c r="P191" i="1" l="1"/>
  <c r="P193" i="1" s="1"/>
  <c r="P196" i="1" l="1"/>
  <c r="N198" i="1" s="1"/>
  <c r="M3" i="2"/>
  <c r="M4" i="2" s="1"/>
  <c r="L6" i="2" s="1"/>
  <c r="L18" i="2" s="1"/>
  <c r="P283" i="1" s="1"/>
  <c r="P284" i="1" s="1"/>
  <c r="U190" i="1" l="1"/>
  <c r="P285" i="1"/>
  <c r="T286" i="1"/>
  <c r="D16" i="5"/>
  <c r="F16" i="5" s="1"/>
  <c r="E47" i="5" s="1"/>
  <c r="E49" i="5" s="1"/>
  <c r="E48" i="5" s="1"/>
</calcChain>
</file>

<file path=xl/comments1.xml><?xml version="1.0" encoding="utf-8"?>
<comments xmlns="http://schemas.openxmlformats.org/spreadsheetml/2006/main">
  <authors>
    <author>LECUREUR_MATHIEU_(15022244)</author>
  </authors>
  <commentList>
    <comment ref="Q7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Q10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S10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Q13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Q14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Q26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Q29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S30" authorId="0">
      <text/>
    </comment>
    <comment ref="Q32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Q33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Q43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Q46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S47" authorId="0">
      <text/>
    </comment>
    <comment ref="Q49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Q53" authorId="0">
      <text/>
    </comment>
    <comment ref="Q63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Q67" authorId="0">
      <text/>
    </comment>
    <comment ref="S67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I70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Q70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Q71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Q81" authorId="0">
      <text/>
    </comment>
    <comment ref="S82" authorId="0">
      <text/>
    </comment>
    <comment ref="P84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Q84" authorId="0">
      <text/>
    </comment>
    <comment ref="R84" authorId="0">
      <text/>
    </comment>
    <comment ref="Q109" authorId="0">
      <text/>
    </comment>
    <comment ref="Q110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Q117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S117" authorId="0">
      <text/>
    </comment>
    <comment ref="Q119" authorId="0">
      <text/>
    </comment>
    <comment ref="Q126" authorId="0">
      <text/>
    </comment>
    <comment ref="Q128" authorId="0">
      <text/>
    </comment>
    <comment ref="Q135" authorId="0">
      <text/>
    </comment>
    <comment ref="S141" authorId="0">
      <text/>
    </comment>
    <comment ref="Q163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Q165" authorId="0">
      <text/>
    </comment>
    <comment ref="S165" authorId="0">
      <text/>
    </comment>
    <comment ref="Q171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S189" authorId="0">
      <text/>
    </comment>
    <comment ref="S214" authorId="0">
      <text/>
    </comment>
    <comment ref="S234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S251" authorId="0">
      <text/>
    </comment>
    <comment ref="S254" authorId="0">
      <text/>
    </comment>
    <comment ref="S277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<sst xmlns="http://schemas.openxmlformats.org/spreadsheetml/2006/main" count="696" uniqueCount="418">
  <si>
    <t>(RENSEIGNER LES CASES EN JAUNE)</t>
  </si>
  <si>
    <t>Largeur (m):</t>
  </si>
  <si>
    <t>Nombre de chaînages verticaux:</t>
  </si>
  <si>
    <t>Nombre de murs de refends:</t>
  </si>
  <si>
    <t>CALCUL HO-DO</t>
  </si>
  <si>
    <t>Larg (cm)</t>
  </si>
  <si>
    <t>Haut (cm)</t>
  </si>
  <si>
    <t>Chainage</t>
  </si>
  <si>
    <t>Agglo</t>
  </si>
  <si>
    <t>Semelle</t>
  </si>
  <si>
    <t>Béton prop.</t>
  </si>
  <si>
    <t>Epaisseur  Enduit (cm):</t>
  </si>
  <si>
    <t>Mur</t>
  </si>
  <si>
    <t>MUR SOUBASSEMENT</t>
  </si>
  <si>
    <t>Surlargeur pleine masse (m)</t>
  </si>
  <si>
    <t>Surlargeur décapage (m)</t>
  </si>
  <si>
    <t>Haut (m)</t>
  </si>
  <si>
    <t>décapage</t>
  </si>
  <si>
    <t>Fouilles</t>
  </si>
  <si>
    <t>pleine mas.</t>
  </si>
  <si>
    <t>TERRASSEMENT</t>
  </si>
  <si>
    <t>Dalle</t>
  </si>
  <si>
    <t>Sable</t>
  </si>
  <si>
    <t>Isolation</t>
  </si>
  <si>
    <t>Forme</t>
  </si>
  <si>
    <t>polyane150u</t>
  </si>
  <si>
    <t>Ep. (cm)</t>
  </si>
  <si>
    <t>Iso relevée</t>
  </si>
  <si>
    <t>DALLE</t>
  </si>
  <si>
    <t>Sous sablière</t>
  </si>
  <si>
    <t>Chaînage Hor</t>
  </si>
  <si>
    <t>Linteau ouvertures</t>
  </si>
  <si>
    <t>Dessus d'Arase étanche</t>
  </si>
  <si>
    <t>MUR EN ELEVATION</t>
  </si>
  <si>
    <t>Epais. (cm)</t>
  </si>
  <si>
    <t>Appuis de F.</t>
  </si>
  <si>
    <t>Seuils de porte</t>
  </si>
  <si>
    <t>Pente de toit (degrés):</t>
  </si>
  <si>
    <t>Linéaire béton de propreté</t>
  </si>
  <si>
    <t>Surface béton de propreté</t>
  </si>
  <si>
    <t>Volume béton de propreté</t>
  </si>
  <si>
    <t>Linéaire béton de semelle</t>
  </si>
  <si>
    <t>Surface béton de semelle</t>
  </si>
  <si>
    <t>Volume béton de semelle</t>
  </si>
  <si>
    <t>Linéaire mur soubassement</t>
  </si>
  <si>
    <t>Surface mur soubassement</t>
  </si>
  <si>
    <t>Volume mur soubassement</t>
  </si>
  <si>
    <t>Surface emprise habitation</t>
  </si>
  <si>
    <t>ml</t>
  </si>
  <si>
    <t>m2</t>
  </si>
  <si>
    <t>m3</t>
  </si>
  <si>
    <t>Longueur (m):</t>
  </si>
  <si>
    <t>Béton sem.</t>
  </si>
  <si>
    <t>Lineaire chaînage horizontal</t>
  </si>
  <si>
    <t>Surface chaînage horizontal</t>
  </si>
  <si>
    <t>Volume chaînage horizontal</t>
  </si>
  <si>
    <t>Lineaire chaînage vertical</t>
  </si>
  <si>
    <t>Surface chaînage vertical</t>
  </si>
  <si>
    <t>Volume chaînage vertical</t>
  </si>
  <si>
    <t>Surface arase sur chaînage H</t>
  </si>
  <si>
    <t>Surface badigeon jusqu'au TN</t>
  </si>
  <si>
    <t>Linéaire arase sur chaînage H</t>
  </si>
  <si>
    <t>Périmètre décapage</t>
  </si>
  <si>
    <t>Surface décapage</t>
  </si>
  <si>
    <t>Volume décapage</t>
  </si>
  <si>
    <t>Périmètre pleine masse</t>
  </si>
  <si>
    <t>Surface pleine masse</t>
  </si>
  <si>
    <t>Volume pleine masse</t>
  </si>
  <si>
    <t>Linéaire fouilles rigoles</t>
  </si>
  <si>
    <t>Surface fouilles rigoles</t>
  </si>
  <si>
    <t>Volume fouilles rigoles</t>
  </si>
  <si>
    <t>Vol.remblai (T provenant des fouilles)</t>
  </si>
  <si>
    <t>Vol. évacu. excedent + foisonn.</t>
  </si>
  <si>
    <t>Régal.  pourtours Hab sur Ht décap.</t>
  </si>
  <si>
    <t>Coef. De foisonnement:</t>
  </si>
  <si>
    <t>Acier au m2 (kg):</t>
  </si>
  <si>
    <t>Surface hérisson</t>
  </si>
  <si>
    <t>Volume hérisson</t>
  </si>
  <si>
    <t>Surface isolation</t>
  </si>
  <si>
    <t>Surface relevé d'isolation</t>
  </si>
  <si>
    <t>Surface sable</t>
  </si>
  <si>
    <t>Volume sable</t>
  </si>
  <si>
    <t>Volume dallage</t>
  </si>
  <si>
    <t>Surface dallage</t>
  </si>
  <si>
    <t>Treillis soudé au m2 de dallage (kg)</t>
  </si>
  <si>
    <t>Surface polyane (150u)</t>
  </si>
  <si>
    <t>Linéaire murs en élévation</t>
  </si>
  <si>
    <t>Surface murs en élévation</t>
  </si>
  <si>
    <t>Volume murs en élévation</t>
  </si>
  <si>
    <t>LINTEAUX</t>
  </si>
  <si>
    <t>Lin (ml)</t>
  </si>
  <si>
    <t>Surf (m2)</t>
  </si>
  <si>
    <t>OUVERTURES</t>
  </si>
  <si>
    <t>Nature</t>
  </si>
  <si>
    <t>Surf. (m2)</t>
  </si>
  <si>
    <t>SOMME :</t>
  </si>
  <si>
    <t xml:space="preserve">Hauteur pignon </t>
  </si>
  <si>
    <t>Surface murs pignons</t>
  </si>
  <si>
    <t>Porte</t>
  </si>
  <si>
    <t>Fenêtre</t>
  </si>
  <si>
    <t>SEUIL</t>
  </si>
  <si>
    <t>Hauteur  mur (m)</t>
  </si>
  <si>
    <t>APPUI F</t>
  </si>
  <si>
    <t>Qtité</t>
  </si>
  <si>
    <t>Entraxe chevrons (cm):</t>
  </si>
  <si>
    <t>Débord de toiture (cm)</t>
  </si>
  <si>
    <t>Epaisseur</t>
  </si>
  <si>
    <t>Hauteur</t>
  </si>
  <si>
    <t>Section chevrons (mm):</t>
  </si>
  <si>
    <t>Saillie pignon (cm)</t>
  </si>
  <si>
    <t>U</t>
  </si>
  <si>
    <t>Nbre chevrons/versant entre pignons</t>
  </si>
  <si>
    <t xml:space="preserve">Long chevron projection rampant </t>
  </si>
  <si>
    <t xml:space="preserve">Long versant projection rampant </t>
  </si>
  <si>
    <t>Longueur de chevrons toiture</t>
  </si>
  <si>
    <t>Nbre total de chevrons toiture</t>
  </si>
  <si>
    <t>Nbre chevrons/versant saillies comprises</t>
  </si>
  <si>
    <t>Volume de chevrons toiture</t>
  </si>
  <si>
    <t>Longueur de panne sablière toiture</t>
  </si>
  <si>
    <t>Section panne sablière (mm):</t>
  </si>
  <si>
    <t>Section panne interm. (mm):</t>
  </si>
  <si>
    <t>Section panne faîtière (mm):</t>
  </si>
  <si>
    <t>Volume de panne sablière toiture</t>
  </si>
  <si>
    <t>Nombre de pannes intermédiaires toiture</t>
  </si>
  <si>
    <t>Nombre de pannes intermédiaires/versant</t>
  </si>
  <si>
    <t>Longueur de pannes intermédiaires toiture</t>
  </si>
  <si>
    <t>Volume de pannes intermédiaires toiture</t>
  </si>
  <si>
    <t>Longueur de panne faîtière toiture</t>
  </si>
  <si>
    <t>Volume de panne faîtière toiture</t>
  </si>
  <si>
    <t>CHARPENTE TRADI.</t>
  </si>
  <si>
    <t>Section entrait (mm):</t>
  </si>
  <si>
    <t>Section poinçon (mm):</t>
  </si>
  <si>
    <t>Section Arbalétrier (mm):</t>
  </si>
  <si>
    <t>Section contrefiches (mm):</t>
  </si>
  <si>
    <t>Nombre de ferme</t>
  </si>
  <si>
    <t>Longueur de poinçon</t>
  </si>
  <si>
    <t>Volume de poinçon</t>
  </si>
  <si>
    <t>Longueur entrait moisant</t>
  </si>
  <si>
    <t>Volume entrait moisant</t>
  </si>
  <si>
    <t>Longueur arbaletrier</t>
  </si>
  <si>
    <t>Volume arbaletrier</t>
  </si>
  <si>
    <t>Longueur contrefiche</t>
  </si>
  <si>
    <t>Volume contrefiche</t>
  </si>
  <si>
    <t>Fixations des pannes sablières (tiges)</t>
  </si>
  <si>
    <t>Délardement des pannes sablières</t>
  </si>
  <si>
    <t>Délardement de la panne  faîtière</t>
  </si>
  <si>
    <t>Nombre d'echantignoles</t>
  </si>
  <si>
    <t>FERME LATINE</t>
  </si>
  <si>
    <t>Entraxe fermettes (cm):</t>
  </si>
  <si>
    <t>FERMETTE INDUSTRIELLE W</t>
  </si>
  <si>
    <t>Nombre de fermettes</t>
  </si>
  <si>
    <t>Pente de la fermette</t>
  </si>
  <si>
    <t>Degrés</t>
  </si>
  <si>
    <t>Note : Fermettes pour charpente sans saillie, et fermettes fixées aux deux pignons intérieurs.</t>
  </si>
  <si>
    <t>Mur(s) de refend(s) non compris comme élément(s) porteur(s) dans le calcul.</t>
  </si>
  <si>
    <t>Longueur fermette</t>
  </si>
  <si>
    <t>Longueur versant fermette</t>
  </si>
  <si>
    <t>Equerres de fixations simples</t>
  </si>
  <si>
    <t>OU</t>
  </si>
  <si>
    <t>Equerres de fixations doubles</t>
  </si>
  <si>
    <t>Section fermettes  (mm):</t>
  </si>
  <si>
    <t>Section contreventement  (mm):</t>
  </si>
  <si>
    <t>Section antiflembement  (mm):</t>
  </si>
  <si>
    <t>Section lisse  (mm):</t>
  </si>
  <si>
    <t>Section entretoise  (mm):</t>
  </si>
  <si>
    <t>Volume entretoises</t>
  </si>
  <si>
    <t>Linéaire entretoises</t>
  </si>
  <si>
    <t>Linéaire lisses</t>
  </si>
  <si>
    <t>Volume  lisses</t>
  </si>
  <si>
    <t>Lineaire contreventement (sur contre-fiches)</t>
  </si>
  <si>
    <t>Volume contreventement (sur contre-fiches)</t>
  </si>
  <si>
    <t>Nbre fixations aux pignons (1u/ml sur perimetre)</t>
  </si>
  <si>
    <t>Bandeau de rives</t>
  </si>
  <si>
    <t>Lambris cloué sous chaises</t>
  </si>
  <si>
    <t>Bandeaux d'égouts</t>
  </si>
  <si>
    <t>Longueur du versant</t>
  </si>
  <si>
    <t>cm</t>
  </si>
  <si>
    <r>
      <t>Largeur utile tuile (</t>
    </r>
    <r>
      <rPr>
        <b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 (cm):</t>
    </r>
  </si>
  <si>
    <r>
      <t>Largeur utile rive gauche (</t>
    </r>
    <r>
      <rPr>
        <b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 (cm):</t>
    </r>
  </si>
  <si>
    <r>
      <t>Largeur utile rive droite (</t>
    </r>
    <r>
      <rPr>
        <b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) (cm):</t>
    </r>
  </si>
  <si>
    <r>
      <t>Hauteur utile du rabat (</t>
    </r>
    <r>
      <rPr>
        <b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>) (cm):</t>
    </r>
  </si>
  <si>
    <r>
      <t>Pureau de la tuile (</t>
    </r>
    <r>
      <rPr>
        <b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 (cm):</t>
    </r>
  </si>
  <si>
    <r>
      <t>Positionnement à l'égout (</t>
    </r>
    <r>
      <rPr>
        <b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 (cm):</t>
    </r>
  </si>
  <si>
    <r>
      <t>Hauteur de chanlate (</t>
    </r>
    <r>
      <rPr>
        <b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>) (cm):</t>
    </r>
  </si>
  <si>
    <t>Surface du versant</t>
  </si>
  <si>
    <t>Calcul du nombre de tuiles sur rampant</t>
  </si>
  <si>
    <t>Longueur théorique du versant</t>
  </si>
  <si>
    <r>
      <t>Rehausse (</t>
    </r>
    <r>
      <rPr>
        <b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) (cm):</t>
    </r>
  </si>
  <si>
    <r>
      <t>Débord à l'égout maxi (</t>
    </r>
    <r>
      <rPr>
        <b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) (cm):</t>
    </r>
  </si>
  <si>
    <r>
      <t>Glissement au faîtage maxi  (</t>
    </r>
    <r>
      <rPr>
        <b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>) (cm):</t>
    </r>
  </si>
  <si>
    <t>Nombre de tuiles mécaniques</t>
  </si>
  <si>
    <t>Longueur développée des tuiles</t>
  </si>
  <si>
    <t>jeu maxi des emboitements de tuiles sur versant</t>
  </si>
  <si>
    <r>
      <t>Glissement au faîtage mini  (</t>
    </r>
    <r>
      <rPr>
        <b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>) (cm):</t>
    </r>
  </si>
  <si>
    <t>Total jeu possible faîtage + emboitements</t>
  </si>
  <si>
    <t>*1</t>
  </si>
  <si>
    <t>*2</t>
  </si>
  <si>
    <r>
      <t xml:space="preserve">Différence entre </t>
    </r>
    <r>
      <rPr>
        <b/>
        <sz val="11"/>
        <color rgb="FFFF0000"/>
        <rFont val="Calibri"/>
        <family val="2"/>
        <scheme val="minor"/>
      </rPr>
      <t>*2</t>
    </r>
    <r>
      <rPr>
        <sz val="11"/>
        <color theme="1"/>
        <rFont val="Calibri"/>
        <family val="2"/>
        <scheme val="minor"/>
      </rPr>
      <t xml:space="preserve"> et </t>
    </r>
    <r>
      <rPr>
        <b/>
        <sz val="11"/>
        <color rgb="FFFF0000"/>
        <rFont val="Calibri"/>
        <family val="2"/>
        <scheme val="minor"/>
      </rPr>
      <t>*1</t>
    </r>
  </si>
  <si>
    <t>Longueur en oeuvre du versant</t>
  </si>
  <si>
    <t>La différence de jeu est</t>
  </si>
  <si>
    <t>non compensable</t>
  </si>
  <si>
    <t>(Si non compensable)</t>
  </si>
  <si>
    <t>versant</t>
  </si>
  <si>
    <t>moitié de pignon</t>
  </si>
  <si>
    <t>moitié de pignon+débord</t>
  </si>
  <si>
    <t>nouveau débord</t>
  </si>
  <si>
    <t>Augmenter débord de :</t>
  </si>
  <si>
    <t>cm après discussion avec le client et l'architècte</t>
  </si>
  <si>
    <t>COUVERTURE T.M LONGUEUR</t>
  </si>
  <si>
    <t>COUVERTURE T.M LARGEUR</t>
  </si>
  <si>
    <t>Calcul du nombre de tuiles sur longueur façade</t>
  </si>
  <si>
    <t>Largueur du versant</t>
  </si>
  <si>
    <t>Largeur théorique du versant</t>
  </si>
  <si>
    <t>Jeu maxi emboitement tuiles (cm):</t>
  </si>
  <si>
    <r>
      <t xml:space="preserve">(long. Dvpée tuiles) </t>
    </r>
    <r>
      <rPr>
        <b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(long. oeuvre Versant)</t>
    </r>
  </si>
  <si>
    <t>DONC</t>
  </si>
  <si>
    <t>Recommencer le calcul en enlevant une tuile</t>
  </si>
  <si>
    <t>Largeur en oeuvre du versant</t>
  </si>
  <si>
    <t>Largeur développée des tuiles</t>
  </si>
  <si>
    <r>
      <t xml:space="preserve">(larg. Dvpée tuiles) </t>
    </r>
    <r>
      <rPr>
        <b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(larg. oeuvre Versant)</t>
    </r>
  </si>
  <si>
    <t>Présence d'une cheminée :</t>
  </si>
  <si>
    <t>A (ml)</t>
  </si>
  <si>
    <t>B (ml)</t>
  </si>
  <si>
    <t>Surface bandes pignons</t>
  </si>
  <si>
    <t xml:space="preserve">Hauteur bandes pignon </t>
  </si>
  <si>
    <t>Hauteur bande de pignon (ml)</t>
  </si>
  <si>
    <t>Hauteur mur façade + Hauteur enduit sous terrain naturel (ml)</t>
  </si>
  <si>
    <t>T.N</t>
  </si>
  <si>
    <t xml:space="preserve">Linéaire de mur </t>
  </si>
  <si>
    <t>Surface mur ouvertures/Appuis/Seuils déduits</t>
  </si>
  <si>
    <t>Surface bandes de pignons</t>
  </si>
  <si>
    <t>Surface pointes de pignons</t>
  </si>
  <si>
    <t xml:space="preserve">Total surface enduit </t>
  </si>
  <si>
    <t>ouver. refend</t>
  </si>
  <si>
    <t>Linéaires de voussures</t>
  </si>
  <si>
    <t>Linéaires de tableaux</t>
  </si>
  <si>
    <t>Total linéaires enduit lourd</t>
  </si>
  <si>
    <t>Linéaires cornière plastifiée pour angles</t>
  </si>
  <si>
    <t>Surface enduit souche de cheminée</t>
  </si>
  <si>
    <t>Surface majoration toile de verre</t>
  </si>
  <si>
    <t>Longueur du faîtage</t>
  </si>
  <si>
    <t>Frontons de faîtage</t>
  </si>
  <si>
    <t>VENTILATION</t>
  </si>
  <si>
    <t>Section de ventilation de la chatière (cm2):</t>
  </si>
  <si>
    <t>Présence d'écran ou d'isolation en rempant:</t>
  </si>
  <si>
    <t>oui</t>
  </si>
  <si>
    <t>non</t>
  </si>
  <si>
    <t>cm2</t>
  </si>
  <si>
    <t>U au faîtage</t>
  </si>
  <si>
    <t>U à l'égout</t>
  </si>
  <si>
    <t>Disposition des chatières:</t>
  </si>
  <si>
    <t>Long versant projection en plan</t>
  </si>
  <si>
    <t>Longueur en plan de toiture (ml)</t>
  </si>
  <si>
    <t>Largeur en plan de toiture (ml)</t>
  </si>
  <si>
    <t>Besace de dilatation</t>
  </si>
  <si>
    <t>Crochets de fixation</t>
  </si>
  <si>
    <t>Type de charpente choisie</t>
  </si>
  <si>
    <t>Surface de toiture en plan / versant</t>
  </si>
  <si>
    <t>Section de ventilation mini / versant</t>
  </si>
  <si>
    <t>Nombre de chatières / versant</t>
  </si>
  <si>
    <t>Industrielle W</t>
  </si>
  <si>
    <t>Ferme traditionnelle</t>
  </si>
  <si>
    <t>Talon (about de gouttière)</t>
  </si>
  <si>
    <t>Moignon</t>
  </si>
  <si>
    <t>Crapaudine (en option)</t>
  </si>
  <si>
    <t>Coude cintré</t>
  </si>
  <si>
    <t>Tuyau de descente</t>
  </si>
  <si>
    <t>Dauphin</t>
  </si>
  <si>
    <t>Surface en plan</t>
  </si>
  <si>
    <t>Section des gouttières en fonction de la surface en plan et des pentes de conduits</t>
  </si>
  <si>
    <t>Pente en mm par m</t>
  </si>
  <si>
    <t>Type de gouttière choisie</t>
  </si>
  <si>
    <t>demi-circulaire</t>
  </si>
  <si>
    <t>rectangulaire</t>
  </si>
  <si>
    <t>trapézoïde</t>
  </si>
  <si>
    <t>triangulaire</t>
  </si>
  <si>
    <t>pente</t>
  </si>
  <si>
    <t>surface</t>
  </si>
  <si>
    <t>section :</t>
  </si>
  <si>
    <t>Pente du conduit de gouttière en mm/m</t>
  </si>
  <si>
    <t>Section gouttière adaptée selon pente</t>
  </si>
  <si>
    <t>demi circulaire</t>
  </si>
  <si>
    <t>Surface en plan de toiture/versant (arrondie)</t>
  </si>
  <si>
    <t>Surface en plan deservie par un tuyau</t>
  </si>
  <si>
    <t>Developpement de gouttière adapté</t>
  </si>
  <si>
    <t>mm</t>
  </si>
  <si>
    <t xml:space="preserve">Diamètre de tuyau de descente </t>
  </si>
  <si>
    <t>Hauteur du dessous de toi au T.N (ml)</t>
  </si>
  <si>
    <t>EVACUATION EAU DE PLUIE</t>
  </si>
  <si>
    <t>ENDUITS EXTERIEUR</t>
  </si>
  <si>
    <t>Prix total:</t>
  </si>
  <si>
    <t>TVA 20%</t>
  </si>
  <si>
    <t>Prix total(HT):</t>
  </si>
  <si>
    <t>kg</t>
  </si>
  <si>
    <t>Treillis soudé pour dallage 4.5kg/m2</t>
  </si>
  <si>
    <t>4.7</t>
  </si>
  <si>
    <t>Corps de dallage en béton dosé à 300kg/m3</t>
  </si>
  <si>
    <t>4.6</t>
  </si>
  <si>
    <t>Couche de polyane</t>
  </si>
  <si>
    <t>4.5</t>
  </si>
  <si>
    <t>Couche de sable anti-contaminante</t>
  </si>
  <si>
    <t>4.4</t>
  </si>
  <si>
    <t>Relevé d'isolation le long des murs jusqu'au hauteur de dalle</t>
  </si>
  <si>
    <t>4.3</t>
  </si>
  <si>
    <t>Isolation sous dallage</t>
  </si>
  <si>
    <t>4.2</t>
  </si>
  <si>
    <t>Hérisson en tout venant compacté</t>
  </si>
  <si>
    <t>4.1</t>
  </si>
  <si>
    <t>DALLE:</t>
  </si>
  <si>
    <t>Couche bitumeuse hydrofuge sur mur de soubassement jusqu'au TN</t>
  </si>
  <si>
    <t>3.5</t>
  </si>
  <si>
    <t>m</t>
  </si>
  <si>
    <t>Arase étanche</t>
  </si>
  <si>
    <t>3.4</t>
  </si>
  <si>
    <t>Chaînages verticaux en blocs U 20/20/50</t>
  </si>
  <si>
    <t>3.3</t>
  </si>
  <si>
    <t>Chaînages horizontaux en blocs U 20/20/50</t>
  </si>
  <si>
    <t>3.2</t>
  </si>
  <si>
    <t xml:space="preserve">Murs de fondations en blocs de béton creux de 20/20/50 </t>
  </si>
  <si>
    <t>3.1</t>
  </si>
  <si>
    <t>MURS EN FONDATIONS :</t>
  </si>
  <si>
    <t xml:space="preserve">Aciers pour semelle béton armé </t>
  </si>
  <si>
    <t>2.3</t>
  </si>
  <si>
    <t>Semelles filantes coulées à pleine fouille 300Kg de CEMII 32.5</t>
  </si>
  <si>
    <t>2.2</t>
  </si>
  <si>
    <t>Béton de propreté coulé à pleine fouille 350Kg de CEMII 32.5</t>
  </si>
  <si>
    <t>2.1</t>
  </si>
  <si>
    <t>FONDATIONS :</t>
  </si>
  <si>
    <t>Evacuation de la terre excédentaire</t>
  </si>
  <si>
    <t>1.6</t>
  </si>
  <si>
    <t>Régalage au pourtour des murs enterrés sur hauteur de décapage</t>
  </si>
  <si>
    <t>1.5</t>
  </si>
  <si>
    <t>Remblaiement au pourtour des murs enterrés (Terre des fouilles)</t>
  </si>
  <si>
    <t>1.4</t>
  </si>
  <si>
    <t>Fouilles en rigoles pour semelle de fondation sol meuble</t>
  </si>
  <si>
    <t>1.3</t>
  </si>
  <si>
    <t>Fouilles en pleine masse de terre sol meuble</t>
  </si>
  <si>
    <t>1.2</t>
  </si>
  <si>
    <t>Décapage de terre végétale et mise en dépôt à proximité</t>
  </si>
  <si>
    <t>1.1</t>
  </si>
  <si>
    <t>TERRASSEMENT :</t>
  </si>
  <si>
    <t>PT(HT)</t>
  </si>
  <si>
    <t>PU(HT)</t>
  </si>
  <si>
    <t>QUANTITE</t>
  </si>
  <si>
    <t>UNITE</t>
  </si>
  <si>
    <t>DESIGNATION</t>
  </si>
  <si>
    <t>ETAPE</t>
  </si>
  <si>
    <t>5.1</t>
  </si>
  <si>
    <t>5.2</t>
  </si>
  <si>
    <t>5.3</t>
  </si>
  <si>
    <t>5.4</t>
  </si>
  <si>
    <t>5.5</t>
  </si>
  <si>
    <t>5.6</t>
  </si>
  <si>
    <t>Mur en blocs de béton creux 20/20/50 au mortier dosé à 300kg de CM</t>
  </si>
  <si>
    <t>Chainage périphérique horizontal en bloc U 20/20/50</t>
  </si>
  <si>
    <t>Linteaux isolés en blocs spéciaux 20/20/50 (350kg de CM)</t>
  </si>
  <si>
    <t>Chainage vertical en bloc U 20/20/50</t>
  </si>
  <si>
    <t xml:space="preserve">Appuis de baie en béton moulé, préfabriqué </t>
  </si>
  <si>
    <t>Arase étanche sur mur de sous-bassement</t>
  </si>
  <si>
    <t>ENDUIT</t>
  </si>
  <si>
    <t>6.1</t>
  </si>
  <si>
    <t>Enduit d'imperméabilisation monocouche projetté à la machine</t>
  </si>
  <si>
    <t>6.2</t>
  </si>
  <si>
    <t>6.3</t>
  </si>
  <si>
    <t>Enduit monocouche type CS3 pour tableaux et voussures</t>
  </si>
  <si>
    <t xml:space="preserve">Cornière avec arrêtes façon plastifiées </t>
  </si>
  <si>
    <t>ENDUIT SUR SOUCHE DE CHEMINEE</t>
  </si>
  <si>
    <t>7.1</t>
  </si>
  <si>
    <t>Enduit monocouche finition gratée sur souche</t>
  </si>
  <si>
    <t>7.2</t>
  </si>
  <si>
    <t>7.3</t>
  </si>
  <si>
    <t>Majoration pour toile de verre</t>
  </si>
  <si>
    <t>jeu max emboitements de tuiles sur versant</t>
  </si>
  <si>
    <t>Couper tuile du faîtage (et collage mortier) de:</t>
  </si>
  <si>
    <t>Largeur tuile totale avec les jeux est trop importante de</t>
  </si>
  <si>
    <t>Linéaire antiflambement(sous arbaletriers)</t>
  </si>
  <si>
    <t>Volume antiflambement (sous arbaletriers)</t>
  </si>
  <si>
    <t>Total de tuiles nécessaires</t>
  </si>
  <si>
    <t>Longueur A souche projetée sur le versant</t>
  </si>
  <si>
    <t xml:space="preserve">Emprise souche sur la couverture </t>
  </si>
  <si>
    <t>CHARPENTE TRADITIONNELLE</t>
  </si>
  <si>
    <t>8.1</t>
  </si>
  <si>
    <t>Pannes sablières sapin de pays non assemblées brutes de sciage</t>
  </si>
  <si>
    <t>8.2</t>
  </si>
  <si>
    <t>8.3</t>
  </si>
  <si>
    <t>8.4</t>
  </si>
  <si>
    <t>8.5</t>
  </si>
  <si>
    <t>8.6</t>
  </si>
  <si>
    <t>Pannes intermédiaires et faîtière sapin de pays brutes de sciage</t>
  </si>
  <si>
    <t>Fixations de pannes sablières par boulons avec chevilles à expansion</t>
  </si>
  <si>
    <t>Chevrons ordinaires sapin de pays, non traités</t>
  </si>
  <si>
    <t>Traitement des pannes et chevrons insecticides et fongicides</t>
  </si>
  <si>
    <t>Délardement des pannes</t>
  </si>
  <si>
    <t>CHARPENTE INDUSTRIELLE</t>
  </si>
  <si>
    <t>9.1</t>
  </si>
  <si>
    <t>Fermettes type W assemblées par connection, fournies, posées</t>
  </si>
  <si>
    <t>9.2</t>
  </si>
  <si>
    <t>9.3</t>
  </si>
  <si>
    <t>9.4</t>
  </si>
  <si>
    <t>9.5</t>
  </si>
  <si>
    <t>9.6</t>
  </si>
  <si>
    <t>Fixations des fermettes aux pignons par pattes à scellement</t>
  </si>
  <si>
    <t>Equerres doubles de fixation des fermettes</t>
  </si>
  <si>
    <t>Antiflambages 25/100 traités, coulés en sous face des arbalétriers</t>
  </si>
  <si>
    <t>Contreventements 25/100 traités, coulés sur grandes contrefiches</t>
  </si>
  <si>
    <t>Lisses 27/72 traités, cloués aux nœuds des petites contrefiches</t>
  </si>
  <si>
    <t>9.7</t>
  </si>
  <si>
    <t>Entretoises 35/72 traités, cloués aux entraits et sommets des arba.</t>
  </si>
  <si>
    <t>HABILLAGES DES SALLIES DE TOITURE</t>
  </si>
  <si>
    <t>10.1</t>
  </si>
  <si>
    <t>10.2</t>
  </si>
  <si>
    <t>10.3</t>
  </si>
  <si>
    <t>10.4</t>
  </si>
  <si>
    <t>Bandeau d'égout sapin 25/150 traité, cloué sur about ferm. Chevrons</t>
  </si>
  <si>
    <t>Chaises pour caisson d'égout réalisées par tasseau 40/40 traités</t>
  </si>
  <si>
    <t>Lambris pin des landes 10/60 traités, cloués sous chevrons</t>
  </si>
  <si>
    <t>Abouts de caisson réalisés en lambris pin des landes</t>
  </si>
  <si>
    <t>Pointez la souris sur les cases étoilées pour obtenir des renseignements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</si>
</sst>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0.000"/>
    <numFmt numFmtId="165" formatCode="0.000000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20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EEB7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FF"/>
        <bgColor indexed="64"/>
      </patternFill>
    </fill>
  </fills>
  <borders count="77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ashDot">
        <color auto="1"/>
      </bottom>
      <diagonal/>
    </border>
    <border>
      <left/>
      <right/>
      <top style="dashDot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double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5" fillId="0" borderId="0" applyFont="0" applyFill="0" applyBorder="0" applyAlignment="0" applyProtection="0"/>
  </cellStyleXfs>
  <cellXfs count="535">
    <xf numFmtId="0" fontId="0" fillId="0" borderId="0" xfId="0"/>
    <xf numFmtId="0" fontId="5" fillId="0" borderId="0" xfId="0" applyFont="1" applyBorder="1"/>
    <xf numFmtId="0" fontId="0" fillId="0" borderId="0" xfId="0" applyBorder="1"/>
    <xf numFmtId="0" fontId="0" fillId="0" borderId="7" xfId="0" applyBorder="1"/>
    <xf numFmtId="0" fontId="0" fillId="0" borderId="2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3" xfId="0" applyBorder="1"/>
    <xf numFmtId="0" fontId="0" fillId="0" borderId="12" xfId="0" applyBorder="1"/>
    <xf numFmtId="164" fontId="0" fillId="0" borderId="20" xfId="0" applyNumberFormat="1" applyBorder="1" applyAlignment="1">
      <alignment horizontal="center"/>
    </xf>
    <xf numFmtId="164" fontId="0" fillId="0" borderId="16" xfId="0" applyNumberFormat="1" applyBorder="1" applyAlignment="1">
      <alignment horizontal="center"/>
    </xf>
    <xf numFmtId="0" fontId="0" fillId="0" borderId="30" xfId="0" applyBorder="1"/>
    <xf numFmtId="0" fontId="0" fillId="0" borderId="31" xfId="0" applyBorder="1"/>
    <xf numFmtId="0" fontId="0" fillId="0" borderId="0" xfId="0" applyBorder="1" applyAlignment="1">
      <alignment horizontal="center"/>
    </xf>
    <xf numFmtId="0" fontId="0" fillId="0" borderId="0" xfId="0" applyFont="1" applyBorder="1"/>
    <xf numFmtId="0" fontId="0" fillId="0" borderId="21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26" xfId="0" applyBorder="1" applyAlignment="1">
      <alignment horizontal="center"/>
    </xf>
    <xf numFmtId="2" fontId="0" fillId="0" borderId="16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20" xfId="0" applyNumberFormat="1" applyBorder="1" applyAlignment="1">
      <alignment horizontal="center"/>
    </xf>
    <xf numFmtId="2" fontId="0" fillId="0" borderId="28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0" fillId="0" borderId="48" xfId="0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0" fillId="0" borderId="53" xfId="0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6" fillId="0" borderId="0" xfId="0" applyFont="1" applyBorder="1"/>
    <xf numFmtId="0" fontId="0" fillId="0" borderId="0" xfId="0"/>
    <xf numFmtId="0" fontId="0" fillId="0" borderId="0" xfId="0" applyBorder="1"/>
    <xf numFmtId="0" fontId="0" fillId="0" borderId="7" xfId="0" applyBorder="1"/>
    <xf numFmtId="0" fontId="0" fillId="0" borderId="2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3" xfId="0" applyBorder="1"/>
    <xf numFmtId="0" fontId="0" fillId="0" borderId="12" xfId="0" applyBorder="1"/>
    <xf numFmtId="164" fontId="0" fillId="0" borderId="2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2" fontId="0" fillId="0" borderId="26" xfId="0" applyNumberForma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7" xfId="0" applyBorder="1" applyAlignment="1">
      <alignment horizontal="center"/>
    </xf>
    <xf numFmtId="2" fontId="0" fillId="6" borderId="16" xfId="0" applyNumberFormat="1" applyFill="1" applyBorder="1" applyAlignment="1">
      <alignment horizontal="center"/>
    </xf>
    <xf numFmtId="0" fontId="0" fillId="6" borderId="17" xfId="0" applyFill="1" applyBorder="1" applyAlignment="1">
      <alignment horizontal="center"/>
    </xf>
    <xf numFmtId="164" fontId="0" fillId="6" borderId="5" xfId="0" applyNumberFormat="1" applyFill="1" applyBorder="1" applyAlignment="1">
      <alignment horizontal="center"/>
    </xf>
    <xf numFmtId="0" fontId="0" fillId="6" borderId="48" xfId="0" applyFill="1" applyBorder="1" applyAlignment="1">
      <alignment horizontal="center"/>
    </xf>
    <xf numFmtId="2" fontId="0" fillId="8" borderId="38" xfId="0" applyNumberFormat="1" applyFill="1" applyBorder="1" applyAlignment="1">
      <alignment horizontal="center"/>
    </xf>
    <xf numFmtId="0" fontId="0" fillId="8" borderId="39" xfId="0" applyFill="1" applyBorder="1" applyAlignment="1">
      <alignment horizontal="center"/>
    </xf>
    <xf numFmtId="164" fontId="0" fillId="2" borderId="20" xfId="0" applyNumberFormat="1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164" fontId="0" fillId="4" borderId="20" xfId="0" applyNumberFormat="1" applyFill="1" applyBorder="1" applyAlignment="1">
      <alignment horizontal="center"/>
    </xf>
    <xf numFmtId="0" fontId="0" fillId="4" borderId="21" xfId="0" applyFill="1" applyBorder="1" applyAlignment="1">
      <alignment horizontal="center"/>
    </xf>
    <xf numFmtId="2" fontId="0" fillId="6" borderId="4" xfId="0" applyNumberFormat="1" applyFill="1" applyBorder="1" applyAlignment="1">
      <alignment horizontal="center"/>
    </xf>
    <xf numFmtId="0" fontId="0" fillId="6" borderId="26" xfId="0" applyFill="1" applyBorder="1" applyAlignment="1">
      <alignment horizontal="center"/>
    </xf>
    <xf numFmtId="2" fontId="0" fillId="12" borderId="16" xfId="0" applyNumberFormat="1" applyFill="1" applyBorder="1" applyAlignment="1">
      <alignment horizontal="center"/>
    </xf>
    <xf numFmtId="0" fontId="0" fillId="12" borderId="17" xfId="0" applyFill="1" applyBorder="1" applyAlignment="1">
      <alignment horizontal="center"/>
    </xf>
    <xf numFmtId="2" fontId="0" fillId="2" borderId="16" xfId="0" applyNumberFormat="1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2" fontId="0" fillId="5" borderId="16" xfId="0" applyNumberFormat="1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2" fontId="0" fillId="5" borderId="4" xfId="0" applyNumberFormat="1" applyFill="1" applyBorder="1" applyAlignment="1">
      <alignment horizontal="center"/>
    </xf>
    <xf numFmtId="0" fontId="0" fillId="5" borderId="26" xfId="0" applyFill="1" applyBorder="1" applyAlignment="1">
      <alignment horizontal="center"/>
    </xf>
    <xf numFmtId="2" fontId="0" fillId="7" borderId="16" xfId="0" applyNumberFormat="1" applyFill="1" applyBorder="1" applyAlignment="1">
      <alignment horizontal="center"/>
    </xf>
    <xf numFmtId="0" fontId="0" fillId="7" borderId="17" xfId="0" applyFill="1" applyBorder="1" applyAlignment="1">
      <alignment horizontal="center"/>
    </xf>
    <xf numFmtId="2" fontId="0" fillId="7" borderId="4" xfId="0" applyNumberFormat="1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0" fillId="7" borderId="21" xfId="0" applyFill="1" applyBorder="1" applyAlignment="1">
      <alignment horizontal="center"/>
    </xf>
    <xf numFmtId="2" fontId="0" fillId="3" borderId="6" xfId="0" applyNumberFormat="1" applyFill="1" applyBorder="1" applyAlignment="1">
      <alignment horizontal="center"/>
    </xf>
    <xf numFmtId="0" fontId="0" fillId="3" borderId="53" xfId="0" applyFill="1" applyBorder="1" applyAlignment="1">
      <alignment horizontal="center"/>
    </xf>
    <xf numFmtId="2" fontId="0" fillId="3" borderId="4" xfId="0" applyNumberFormat="1" applyFill="1" applyBorder="1" applyAlignment="1">
      <alignment horizontal="center"/>
    </xf>
    <xf numFmtId="0" fontId="0" fillId="3" borderId="26" xfId="0" applyFill="1" applyBorder="1" applyAlignment="1">
      <alignment horizontal="center"/>
    </xf>
    <xf numFmtId="164" fontId="0" fillId="3" borderId="20" xfId="0" applyNumberFormat="1" applyFill="1" applyBorder="1" applyAlignment="1">
      <alignment horizontal="center"/>
    </xf>
    <xf numFmtId="0" fontId="0" fillId="3" borderId="21" xfId="0" applyFill="1" applyBorder="1" applyAlignment="1">
      <alignment horizontal="center"/>
    </xf>
    <xf numFmtId="164" fontId="0" fillId="6" borderId="20" xfId="0" applyNumberFormat="1" applyFill="1" applyBorder="1" applyAlignment="1">
      <alignment horizontal="center"/>
    </xf>
    <xf numFmtId="0" fontId="0" fillId="6" borderId="21" xfId="0" applyFill="1" applyBorder="1" applyAlignment="1">
      <alignment horizontal="center"/>
    </xf>
    <xf numFmtId="2" fontId="0" fillId="9" borderId="6" xfId="0" applyNumberFormat="1" applyFill="1" applyBorder="1" applyAlignment="1">
      <alignment horizontal="center"/>
    </xf>
    <xf numFmtId="0" fontId="0" fillId="9" borderId="53" xfId="0" applyFill="1" applyBorder="1" applyAlignment="1">
      <alignment horizontal="center"/>
    </xf>
    <xf numFmtId="2" fontId="0" fillId="9" borderId="4" xfId="0" applyNumberFormat="1" applyFill="1" applyBorder="1" applyAlignment="1">
      <alignment horizontal="center"/>
    </xf>
    <xf numFmtId="0" fontId="0" fillId="9" borderId="26" xfId="0" applyFill="1" applyBorder="1" applyAlignment="1">
      <alignment horizontal="center"/>
    </xf>
    <xf numFmtId="164" fontId="0" fillId="9" borderId="20" xfId="0" applyNumberFormat="1" applyFill="1" applyBorder="1" applyAlignment="1">
      <alignment horizontal="center"/>
    </xf>
    <xf numFmtId="0" fontId="0" fillId="9" borderId="21" xfId="0" applyFill="1" applyBorder="1" applyAlignment="1">
      <alignment horizontal="center"/>
    </xf>
    <xf numFmtId="2" fontId="0" fillId="12" borderId="5" xfId="0" applyNumberFormat="1" applyFill="1" applyBorder="1" applyAlignment="1">
      <alignment horizontal="center"/>
    </xf>
    <xf numFmtId="0" fontId="0" fillId="12" borderId="48" xfId="0" applyFill="1" applyBorder="1" applyAlignment="1">
      <alignment horizontal="center"/>
    </xf>
    <xf numFmtId="164" fontId="0" fillId="12" borderId="20" xfId="0" applyNumberFormat="1" applyFill="1" applyBorder="1" applyAlignment="1">
      <alignment horizontal="center"/>
    </xf>
    <xf numFmtId="0" fontId="0" fillId="12" borderId="21" xfId="0" applyFill="1" applyBorder="1" applyAlignment="1">
      <alignment horizontal="center"/>
    </xf>
    <xf numFmtId="2" fontId="0" fillId="10" borderId="5" xfId="0" applyNumberFormat="1" applyFill="1" applyBorder="1" applyAlignment="1">
      <alignment horizontal="center"/>
    </xf>
    <xf numFmtId="0" fontId="0" fillId="10" borderId="48" xfId="0" applyFill="1" applyBorder="1" applyAlignment="1">
      <alignment horizontal="center"/>
    </xf>
    <xf numFmtId="2" fontId="0" fillId="11" borderId="38" xfId="0" applyNumberFormat="1" applyFill="1" applyBorder="1" applyAlignment="1">
      <alignment horizontal="center"/>
    </xf>
    <xf numFmtId="0" fontId="0" fillId="11" borderId="39" xfId="0" applyFill="1" applyBorder="1" applyAlignment="1">
      <alignment horizontal="center"/>
    </xf>
    <xf numFmtId="2" fontId="0" fillId="4" borderId="38" xfId="0" applyNumberFormat="1" applyFill="1" applyBorder="1" applyAlignment="1">
      <alignment horizontal="center"/>
    </xf>
    <xf numFmtId="0" fontId="0" fillId="4" borderId="39" xfId="0" applyFill="1" applyBorder="1" applyAlignment="1">
      <alignment horizontal="center"/>
    </xf>
    <xf numFmtId="0" fontId="1" fillId="0" borderId="57" xfId="0" applyFont="1" applyBorder="1"/>
    <xf numFmtId="2" fontId="1" fillId="0" borderId="58" xfId="0" applyNumberFormat="1" applyFont="1" applyBorder="1"/>
    <xf numFmtId="2" fontId="1" fillId="0" borderId="59" xfId="0" applyNumberFormat="1" applyFont="1" applyBorder="1"/>
    <xf numFmtId="2" fontId="1" fillId="0" borderId="60" xfId="0" applyNumberFormat="1" applyFont="1" applyBorder="1"/>
    <xf numFmtId="2" fontId="1" fillId="0" borderId="56" xfId="0" applyNumberFormat="1" applyFont="1" applyBorder="1"/>
    <xf numFmtId="2" fontId="0" fillId="0" borderId="61" xfId="0" applyNumberFormat="1" applyBorder="1" applyAlignment="1">
      <alignment horizontal="center"/>
    </xf>
    <xf numFmtId="2" fontId="0" fillId="0" borderId="52" xfId="0" applyNumberFormat="1" applyBorder="1" applyAlignment="1">
      <alignment horizontal="center"/>
    </xf>
    <xf numFmtId="2" fontId="0" fillId="0" borderId="53" xfId="0" applyNumberForma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7" fillId="0" borderId="62" xfId="0" applyFont="1" applyFill="1" applyBorder="1" applyAlignment="1">
      <alignment horizontal="center"/>
    </xf>
    <xf numFmtId="0" fontId="7" fillId="0" borderId="41" xfId="0" applyFont="1" applyFill="1" applyBorder="1" applyAlignment="1">
      <alignment horizontal="center"/>
    </xf>
    <xf numFmtId="0" fontId="7" fillId="0" borderId="44" xfId="0" applyFont="1" applyFill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0" fillId="0" borderId="0" xfId="0" applyBorder="1" applyAlignment="1">
      <alignment horizontal="center"/>
    </xf>
    <xf numFmtId="2" fontId="0" fillId="0" borderId="15" xfId="0" applyNumberFormat="1" applyBorder="1" applyAlignment="1">
      <alignment horizontal="center"/>
    </xf>
    <xf numFmtId="2" fontId="0" fillId="0" borderId="17" xfId="0" applyNumberFormat="1" applyBorder="1" applyAlignment="1">
      <alignment horizontal="center"/>
    </xf>
    <xf numFmtId="2" fontId="0" fillId="0" borderId="65" xfId="0" applyNumberFormat="1" applyBorder="1" applyAlignment="1">
      <alignment horizontal="center"/>
    </xf>
    <xf numFmtId="2" fontId="0" fillId="0" borderId="66" xfId="0" applyNumberFormat="1" applyBorder="1" applyAlignment="1">
      <alignment horizontal="center"/>
    </xf>
    <xf numFmtId="2" fontId="0" fillId="0" borderId="50" xfId="0" applyNumberFormat="1" applyBorder="1" applyAlignment="1">
      <alignment horizontal="center"/>
    </xf>
    <xf numFmtId="2" fontId="0" fillId="14" borderId="4" xfId="0" applyNumberFormat="1" applyFill="1" applyBorder="1" applyAlignment="1">
      <alignment horizontal="center"/>
    </xf>
    <xf numFmtId="2" fontId="0" fillId="14" borderId="16" xfId="0" applyNumberFormat="1" applyFill="1" applyBorder="1" applyAlignment="1">
      <alignment horizontal="center"/>
    </xf>
    <xf numFmtId="0" fontId="3" fillId="0" borderId="2" xfId="0" applyFont="1" applyFill="1" applyBorder="1" applyAlignment="1">
      <alignment horizontal="center" vertical="center" textRotation="180"/>
    </xf>
    <xf numFmtId="0" fontId="3" fillId="0" borderId="0" xfId="0" applyFont="1" applyFill="1" applyBorder="1" applyAlignment="1">
      <alignment horizontal="center" vertical="center" textRotation="180"/>
    </xf>
    <xf numFmtId="0" fontId="3" fillId="0" borderId="3" xfId="0" applyFont="1" applyFill="1" applyBorder="1" applyAlignment="1">
      <alignment horizontal="center" vertical="center" textRotation="180"/>
    </xf>
    <xf numFmtId="0" fontId="2" fillId="0" borderId="2" xfId="0" applyFont="1" applyFill="1" applyBorder="1" applyAlignment="1">
      <alignment horizontal="center" vertical="center" textRotation="180"/>
    </xf>
    <xf numFmtId="0" fontId="2" fillId="0" borderId="0" xfId="0" applyFont="1" applyFill="1" applyBorder="1" applyAlignment="1">
      <alignment horizontal="center" vertical="center" textRotation="180"/>
    </xf>
    <xf numFmtId="0" fontId="2" fillId="0" borderId="3" xfId="0" applyFont="1" applyFill="1" applyBorder="1" applyAlignment="1">
      <alignment horizontal="center" vertical="center" textRotation="180"/>
    </xf>
    <xf numFmtId="0" fontId="4" fillId="0" borderId="2" xfId="0" applyFont="1" applyFill="1" applyBorder="1" applyAlignment="1">
      <alignment horizontal="center" vertical="center" textRotation="180"/>
    </xf>
    <xf numFmtId="0" fontId="4" fillId="0" borderId="9" xfId="0" applyFont="1" applyFill="1" applyBorder="1" applyAlignment="1">
      <alignment horizontal="center" vertical="center" textRotation="180"/>
    </xf>
    <xf numFmtId="0" fontId="4" fillId="0" borderId="0" xfId="0" applyFont="1" applyFill="1" applyBorder="1" applyAlignment="1">
      <alignment horizontal="center" vertical="center" textRotation="180"/>
    </xf>
    <xf numFmtId="0" fontId="4" fillId="0" borderId="3" xfId="0" applyFont="1" applyFill="1" applyBorder="1" applyAlignment="1">
      <alignment horizontal="center" vertical="center" textRotation="180"/>
    </xf>
    <xf numFmtId="2" fontId="0" fillId="0" borderId="54" xfId="0" applyNumberFormat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2" fontId="0" fillId="0" borderId="71" xfId="0" applyNumberFormat="1" applyBorder="1" applyAlignment="1">
      <alignment horizontal="center"/>
    </xf>
    <xf numFmtId="0" fontId="0" fillId="0" borderId="63" xfId="0" applyFont="1" applyFill="1" applyBorder="1" applyAlignment="1">
      <alignment horizontal="center" vertical="center"/>
    </xf>
    <xf numFmtId="0" fontId="0" fillId="0" borderId="32" xfId="0" applyFont="1" applyFill="1" applyBorder="1" applyAlignment="1">
      <alignment horizontal="center" vertical="center"/>
    </xf>
    <xf numFmtId="0" fontId="0" fillId="0" borderId="64" xfId="0" applyFont="1" applyFill="1" applyBorder="1" applyAlignment="1">
      <alignment horizontal="center" vertical="center"/>
    </xf>
    <xf numFmtId="0" fontId="0" fillId="0" borderId="70" xfId="0" applyFont="1" applyFill="1" applyBorder="1" applyAlignment="1">
      <alignment horizontal="center" vertical="center"/>
    </xf>
    <xf numFmtId="0" fontId="9" fillId="0" borderId="0" xfId="0" applyFont="1" applyFill="1"/>
    <xf numFmtId="2" fontId="9" fillId="0" borderId="0" xfId="0" applyNumberFormat="1" applyFont="1" applyFill="1"/>
    <xf numFmtId="0" fontId="11" fillId="0" borderId="0" xfId="0" applyFont="1" applyFill="1"/>
    <xf numFmtId="165" fontId="9" fillId="0" borderId="0" xfId="0" applyNumberFormat="1" applyFont="1" applyFill="1"/>
    <xf numFmtId="0" fontId="0" fillId="0" borderId="0" xfId="0" applyAlignment="1">
      <alignment horizontal="center"/>
    </xf>
    <xf numFmtId="0" fontId="9" fillId="0" borderId="0" xfId="0" applyFont="1" applyBorder="1"/>
    <xf numFmtId="0" fontId="0" fillId="2" borderId="4" xfId="0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2" fontId="0" fillId="2" borderId="4" xfId="0" applyNumberFormat="1" applyFill="1" applyBorder="1" applyAlignment="1" applyProtection="1">
      <alignment horizontal="center"/>
      <protection locked="0"/>
    </xf>
    <xf numFmtId="0" fontId="0" fillId="2" borderId="22" xfId="0" applyFill="1" applyBorder="1" applyAlignment="1" applyProtection="1">
      <alignment horizontal="center"/>
      <protection locked="0"/>
    </xf>
    <xf numFmtId="2" fontId="0" fillId="2" borderId="6" xfId="0" applyNumberFormat="1" applyFill="1" applyBorder="1" applyAlignment="1" applyProtection="1">
      <alignment horizontal="center"/>
      <protection locked="0"/>
    </xf>
    <xf numFmtId="2" fontId="0" fillId="2" borderId="5" xfId="0" applyNumberFormat="1" applyFill="1" applyBorder="1" applyAlignment="1" applyProtection="1">
      <alignment horizontal="center"/>
      <protection locked="0"/>
    </xf>
    <xf numFmtId="2" fontId="0" fillId="2" borderId="16" xfId="0" applyNumberFormat="1" applyFill="1" applyBorder="1" applyAlignment="1" applyProtection="1">
      <alignment horizontal="center"/>
      <protection locked="0"/>
    </xf>
    <xf numFmtId="2" fontId="0" fillId="0" borderId="4" xfId="0" applyNumberFormat="1" applyFill="1" applyBorder="1" applyAlignment="1" applyProtection="1">
      <alignment horizontal="center"/>
      <protection locked="0"/>
    </xf>
    <xf numFmtId="2" fontId="0" fillId="2" borderId="4" xfId="0" applyNumberFormat="1" applyFill="1" applyBorder="1" applyAlignment="1" applyProtection="1">
      <alignment horizontal="center" vertical="center"/>
      <protection locked="0"/>
    </xf>
    <xf numFmtId="0" fontId="9" fillId="0" borderId="0" xfId="0" applyFont="1" applyBorder="1" applyAlignment="1">
      <alignment horizontal="center"/>
    </xf>
    <xf numFmtId="0" fontId="0" fillId="14" borderId="17" xfId="0" applyFill="1" applyBorder="1" applyAlignment="1">
      <alignment horizontal="center"/>
    </xf>
    <xf numFmtId="0" fontId="0" fillId="14" borderId="26" xfId="0" applyFill="1" applyBorder="1" applyAlignment="1">
      <alignment horizontal="center"/>
    </xf>
    <xf numFmtId="164" fontId="0" fillId="14" borderId="20" xfId="0" applyNumberFormat="1" applyFill="1" applyBorder="1" applyAlignment="1">
      <alignment horizontal="center"/>
    </xf>
    <xf numFmtId="0" fontId="0" fillId="14" borderId="21" xfId="0" applyFill="1" applyBorder="1" applyAlignment="1">
      <alignment horizontal="center"/>
    </xf>
    <xf numFmtId="0" fontId="0" fillId="10" borderId="16" xfId="0" applyFill="1" applyBorder="1" applyAlignment="1">
      <alignment horizontal="center"/>
    </xf>
    <xf numFmtId="0" fontId="0" fillId="10" borderId="17" xfId="0" applyFill="1" applyBorder="1" applyAlignment="1">
      <alignment horizontal="center"/>
    </xf>
    <xf numFmtId="164" fontId="0" fillId="10" borderId="20" xfId="0" applyNumberFormat="1" applyFill="1" applyBorder="1" applyAlignment="1">
      <alignment horizontal="center"/>
    </xf>
    <xf numFmtId="0" fontId="0" fillId="10" borderId="21" xfId="0" applyFill="1" applyBorder="1" applyAlignment="1">
      <alignment horizontal="center"/>
    </xf>
    <xf numFmtId="0" fontId="0" fillId="5" borderId="4" xfId="0" applyNumberFormat="1" applyFill="1" applyBorder="1" applyAlignment="1">
      <alignment horizontal="center"/>
    </xf>
    <xf numFmtId="164" fontId="0" fillId="5" borderId="20" xfId="0" applyNumberFormat="1" applyFill="1" applyBorder="1" applyAlignment="1">
      <alignment horizontal="center"/>
    </xf>
    <xf numFmtId="0" fontId="0" fillId="5" borderId="21" xfId="0" applyFill="1" applyBorder="1" applyAlignment="1">
      <alignment horizontal="center"/>
    </xf>
    <xf numFmtId="2" fontId="0" fillId="2" borderId="26" xfId="0" applyNumberFormat="1" applyFill="1" applyBorder="1" applyAlignment="1" applyProtection="1">
      <alignment horizontal="center"/>
      <protection locked="0"/>
    </xf>
    <xf numFmtId="2" fontId="0" fillId="0" borderId="0" xfId="0" applyNumberFormat="1" applyFill="1" applyBorder="1" applyAlignment="1" applyProtection="1">
      <alignment horizontal="center"/>
      <protection locked="0"/>
    </xf>
    <xf numFmtId="0" fontId="0" fillId="0" borderId="0" xfId="0" applyFill="1" applyBorder="1"/>
    <xf numFmtId="0" fontId="9" fillId="0" borderId="0" xfId="0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28" xfId="0" applyBorder="1" applyAlignment="1">
      <alignment horizontal="center"/>
    </xf>
    <xf numFmtId="2" fontId="0" fillId="15" borderId="28" xfId="0" applyNumberFormat="1" applyFill="1" applyBorder="1" applyAlignment="1">
      <alignment horizontal="center"/>
    </xf>
    <xf numFmtId="0" fontId="0" fillId="15" borderId="29" xfId="0" applyFill="1" applyBorder="1" applyAlignment="1">
      <alignment horizontal="center"/>
    </xf>
    <xf numFmtId="164" fontId="0" fillId="15" borderId="28" xfId="0" applyNumberFormat="1" applyFill="1" applyBorder="1" applyAlignment="1">
      <alignment horizontal="center"/>
    </xf>
    <xf numFmtId="2" fontId="0" fillId="16" borderId="28" xfId="0" applyNumberFormat="1" applyFill="1" applyBorder="1" applyAlignment="1">
      <alignment horizontal="center"/>
    </xf>
    <xf numFmtId="0" fontId="0" fillId="16" borderId="29" xfId="0" applyFill="1" applyBorder="1" applyAlignment="1">
      <alignment horizontal="center"/>
    </xf>
    <xf numFmtId="164" fontId="0" fillId="16" borderId="28" xfId="0" applyNumberFormat="1" applyFill="1" applyBorder="1" applyAlignment="1">
      <alignment horizontal="center"/>
    </xf>
    <xf numFmtId="2" fontId="0" fillId="17" borderId="28" xfId="0" applyNumberFormat="1" applyFill="1" applyBorder="1" applyAlignment="1">
      <alignment horizontal="center"/>
    </xf>
    <xf numFmtId="0" fontId="0" fillId="17" borderId="29" xfId="0" applyFill="1" applyBorder="1" applyAlignment="1">
      <alignment horizontal="center"/>
    </xf>
    <xf numFmtId="164" fontId="0" fillId="17" borderId="28" xfId="0" applyNumberFormat="1" applyFill="1" applyBorder="1" applyAlignment="1">
      <alignment horizontal="center"/>
    </xf>
    <xf numFmtId="2" fontId="0" fillId="6" borderId="28" xfId="0" applyNumberFormat="1" applyFill="1" applyBorder="1" applyAlignment="1">
      <alignment horizontal="center"/>
    </xf>
    <xf numFmtId="0" fontId="0" fillId="6" borderId="29" xfId="0" applyFill="1" applyBorder="1" applyAlignment="1">
      <alignment horizontal="center"/>
    </xf>
    <xf numFmtId="164" fontId="0" fillId="6" borderId="28" xfId="0" applyNumberFormat="1" applyFill="1" applyBorder="1" applyAlignment="1">
      <alignment horizontal="center"/>
    </xf>
    <xf numFmtId="2" fontId="0" fillId="7" borderId="20" xfId="0" applyNumberFormat="1" applyFill="1" applyBorder="1" applyAlignment="1">
      <alignment horizontal="center"/>
    </xf>
    <xf numFmtId="164" fontId="0" fillId="7" borderId="4" xfId="0" applyNumberFormat="1" applyFill="1" applyBorder="1" applyAlignment="1">
      <alignment horizontal="center"/>
    </xf>
    <xf numFmtId="2" fontId="0" fillId="10" borderId="20" xfId="0" applyNumberFormat="1" applyFill="1" applyBorder="1" applyAlignment="1">
      <alignment horizontal="center"/>
    </xf>
    <xf numFmtId="0" fontId="9" fillId="0" borderId="0" xfId="0" applyFont="1" applyFill="1" applyBorder="1"/>
    <xf numFmtId="0" fontId="0" fillId="0" borderId="16" xfId="0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16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2" fontId="0" fillId="2" borderId="22" xfId="0" applyNumberFormat="1" applyFill="1" applyBorder="1" applyAlignment="1" applyProtection="1">
      <alignment horizontal="center"/>
      <protection locked="0"/>
    </xf>
    <xf numFmtId="2" fontId="0" fillId="0" borderId="4" xfId="0" applyNumberForma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2" fontId="0" fillId="0" borderId="20" xfId="0" applyNumberFormat="1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0" xfId="0" applyFill="1" applyBorder="1" applyAlignment="1"/>
    <xf numFmtId="0" fontId="0" fillId="10" borderId="26" xfId="0" applyFill="1" applyBorder="1" applyAlignment="1">
      <alignment horizontal="center"/>
    </xf>
    <xf numFmtId="164" fontId="0" fillId="10" borderId="4" xfId="0" applyNumberFormat="1" applyFill="1" applyBorder="1" applyAlignment="1">
      <alignment horizontal="center"/>
    </xf>
    <xf numFmtId="2" fontId="0" fillId="10" borderId="16" xfId="0" applyNumberFormat="1" applyFill="1" applyBorder="1" applyAlignment="1">
      <alignment horizontal="center"/>
    </xf>
    <xf numFmtId="2" fontId="0" fillId="2" borderId="28" xfId="0" applyNumberFormat="1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2" fontId="0" fillId="19" borderId="16" xfId="0" applyNumberFormat="1" applyFill="1" applyBorder="1" applyAlignment="1">
      <alignment horizontal="center"/>
    </xf>
    <xf numFmtId="0" fontId="0" fillId="19" borderId="17" xfId="0" applyFill="1" applyBorder="1" applyAlignment="1">
      <alignment horizontal="center"/>
    </xf>
    <xf numFmtId="164" fontId="0" fillId="19" borderId="20" xfId="0" applyNumberFormat="1" applyFill="1" applyBorder="1" applyAlignment="1">
      <alignment horizontal="center"/>
    </xf>
    <xf numFmtId="0" fontId="0" fillId="19" borderId="21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2" fontId="0" fillId="3" borderId="20" xfId="0" applyNumberFormat="1" applyFill="1" applyBorder="1" applyAlignment="1">
      <alignment horizontal="center"/>
    </xf>
    <xf numFmtId="2" fontId="0" fillId="3" borderId="16" xfId="0" applyNumberFormat="1" applyFill="1" applyBorder="1" applyAlignment="1">
      <alignment horizontal="center"/>
    </xf>
    <xf numFmtId="2" fontId="0" fillId="0" borderId="0" xfId="0" applyNumberFormat="1" applyFill="1" applyBorder="1" applyAlignment="1" applyProtection="1">
      <alignment horizontal="center"/>
      <protection locked="0"/>
    </xf>
    <xf numFmtId="0" fontId="13" fillId="0" borderId="0" xfId="0" applyFont="1" applyFill="1" applyBorder="1" applyAlignment="1">
      <alignment horizontal="left"/>
    </xf>
    <xf numFmtId="0" fontId="12" fillId="0" borderId="0" xfId="0" applyFont="1" applyFill="1" applyBorder="1"/>
    <xf numFmtId="0" fontId="1" fillId="0" borderId="0" xfId="0" applyFont="1" applyFill="1" applyBorder="1" applyAlignment="1">
      <alignment horizontal="center"/>
    </xf>
    <xf numFmtId="2" fontId="13" fillId="18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0" fontId="0" fillId="18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 vertical="center" indent="4"/>
    </xf>
    <xf numFmtId="0" fontId="5" fillId="0" borderId="10" xfId="0" applyFont="1" applyFill="1" applyBorder="1" applyAlignment="1">
      <alignment horizontal="left" vertical="center" indent="4"/>
    </xf>
    <xf numFmtId="0" fontId="9" fillId="0" borderId="0" xfId="0" applyFont="1"/>
    <xf numFmtId="2" fontId="9" fillId="0" borderId="0" xfId="0" applyNumberFormat="1" applyFont="1"/>
    <xf numFmtId="0" fontId="1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2" fontId="0" fillId="0" borderId="0" xfId="0" applyNumberFormat="1" applyFill="1" applyBorder="1" applyAlignment="1" applyProtection="1">
      <alignment horizontal="center"/>
      <protection locked="0"/>
    </xf>
    <xf numFmtId="0" fontId="14" fillId="0" borderId="2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0" fillId="0" borderId="74" xfId="0" applyFill="1" applyBorder="1" applyAlignment="1"/>
    <xf numFmtId="0" fontId="0" fillId="0" borderId="10" xfId="0" applyFill="1" applyBorder="1"/>
    <xf numFmtId="0" fontId="0" fillId="0" borderId="2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2" fontId="6" fillId="0" borderId="54" xfId="0" applyNumberFormat="1" applyFont="1" applyBorder="1" applyAlignment="1">
      <alignment horizontal="center"/>
    </xf>
    <xf numFmtId="2" fontId="0" fillId="14" borderId="28" xfId="0" applyNumberFormat="1" applyFill="1" applyBorder="1" applyAlignment="1">
      <alignment horizontal="center"/>
    </xf>
    <xf numFmtId="0" fontId="0" fillId="14" borderId="29" xfId="0" applyFill="1" applyBorder="1" applyAlignment="1">
      <alignment horizontal="center"/>
    </xf>
    <xf numFmtId="0" fontId="0" fillId="0" borderId="2" xfId="0" applyFill="1" applyBorder="1" applyAlignment="1"/>
    <xf numFmtId="2" fontId="0" fillId="3" borderId="5" xfId="0" applyNumberFormat="1" applyFill="1" applyBorder="1" applyAlignment="1">
      <alignment horizontal="center"/>
    </xf>
    <xf numFmtId="0" fontId="0" fillId="3" borderId="48" xfId="0" applyFill="1" applyBorder="1" applyAlignment="1">
      <alignment horizontal="center"/>
    </xf>
    <xf numFmtId="0" fontId="0" fillId="0" borderId="2" xfId="0" applyBorder="1" applyAlignment="1"/>
    <xf numFmtId="0" fontId="1" fillId="0" borderId="0" xfId="0" applyFont="1" applyBorder="1" applyAlignment="1">
      <alignment horizontal="center"/>
    </xf>
    <xf numFmtId="2" fontId="0" fillId="0" borderId="19" xfId="0" applyNumberFormat="1" applyBorder="1" applyAlignment="1">
      <alignment horizontal="center"/>
    </xf>
    <xf numFmtId="0" fontId="0" fillId="0" borderId="0" xfId="0" applyFill="1" applyBorder="1" applyAlignment="1">
      <alignment vertical="center" wrapText="1"/>
    </xf>
    <xf numFmtId="0" fontId="0" fillId="0" borderId="10" xfId="0" applyFill="1" applyBorder="1" applyAlignment="1">
      <alignment vertical="center" wrapText="1"/>
    </xf>
    <xf numFmtId="0" fontId="0" fillId="0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Fill="1" applyBorder="1" applyAlignment="1">
      <alignment horizontal="center"/>
    </xf>
    <xf numFmtId="2" fontId="0" fillId="0" borderId="0" xfId="0" applyNumberFormat="1" applyFill="1" applyBorder="1" applyAlignment="1" applyProtection="1">
      <alignment horizontal="center"/>
      <protection locked="0"/>
    </xf>
    <xf numFmtId="0" fontId="1" fillId="0" borderId="0" xfId="0" applyFont="1" applyFill="1" applyBorder="1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/>
    <xf numFmtId="0" fontId="0" fillId="2" borderId="0" xfId="0" applyFill="1" applyAlignment="1">
      <alignment horizontal="center"/>
    </xf>
    <xf numFmtId="2" fontId="0" fillId="0" borderId="9" xfId="0" applyNumberForma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0" fillId="3" borderId="13" xfId="0" applyFill="1" applyBorder="1"/>
    <xf numFmtId="0" fontId="0" fillId="3" borderId="14" xfId="0" applyFill="1" applyBorder="1"/>
    <xf numFmtId="0" fontId="1" fillId="0" borderId="4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72" xfId="0" applyFont="1" applyBorder="1" applyAlignment="1">
      <alignment horizontal="center" vertical="center"/>
    </xf>
    <xf numFmtId="0" fontId="0" fillId="2" borderId="4" xfId="0" applyFill="1" applyBorder="1" applyProtection="1">
      <protection locked="0"/>
    </xf>
    <xf numFmtId="0" fontId="0" fillId="0" borderId="0" xfId="0" applyAlignment="1">
      <alignment horizontal="right"/>
    </xf>
    <xf numFmtId="2" fontId="0" fillId="0" borderId="75" xfId="0" applyNumberFormat="1" applyBorder="1"/>
    <xf numFmtId="0" fontId="0" fillId="0" borderId="24" xfId="0" applyBorder="1"/>
    <xf numFmtId="0" fontId="0" fillId="0" borderId="70" xfId="0" applyBorder="1" applyAlignment="1">
      <alignment horizontal="center"/>
    </xf>
    <xf numFmtId="0" fontId="0" fillId="0" borderId="70" xfId="0" applyBorder="1" applyAlignment="1">
      <alignment horizontal="right"/>
    </xf>
    <xf numFmtId="2" fontId="0" fillId="0" borderId="76" xfId="0" applyNumberFormat="1" applyBorder="1"/>
    <xf numFmtId="0" fontId="0" fillId="0" borderId="33" xfId="0" applyBorder="1"/>
    <xf numFmtId="0" fontId="0" fillId="0" borderId="32" xfId="0" applyBorder="1" applyAlignment="1">
      <alignment horizontal="center"/>
    </xf>
    <xf numFmtId="0" fontId="0" fillId="0" borderId="32" xfId="0" applyBorder="1" applyAlignment="1">
      <alignment horizontal="right"/>
    </xf>
    <xf numFmtId="164" fontId="0" fillId="0" borderId="33" xfId="0" applyNumberFormat="1" applyBorder="1"/>
    <xf numFmtId="2" fontId="0" fillId="0" borderId="33" xfId="0" applyNumberFormat="1" applyBorder="1"/>
    <xf numFmtId="0" fontId="1" fillId="4" borderId="32" xfId="0" applyFont="1" applyFill="1" applyBorder="1" applyAlignment="1">
      <alignment horizontal="right"/>
    </xf>
    <xf numFmtId="0" fontId="0" fillId="6" borderId="73" xfId="0" applyFill="1" applyBorder="1" applyAlignment="1">
      <alignment horizontal="center"/>
    </xf>
    <xf numFmtId="0" fontId="0" fillId="6" borderId="63" xfId="0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164" fontId="0" fillId="7" borderId="5" xfId="0" applyNumberFormat="1" applyFill="1" applyBorder="1" applyAlignment="1">
      <alignment horizontal="center"/>
    </xf>
    <xf numFmtId="0" fontId="0" fillId="7" borderId="48" xfId="0" applyFill="1" applyBorder="1" applyAlignment="1">
      <alignment horizontal="center"/>
    </xf>
    <xf numFmtId="0" fontId="17" fillId="0" borderId="32" xfId="0" applyFont="1" applyFill="1" applyBorder="1" applyAlignment="1">
      <alignment horizontal="right"/>
    </xf>
    <xf numFmtId="0" fontId="2" fillId="0" borderId="0" xfId="0" applyFont="1" applyFill="1" applyAlignment="1">
      <alignment vertical="center"/>
    </xf>
    <xf numFmtId="0" fontId="2" fillId="0" borderId="3" xfId="0" applyFont="1" applyFill="1" applyBorder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textRotation="180"/>
    </xf>
    <xf numFmtId="0" fontId="4" fillId="3" borderId="14" xfId="0" applyFont="1" applyFill="1" applyBorder="1" applyAlignment="1">
      <alignment horizontal="center" vertical="center" textRotation="180"/>
    </xf>
    <xf numFmtId="0" fontId="4" fillId="3" borderId="10" xfId="0" applyFont="1" applyFill="1" applyBorder="1" applyAlignment="1">
      <alignment horizontal="center" vertical="center" textRotation="180"/>
    </xf>
    <xf numFmtId="0" fontId="4" fillId="3" borderId="23" xfId="0" applyFont="1" applyFill="1" applyBorder="1" applyAlignment="1">
      <alignment horizontal="center" vertical="center" textRotation="180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14" borderId="42" xfId="0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0" fontId="0" fillId="14" borderId="44" xfId="0" applyFill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0" xfId="0" applyBorder="1" applyAlignment="1">
      <alignment horizontal="right"/>
    </xf>
    <xf numFmtId="0" fontId="1" fillId="3" borderId="49" xfId="0" applyFont="1" applyFill="1" applyBorder="1" applyAlignment="1">
      <alignment horizontal="center"/>
    </xf>
    <xf numFmtId="0" fontId="1" fillId="3" borderId="25" xfId="0" applyFont="1" applyFill="1" applyBorder="1" applyAlignment="1">
      <alignment horizontal="center"/>
    </xf>
    <xf numFmtId="0" fontId="1" fillId="3" borderId="73" xfId="0" applyFont="1" applyFill="1" applyBorder="1" applyAlignment="1">
      <alignment horizontal="center"/>
    </xf>
    <xf numFmtId="0" fontId="0" fillId="17" borderId="62" xfId="0" applyFill="1" applyBorder="1" applyAlignment="1">
      <alignment horizontal="center"/>
    </xf>
    <xf numFmtId="0" fontId="0" fillId="17" borderId="72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3" fillId="3" borderId="13" xfId="0" applyFont="1" applyFill="1" applyBorder="1" applyAlignment="1">
      <alignment horizontal="center" vertical="center" textRotation="180"/>
    </xf>
    <xf numFmtId="0" fontId="3" fillId="3" borderId="14" xfId="0" applyFont="1" applyFill="1" applyBorder="1" applyAlignment="1">
      <alignment horizontal="center" vertical="center" textRotation="180"/>
    </xf>
    <xf numFmtId="0" fontId="3" fillId="3" borderId="23" xfId="0" applyFont="1" applyFill="1" applyBorder="1" applyAlignment="1">
      <alignment horizontal="center" vertical="center" textRotation="180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0" borderId="9" xfId="0" applyFill="1" applyBorder="1" applyAlignment="1">
      <alignment horizontal="left" vertical="center" indent="4"/>
    </xf>
    <xf numFmtId="0" fontId="0" fillId="0" borderId="10" xfId="0" applyFill="1" applyBorder="1" applyAlignment="1">
      <alignment horizontal="left" vertical="center" indent="4"/>
    </xf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19" borderId="35" xfId="0" applyFont="1" applyFill="1" applyBorder="1" applyAlignment="1">
      <alignment horizontal="center"/>
    </xf>
    <xf numFmtId="0" fontId="0" fillId="19" borderId="24" xfId="0" applyFont="1" applyFill="1" applyBorder="1" applyAlignment="1">
      <alignment horizontal="center"/>
    </xf>
    <xf numFmtId="0" fontId="0" fillId="19" borderId="43" xfId="0" applyFont="1" applyFill="1" applyBorder="1" applyAlignment="1">
      <alignment horizontal="center"/>
    </xf>
    <xf numFmtId="0" fontId="0" fillId="10" borderId="49" xfId="0" applyFill="1" applyBorder="1" applyAlignment="1">
      <alignment horizontal="center"/>
    </xf>
    <xf numFmtId="0" fontId="0" fillId="10" borderId="25" xfId="0" applyFill="1" applyBorder="1" applyAlignment="1">
      <alignment horizontal="center"/>
    </xf>
    <xf numFmtId="0" fontId="0" fillId="10" borderId="40" xfId="0" applyFill="1" applyBorder="1" applyAlignment="1">
      <alignment horizontal="center"/>
    </xf>
    <xf numFmtId="0" fontId="0" fillId="5" borderId="49" xfId="0" applyFill="1" applyBorder="1" applyAlignment="1">
      <alignment horizontal="center"/>
    </xf>
    <xf numFmtId="0" fontId="0" fillId="5" borderId="25" xfId="0" applyFill="1" applyBorder="1" applyAlignment="1">
      <alignment horizontal="center"/>
    </xf>
    <xf numFmtId="0" fontId="0" fillId="5" borderId="40" xfId="0" applyFill="1" applyBorder="1" applyAlignment="1">
      <alignment horizontal="center"/>
    </xf>
    <xf numFmtId="0" fontId="0" fillId="2" borderId="42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44" xfId="0" applyFont="1" applyFill="1" applyBorder="1" applyAlignment="1">
      <alignment horizontal="center"/>
    </xf>
    <xf numFmtId="0" fontId="0" fillId="3" borderId="34" xfId="0" applyFill="1" applyBorder="1" applyAlignment="1">
      <alignment horizontal="center"/>
    </xf>
    <xf numFmtId="0" fontId="0" fillId="3" borderId="33" xfId="0" applyFill="1" applyBorder="1" applyAlignment="1">
      <alignment horizontal="center"/>
    </xf>
    <xf numFmtId="0" fontId="0" fillId="3" borderId="36" xfId="0" applyFill="1" applyBorder="1" applyAlignment="1">
      <alignment horizontal="center"/>
    </xf>
    <xf numFmtId="0" fontId="0" fillId="19" borderId="49" xfId="0" applyFont="1" applyFill="1" applyBorder="1" applyAlignment="1">
      <alignment horizontal="center"/>
    </xf>
    <xf numFmtId="0" fontId="0" fillId="19" borderId="25" xfId="0" applyFont="1" applyFill="1" applyBorder="1" applyAlignment="1">
      <alignment horizontal="center"/>
    </xf>
    <xf numFmtId="0" fontId="0" fillId="19" borderId="40" xfId="0" applyFont="1" applyFill="1" applyBorder="1" applyAlignment="1">
      <alignment horizontal="center"/>
    </xf>
    <xf numFmtId="0" fontId="0" fillId="10" borderId="35" xfId="0" applyFill="1" applyBorder="1" applyAlignment="1">
      <alignment horizontal="center"/>
    </xf>
    <xf numFmtId="0" fontId="0" fillId="10" borderId="24" xfId="0" applyFill="1" applyBorder="1" applyAlignment="1">
      <alignment horizontal="center"/>
    </xf>
    <xf numFmtId="0" fontId="0" fillId="10" borderId="43" xfId="0" applyFill="1" applyBorder="1" applyAlignment="1">
      <alignment horizontal="center"/>
    </xf>
    <xf numFmtId="0" fontId="0" fillId="3" borderId="49" xfId="0" applyFill="1" applyBorder="1" applyAlignment="1">
      <alignment horizontal="center"/>
    </xf>
    <xf numFmtId="0" fontId="0" fillId="3" borderId="25" xfId="0" applyFill="1" applyBorder="1" applyAlignment="1">
      <alignment horizontal="center"/>
    </xf>
    <xf numFmtId="0" fontId="0" fillId="3" borderId="40" xfId="0" applyFill="1" applyBorder="1" applyAlignment="1">
      <alignment horizontal="center"/>
    </xf>
    <xf numFmtId="0" fontId="0" fillId="5" borderId="35" xfId="0" applyFill="1" applyBorder="1" applyAlignment="1">
      <alignment horizontal="center"/>
    </xf>
    <xf numFmtId="0" fontId="0" fillId="5" borderId="24" xfId="0" applyFill="1" applyBorder="1" applyAlignment="1">
      <alignment horizontal="center"/>
    </xf>
    <xf numFmtId="0" fontId="0" fillId="5" borderId="43" xfId="0" applyFill="1" applyBorder="1" applyAlignment="1">
      <alignment horizontal="center"/>
    </xf>
    <xf numFmtId="0" fontId="0" fillId="3" borderId="35" xfId="0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0" fillId="3" borderId="43" xfId="0" applyFill="1" applyBorder="1" applyAlignment="1">
      <alignment horizontal="center"/>
    </xf>
    <xf numFmtId="0" fontId="8" fillId="0" borderId="13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0" fillId="4" borderId="35" xfId="0" applyFill="1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0" fillId="4" borderId="43" xfId="0" applyFill="1" applyBorder="1" applyAlignment="1">
      <alignment horizontal="center"/>
    </xf>
    <xf numFmtId="2" fontId="0" fillId="13" borderId="39" xfId="0" applyNumberFormat="1" applyFill="1" applyBorder="1" applyAlignment="1">
      <alignment horizontal="center"/>
    </xf>
    <xf numFmtId="2" fontId="0" fillId="13" borderId="66" xfId="0" applyNumberFormat="1" applyFill="1" applyBorder="1" applyAlignment="1">
      <alignment horizontal="center"/>
    </xf>
    <xf numFmtId="2" fontId="0" fillId="13" borderId="67" xfId="0" applyNumberFormat="1" applyFill="1" applyBorder="1" applyAlignment="1">
      <alignment horizontal="center"/>
    </xf>
    <xf numFmtId="2" fontId="0" fillId="13" borderId="37" xfId="0" applyNumberFormat="1" applyFill="1" applyBorder="1" applyAlignment="1">
      <alignment horizontal="center"/>
    </xf>
    <xf numFmtId="2" fontId="0" fillId="13" borderId="68" xfId="0" applyNumberFormat="1" applyFill="1" applyBorder="1" applyAlignment="1">
      <alignment horizontal="center"/>
    </xf>
    <xf numFmtId="2" fontId="0" fillId="13" borderId="69" xfId="0" applyNumberFormat="1" applyFill="1" applyBorder="1" applyAlignment="1">
      <alignment horizontal="center"/>
    </xf>
    <xf numFmtId="0" fontId="0" fillId="15" borderId="27" xfId="0" applyFill="1" applyBorder="1" applyAlignment="1">
      <alignment horizontal="center"/>
    </xf>
    <xf numFmtId="0" fontId="0" fillId="15" borderId="28" xfId="0" applyFill="1" applyBorder="1" applyAlignment="1">
      <alignment horizontal="center"/>
    </xf>
    <xf numFmtId="0" fontId="0" fillId="17" borderId="27" xfId="0" applyFill="1" applyBorder="1" applyAlignment="1">
      <alignment horizontal="center"/>
    </xf>
    <xf numFmtId="0" fontId="0" fillId="17" borderId="28" xfId="0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16" xfId="0" applyFill="1" applyBorder="1" applyAlignment="1">
      <alignment horizontal="center"/>
    </xf>
    <xf numFmtId="0" fontId="0" fillId="7" borderId="35" xfId="0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7" borderId="43" xfId="0" applyFill="1" applyBorder="1" applyAlignment="1">
      <alignment horizontal="center"/>
    </xf>
    <xf numFmtId="0" fontId="0" fillId="14" borderId="34" xfId="0" applyFill="1" applyBorder="1" applyAlignment="1">
      <alignment horizontal="center"/>
    </xf>
    <xf numFmtId="0" fontId="0" fillId="14" borderId="33" xfId="0" applyFill="1" applyBorder="1" applyAlignment="1">
      <alignment horizontal="center"/>
    </xf>
    <xf numFmtId="0" fontId="0" fillId="14" borderId="36" xfId="0" applyFill="1" applyBorder="1" applyAlignment="1">
      <alignment horizontal="center"/>
    </xf>
    <xf numFmtId="0" fontId="0" fillId="7" borderId="34" xfId="0" applyFill="1" applyBorder="1" applyAlignment="1">
      <alignment horizontal="center"/>
    </xf>
    <xf numFmtId="0" fontId="0" fillId="7" borderId="33" xfId="0" applyFill="1" applyBorder="1" applyAlignment="1">
      <alignment horizontal="center"/>
    </xf>
    <xf numFmtId="0" fontId="0" fillId="7" borderId="36" xfId="0" applyFill="1" applyBorder="1" applyAlignment="1">
      <alignment horizontal="center"/>
    </xf>
    <xf numFmtId="0" fontId="0" fillId="5" borderId="34" xfId="0" applyFill="1" applyBorder="1" applyAlignment="1">
      <alignment horizontal="center"/>
    </xf>
    <xf numFmtId="0" fontId="0" fillId="5" borderId="33" xfId="0" applyFill="1" applyBorder="1" applyAlignment="1">
      <alignment horizontal="center"/>
    </xf>
    <xf numFmtId="0" fontId="0" fillId="5" borderId="36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0" fillId="6" borderId="37" xfId="0" applyFill="1" applyBorder="1" applyAlignment="1">
      <alignment horizontal="center"/>
    </xf>
    <xf numFmtId="0" fontId="0" fillId="6" borderId="38" xfId="0" applyFill="1" applyBorder="1" applyAlignment="1">
      <alignment horizontal="center"/>
    </xf>
    <xf numFmtId="0" fontId="0" fillId="6" borderId="5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10" borderId="54" xfId="0" applyFill="1" applyBorder="1" applyAlignment="1">
      <alignment horizontal="center"/>
    </xf>
    <xf numFmtId="0" fontId="0" fillId="10" borderId="5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11" borderId="37" xfId="0" applyFill="1" applyBorder="1" applyAlignment="1">
      <alignment horizontal="center"/>
    </xf>
    <xf numFmtId="0" fontId="0" fillId="11" borderId="38" xfId="0" applyFill="1" applyBorder="1" applyAlignment="1">
      <alignment horizontal="center"/>
    </xf>
    <xf numFmtId="0" fontId="0" fillId="4" borderId="37" xfId="0" applyFill="1" applyBorder="1" applyAlignment="1">
      <alignment horizontal="center"/>
    </xf>
    <xf numFmtId="0" fontId="0" fillId="4" borderId="38" xfId="0" applyFill="1" applyBorder="1" applyAlignment="1">
      <alignment horizontal="center"/>
    </xf>
    <xf numFmtId="0" fontId="0" fillId="0" borderId="9" xfId="0" applyBorder="1" applyAlignment="1">
      <alignment horizontal="right"/>
    </xf>
    <xf numFmtId="0" fontId="0" fillId="0" borderId="55" xfId="0" applyBorder="1" applyAlignment="1">
      <alignment horizontal="right"/>
    </xf>
    <xf numFmtId="0" fontId="0" fillId="6" borderId="19" xfId="0" applyFill="1" applyBorder="1" applyAlignment="1">
      <alignment horizontal="center"/>
    </xf>
    <xf numFmtId="0" fontId="0" fillId="6" borderId="20" xfId="0" applyFill="1" applyBorder="1" applyAlignment="1">
      <alignment horizontal="center"/>
    </xf>
    <xf numFmtId="0" fontId="0" fillId="9" borderId="37" xfId="0" applyFill="1" applyBorder="1" applyAlignment="1">
      <alignment horizontal="center"/>
    </xf>
    <xf numFmtId="0" fontId="0" fillId="9" borderId="38" xfId="0" applyFill="1" applyBorder="1" applyAlignment="1">
      <alignment horizontal="center"/>
    </xf>
    <xf numFmtId="0" fontId="0" fillId="9" borderId="18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19" xfId="0" applyFill="1" applyBorder="1" applyAlignment="1">
      <alignment horizontal="center"/>
    </xf>
    <xf numFmtId="0" fontId="0" fillId="9" borderId="2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2" fontId="0" fillId="2" borderId="5" xfId="0" applyNumberFormat="1" applyFill="1" applyBorder="1" applyAlignment="1" applyProtection="1">
      <alignment horizontal="center" vertical="center"/>
      <protection locked="0"/>
    </xf>
    <xf numFmtId="2" fontId="0" fillId="2" borderId="6" xfId="0" applyNumberForma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textRotation="180"/>
    </xf>
    <xf numFmtId="0" fontId="2" fillId="3" borderId="14" xfId="0" applyFont="1" applyFill="1" applyBorder="1" applyAlignment="1">
      <alignment horizontal="center" vertical="center" textRotation="180"/>
    </xf>
    <xf numFmtId="0" fontId="2" fillId="3" borderId="23" xfId="0" applyFont="1" applyFill="1" applyBorder="1" applyAlignment="1">
      <alignment horizontal="center" vertical="center" textRotation="180"/>
    </xf>
    <xf numFmtId="0" fontId="0" fillId="12" borderId="15" xfId="0" applyFill="1" applyBorder="1" applyAlignment="1">
      <alignment horizontal="center"/>
    </xf>
    <xf numFmtId="0" fontId="0" fillId="12" borderId="16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2" borderId="5" xfId="0" applyFill="1" applyBorder="1" applyAlignment="1">
      <alignment horizontal="center"/>
    </xf>
    <xf numFmtId="0" fontId="0" fillId="12" borderId="35" xfId="0" applyFill="1" applyBorder="1" applyAlignment="1">
      <alignment horizontal="center"/>
    </xf>
    <xf numFmtId="0" fontId="0" fillId="12" borderId="24" xfId="0" applyFill="1" applyBorder="1" applyAlignment="1">
      <alignment horizontal="center"/>
    </xf>
    <xf numFmtId="0" fontId="0" fillId="12" borderId="43" xfId="0" applyFill="1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 wrapText="1"/>
    </xf>
    <xf numFmtId="0" fontId="5" fillId="0" borderId="30" xfId="0" applyFont="1" applyBorder="1" applyAlignment="1">
      <alignment horizontal="center"/>
    </xf>
    <xf numFmtId="0" fontId="0" fillId="7" borderId="15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0" fillId="7" borderId="18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0" fillId="7" borderId="45" xfId="0" applyFill="1" applyBorder="1" applyAlignment="1">
      <alignment horizontal="center"/>
    </xf>
    <xf numFmtId="0" fontId="0" fillId="7" borderId="46" xfId="0" applyFill="1" applyBorder="1" applyAlignment="1">
      <alignment horizontal="center"/>
    </xf>
    <xf numFmtId="0" fontId="0" fillId="7" borderId="47" xfId="0" applyFill="1" applyBorder="1" applyAlignment="1">
      <alignment horizontal="center"/>
    </xf>
    <xf numFmtId="0" fontId="0" fillId="3" borderId="50" xfId="0" applyFill="1" applyBorder="1" applyAlignment="1">
      <alignment horizontal="center"/>
    </xf>
    <xf numFmtId="0" fontId="0" fillId="3" borderId="51" xfId="0" applyFill="1" applyBorder="1" applyAlignment="1">
      <alignment horizontal="center"/>
    </xf>
    <xf numFmtId="0" fontId="0" fillId="3" borderId="52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10" fillId="0" borderId="13" xfId="0" applyFont="1" applyFill="1" applyBorder="1" applyAlignment="1">
      <alignment horizontal="center" vertical="center" textRotation="180"/>
    </xf>
    <xf numFmtId="0" fontId="10" fillId="0" borderId="14" xfId="0" applyFont="1" applyFill="1" applyBorder="1" applyAlignment="1">
      <alignment horizontal="center" vertical="center" textRotation="180"/>
    </xf>
    <xf numFmtId="0" fontId="10" fillId="0" borderId="23" xfId="0" applyFont="1" applyFill="1" applyBorder="1" applyAlignment="1">
      <alignment horizontal="center" vertical="center" textRotation="180"/>
    </xf>
    <xf numFmtId="0" fontId="0" fillId="0" borderId="0" xfId="0" applyAlignment="1">
      <alignment horizontal="center"/>
    </xf>
    <xf numFmtId="0" fontId="0" fillId="14" borderId="49" xfId="0" applyFill="1" applyBorder="1" applyAlignment="1">
      <alignment horizontal="center"/>
    </xf>
    <xf numFmtId="0" fontId="0" fillId="14" borderId="25" xfId="0" applyFill="1" applyBorder="1" applyAlignment="1">
      <alignment horizontal="center"/>
    </xf>
    <xf numFmtId="0" fontId="0" fillId="14" borderId="40" xfId="0" applyFill="1" applyBorder="1" applyAlignment="1">
      <alignment horizontal="center"/>
    </xf>
    <xf numFmtId="0" fontId="0" fillId="14" borderId="35" xfId="0" applyFill="1" applyBorder="1" applyAlignment="1">
      <alignment horizontal="center"/>
    </xf>
    <xf numFmtId="0" fontId="0" fillId="14" borderId="24" xfId="0" applyFill="1" applyBorder="1" applyAlignment="1">
      <alignment horizontal="center"/>
    </xf>
    <xf numFmtId="0" fontId="0" fillId="14" borderId="43" xfId="0" applyFill="1" applyBorder="1" applyAlignment="1">
      <alignment horizontal="center"/>
    </xf>
    <xf numFmtId="0" fontId="0" fillId="7" borderId="49" xfId="0" applyFill="1" applyBorder="1" applyAlignment="1">
      <alignment horizontal="center"/>
    </xf>
    <xf numFmtId="0" fontId="0" fillId="7" borderId="25" xfId="0" applyFill="1" applyBorder="1" applyAlignment="1">
      <alignment horizontal="center"/>
    </xf>
    <xf numFmtId="0" fontId="0" fillId="7" borderId="40" xfId="0" applyFill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5" fillId="0" borderId="31" xfId="0" applyFont="1" applyBorder="1" applyAlignment="1">
      <alignment horizontal="center"/>
    </xf>
    <xf numFmtId="0" fontId="0" fillId="10" borderId="19" xfId="0" applyFill="1" applyBorder="1" applyAlignment="1">
      <alignment horizontal="center"/>
    </xf>
    <xf numFmtId="0" fontId="0" fillId="10" borderId="20" xfId="0" applyFill="1" applyBorder="1" applyAlignment="1">
      <alignment horizontal="center"/>
    </xf>
    <xf numFmtId="0" fontId="0" fillId="10" borderId="18" xfId="0" applyFill="1" applyBorder="1" applyAlignment="1">
      <alignment horizontal="center"/>
    </xf>
    <xf numFmtId="0" fontId="0" fillId="10" borderId="4" xfId="0" applyFill="1" applyBorder="1" applyAlignment="1">
      <alignment horizontal="center"/>
    </xf>
    <xf numFmtId="0" fontId="0" fillId="6" borderId="27" xfId="0" applyFill="1" applyBorder="1" applyAlignment="1">
      <alignment horizontal="center"/>
    </xf>
    <xf numFmtId="0" fontId="0" fillId="6" borderId="28" xfId="0" applyFill="1" applyBorder="1" applyAlignment="1">
      <alignment horizontal="center"/>
    </xf>
    <xf numFmtId="0" fontId="0" fillId="16" borderId="27" xfId="0" applyFill="1" applyBorder="1" applyAlignment="1">
      <alignment horizontal="center"/>
    </xf>
    <xf numFmtId="0" fontId="0" fillId="16" borderId="28" xfId="0" applyFill="1" applyBorder="1" applyAlignment="1">
      <alignment horizontal="center"/>
    </xf>
    <xf numFmtId="0" fontId="0" fillId="0" borderId="35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0" fillId="0" borderId="33" xfId="0" applyFill="1" applyBorder="1" applyAlignment="1">
      <alignment horizontal="center"/>
    </xf>
    <xf numFmtId="0" fontId="0" fillId="0" borderId="36" xfId="0" applyFill="1" applyBorder="1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 vertical="center" indent="4"/>
    </xf>
    <xf numFmtId="0" fontId="5" fillId="0" borderId="10" xfId="0" applyFont="1" applyFill="1" applyBorder="1" applyAlignment="1">
      <alignment horizontal="left" vertical="center" indent="4"/>
    </xf>
    <xf numFmtId="2" fontId="0" fillId="0" borderId="0" xfId="0" applyNumberFormat="1" applyFill="1" applyBorder="1" applyAlignment="1" applyProtection="1">
      <alignment horizontal="center"/>
      <protection locked="0"/>
    </xf>
    <xf numFmtId="2" fontId="0" fillId="0" borderId="55" xfId="0" applyNumberFormat="1" applyFill="1" applyBorder="1" applyAlignment="1" applyProtection="1">
      <alignment horizontal="center"/>
      <protection locked="0"/>
    </xf>
    <xf numFmtId="0" fontId="3" fillId="3" borderId="10" xfId="0" applyFont="1" applyFill="1" applyBorder="1" applyAlignment="1">
      <alignment horizontal="center" vertical="center" textRotation="180"/>
    </xf>
    <xf numFmtId="0" fontId="0" fillId="0" borderId="0" xfId="0" applyFill="1" applyBorder="1" applyAlignment="1">
      <alignment horizontal="right"/>
    </xf>
    <xf numFmtId="0" fontId="0" fillId="14" borderId="27" xfId="0" applyFill="1" applyBorder="1" applyAlignment="1">
      <alignment horizontal="center"/>
    </xf>
    <xf numFmtId="0" fontId="0" fillId="14" borderId="28" xfId="0" applyFill="1" applyBorder="1" applyAlignment="1">
      <alignment horizontal="center"/>
    </xf>
    <xf numFmtId="0" fontId="0" fillId="2" borderId="62" xfId="0" applyFill="1" applyBorder="1" applyAlignment="1" applyProtection="1">
      <alignment horizontal="center"/>
      <protection locked="0"/>
    </xf>
    <xf numFmtId="0" fontId="0" fillId="2" borderId="72" xfId="0" applyFill="1" applyBorder="1" applyAlignment="1" applyProtection="1">
      <alignment horizontal="center"/>
      <protection locked="0"/>
    </xf>
    <xf numFmtId="0" fontId="0" fillId="0" borderId="34" xfId="0" applyFont="1" applyFill="1" applyBorder="1" applyAlignment="1">
      <alignment horizontal="center"/>
    </xf>
    <xf numFmtId="0" fontId="0" fillId="0" borderId="33" xfId="0" applyFont="1" applyFill="1" applyBorder="1" applyAlignment="1">
      <alignment horizontal="center"/>
    </xf>
    <xf numFmtId="0" fontId="0" fillId="0" borderId="36" xfId="0" applyFont="1" applyFill="1" applyBorder="1" applyAlignment="1">
      <alignment horizontal="center"/>
    </xf>
    <xf numFmtId="44" fontId="0" fillId="0" borderId="4" xfId="0" applyNumberFormat="1" applyBorder="1" applyAlignment="1">
      <alignment horizontal="center"/>
    </xf>
    <xf numFmtId="44" fontId="0" fillId="0" borderId="26" xfId="0" applyNumberFormat="1" applyBorder="1" applyAlignment="1">
      <alignment horizontal="center"/>
    </xf>
    <xf numFmtId="44" fontId="0" fillId="0" borderId="20" xfId="0" applyNumberFormat="1" applyBorder="1" applyAlignment="1">
      <alignment horizontal="center"/>
    </xf>
    <xf numFmtId="44" fontId="0" fillId="0" borderId="21" xfId="0" applyNumberFormat="1" applyBorder="1" applyAlignment="1">
      <alignment horizontal="center"/>
    </xf>
    <xf numFmtId="0" fontId="1" fillId="4" borderId="34" xfId="0" applyFont="1" applyFill="1" applyBorder="1" applyAlignment="1">
      <alignment horizontal="center"/>
    </xf>
    <xf numFmtId="0" fontId="1" fillId="4" borderId="33" xfId="0" applyFont="1" applyFill="1" applyBorder="1" applyAlignment="1">
      <alignment horizontal="center"/>
    </xf>
    <xf numFmtId="0" fontId="1" fillId="4" borderId="76" xfId="0" applyFont="1" applyFill="1" applyBorder="1" applyAlignment="1">
      <alignment horizontal="center"/>
    </xf>
    <xf numFmtId="44" fontId="0" fillId="0" borderId="16" xfId="1" applyFont="1" applyBorder="1" applyAlignment="1">
      <alignment horizontal="center"/>
    </xf>
    <xf numFmtId="44" fontId="0" fillId="0" borderId="17" xfId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8" xfId="0" applyBorder="1" applyAlignment="1">
      <alignment horizontal="center"/>
    </xf>
    <xf numFmtId="0" fontId="16" fillId="0" borderId="42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72" xfId="0" applyFont="1" applyBorder="1" applyAlignment="1">
      <alignment horizontal="center"/>
    </xf>
    <xf numFmtId="2" fontId="0" fillId="0" borderId="32" xfId="0" applyNumberFormat="1" applyBorder="1" applyProtection="1">
      <protection locked="0"/>
    </xf>
    <xf numFmtId="2" fontId="0" fillId="0" borderId="70" xfId="0" applyNumberFormat="1" applyBorder="1" applyProtection="1">
      <protection locked="0"/>
    </xf>
  </cellXfs>
  <cellStyles count="2">
    <cellStyle name="Monétaire" xfId="1" builtinId="4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  <color rgb="FF8EEB75"/>
      <color rgb="FFFF00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eg"/><Relationship Id="rId18" Type="http://schemas.openxmlformats.org/officeDocument/2006/relationships/image" Target="../media/image23.jpeg"/><Relationship Id="rId26" Type="http://schemas.openxmlformats.org/officeDocument/2006/relationships/image" Target="../media/image31.jpeg"/><Relationship Id="rId39" Type="http://schemas.openxmlformats.org/officeDocument/2006/relationships/image" Target="../media/image44.jpeg"/><Relationship Id="rId3" Type="http://schemas.openxmlformats.org/officeDocument/2006/relationships/image" Target="../media/image8.jpeg"/><Relationship Id="rId21" Type="http://schemas.openxmlformats.org/officeDocument/2006/relationships/image" Target="../media/image26.jpeg"/><Relationship Id="rId34" Type="http://schemas.openxmlformats.org/officeDocument/2006/relationships/image" Target="../media/image39.jpeg"/><Relationship Id="rId42" Type="http://schemas.openxmlformats.org/officeDocument/2006/relationships/image" Target="../media/image47.jpeg"/><Relationship Id="rId7" Type="http://schemas.openxmlformats.org/officeDocument/2006/relationships/image" Target="../media/image12.jpeg"/><Relationship Id="rId12" Type="http://schemas.openxmlformats.org/officeDocument/2006/relationships/image" Target="../media/image17.jpeg"/><Relationship Id="rId17" Type="http://schemas.openxmlformats.org/officeDocument/2006/relationships/image" Target="../media/image22.jpeg"/><Relationship Id="rId25" Type="http://schemas.openxmlformats.org/officeDocument/2006/relationships/image" Target="../media/image30.jpeg"/><Relationship Id="rId33" Type="http://schemas.openxmlformats.org/officeDocument/2006/relationships/image" Target="../media/image38.jpeg"/><Relationship Id="rId38" Type="http://schemas.openxmlformats.org/officeDocument/2006/relationships/image" Target="../media/image43.jpeg"/><Relationship Id="rId2" Type="http://schemas.openxmlformats.org/officeDocument/2006/relationships/image" Target="../media/image7.jpeg"/><Relationship Id="rId16" Type="http://schemas.openxmlformats.org/officeDocument/2006/relationships/image" Target="../media/image21.jpeg"/><Relationship Id="rId20" Type="http://schemas.openxmlformats.org/officeDocument/2006/relationships/image" Target="../media/image25.jpeg"/><Relationship Id="rId29" Type="http://schemas.openxmlformats.org/officeDocument/2006/relationships/image" Target="../media/image34.jpeg"/><Relationship Id="rId41" Type="http://schemas.openxmlformats.org/officeDocument/2006/relationships/image" Target="../media/image46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eg"/><Relationship Id="rId24" Type="http://schemas.openxmlformats.org/officeDocument/2006/relationships/image" Target="../media/image29.jpeg"/><Relationship Id="rId32" Type="http://schemas.openxmlformats.org/officeDocument/2006/relationships/image" Target="../media/image37.jpeg"/><Relationship Id="rId37" Type="http://schemas.openxmlformats.org/officeDocument/2006/relationships/image" Target="../media/image42.jpeg"/><Relationship Id="rId40" Type="http://schemas.openxmlformats.org/officeDocument/2006/relationships/image" Target="../media/image45.jpeg"/><Relationship Id="rId5" Type="http://schemas.openxmlformats.org/officeDocument/2006/relationships/image" Target="../media/image10.jpeg"/><Relationship Id="rId15" Type="http://schemas.openxmlformats.org/officeDocument/2006/relationships/image" Target="../media/image20.jpeg"/><Relationship Id="rId23" Type="http://schemas.openxmlformats.org/officeDocument/2006/relationships/image" Target="../media/image28.jpeg"/><Relationship Id="rId28" Type="http://schemas.openxmlformats.org/officeDocument/2006/relationships/image" Target="../media/image33.jpeg"/><Relationship Id="rId36" Type="http://schemas.openxmlformats.org/officeDocument/2006/relationships/image" Target="../media/image41.jpeg"/><Relationship Id="rId10" Type="http://schemas.openxmlformats.org/officeDocument/2006/relationships/image" Target="../media/image15.jpeg"/><Relationship Id="rId19" Type="http://schemas.openxmlformats.org/officeDocument/2006/relationships/image" Target="../media/image24.jpeg"/><Relationship Id="rId31" Type="http://schemas.openxmlformats.org/officeDocument/2006/relationships/image" Target="../media/image36.jpeg"/><Relationship Id="rId44" Type="http://schemas.openxmlformats.org/officeDocument/2006/relationships/image" Target="../media/image49.jpeg"/><Relationship Id="rId4" Type="http://schemas.openxmlformats.org/officeDocument/2006/relationships/image" Target="../media/image9.jpeg"/><Relationship Id="rId9" Type="http://schemas.openxmlformats.org/officeDocument/2006/relationships/image" Target="../media/image14.jpeg"/><Relationship Id="rId14" Type="http://schemas.openxmlformats.org/officeDocument/2006/relationships/image" Target="../media/image19.jpeg"/><Relationship Id="rId22" Type="http://schemas.openxmlformats.org/officeDocument/2006/relationships/image" Target="../media/image27.jpeg"/><Relationship Id="rId27" Type="http://schemas.openxmlformats.org/officeDocument/2006/relationships/image" Target="../media/image32.jpeg"/><Relationship Id="rId30" Type="http://schemas.openxmlformats.org/officeDocument/2006/relationships/image" Target="../media/image35.jpeg"/><Relationship Id="rId35" Type="http://schemas.openxmlformats.org/officeDocument/2006/relationships/image" Target="../media/image40.jpeg"/><Relationship Id="rId43" Type="http://schemas.openxmlformats.org/officeDocument/2006/relationships/image" Target="../media/image4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37117</xdr:colOff>
      <xdr:row>247</xdr:row>
      <xdr:rowOff>190503</xdr:rowOff>
    </xdr:from>
    <xdr:to>
      <xdr:col>4</xdr:col>
      <xdr:colOff>294410</xdr:colOff>
      <xdr:row>262</xdr:row>
      <xdr:rowOff>181842</xdr:rowOff>
    </xdr:to>
    <xdr:sp macro="" textlink="">
      <xdr:nvSpPr>
        <xdr:cNvPr id="294" name="Rectangle 293"/>
        <xdr:cNvSpPr/>
      </xdr:nvSpPr>
      <xdr:spPr>
        <a:xfrm rot="16200000">
          <a:off x="594390" y="45032844"/>
          <a:ext cx="2952748" cy="2543293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37116</xdr:colOff>
      <xdr:row>247</xdr:row>
      <xdr:rowOff>4</xdr:rowOff>
    </xdr:from>
    <xdr:to>
      <xdr:col>4</xdr:col>
      <xdr:colOff>295652</xdr:colOff>
      <xdr:row>248</xdr:row>
      <xdr:rowOff>12374</xdr:rowOff>
    </xdr:to>
    <xdr:sp macro="" textlink="">
      <xdr:nvSpPr>
        <xdr:cNvPr id="293" name="Rectangle 292"/>
        <xdr:cNvSpPr/>
      </xdr:nvSpPr>
      <xdr:spPr>
        <a:xfrm rot="16200000">
          <a:off x="1965619" y="43471115"/>
          <a:ext cx="211529" cy="2544536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612322</xdr:colOff>
      <xdr:row>64</xdr:row>
      <xdr:rowOff>163285</xdr:rowOff>
    </xdr:from>
    <xdr:to>
      <xdr:col>5</xdr:col>
      <xdr:colOff>639536</xdr:colOff>
      <xdr:row>68</xdr:row>
      <xdr:rowOff>68033</xdr:rowOff>
    </xdr:to>
    <xdr:sp macro="" textlink="">
      <xdr:nvSpPr>
        <xdr:cNvPr id="196" name="Rectangle 195"/>
        <xdr:cNvSpPr/>
      </xdr:nvSpPr>
      <xdr:spPr>
        <a:xfrm>
          <a:off x="2136322" y="12831535"/>
          <a:ext cx="2313214" cy="666748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0</xdr:colOff>
      <xdr:row>31</xdr:row>
      <xdr:rowOff>81643</xdr:rowOff>
    </xdr:from>
    <xdr:to>
      <xdr:col>7</xdr:col>
      <xdr:colOff>421821</xdr:colOff>
      <xdr:row>32</xdr:row>
      <xdr:rowOff>68035</xdr:rowOff>
    </xdr:to>
    <xdr:sp macro="" textlink="">
      <xdr:nvSpPr>
        <xdr:cNvPr id="90" name="Rectangle 89"/>
        <xdr:cNvSpPr/>
      </xdr:nvSpPr>
      <xdr:spPr>
        <a:xfrm>
          <a:off x="4572000" y="5796643"/>
          <a:ext cx="1183821" cy="176892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285749</xdr:colOff>
      <xdr:row>3</xdr:row>
      <xdr:rowOff>95250</xdr:rowOff>
    </xdr:from>
    <xdr:to>
      <xdr:col>6</xdr:col>
      <xdr:colOff>108856</xdr:colOff>
      <xdr:row>12</xdr:row>
      <xdr:rowOff>81643</xdr:rowOff>
    </xdr:to>
    <xdr:sp macro="" textlink="">
      <xdr:nvSpPr>
        <xdr:cNvPr id="4" name="Rectangle 3"/>
        <xdr:cNvSpPr/>
      </xdr:nvSpPr>
      <xdr:spPr>
        <a:xfrm>
          <a:off x="285749" y="857250"/>
          <a:ext cx="4395107" cy="1700893"/>
        </a:xfrm>
        <a:prstGeom prst="rect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381000</xdr:colOff>
      <xdr:row>4</xdr:row>
      <xdr:rowOff>0</xdr:rowOff>
    </xdr:from>
    <xdr:to>
      <xdr:col>6</xdr:col>
      <xdr:colOff>0</xdr:colOff>
      <xdr:row>11</xdr:row>
      <xdr:rowOff>163286</xdr:rowOff>
    </xdr:to>
    <xdr:sp macro="" textlink="">
      <xdr:nvSpPr>
        <xdr:cNvPr id="2" name="Rectangle 1"/>
        <xdr:cNvSpPr/>
      </xdr:nvSpPr>
      <xdr:spPr>
        <a:xfrm>
          <a:off x="381000" y="952500"/>
          <a:ext cx="4191000" cy="1496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585107</xdr:colOff>
      <xdr:row>5</xdr:row>
      <xdr:rowOff>54429</xdr:rowOff>
    </xdr:from>
    <xdr:to>
      <xdr:col>5</xdr:col>
      <xdr:colOff>503464</xdr:colOff>
      <xdr:row>10</xdr:row>
      <xdr:rowOff>136071</xdr:rowOff>
    </xdr:to>
    <xdr:sp macro="" textlink="">
      <xdr:nvSpPr>
        <xdr:cNvPr id="3" name="Rectangle 2"/>
        <xdr:cNvSpPr/>
      </xdr:nvSpPr>
      <xdr:spPr>
        <a:xfrm>
          <a:off x="585107" y="1197429"/>
          <a:ext cx="3728357" cy="1034142"/>
        </a:xfrm>
        <a:prstGeom prst="rect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666750</xdr:colOff>
      <xdr:row>5</xdr:row>
      <xdr:rowOff>149679</xdr:rowOff>
    </xdr:from>
    <xdr:to>
      <xdr:col>5</xdr:col>
      <xdr:colOff>408214</xdr:colOff>
      <xdr:row>10</xdr:row>
      <xdr:rowOff>40821</xdr:rowOff>
    </xdr:to>
    <xdr:sp macro="" textlink="">
      <xdr:nvSpPr>
        <xdr:cNvPr id="5" name="Rectangle 4"/>
        <xdr:cNvSpPr/>
      </xdr:nvSpPr>
      <xdr:spPr>
        <a:xfrm>
          <a:off x="666750" y="1292679"/>
          <a:ext cx="3551464" cy="843642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381000</xdr:colOff>
      <xdr:row>11</xdr:row>
      <xdr:rowOff>163291</xdr:rowOff>
    </xdr:from>
    <xdr:to>
      <xdr:col>0</xdr:col>
      <xdr:colOff>381001</xdr:colOff>
      <xdr:row>15</xdr:row>
      <xdr:rowOff>13607</xdr:rowOff>
    </xdr:to>
    <xdr:cxnSp macro="">
      <xdr:nvCxnSpPr>
        <xdr:cNvPr id="7" name="Connecteur droit 6"/>
        <xdr:cNvCxnSpPr/>
      </xdr:nvCxnSpPr>
      <xdr:spPr>
        <a:xfrm flipV="1">
          <a:off x="381000" y="2449291"/>
          <a:ext cx="1" cy="612316"/>
        </a:xfrm>
        <a:prstGeom prst="line">
          <a:avLst/>
        </a:prstGeom>
        <a:ln w="19050"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11</xdr:row>
      <xdr:rowOff>149683</xdr:rowOff>
    </xdr:from>
    <xdr:to>
      <xdr:col>6</xdr:col>
      <xdr:colOff>1</xdr:colOff>
      <xdr:row>15</xdr:row>
      <xdr:rowOff>27214</xdr:rowOff>
    </xdr:to>
    <xdr:cxnSp macro="">
      <xdr:nvCxnSpPr>
        <xdr:cNvPr id="11" name="Connecteur droit 10"/>
        <xdr:cNvCxnSpPr/>
      </xdr:nvCxnSpPr>
      <xdr:spPr>
        <a:xfrm flipV="1">
          <a:off x="4572000" y="2435683"/>
          <a:ext cx="1" cy="639531"/>
        </a:xfrm>
        <a:prstGeom prst="line">
          <a:avLst/>
        </a:prstGeom>
        <a:ln w="19050"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</xdr:colOff>
      <xdr:row>4</xdr:row>
      <xdr:rowOff>0</xdr:rowOff>
    </xdr:from>
    <xdr:to>
      <xdr:col>7</xdr:col>
      <xdr:colOff>13607</xdr:colOff>
      <xdr:row>4</xdr:row>
      <xdr:rowOff>0</xdr:rowOff>
    </xdr:to>
    <xdr:cxnSp macro="">
      <xdr:nvCxnSpPr>
        <xdr:cNvPr id="12" name="Connecteur droit 11"/>
        <xdr:cNvCxnSpPr/>
      </xdr:nvCxnSpPr>
      <xdr:spPr>
        <a:xfrm flipH="1">
          <a:off x="4572001" y="952500"/>
          <a:ext cx="775606" cy="0"/>
        </a:xfrm>
        <a:prstGeom prst="line">
          <a:avLst/>
        </a:prstGeom>
        <a:ln w="19050"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11</xdr:row>
      <xdr:rowOff>163286</xdr:rowOff>
    </xdr:from>
    <xdr:to>
      <xdr:col>7</xdr:col>
      <xdr:colOff>13606</xdr:colOff>
      <xdr:row>11</xdr:row>
      <xdr:rowOff>163286</xdr:rowOff>
    </xdr:to>
    <xdr:cxnSp macro="">
      <xdr:nvCxnSpPr>
        <xdr:cNvPr id="15" name="Connecteur droit 14"/>
        <xdr:cNvCxnSpPr/>
      </xdr:nvCxnSpPr>
      <xdr:spPr>
        <a:xfrm flipH="1">
          <a:off x="4572000" y="2449286"/>
          <a:ext cx="775606" cy="0"/>
        </a:xfrm>
        <a:prstGeom prst="line">
          <a:avLst/>
        </a:prstGeom>
        <a:ln w="19050"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224065</xdr:colOff>
      <xdr:row>40</xdr:row>
      <xdr:rowOff>19958</xdr:rowOff>
    </xdr:from>
    <xdr:to>
      <xdr:col>0</xdr:col>
      <xdr:colOff>721179</xdr:colOff>
      <xdr:row>43</xdr:row>
      <xdr:rowOff>0</xdr:rowOff>
    </xdr:to>
    <xdr:cxnSp macro="">
      <xdr:nvCxnSpPr>
        <xdr:cNvPr id="25" name="Connecteur droit 24"/>
        <xdr:cNvCxnSpPr/>
      </xdr:nvCxnSpPr>
      <xdr:spPr>
        <a:xfrm>
          <a:off x="224065" y="8211458"/>
          <a:ext cx="497114" cy="551542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707571</xdr:colOff>
      <xdr:row>43</xdr:row>
      <xdr:rowOff>0</xdr:rowOff>
    </xdr:from>
    <xdr:to>
      <xdr:col>6</xdr:col>
      <xdr:colOff>0</xdr:colOff>
      <xdr:row>43</xdr:row>
      <xdr:rowOff>0</xdr:rowOff>
    </xdr:to>
    <xdr:cxnSp macro="">
      <xdr:nvCxnSpPr>
        <xdr:cNvPr id="26" name="Connecteur droit 25"/>
        <xdr:cNvCxnSpPr/>
      </xdr:nvCxnSpPr>
      <xdr:spPr>
        <a:xfrm>
          <a:off x="707571" y="8763000"/>
          <a:ext cx="3864429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204108</xdr:colOff>
      <xdr:row>40</xdr:row>
      <xdr:rowOff>0</xdr:rowOff>
    </xdr:from>
    <xdr:to>
      <xdr:col>6</xdr:col>
      <xdr:colOff>13607</xdr:colOff>
      <xdr:row>40</xdr:row>
      <xdr:rowOff>2</xdr:rowOff>
    </xdr:to>
    <xdr:cxnSp macro="">
      <xdr:nvCxnSpPr>
        <xdr:cNvPr id="28" name="Connecteur droit 27"/>
        <xdr:cNvCxnSpPr/>
      </xdr:nvCxnSpPr>
      <xdr:spPr>
        <a:xfrm flipV="1">
          <a:off x="204108" y="8191500"/>
          <a:ext cx="4381499" cy="2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693964</xdr:colOff>
      <xdr:row>32</xdr:row>
      <xdr:rowOff>68036</xdr:rowOff>
    </xdr:from>
    <xdr:to>
      <xdr:col>5</xdr:col>
      <xdr:colOff>0</xdr:colOff>
      <xdr:row>33</xdr:row>
      <xdr:rowOff>108857</xdr:rowOff>
    </xdr:to>
    <xdr:sp macro="" textlink="">
      <xdr:nvSpPr>
        <xdr:cNvPr id="33" name="Rectangle 32"/>
        <xdr:cNvSpPr/>
      </xdr:nvSpPr>
      <xdr:spPr>
        <a:xfrm>
          <a:off x="2217964" y="5973536"/>
          <a:ext cx="1592036" cy="231321"/>
        </a:xfrm>
        <a:prstGeom prst="rect">
          <a:avLst/>
        </a:prstGeom>
        <a:solidFill>
          <a:srgbClr val="92D05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693964</xdr:colOff>
      <xdr:row>28</xdr:row>
      <xdr:rowOff>108858</xdr:rowOff>
    </xdr:from>
    <xdr:to>
      <xdr:col>5</xdr:col>
      <xdr:colOff>0</xdr:colOff>
      <xdr:row>32</xdr:row>
      <xdr:rowOff>68037</xdr:rowOff>
    </xdr:to>
    <xdr:sp macro="" textlink="">
      <xdr:nvSpPr>
        <xdr:cNvPr id="35" name="Rectangle 34"/>
        <xdr:cNvSpPr/>
      </xdr:nvSpPr>
      <xdr:spPr>
        <a:xfrm>
          <a:off x="2217964" y="5252358"/>
          <a:ext cx="1592036" cy="721179"/>
        </a:xfrm>
        <a:prstGeom prst="rect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394607</xdr:colOff>
      <xdr:row>25</xdr:row>
      <xdr:rowOff>122464</xdr:rowOff>
    </xdr:from>
    <xdr:to>
      <xdr:col>4</xdr:col>
      <xdr:colOff>312965</xdr:colOff>
      <xdr:row>28</xdr:row>
      <xdr:rowOff>108857</xdr:rowOff>
    </xdr:to>
    <xdr:sp macro="" textlink="">
      <xdr:nvSpPr>
        <xdr:cNvPr id="36" name="Rectangle 35"/>
        <xdr:cNvSpPr/>
      </xdr:nvSpPr>
      <xdr:spPr>
        <a:xfrm>
          <a:off x="2680607" y="4694464"/>
          <a:ext cx="680358" cy="557893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394607</xdr:colOff>
      <xdr:row>22</xdr:row>
      <xdr:rowOff>136071</xdr:rowOff>
    </xdr:from>
    <xdr:to>
      <xdr:col>4</xdr:col>
      <xdr:colOff>312965</xdr:colOff>
      <xdr:row>25</xdr:row>
      <xdr:rowOff>122464</xdr:rowOff>
    </xdr:to>
    <xdr:sp macro="" textlink="">
      <xdr:nvSpPr>
        <xdr:cNvPr id="37" name="Rectangle 36"/>
        <xdr:cNvSpPr/>
      </xdr:nvSpPr>
      <xdr:spPr>
        <a:xfrm>
          <a:off x="2680607" y="4136571"/>
          <a:ext cx="680358" cy="557893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544287</xdr:colOff>
      <xdr:row>22</xdr:row>
      <xdr:rowOff>136071</xdr:rowOff>
    </xdr:from>
    <xdr:to>
      <xdr:col>4</xdr:col>
      <xdr:colOff>163286</xdr:colOff>
      <xdr:row>24</xdr:row>
      <xdr:rowOff>40820</xdr:rowOff>
    </xdr:to>
    <xdr:sp macro="" textlink="">
      <xdr:nvSpPr>
        <xdr:cNvPr id="38" name="Rectangle 37"/>
        <xdr:cNvSpPr/>
      </xdr:nvSpPr>
      <xdr:spPr>
        <a:xfrm>
          <a:off x="2830287" y="4136571"/>
          <a:ext cx="380999" cy="285749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321472</xdr:colOff>
      <xdr:row>22</xdr:row>
      <xdr:rowOff>136071</xdr:rowOff>
    </xdr:from>
    <xdr:to>
      <xdr:col>3</xdr:col>
      <xdr:colOff>394607</xdr:colOff>
      <xdr:row>26</xdr:row>
      <xdr:rowOff>95249</xdr:rowOff>
    </xdr:to>
    <xdr:sp macro="" textlink="">
      <xdr:nvSpPr>
        <xdr:cNvPr id="39" name="Rectangle 38"/>
        <xdr:cNvSpPr/>
      </xdr:nvSpPr>
      <xdr:spPr>
        <a:xfrm rot="16200000">
          <a:off x="2277497" y="4764202"/>
          <a:ext cx="733085" cy="73135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13607</xdr:colOff>
      <xdr:row>32</xdr:row>
      <xdr:rowOff>68036</xdr:rowOff>
    </xdr:from>
    <xdr:to>
      <xdr:col>6</xdr:col>
      <xdr:colOff>27213</xdr:colOff>
      <xdr:row>32</xdr:row>
      <xdr:rowOff>68036</xdr:rowOff>
    </xdr:to>
    <xdr:cxnSp macro="">
      <xdr:nvCxnSpPr>
        <xdr:cNvPr id="40" name="Connecteur droit 39"/>
        <xdr:cNvCxnSpPr/>
      </xdr:nvCxnSpPr>
      <xdr:spPr>
        <a:xfrm flipH="1">
          <a:off x="3823607" y="5973536"/>
          <a:ext cx="775606" cy="0"/>
        </a:xfrm>
        <a:prstGeom prst="line">
          <a:avLst/>
        </a:prstGeom>
        <a:ln w="19050"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33</xdr:row>
      <xdr:rowOff>95250</xdr:rowOff>
    </xdr:from>
    <xdr:to>
      <xdr:col>6</xdr:col>
      <xdr:colOff>13606</xdr:colOff>
      <xdr:row>33</xdr:row>
      <xdr:rowOff>95250</xdr:rowOff>
    </xdr:to>
    <xdr:cxnSp macro="">
      <xdr:nvCxnSpPr>
        <xdr:cNvPr id="41" name="Connecteur droit 40"/>
        <xdr:cNvCxnSpPr/>
      </xdr:nvCxnSpPr>
      <xdr:spPr>
        <a:xfrm flipH="1">
          <a:off x="3810000" y="6191250"/>
          <a:ext cx="775606" cy="0"/>
        </a:xfrm>
        <a:prstGeom prst="line">
          <a:avLst/>
        </a:prstGeom>
        <a:ln w="19050"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13607</xdr:colOff>
      <xdr:row>28</xdr:row>
      <xdr:rowOff>108858</xdr:rowOff>
    </xdr:from>
    <xdr:to>
      <xdr:col>6</xdr:col>
      <xdr:colOff>27213</xdr:colOff>
      <xdr:row>28</xdr:row>
      <xdr:rowOff>108858</xdr:rowOff>
    </xdr:to>
    <xdr:cxnSp macro="">
      <xdr:nvCxnSpPr>
        <xdr:cNvPr id="42" name="Connecteur droit 41"/>
        <xdr:cNvCxnSpPr/>
      </xdr:nvCxnSpPr>
      <xdr:spPr>
        <a:xfrm flipH="1">
          <a:off x="3823607" y="5252358"/>
          <a:ext cx="775606" cy="0"/>
        </a:xfrm>
        <a:prstGeom prst="line">
          <a:avLst/>
        </a:prstGeom>
        <a:ln w="19050"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312964</xdr:colOff>
      <xdr:row>25</xdr:row>
      <xdr:rowOff>122465</xdr:rowOff>
    </xdr:from>
    <xdr:to>
      <xdr:col>6</xdr:col>
      <xdr:colOff>40821</xdr:colOff>
      <xdr:row>25</xdr:row>
      <xdr:rowOff>122465</xdr:rowOff>
    </xdr:to>
    <xdr:cxnSp macro="">
      <xdr:nvCxnSpPr>
        <xdr:cNvPr id="43" name="Connecteur droit 42"/>
        <xdr:cNvCxnSpPr/>
      </xdr:nvCxnSpPr>
      <xdr:spPr>
        <a:xfrm flipH="1">
          <a:off x="3360964" y="4694465"/>
          <a:ext cx="1251857" cy="0"/>
        </a:xfrm>
        <a:prstGeom prst="line">
          <a:avLst/>
        </a:prstGeom>
        <a:ln w="19050"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312964</xdr:colOff>
      <xdr:row>22</xdr:row>
      <xdr:rowOff>136072</xdr:rowOff>
    </xdr:from>
    <xdr:to>
      <xdr:col>6</xdr:col>
      <xdr:colOff>40821</xdr:colOff>
      <xdr:row>22</xdr:row>
      <xdr:rowOff>136072</xdr:rowOff>
    </xdr:to>
    <xdr:cxnSp macro="">
      <xdr:nvCxnSpPr>
        <xdr:cNvPr id="45" name="Connecteur droit 44"/>
        <xdr:cNvCxnSpPr/>
      </xdr:nvCxnSpPr>
      <xdr:spPr>
        <a:xfrm flipH="1">
          <a:off x="3360964" y="4136572"/>
          <a:ext cx="1251857" cy="0"/>
        </a:xfrm>
        <a:prstGeom prst="line">
          <a:avLst/>
        </a:prstGeom>
        <a:ln w="19050"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693964</xdr:colOff>
      <xdr:row>33</xdr:row>
      <xdr:rowOff>68041</xdr:rowOff>
    </xdr:from>
    <xdr:to>
      <xdr:col>2</xdr:col>
      <xdr:colOff>693965</xdr:colOff>
      <xdr:row>36</xdr:row>
      <xdr:rowOff>163286</xdr:rowOff>
    </xdr:to>
    <xdr:cxnSp macro="">
      <xdr:nvCxnSpPr>
        <xdr:cNvPr id="46" name="Connecteur droit 45"/>
        <xdr:cNvCxnSpPr/>
      </xdr:nvCxnSpPr>
      <xdr:spPr>
        <a:xfrm flipV="1">
          <a:off x="2217964" y="6164041"/>
          <a:ext cx="1" cy="666745"/>
        </a:xfrm>
        <a:prstGeom prst="line">
          <a:avLst/>
        </a:prstGeom>
        <a:ln w="19050"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748392</xdr:colOff>
      <xdr:row>33</xdr:row>
      <xdr:rowOff>95255</xdr:rowOff>
    </xdr:from>
    <xdr:to>
      <xdr:col>4</xdr:col>
      <xdr:colOff>748393</xdr:colOff>
      <xdr:row>36</xdr:row>
      <xdr:rowOff>163286</xdr:rowOff>
    </xdr:to>
    <xdr:cxnSp macro="">
      <xdr:nvCxnSpPr>
        <xdr:cNvPr id="47" name="Connecteur droit 46"/>
        <xdr:cNvCxnSpPr/>
      </xdr:nvCxnSpPr>
      <xdr:spPr>
        <a:xfrm flipV="1">
          <a:off x="3796392" y="6191255"/>
          <a:ext cx="1" cy="639531"/>
        </a:xfrm>
        <a:prstGeom prst="line">
          <a:avLst/>
        </a:prstGeom>
        <a:ln w="19050"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381000</xdr:colOff>
      <xdr:row>28</xdr:row>
      <xdr:rowOff>122469</xdr:rowOff>
    </xdr:from>
    <xdr:to>
      <xdr:col>3</xdr:col>
      <xdr:colOff>394608</xdr:colOff>
      <xdr:row>34</xdr:row>
      <xdr:rowOff>149679</xdr:rowOff>
    </xdr:to>
    <xdr:cxnSp macro="">
      <xdr:nvCxnSpPr>
        <xdr:cNvPr id="48" name="Connecteur droit 47"/>
        <xdr:cNvCxnSpPr/>
      </xdr:nvCxnSpPr>
      <xdr:spPr>
        <a:xfrm flipV="1">
          <a:off x="2667000" y="5265969"/>
          <a:ext cx="13608" cy="1170210"/>
        </a:xfrm>
        <a:prstGeom prst="line">
          <a:avLst/>
        </a:prstGeom>
        <a:ln w="19050"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299357</xdr:colOff>
      <xdr:row>28</xdr:row>
      <xdr:rowOff>136076</xdr:rowOff>
    </xdr:from>
    <xdr:to>
      <xdr:col>4</xdr:col>
      <xdr:colOff>312965</xdr:colOff>
      <xdr:row>34</xdr:row>
      <xdr:rowOff>163286</xdr:rowOff>
    </xdr:to>
    <xdr:cxnSp macro="">
      <xdr:nvCxnSpPr>
        <xdr:cNvPr id="50" name="Connecteur droit 49"/>
        <xdr:cNvCxnSpPr/>
      </xdr:nvCxnSpPr>
      <xdr:spPr>
        <a:xfrm flipV="1">
          <a:off x="3347357" y="5279576"/>
          <a:ext cx="13608" cy="1170210"/>
        </a:xfrm>
        <a:prstGeom prst="line">
          <a:avLst/>
        </a:prstGeom>
        <a:ln w="19050"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721179</xdr:colOff>
      <xdr:row>22</xdr:row>
      <xdr:rowOff>136072</xdr:rowOff>
    </xdr:from>
    <xdr:to>
      <xdr:col>5</xdr:col>
      <xdr:colOff>721179</xdr:colOff>
      <xdr:row>25</xdr:row>
      <xdr:rowOff>122465</xdr:rowOff>
    </xdr:to>
    <xdr:cxnSp macro="">
      <xdr:nvCxnSpPr>
        <xdr:cNvPr id="54" name="Connecteur droit avec flèche 53"/>
        <xdr:cNvCxnSpPr/>
      </xdr:nvCxnSpPr>
      <xdr:spPr>
        <a:xfrm>
          <a:off x="4531179" y="4558393"/>
          <a:ext cx="0" cy="557893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721179</xdr:colOff>
      <xdr:row>25</xdr:row>
      <xdr:rowOff>136072</xdr:rowOff>
    </xdr:from>
    <xdr:to>
      <xdr:col>5</xdr:col>
      <xdr:colOff>721179</xdr:colOff>
      <xdr:row>28</xdr:row>
      <xdr:rowOff>122465</xdr:rowOff>
    </xdr:to>
    <xdr:cxnSp macro="">
      <xdr:nvCxnSpPr>
        <xdr:cNvPr id="55" name="Connecteur droit avec flèche 54"/>
        <xdr:cNvCxnSpPr/>
      </xdr:nvCxnSpPr>
      <xdr:spPr>
        <a:xfrm>
          <a:off x="4531179" y="5129893"/>
          <a:ext cx="0" cy="557893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721179</xdr:colOff>
      <xdr:row>28</xdr:row>
      <xdr:rowOff>122465</xdr:rowOff>
    </xdr:from>
    <xdr:to>
      <xdr:col>5</xdr:col>
      <xdr:colOff>721179</xdr:colOff>
      <xdr:row>32</xdr:row>
      <xdr:rowOff>68036</xdr:rowOff>
    </xdr:to>
    <xdr:cxnSp macro="">
      <xdr:nvCxnSpPr>
        <xdr:cNvPr id="56" name="Connecteur droit avec flèche 55"/>
        <xdr:cNvCxnSpPr/>
      </xdr:nvCxnSpPr>
      <xdr:spPr>
        <a:xfrm>
          <a:off x="4531179" y="5687786"/>
          <a:ext cx="0" cy="707571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721179</xdr:colOff>
      <xdr:row>32</xdr:row>
      <xdr:rowOff>68036</xdr:rowOff>
    </xdr:from>
    <xdr:to>
      <xdr:col>5</xdr:col>
      <xdr:colOff>721179</xdr:colOff>
      <xdr:row>33</xdr:row>
      <xdr:rowOff>81643</xdr:rowOff>
    </xdr:to>
    <xdr:cxnSp macro="">
      <xdr:nvCxnSpPr>
        <xdr:cNvPr id="58" name="Connecteur droit avec flèche 57"/>
        <xdr:cNvCxnSpPr/>
      </xdr:nvCxnSpPr>
      <xdr:spPr>
        <a:xfrm>
          <a:off x="4531179" y="6395357"/>
          <a:ext cx="0" cy="204107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312964</xdr:colOff>
      <xdr:row>34</xdr:row>
      <xdr:rowOff>176893</xdr:rowOff>
    </xdr:from>
    <xdr:to>
      <xdr:col>4</xdr:col>
      <xdr:colOff>748393</xdr:colOff>
      <xdr:row>34</xdr:row>
      <xdr:rowOff>176893</xdr:rowOff>
    </xdr:to>
    <xdr:cxnSp macro="">
      <xdr:nvCxnSpPr>
        <xdr:cNvPr id="61" name="Connecteur droit avec flèche 60"/>
        <xdr:cNvCxnSpPr/>
      </xdr:nvCxnSpPr>
      <xdr:spPr>
        <a:xfrm>
          <a:off x="3360964" y="6463393"/>
          <a:ext cx="435429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693964</xdr:colOff>
      <xdr:row>34</xdr:row>
      <xdr:rowOff>149679</xdr:rowOff>
    </xdr:from>
    <xdr:to>
      <xdr:col>3</xdr:col>
      <xdr:colOff>367393</xdr:colOff>
      <xdr:row>34</xdr:row>
      <xdr:rowOff>149679</xdr:rowOff>
    </xdr:to>
    <xdr:cxnSp macro="">
      <xdr:nvCxnSpPr>
        <xdr:cNvPr id="63" name="Connecteur droit avec flèche 62"/>
        <xdr:cNvCxnSpPr/>
      </xdr:nvCxnSpPr>
      <xdr:spPr>
        <a:xfrm>
          <a:off x="2217964" y="6436179"/>
          <a:ext cx="435429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693964</xdr:colOff>
      <xdr:row>35</xdr:row>
      <xdr:rowOff>149679</xdr:rowOff>
    </xdr:from>
    <xdr:to>
      <xdr:col>5</xdr:col>
      <xdr:colOff>0</xdr:colOff>
      <xdr:row>35</xdr:row>
      <xdr:rowOff>149679</xdr:rowOff>
    </xdr:to>
    <xdr:cxnSp macro="">
      <xdr:nvCxnSpPr>
        <xdr:cNvPr id="64" name="Connecteur droit avec flèche 63"/>
        <xdr:cNvCxnSpPr/>
      </xdr:nvCxnSpPr>
      <xdr:spPr>
        <a:xfrm>
          <a:off x="2217964" y="6626679"/>
          <a:ext cx="1592036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</xdr:colOff>
      <xdr:row>34</xdr:row>
      <xdr:rowOff>176894</xdr:rowOff>
    </xdr:from>
    <xdr:to>
      <xdr:col>6</xdr:col>
      <xdr:colOff>0</xdr:colOff>
      <xdr:row>35</xdr:row>
      <xdr:rowOff>95251</xdr:rowOff>
    </xdr:to>
    <xdr:cxnSp macro="">
      <xdr:nvCxnSpPr>
        <xdr:cNvPr id="70" name="Connecteur en angle 69"/>
        <xdr:cNvCxnSpPr/>
      </xdr:nvCxnSpPr>
      <xdr:spPr>
        <a:xfrm rot="10800000">
          <a:off x="3810004" y="6463394"/>
          <a:ext cx="761996" cy="108857"/>
        </a:xfrm>
        <a:prstGeom prst="bentConnector3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748400</xdr:colOff>
      <xdr:row>35</xdr:row>
      <xdr:rowOff>163290</xdr:rowOff>
    </xdr:from>
    <xdr:to>
      <xdr:col>6</xdr:col>
      <xdr:colOff>1</xdr:colOff>
      <xdr:row>36</xdr:row>
      <xdr:rowOff>122464</xdr:rowOff>
    </xdr:to>
    <xdr:cxnSp macro="">
      <xdr:nvCxnSpPr>
        <xdr:cNvPr id="74" name="Connecteur en angle 73"/>
        <xdr:cNvCxnSpPr/>
      </xdr:nvCxnSpPr>
      <xdr:spPr>
        <a:xfrm rot="10800000">
          <a:off x="3796400" y="6640290"/>
          <a:ext cx="775601" cy="149674"/>
        </a:xfrm>
        <a:prstGeom prst="bentConnector3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13607</xdr:colOff>
      <xdr:row>34</xdr:row>
      <xdr:rowOff>149679</xdr:rowOff>
    </xdr:from>
    <xdr:to>
      <xdr:col>2</xdr:col>
      <xdr:colOff>666750</xdr:colOff>
      <xdr:row>35</xdr:row>
      <xdr:rowOff>108857</xdr:rowOff>
    </xdr:to>
    <xdr:cxnSp macro="">
      <xdr:nvCxnSpPr>
        <xdr:cNvPr id="77" name="Connecteur en angle 76"/>
        <xdr:cNvCxnSpPr/>
      </xdr:nvCxnSpPr>
      <xdr:spPr>
        <a:xfrm flipV="1">
          <a:off x="1537607" y="6436179"/>
          <a:ext cx="653143" cy="149678"/>
        </a:xfrm>
        <a:prstGeom prst="bentConnector3">
          <a:avLst/>
        </a:prstGeom>
        <a:ln w="28575">
          <a:solidFill>
            <a:srgbClr val="92D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27215</xdr:colOff>
      <xdr:row>35</xdr:row>
      <xdr:rowOff>163286</xdr:rowOff>
    </xdr:from>
    <xdr:to>
      <xdr:col>2</xdr:col>
      <xdr:colOff>680358</xdr:colOff>
      <xdr:row>36</xdr:row>
      <xdr:rowOff>122464</xdr:rowOff>
    </xdr:to>
    <xdr:cxnSp macro="">
      <xdr:nvCxnSpPr>
        <xdr:cNvPr id="89" name="Connecteur en angle 88"/>
        <xdr:cNvCxnSpPr/>
      </xdr:nvCxnSpPr>
      <xdr:spPr>
        <a:xfrm flipV="1">
          <a:off x="1551215" y="6640286"/>
          <a:ext cx="653143" cy="149678"/>
        </a:xfrm>
        <a:prstGeom prst="bentConnector3">
          <a:avLst/>
        </a:prstGeom>
        <a:ln w="28575">
          <a:solidFill>
            <a:srgbClr val="92D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33</xdr:row>
      <xdr:rowOff>136071</xdr:rowOff>
    </xdr:from>
    <xdr:to>
      <xdr:col>7</xdr:col>
      <xdr:colOff>381000</xdr:colOff>
      <xdr:row>34</xdr:row>
      <xdr:rowOff>136072</xdr:rowOff>
    </xdr:to>
    <xdr:sp macro="" textlink="">
      <xdr:nvSpPr>
        <xdr:cNvPr id="91" name="Rectangle 90"/>
        <xdr:cNvSpPr/>
      </xdr:nvSpPr>
      <xdr:spPr>
        <a:xfrm>
          <a:off x="4572000" y="6232071"/>
          <a:ext cx="1143000" cy="190501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734786</xdr:colOff>
      <xdr:row>24</xdr:row>
      <xdr:rowOff>136072</xdr:rowOff>
    </xdr:from>
    <xdr:to>
      <xdr:col>3</xdr:col>
      <xdr:colOff>312964</xdr:colOff>
      <xdr:row>25</xdr:row>
      <xdr:rowOff>122464</xdr:rowOff>
    </xdr:to>
    <xdr:cxnSp macro="">
      <xdr:nvCxnSpPr>
        <xdr:cNvPr id="92" name="Connecteur en angle 91"/>
        <xdr:cNvCxnSpPr/>
      </xdr:nvCxnSpPr>
      <xdr:spPr>
        <a:xfrm flipV="1">
          <a:off x="2258786" y="4517572"/>
          <a:ext cx="340178" cy="176892"/>
        </a:xfrm>
        <a:prstGeom prst="bentConnector3">
          <a:avLst/>
        </a:prstGeom>
        <a:ln w="28575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299357</xdr:colOff>
      <xdr:row>21</xdr:row>
      <xdr:rowOff>13611</xdr:rowOff>
    </xdr:from>
    <xdr:to>
      <xdr:col>4</xdr:col>
      <xdr:colOff>312965</xdr:colOff>
      <xdr:row>27</xdr:row>
      <xdr:rowOff>40821</xdr:rowOff>
    </xdr:to>
    <xdr:cxnSp macro="">
      <xdr:nvCxnSpPr>
        <xdr:cNvPr id="98" name="Connecteur droit 97"/>
        <xdr:cNvCxnSpPr/>
      </xdr:nvCxnSpPr>
      <xdr:spPr>
        <a:xfrm flipV="1">
          <a:off x="3347357" y="4204611"/>
          <a:ext cx="13608" cy="1170210"/>
        </a:xfrm>
        <a:prstGeom prst="line">
          <a:avLst/>
        </a:prstGeom>
        <a:ln w="19050"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381000</xdr:colOff>
      <xdr:row>21</xdr:row>
      <xdr:rowOff>4</xdr:rowOff>
    </xdr:from>
    <xdr:to>
      <xdr:col>3</xdr:col>
      <xdr:colOff>394608</xdr:colOff>
      <xdr:row>27</xdr:row>
      <xdr:rowOff>27214</xdr:rowOff>
    </xdr:to>
    <xdr:cxnSp macro="">
      <xdr:nvCxnSpPr>
        <xdr:cNvPr id="99" name="Connecteur droit 98"/>
        <xdr:cNvCxnSpPr/>
      </xdr:nvCxnSpPr>
      <xdr:spPr>
        <a:xfrm flipV="1">
          <a:off x="2667000" y="4191004"/>
          <a:ext cx="13608" cy="1170210"/>
        </a:xfrm>
        <a:prstGeom prst="line">
          <a:avLst/>
        </a:prstGeom>
        <a:ln w="19050"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380999</xdr:colOff>
      <xdr:row>21</xdr:row>
      <xdr:rowOff>163286</xdr:rowOff>
    </xdr:from>
    <xdr:to>
      <xdr:col>4</xdr:col>
      <xdr:colOff>312964</xdr:colOff>
      <xdr:row>21</xdr:row>
      <xdr:rowOff>163286</xdr:rowOff>
    </xdr:to>
    <xdr:cxnSp macro="">
      <xdr:nvCxnSpPr>
        <xdr:cNvPr id="100" name="Connecteur droit avec flèche 99"/>
        <xdr:cNvCxnSpPr/>
      </xdr:nvCxnSpPr>
      <xdr:spPr>
        <a:xfrm>
          <a:off x="2666999" y="4354286"/>
          <a:ext cx="693965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312968</xdr:colOff>
      <xdr:row>21</xdr:row>
      <xdr:rowOff>81643</xdr:rowOff>
    </xdr:from>
    <xdr:to>
      <xdr:col>6</xdr:col>
      <xdr:colOff>0</xdr:colOff>
      <xdr:row>21</xdr:row>
      <xdr:rowOff>176895</xdr:rowOff>
    </xdr:to>
    <xdr:cxnSp macro="">
      <xdr:nvCxnSpPr>
        <xdr:cNvPr id="103" name="Connecteur en angle 102"/>
        <xdr:cNvCxnSpPr/>
      </xdr:nvCxnSpPr>
      <xdr:spPr>
        <a:xfrm rot="10800000" flipV="1">
          <a:off x="3360968" y="4272643"/>
          <a:ext cx="1211032" cy="95252"/>
        </a:xfrm>
        <a:prstGeom prst="bentConnector3">
          <a:avLst/>
        </a:prstGeom>
        <a:ln w="28575">
          <a:solidFill>
            <a:schemeClr val="bg1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721179</xdr:colOff>
      <xdr:row>43</xdr:row>
      <xdr:rowOff>27217</xdr:rowOff>
    </xdr:from>
    <xdr:to>
      <xdr:col>0</xdr:col>
      <xdr:colOff>721180</xdr:colOff>
      <xdr:row>45</xdr:row>
      <xdr:rowOff>176893</xdr:rowOff>
    </xdr:to>
    <xdr:cxnSp macro="">
      <xdr:nvCxnSpPr>
        <xdr:cNvPr id="120" name="Connecteur droit 119"/>
        <xdr:cNvCxnSpPr/>
      </xdr:nvCxnSpPr>
      <xdr:spPr>
        <a:xfrm flipH="1">
          <a:off x="721179" y="8790217"/>
          <a:ext cx="1" cy="530676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721179</xdr:colOff>
      <xdr:row>46</xdr:row>
      <xdr:rowOff>0</xdr:rowOff>
    </xdr:from>
    <xdr:to>
      <xdr:col>6</xdr:col>
      <xdr:colOff>0</xdr:colOff>
      <xdr:row>46</xdr:row>
      <xdr:rowOff>0</xdr:rowOff>
    </xdr:to>
    <xdr:cxnSp macro="">
      <xdr:nvCxnSpPr>
        <xdr:cNvPr id="121" name="Connecteur droit 120"/>
        <xdr:cNvCxnSpPr/>
      </xdr:nvCxnSpPr>
      <xdr:spPr>
        <a:xfrm>
          <a:off x="721179" y="9334500"/>
          <a:ext cx="3850821" cy="0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95250</xdr:colOff>
      <xdr:row>46</xdr:row>
      <xdr:rowOff>0</xdr:rowOff>
    </xdr:from>
    <xdr:to>
      <xdr:col>5</xdr:col>
      <xdr:colOff>408214</xdr:colOff>
      <xdr:row>47</xdr:row>
      <xdr:rowOff>176893</xdr:rowOff>
    </xdr:to>
    <xdr:sp macro="" textlink="">
      <xdr:nvSpPr>
        <xdr:cNvPr id="124" name="Rectangle 123"/>
        <xdr:cNvSpPr/>
      </xdr:nvSpPr>
      <xdr:spPr>
        <a:xfrm>
          <a:off x="3905250" y="9334500"/>
          <a:ext cx="312964" cy="367393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721178</xdr:colOff>
      <xdr:row>47</xdr:row>
      <xdr:rowOff>176894</xdr:rowOff>
    </xdr:from>
    <xdr:to>
      <xdr:col>5</xdr:col>
      <xdr:colOff>530678</xdr:colOff>
      <xdr:row>49</xdr:row>
      <xdr:rowOff>13607</xdr:rowOff>
    </xdr:to>
    <xdr:sp macro="" textlink="">
      <xdr:nvSpPr>
        <xdr:cNvPr id="125" name="Rectangle 124"/>
        <xdr:cNvSpPr/>
      </xdr:nvSpPr>
      <xdr:spPr>
        <a:xfrm>
          <a:off x="3769178" y="9701894"/>
          <a:ext cx="571500" cy="217713"/>
        </a:xfrm>
        <a:prstGeom prst="rect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721178</xdr:colOff>
      <xdr:row>49</xdr:row>
      <xdr:rowOff>13608</xdr:rowOff>
    </xdr:from>
    <xdr:to>
      <xdr:col>5</xdr:col>
      <xdr:colOff>530678</xdr:colOff>
      <xdr:row>49</xdr:row>
      <xdr:rowOff>108857</xdr:rowOff>
    </xdr:to>
    <xdr:sp macro="" textlink="">
      <xdr:nvSpPr>
        <xdr:cNvPr id="126" name="Rectangle 125"/>
        <xdr:cNvSpPr/>
      </xdr:nvSpPr>
      <xdr:spPr>
        <a:xfrm>
          <a:off x="3769178" y="9919608"/>
          <a:ext cx="571500" cy="95249"/>
        </a:xfrm>
        <a:prstGeom prst="rect">
          <a:avLst/>
        </a:prstGeom>
        <a:solidFill>
          <a:srgbClr val="92D05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625929</xdr:colOff>
      <xdr:row>46</xdr:row>
      <xdr:rowOff>0</xdr:rowOff>
    </xdr:from>
    <xdr:to>
      <xdr:col>2</xdr:col>
      <xdr:colOff>176893</xdr:colOff>
      <xdr:row>47</xdr:row>
      <xdr:rowOff>176893</xdr:rowOff>
    </xdr:to>
    <xdr:sp macro="" textlink="">
      <xdr:nvSpPr>
        <xdr:cNvPr id="127" name="Rectangle 126"/>
        <xdr:cNvSpPr/>
      </xdr:nvSpPr>
      <xdr:spPr>
        <a:xfrm>
          <a:off x="1387929" y="9334500"/>
          <a:ext cx="312964" cy="367393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489857</xdr:colOff>
      <xdr:row>47</xdr:row>
      <xdr:rowOff>176894</xdr:rowOff>
    </xdr:from>
    <xdr:to>
      <xdr:col>2</xdr:col>
      <xdr:colOff>299357</xdr:colOff>
      <xdr:row>49</xdr:row>
      <xdr:rowOff>13607</xdr:rowOff>
    </xdr:to>
    <xdr:sp macro="" textlink="">
      <xdr:nvSpPr>
        <xdr:cNvPr id="128" name="Rectangle 127"/>
        <xdr:cNvSpPr/>
      </xdr:nvSpPr>
      <xdr:spPr>
        <a:xfrm>
          <a:off x="1251857" y="9701894"/>
          <a:ext cx="571500" cy="217713"/>
        </a:xfrm>
        <a:prstGeom prst="rect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489857</xdr:colOff>
      <xdr:row>49</xdr:row>
      <xdr:rowOff>13608</xdr:rowOff>
    </xdr:from>
    <xdr:to>
      <xdr:col>2</xdr:col>
      <xdr:colOff>299357</xdr:colOff>
      <xdr:row>49</xdr:row>
      <xdr:rowOff>108857</xdr:rowOff>
    </xdr:to>
    <xdr:sp macro="" textlink="">
      <xdr:nvSpPr>
        <xdr:cNvPr id="129" name="Rectangle 128"/>
        <xdr:cNvSpPr/>
      </xdr:nvSpPr>
      <xdr:spPr>
        <a:xfrm>
          <a:off x="1251857" y="9919608"/>
          <a:ext cx="571500" cy="95249"/>
        </a:xfrm>
        <a:prstGeom prst="rect">
          <a:avLst/>
        </a:prstGeom>
        <a:solidFill>
          <a:srgbClr val="92D05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530678</xdr:colOff>
      <xdr:row>46</xdr:row>
      <xdr:rowOff>13607</xdr:rowOff>
    </xdr:from>
    <xdr:to>
      <xdr:col>5</xdr:col>
      <xdr:colOff>530679</xdr:colOff>
      <xdr:row>49</xdr:row>
      <xdr:rowOff>61233</xdr:rowOff>
    </xdr:to>
    <xdr:cxnSp macro="">
      <xdr:nvCxnSpPr>
        <xdr:cNvPr id="136" name="Connecteur droit 135"/>
        <xdr:cNvCxnSpPr>
          <a:stCxn id="126" idx="3"/>
        </xdr:cNvCxnSpPr>
      </xdr:nvCxnSpPr>
      <xdr:spPr>
        <a:xfrm flipV="1">
          <a:off x="4340678" y="9348107"/>
          <a:ext cx="1" cy="619126"/>
        </a:xfrm>
        <a:prstGeom prst="line">
          <a:avLst/>
        </a:prstGeom>
        <a:ln w="28575">
          <a:solidFill>
            <a:schemeClr val="accent6">
              <a:lumMod val="50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721178</xdr:colOff>
      <xdr:row>46</xdr:row>
      <xdr:rowOff>13607</xdr:rowOff>
    </xdr:from>
    <xdr:to>
      <xdr:col>4</xdr:col>
      <xdr:colOff>721179</xdr:colOff>
      <xdr:row>49</xdr:row>
      <xdr:rowOff>61233</xdr:rowOff>
    </xdr:to>
    <xdr:cxnSp macro="">
      <xdr:nvCxnSpPr>
        <xdr:cNvPr id="139" name="Connecteur droit 138"/>
        <xdr:cNvCxnSpPr/>
      </xdr:nvCxnSpPr>
      <xdr:spPr>
        <a:xfrm flipV="1">
          <a:off x="3769178" y="9348107"/>
          <a:ext cx="1" cy="619126"/>
        </a:xfrm>
        <a:prstGeom prst="line">
          <a:avLst/>
        </a:prstGeom>
        <a:ln w="28575">
          <a:solidFill>
            <a:schemeClr val="accent6">
              <a:lumMod val="50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299357</xdr:colOff>
      <xdr:row>45</xdr:row>
      <xdr:rowOff>176892</xdr:rowOff>
    </xdr:from>
    <xdr:to>
      <xdr:col>2</xdr:col>
      <xdr:colOff>299358</xdr:colOff>
      <xdr:row>49</xdr:row>
      <xdr:rowOff>34018</xdr:rowOff>
    </xdr:to>
    <xdr:cxnSp macro="">
      <xdr:nvCxnSpPr>
        <xdr:cNvPr id="140" name="Connecteur droit 139"/>
        <xdr:cNvCxnSpPr/>
      </xdr:nvCxnSpPr>
      <xdr:spPr>
        <a:xfrm flipV="1">
          <a:off x="1823357" y="9320892"/>
          <a:ext cx="1" cy="619126"/>
        </a:xfrm>
        <a:prstGeom prst="line">
          <a:avLst/>
        </a:prstGeom>
        <a:ln w="28575">
          <a:solidFill>
            <a:schemeClr val="accent6">
              <a:lumMod val="50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489857</xdr:colOff>
      <xdr:row>46</xdr:row>
      <xdr:rowOff>0</xdr:rowOff>
    </xdr:from>
    <xdr:to>
      <xdr:col>1</xdr:col>
      <xdr:colOff>489858</xdr:colOff>
      <xdr:row>49</xdr:row>
      <xdr:rowOff>47626</xdr:rowOff>
    </xdr:to>
    <xdr:cxnSp macro="">
      <xdr:nvCxnSpPr>
        <xdr:cNvPr id="141" name="Connecteur droit 140"/>
        <xdr:cNvCxnSpPr/>
      </xdr:nvCxnSpPr>
      <xdr:spPr>
        <a:xfrm flipV="1">
          <a:off x="1251857" y="9334500"/>
          <a:ext cx="1" cy="619126"/>
        </a:xfrm>
        <a:prstGeom prst="line">
          <a:avLst/>
        </a:prstGeom>
        <a:ln w="28575">
          <a:solidFill>
            <a:schemeClr val="accent6">
              <a:lumMod val="50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707571</xdr:colOff>
      <xdr:row>40</xdr:row>
      <xdr:rowOff>1</xdr:rowOff>
    </xdr:from>
    <xdr:to>
      <xdr:col>5</xdr:col>
      <xdr:colOff>707571</xdr:colOff>
      <xdr:row>42</xdr:row>
      <xdr:rowOff>176894</xdr:rowOff>
    </xdr:to>
    <xdr:cxnSp macro="">
      <xdr:nvCxnSpPr>
        <xdr:cNvPr id="142" name="Connecteur droit avec flèche 141"/>
        <xdr:cNvCxnSpPr/>
      </xdr:nvCxnSpPr>
      <xdr:spPr>
        <a:xfrm>
          <a:off x="4517571" y="8191501"/>
          <a:ext cx="0" cy="557893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707569</xdr:colOff>
      <xdr:row>43</xdr:row>
      <xdr:rowOff>1</xdr:rowOff>
    </xdr:from>
    <xdr:to>
      <xdr:col>5</xdr:col>
      <xdr:colOff>707569</xdr:colOff>
      <xdr:row>45</xdr:row>
      <xdr:rowOff>176894</xdr:rowOff>
    </xdr:to>
    <xdr:cxnSp macro="">
      <xdr:nvCxnSpPr>
        <xdr:cNvPr id="143" name="Connecteur droit avec flèche 142"/>
        <xdr:cNvCxnSpPr/>
      </xdr:nvCxnSpPr>
      <xdr:spPr>
        <a:xfrm>
          <a:off x="4517569" y="8763001"/>
          <a:ext cx="0" cy="557893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707570</xdr:colOff>
      <xdr:row>46</xdr:row>
      <xdr:rowOff>27216</xdr:rowOff>
    </xdr:from>
    <xdr:to>
      <xdr:col>5</xdr:col>
      <xdr:colOff>707571</xdr:colOff>
      <xdr:row>49</xdr:row>
      <xdr:rowOff>95250</xdr:rowOff>
    </xdr:to>
    <xdr:cxnSp macro="">
      <xdr:nvCxnSpPr>
        <xdr:cNvPr id="144" name="Connecteur droit avec flèche 143"/>
        <xdr:cNvCxnSpPr/>
      </xdr:nvCxnSpPr>
      <xdr:spPr>
        <a:xfrm>
          <a:off x="4517570" y="9361716"/>
          <a:ext cx="1" cy="639534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721179</xdr:colOff>
      <xdr:row>49</xdr:row>
      <xdr:rowOff>13607</xdr:rowOff>
    </xdr:from>
    <xdr:to>
      <xdr:col>1</xdr:col>
      <xdr:colOff>476251</xdr:colOff>
      <xdr:row>49</xdr:row>
      <xdr:rowOff>13607</xdr:rowOff>
    </xdr:to>
    <xdr:cxnSp macro="">
      <xdr:nvCxnSpPr>
        <xdr:cNvPr id="148" name="Connecteur droit avec flèche 147"/>
        <xdr:cNvCxnSpPr/>
      </xdr:nvCxnSpPr>
      <xdr:spPr>
        <a:xfrm>
          <a:off x="721179" y="9919607"/>
          <a:ext cx="517072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734786</xdr:colOff>
      <xdr:row>45</xdr:row>
      <xdr:rowOff>136076</xdr:rowOff>
    </xdr:from>
    <xdr:to>
      <xdr:col>0</xdr:col>
      <xdr:colOff>734787</xdr:colOff>
      <xdr:row>49</xdr:row>
      <xdr:rowOff>40821</xdr:rowOff>
    </xdr:to>
    <xdr:cxnSp macro="">
      <xdr:nvCxnSpPr>
        <xdr:cNvPr id="151" name="Connecteur droit 150"/>
        <xdr:cNvCxnSpPr/>
      </xdr:nvCxnSpPr>
      <xdr:spPr>
        <a:xfrm flipV="1">
          <a:off x="734786" y="9280076"/>
          <a:ext cx="1" cy="666745"/>
        </a:xfrm>
        <a:prstGeom prst="line">
          <a:avLst/>
        </a:prstGeom>
        <a:ln w="19050"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217714</xdr:colOff>
      <xdr:row>51</xdr:row>
      <xdr:rowOff>0</xdr:rowOff>
    </xdr:from>
    <xdr:to>
      <xdr:col>1</xdr:col>
      <xdr:colOff>476251</xdr:colOff>
      <xdr:row>51</xdr:row>
      <xdr:rowOff>1</xdr:rowOff>
    </xdr:to>
    <xdr:cxnSp macro="">
      <xdr:nvCxnSpPr>
        <xdr:cNvPr id="153" name="Connecteur droit avec flèche 152"/>
        <xdr:cNvCxnSpPr/>
      </xdr:nvCxnSpPr>
      <xdr:spPr>
        <a:xfrm>
          <a:off x="217714" y="10287000"/>
          <a:ext cx="1020537" cy="1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204107</xdr:colOff>
      <xdr:row>40</xdr:row>
      <xdr:rowOff>0</xdr:rowOff>
    </xdr:from>
    <xdr:to>
      <xdr:col>0</xdr:col>
      <xdr:colOff>204108</xdr:colOff>
      <xdr:row>51</xdr:row>
      <xdr:rowOff>13607</xdr:rowOff>
    </xdr:to>
    <xdr:cxnSp macro="">
      <xdr:nvCxnSpPr>
        <xdr:cNvPr id="156" name="Connecteur droit 155"/>
        <xdr:cNvCxnSpPr/>
      </xdr:nvCxnSpPr>
      <xdr:spPr>
        <a:xfrm flipV="1">
          <a:off x="204107" y="8177899"/>
          <a:ext cx="1" cy="2122708"/>
        </a:xfrm>
        <a:prstGeom prst="line">
          <a:avLst/>
        </a:prstGeom>
        <a:ln w="19050"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462643</xdr:colOff>
      <xdr:row>49</xdr:row>
      <xdr:rowOff>40828</xdr:rowOff>
    </xdr:from>
    <xdr:to>
      <xdr:col>1</xdr:col>
      <xdr:colOff>462644</xdr:colOff>
      <xdr:row>51</xdr:row>
      <xdr:rowOff>13607</xdr:rowOff>
    </xdr:to>
    <xdr:cxnSp macro="">
      <xdr:nvCxnSpPr>
        <xdr:cNvPr id="160" name="Connecteur droit 159"/>
        <xdr:cNvCxnSpPr/>
      </xdr:nvCxnSpPr>
      <xdr:spPr>
        <a:xfrm flipV="1">
          <a:off x="1224643" y="9946828"/>
          <a:ext cx="1" cy="353779"/>
        </a:xfrm>
        <a:prstGeom prst="line">
          <a:avLst/>
        </a:prstGeom>
        <a:ln w="19050"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612324</xdr:colOff>
      <xdr:row>51</xdr:row>
      <xdr:rowOff>6</xdr:rowOff>
    </xdr:from>
    <xdr:to>
      <xdr:col>1</xdr:col>
      <xdr:colOff>204108</xdr:colOff>
      <xdr:row>53</xdr:row>
      <xdr:rowOff>95253</xdr:rowOff>
    </xdr:to>
    <xdr:cxnSp macro="">
      <xdr:nvCxnSpPr>
        <xdr:cNvPr id="170" name="Connecteur en angle 169"/>
        <xdr:cNvCxnSpPr/>
      </xdr:nvCxnSpPr>
      <xdr:spPr>
        <a:xfrm rot="16200000" flipV="1">
          <a:off x="551092" y="10348238"/>
          <a:ext cx="476247" cy="353784"/>
        </a:xfrm>
        <a:prstGeom prst="bentConnector3">
          <a:avLst>
            <a:gd name="adj1" fmla="val 50000"/>
          </a:avLst>
        </a:prstGeom>
        <a:ln w="28575">
          <a:solidFill>
            <a:schemeClr val="tx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244931</xdr:colOff>
      <xdr:row>49</xdr:row>
      <xdr:rowOff>7</xdr:rowOff>
    </xdr:from>
    <xdr:to>
      <xdr:col>1</xdr:col>
      <xdr:colOff>612321</xdr:colOff>
      <xdr:row>51</xdr:row>
      <xdr:rowOff>95253</xdr:rowOff>
    </xdr:to>
    <xdr:cxnSp macro="">
      <xdr:nvCxnSpPr>
        <xdr:cNvPr id="179" name="Connecteur en angle 178"/>
        <xdr:cNvCxnSpPr/>
      </xdr:nvCxnSpPr>
      <xdr:spPr>
        <a:xfrm rot="16200000" flipV="1">
          <a:off x="952503" y="9960435"/>
          <a:ext cx="476246" cy="367390"/>
        </a:xfrm>
        <a:prstGeom prst="bentConnector3">
          <a:avLst>
            <a:gd name="adj1" fmla="val 50000"/>
          </a:avLst>
        </a:prstGeom>
        <a:ln w="28575">
          <a:solidFill>
            <a:schemeClr val="accent6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612321</xdr:colOff>
      <xdr:row>51</xdr:row>
      <xdr:rowOff>81643</xdr:rowOff>
    </xdr:from>
    <xdr:to>
      <xdr:col>2</xdr:col>
      <xdr:colOff>0</xdr:colOff>
      <xdr:row>51</xdr:row>
      <xdr:rowOff>81643</xdr:rowOff>
    </xdr:to>
    <xdr:cxnSp macro="">
      <xdr:nvCxnSpPr>
        <xdr:cNvPr id="183" name="Connecteur droit 182"/>
        <xdr:cNvCxnSpPr/>
      </xdr:nvCxnSpPr>
      <xdr:spPr>
        <a:xfrm>
          <a:off x="1374321" y="10368643"/>
          <a:ext cx="149679" cy="0"/>
        </a:xfrm>
        <a:prstGeom prst="line">
          <a:avLst/>
        </a:prstGeom>
        <a:ln w="28575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190498</xdr:colOff>
      <xdr:row>53</xdr:row>
      <xdr:rowOff>95250</xdr:rowOff>
    </xdr:from>
    <xdr:to>
      <xdr:col>1</xdr:col>
      <xdr:colOff>748393</xdr:colOff>
      <xdr:row>53</xdr:row>
      <xdr:rowOff>95251</xdr:rowOff>
    </xdr:to>
    <xdr:cxnSp macro="">
      <xdr:nvCxnSpPr>
        <xdr:cNvPr id="184" name="Connecteur droit 183"/>
        <xdr:cNvCxnSpPr/>
      </xdr:nvCxnSpPr>
      <xdr:spPr>
        <a:xfrm flipV="1">
          <a:off x="952498" y="10763250"/>
          <a:ext cx="557895" cy="1"/>
        </a:xfrm>
        <a:prstGeom prst="line">
          <a:avLst/>
        </a:prstGeom>
        <a:ln w="28575">
          <a:solidFill>
            <a:schemeClr val="tx2">
              <a:lumMod val="60000"/>
              <a:lumOff val="4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476251</xdr:colOff>
      <xdr:row>73</xdr:row>
      <xdr:rowOff>40819</xdr:rowOff>
    </xdr:from>
    <xdr:to>
      <xdr:col>3</xdr:col>
      <xdr:colOff>557895</xdr:colOff>
      <xdr:row>76</xdr:row>
      <xdr:rowOff>13605</xdr:rowOff>
    </xdr:to>
    <xdr:sp macro="" textlink="">
      <xdr:nvSpPr>
        <xdr:cNvPr id="191" name="Rectangle 190"/>
        <xdr:cNvSpPr/>
      </xdr:nvSpPr>
      <xdr:spPr>
        <a:xfrm>
          <a:off x="476251" y="14423569"/>
          <a:ext cx="2367644" cy="544286"/>
        </a:xfrm>
        <a:prstGeom prst="rect">
          <a:avLst/>
        </a:prstGeom>
        <a:solidFill>
          <a:srgbClr val="92D05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476249</xdr:colOff>
      <xdr:row>68</xdr:row>
      <xdr:rowOff>68033</xdr:rowOff>
    </xdr:from>
    <xdr:to>
      <xdr:col>3</xdr:col>
      <xdr:colOff>557892</xdr:colOff>
      <xdr:row>73</xdr:row>
      <xdr:rowOff>40820</xdr:rowOff>
    </xdr:to>
    <xdr:sp macro="" textlink="">
      <xdr:nvSpPr>
        <xdr:cNvPr id="192" name="Rectangle 191"/>
        <xdr:cNvSpPr/>
      </xdr:nvSpPr>
      <xdr:spPr>
        <a:xfrm>
          <a:off x="476249" y="13498283"/>
          <a:ext cx="2367643" cy="925287"/>
        </a:xfrm>
        <a:prstGeom prst="rect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353785</xdr:colOff>
      <xdr:row>63</xdr:row>
      <xdr:rowOff>108855</xdr:rowOff>
    </xdr:from>
    <xdr:to>
      <xdr:col>2</xdr:col>
      <xdr:colOff>612322</xdr:colOff>
      <xdr:row>68</xdr:row>
      <xdr:rowOff>68034</xdr:rowOff>
    </xdr:to>
    <xdr:sp macro="" textlink="">
      <xdr:nvSpPr>
        <xdr:cNvPr id="193" name="Rectangle 192"/>
        <xdr:cNvSpPr/>
      </xdr:nvSpPr>
      <xdr:spPr>
        <a:xfrm>
          <a:off x="1115785" y="12586605"/>
          <a:ext cx="1020537" cy="911679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353785</xdr:colOff>
      <xdr:row>58</xdr:row>
      <xdr:rowOff>149678</xdr:rowOff>
    </xdr:from>
    <xdr:to>
      <xdr:col>2</xdr:col>
      <xdr:colOff>612322</xdr:colOff>
      <xdr:row>63</xdr:row>
      <xdr:rowOff>108857</xdr:rowOff>
    </xdr:to>
    <xdr:sp macro="" textlink="">
      <xdr:nvSpPr>
        <xdr:cNvPr id="194" name="Rectangle 193"/>
        <xdr:cNvSpPr/>
      </xdr:nvSpPr>
      <xdr:spPr>
        <a:xfrm>
          <a:off x="1115785" y="11674928"/>
          <a:ext cx="1020537" cy="911679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353785</xdr:colOff>
      <xdr:row>58</xdr:row>
      <xdr:rowOff>163286</xdr:rowOff>
    </xdr:from>
    <xdr:to>
      <xdr:col>2</xdr:col>
      <xdr:colOff>612322</xdr:colOff>
      <xdr:row>59</xdr:row>
      <xdr:rowOff>68035</xdr:rowOff>
    </xdr:to>
    <xdr:sp macro="" textlink="">
      <xdr:nvSpPr>
        <xdr:cNvPr id="195" name="Rectangle 194"/>
        <xdr:cNvSpPr/>
      </xdr:nvSpPr>
      <xdr:spPr>
        <a:xfrm>
          <a:off x="1115785" y="11688536"/>
          <a:ext cx="1020537" cy="95249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615346</xdr:colOff>
      <xdr:row>63</xdr:row>
      <xdr:rowOff>108856</xdr:rowOff>
    </xdr:from>
    <xdr:to>
      <xdr:col>5</xdr:col>
      <xdr:colOff>641050</xdr:colOff>
      <xdr:row>65</xdr:row>
      <xdr:rowOff>81641</xdr:rowOff>
    </xdr:to>
    <xdr:sp macro="" textlink="">
      <xdr:nvSpPr>
        <xdr:cNvPr id="197" name="Rectangle 196"/>
        <xdr:cNvSpPr/>
      </xdr:nvSpPr>
      <xdr:spPr>
        <a:xfrm>
          <a:off x="2139346" y="12586606"/>
          <a:ext cx="2311704" cy="35378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668261</xdr:colOff>
      <xdr:row>61</xdr:row>
      <xdr:rowOff>176893</xdr:rowOff>
    </xdr:from>
    <xdr:to>
      <xdr:col>5</xdr:col>
      <xdr:colOff>641048</xdr:colOff>
      <xdr:row>63</xdr:row>
      <xdr:rowOff>108856</xdr:rowOff>
    </xdr:to>
    <xdr:sp macro="" textlink="">
      <xdr:nvSpPr>
        <xdr:cNvPr id="198" name="Rectangle 197"/>
        <xdr:cNvSpPr/>
      </xdr:nvSpPr>
      <xdr:spPr>
        <a:xfrm>
          <a:off x="2192261" y="12273643"/>
          <a:ext cx="2258787" cy="312963"/>
        </a:xfrm>
        <a:prstGeom prst="rect">
          <a:avLst/>
        </a:prstGeom>
        <a:solidFill>
          <a:srgbClr val="FFFF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668262</xdr:colOff>
      <xdr:row>61</xdr:row>
      <xdr:rowOff>108857</xdr:rowOff>
    </xdr:from>
    <xdr:to>
      <xdr:col>5</xdr:col>
      <xdr:colOff>641049</xdr:colOff>
      <xdr:row>61</xdr:row>
      <xdr:rowOff>176891</xdr:rowOff>
    </xdr:to>
    <xdr:sp macro="" textlink="">
      <xdr:nvSpPr>
        <xdr:cNvPr id="199" name="Rectangle 198"/>
        <xdr:cNvSpPr/>
      </xdr:nvSpPr>
      <xdr:spPr>
        <a:xfrm>
          <a:off x="2192262" y="12205607"/>
          <a:ext cx="2258787" cy="68034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721179</xdr:colOff>
      <xdr:row>58</xdr:row>
      <xdr:rowOff>149678</xdr:rowOff>
    </xdr:from>
    <xdr:to>
      <xdr:col>5</xdr:col>
      <xdr:colOff>639537</xdr:colOff>
      <xdr:row>61</xdr:row>
      <xdr:rowOff>108857</xdr:rowOff>
    </xdr:to>
    <xdr:sp macro="" textlink="">
      <xdr:nvSpPr>
        <xdr:cNvPr id="200" name="Rectangle 199"/>
        <xdr:cNvSpPr/>
      </xdr:nvSpPr>
      <xdr:spPr>
        <a:xfrm>
          <a:off x="2245179" y="11674928"/>
          <a:ext cx="2204358" cy="530679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612324</xdr:colOff>
      <xdr:row>58</xdr:row>
      <xdr:rowOff>149681</xdr:rowOff>
    </xdr:from>
    <xdr:to>
      <xdr:col>2</xdr:col>
      <xdr:colOff>721181</xdr:colOff>
      <xdr:row>63</xdr:row>
      <xdr:rowOff>108856</xdr:rowOff>
    </xdr:to>
    <xdr:sp macro="" textlink="">
      <xdr:nvSpPr>
        <xdr:cNvPr id="201" name="Rectangle 200"/>
        <xdr:cNvSpPr/>
      </xdr:nvSpPr>
      <xdr:spPr>
        <a:xfrm rot="16200000">
          <a:off x="1734915" y="12076340"/>
          <a:ext cx="911675" cy="108857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693964</xdr:colOff>
      <xdr:row>58</xdr:row>
      <xdr:rowOff>108859</xdr:rowOff>
    </xdr:from>
    <xdr:to>
      <xdr:col>5</xdr:col>
      <xdr:colOff>693964</xdr:colOff>
      <xdr:row>61</xdr:row>
      <xdr:rowOff>95252</xdr:rowOff>
    </xdr:to>
    <xdr:cxnSp macro="">
      <xdr:nvCxnSpPr>
        <xdr:cNvPr id="202" name="Connecteur droit avec flèche 201"/>
        <xdr:cNvCxnSpPr/>
      </xdr:nvCxnSpPr>
      <xdr:spPr>
        <a:xfrm>
          <a:off x="4503964" y="11634109"/>
          <a:ext cx="0" cy="557893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693964</xdr:colOff>
      <xdr:row>61</xdr:row>
      <xdr:rowOff>176895</xdr:rowOff>
    </xdr:from>
    <xdr:to>
      <xdr:col>5</xdr:col>
      <xdr:colOff>693964</xdr:colOff>
      <xdr:row>63</xdr:row>
      <xdr:rowOff>108857</xdr:rowOff>
    </xdr:to>
    <xdr:cxnSp macro="">
      <xdr:nvCxnSpPr>
        <xdr:cNvPr id="203" name="Connecteur droit avec flèche 202"/>
        <xdr:cNvCxnSpPr/>
      </xdr:nvCxnSpPr>
      <xdr:spPr>
        <a:xfrm>
          <a:off x="4503964" y="12273645"/>
          <a:ext cx="0" cy="312962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693964</xdr:colOff>
      <xdr:row>65</xdr:row>
      <xdr:rowOff>68039</xdr:rowOff>
    </xdr:from>
    <xdr:to>
      <xdr:col>5</xdr:col>
      <xdr:colOff>693964</xdr:colOff>
      <xdr:row>67</xdr:row>
      <xdr:rowOff>54429</xdr:rowOff>
    </xdr:to>
    <xdr:cxnSp macro="">
      <xdr:nvCxnSpPr>
        <xdr:cNvPr id="207" name="Connecteur droit avec flèche 206"/>
        <xdr:cNvCxnSpPr/>
      </xdr:nvCxnSpPr>
      <xdr:spPr>
        <a:xfrm>
          <a:off x="4503964" y="12926789"/>
          <a:ext cx="0" cy="36739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693964</xdr:colOff>
      <xdr:row>63</xdr:row>
      <xdr:rowOff>95253</xdr:rowOff>
    </xdr:from>
    <xdr:to>
      <xdr:col>5</xdr:col>
      <xdr:colOff>693964</xdr:colOff>
      <xdr:row>65</xdr:row>
      <xdr:rowOff>81643</xdr:rowOff>
    </xdr:to>
    <xdr:cxnSp macro="">
      <xdr:nvCxnSpPr>
        <xdr:cNvPr id="221" name="Connecteur droit avec flèche 220"/>
        <xdr:cNvCxnSpPr/>
      </xdr:nvCxnSpPr>
      <xdr:spPr>
        <a:xfrm>
          <a:off x="4503964" y="12573003"/>
          <a:ext cx="0" cy="36739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734789</xdr:colOff>
      <xdr:row>58</xdr:row>
      <xdr:rowOff>54428</xdr:rowOff>
    </xdr:from>
    <xdr:to>
      <xdr:col>6</xdr:col>
      <xdr:colOff>13608</xdr:colOff>
      <xdr:row>59</xdr:row>
      <xdr:rowOff>136069</xdr:rowOff>
    </xdr:to>
    <xdr:cxnSp macro="">
      <xdr:nvCxnSpPr>
        <xdr:cNvPr id="223" name="Connecteur en angle 222"/>
        <xdr:cNvCxnSpPr/>
      </xdr:nvCxnSpPr>
      <xdr:spPr>
        <a:xfrm rot="10800000" flipV="1">
          <a:off x="2258789" y="11579678"/>
          <a:ext cx="2326819" cy="272141"/>
        </a:xfrm>
        <a:prstGeom prst="bentConnector3">
          <a:avLst/>
        </a:prstGeom>
        <a:ln w="28575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408215</xdr:colOff>
      <xdr:row>79</xdr:row>
      <xdr:rowOff>13607</xdr:rowOff>
    </xdr:from>
    <xdr:to>
      <xdr:col>1</xdr:col>
      <xdr:colOff>272144</xdr:colOff>
      <xdr:row>81</xdr:row>
      <xdr:rowOff>190499</xdr:rowOff>
    </xdr:to>
    <xdr:sp macro="" textlink="">
      <xdr:nvSpPr>
        <xdr:cNvPr id="225" name="Rectangle 224"/>
        <xdr:cNvSpPr/>
      </xdr:nvSpPr>
      <xdr:spPr>
        <a:xfrm>
          <a:off x="408215" y="15757071"/>
          <a:ext cx="625929" cy="557892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408215</xdr:colOff>
      <xdr:row>82</xdr:row>
      <xdr:rowOff>0</xdr:rowOff>
    </xdr:from>
    <xdr:to>
      <xdr:col>1</xdr:col>
      <xdr:colOff>272144</xdr:colOff>
      <xdr:row>84</xdr:row>
      <xdr:rowOff>176892</xdr:rowOff>
    </xdr:to>
    <xdr:sp macro="" textlink="">
      <xdr:nvSpPr>
        <xdr:cNvPr id="227" name="Rectangle 226"/>
        <xdr:cNvSpPr/>
      </xdr:nvSpPr>
      <xdr:spPr>
        <a:xfrm>
          <a:off x="408215" y="16314964"/>
          <a:ext cx="625929" cy="557892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408215</xdr:colOff>
      <xdr:row>84</xdr:row>
      <xdr:rowOff>163286</xdr:rowOff>
    </xdr:from>
    <xdr:to>
      <xdr:col>1</xdr:col>
      <xdr:colOff>272144</xdr:colOff>
      <xdr:row>87</xdr:row>
      <xdr:rowOff>149678</xdr:rowOff>
    </xdr:to>
    <xdr:sp macro="" textlink="">
      <xdr:nvSpPr>
        <xdr:cNvPr id="228" name="Rectangle 227"/>
        <xdr:cNvSpPr/>
      </xdr:nvSpPr>
      <xdr:spPr>
        <a:xfrm>
          <a:off x="408215" y="16859250"/>
          <a:ext cx="625929" cy="557892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571500</xdr:colOff>
      <xdr:row>79</xdr:row>
      <xdr:rowOff>27216</xdr:rowOff>
    </xdr:from>
    <xdr:to>
      <xdr:col>1</xdr:col>
      <xdr:colOff>108858</xdr:colOff>
      <xdr:row>80</xdr:row>
      <xdr:rowOff>95250</xdr:rowOff>
    </xdr:to>
    <xdr:sp macro="" textlink="">
      <xdr:nvSpPr>
        <xdr:cNvPr id="229" name="Rectangle 228"/>
        <xdr:cNvSpPr/>
      </xdr:nvSpPr>
      <xdr:spPr>
        <a:xfrm>
          <a:off x="571500" y="15770680"/>
          <a:ext cx="299358" cy="258534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571500</xdr:colOff>
      <xdr:row>84</xdr:row>
      <xdr:rowOff>163287</xdr:rowOff>
    </xdr:from>
    <xdr:to>
      <xdr:col>1</xdr:col>
      <xdr:colOff>108858</xdr:colOff>
      <xdr:row>86</xdr:row>
      <xdr:rowOff>40821</xdr:rowOff>
    </xdr:to>
    <xdr:sp macro="" textlink="">
      <xdr:nvSpPr>
        <xdr:cNvPr id="230" name="Rectangle 229"/>
        <xdr:cNvSpPr/>
      </xdr:nvSpPr>
      <xdr:spPr>
        <a:xfrm>
          <a:off x="571500" y="16859251"/>
          <a:ext cx="299358" cy="258534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503463</xdr:colOff>
      <xdr:row>78</xdr:row>
      <xdr:rowOff>136070</xdr:rowOff>
    </xdr:from>
    <xdr:to>
      <xdr:col>1</xdr:col>
      <xdr:colOff>163284</xdr:colOff>
      <xdr:row>79</xdr:row>
      <xdr:rowOff>27215</xdr:rowOff>
    </xdr:to>
    <xdr:sp macro="" textlink="">
      <xdr:nvSpPr>
        <xdr:cNvPr id="231" name="Rectangle 230"/>
        <xdr:cNvSpPr/>
      </xdr:nvSpPr>
      <xdr:spPr>
        <a:xfrm>
          <a:off x="503463" y="15689034"/>
          <a:ext cx="421821" cy="81645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136071</xdr:colOff>
      <xdr:row>87</xdr:row>
      <xdr:rowOff>149681</xdr:rowOff>
    </xdr:from>
    <xdr:to>
      <xdr:col>1</xdr:col>
      <xdr:colOff>449035</xdr:colOff>
      <xdr:row>94</xdr:row>
      <xdr:rowOff>163286</xdr:rowOff>
    </xdr:to>
    <xdr:sp macro="" textlink="">
      <xdr:nvSpPr>
        <xdr:cNvPr id="232" name="Rectangle 231"/>
        <xdr:cNvSpPr/>
      </xdr:nvSpPr>
      <xdr:spPr>
        <a:xfrm>
          <a:off x="898071" y="17417145"/>
          <a:ext cx="312964" cy="1347105"/>
        </a:xfrm>
        <a:prstGeom prst="rect">
          <a:avLst/>
        </a:prstGeom>
        <a:solidFill>
          <a:schemeClr val="bg1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449037</xdr:colOff>
      <xdr:row>87</xdr:row>
      <xdr:rowOff>40823</xdr:rowOff>
    </xdr:from>
    <xdr:to>
      <xdr:col>1</xdr:col>
      <xdr:colOff>503464</xdr:colOff>
      <xdr:row>95</xdr:row>
      <xdr:rowOff>136073</xdr:rowOff>
    </xdr:to>
    <xdr:sp macro="" textlink="">
      <xdr:nvSpPr>
        <xdr:cNvPr id="234" name="Rectangle 233"/>
        <xdr:cNvSpPr/>
      </xdr:nvSpPr>
      <xdr:spPr>
        <a:xfrm>
          <a:off x="1211037" y="17308287"/>
          <a:ext cx="54427" cy="1619250"/>
        </a:xfrm>
        <a:prstGeom prst="rect">
          <a:avLst/>
        </a:prstGeom>
        <a:solidFill>
          <a:schemeClr val="bg1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108861</xdr:colOff>
      <xdr:row>94</xdr:row>
      <xdr:rowOff>163286</xdr:rowOff>
    </xdr:from>
    <xdr:to>
      <xdr:col>1</xdr:col>
      <xdr:colOff>272153</xdr:colOff>
      <xdr:row>95</xdr:row>
      <xdr:rowOff>122465</xdr:rowOff>
    </xdr:to>
    <xdr:sp macro="" textlink="">
      <xdr:nvSpPr>
        <xdr:cNvPr id="235" name="Trapèze 29"/>
        <xdr:cNvSpPr/>
      </xdr:nvSpPr>
      <xdr:spPr>
        <a:xfrm rot="16200000">
          <a:off x="496667" y="18376444"/>
          <a:ext cx="149679" cy="925292"/>
        </a:xfrm>
        <a:custGeom>
          <a:avLst/>
          <a:gdLst>
            <a:gd name="connsiteX0" fmla="*/ 0 w 190497"/>
            <a:gd name="connsiteY0" fmla="*/ 1211038 h 1211038"/>
            <a:gd name="connsiteX1" fmla="*/ 47624 w 190497"/>
            <a:gd name="connsiteY1" fmla="*/ 0 h 1211038"/>
            <a:gd name="connsiteX2" fmla="*/ 142873 w 190497"/>
            <a:gd name="connsiteY2" fmla="*/ 0 h 1211038"/>
            <a:gd name="connsiteX3" fmla="*/ 190497 w 190497"/>
            <a:gd name="connsiteY3" fmla="*/ 1211038 h 1211038"/>
            <a:gd name="connsiteX4" fmla="*/ 0 w 190497"/>
            <a:gd name="connsiteY4" fmla="*/ 1211038 h 1211038"/>
            <a:gd name="connsiteX0" fmla="*/ 0 w 190497"/>
            <a:gd name="connsiteY0" fmla="*/ 1211038 h 1211038"/>
            <a:gd name="connsiteX1" fmla="*/ 6800 w 190497"/>
            <a:gd name="connsiteY1" fmla="*/ 2 h 1211038"/>
            <a:gd name="connsiteX2" fmla="*/ 142873 w 190497"/>
            <a:gd name="connsiteY2" fmla="*/ 0 h 1211038"/>
            <a:gd name="connsiteX3" fmla="*/ 190497 w 190497"/>
            <a:gd name="connsiteY3" fmla="*/ 1211038 h 1211038"/>
            <a:gd name="connsiteX4" fmla="*/ 0 w 190497"/>
            <a:gd name="connsiteY4" fmla="*/ 1211038 h 12110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90497" h="1211038">
              <a:moveTo>
                <a:pt x="0" y="1211038"/>
              </a:moveTo>
              <a:cubicBezTo>
                <a:pt x="2267" y="807359"/>
                <a:pt x="4533" y="403681"/>
                <a:pt x="6800" y="2"/>
              </a:cubicBezTo>
              <a:lnTo>
                <a:pt x="142873" y="0"/>
              </a:lnTo>
              <a:lnTo>
                <a:pt x="190497" y="1211038"/>
              </a:lnTo>
              <a:lnTo>
                <a:pt x="0" y="1211038"/>
              </a:lnTo>
              <a:close/>
            </a:path>
          </a:pathLst>
        </a:custGeom>
        <a:solidFill>
          <a:schemeClr val="bg1">
            <a:lumMod val="75000"/>
          </a:schemeClr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408215</xdr:colOff>
      <xdr:row>95</xdr:row>
      <xdr:rowOff>136072</xdr:rowOff>
    </xdr:from>
    <xdr:to>
      <xdr:col>1</xdr:col>
      <xdr:colOff>272144</xdr:colOff>
      <xdr:row>98</xdr:row>
      <xdr:rowOff>122464</xdr:rowOff>
    </xdr:to>
    <xdr:sp macro="" textlink="">
      <xdr:nvSpPr>
        <xdr:cNvPr id="236" name="Rectangle 235"/>
        <xdr:cNvSpPr/>
      </xdr:nvSpPr>
      <xdr:spPr>
        <a:xfrm>
          <a:off x="408215" y="18927536"/>
          <a:ext cx="625929" cy="557892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408215</xdr:colOff>
      <xdr:row>98</xdr:row>
      <xdr:rowOff>122465</xdr:rowOff>
    </xdr:from>
    <xdr:to>
      <xdr:col>1</xdr:col>
      <xdr:colOff>272144</xdr:colOff>
      <xdr:row>101</xdr:row>
      <xdr:rowOff>108857</xdr:rowOff>
    </xdr:to>
    <xdr:sp macro="" textlink="">
      <xdr:nvSpPr>
        <xdr:cNvPr id="237" name="Rectangle 236"/>
        <xdr:cNvSpPr/>
      </xdr:nvSpPr>
      <xdr:spPr>
        <a:xfrm>
          <a:off x="408215" y="19485429"/>
          <a:ext cx="625929" cy="557892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408215</xdr:colOff>
      <xdr:row>101</xdr:row>
      <xdr:rowOff>108857</xdr:rowOff>
    </xdr:from>
    <xdr:to>
      <xdr:col>1</xdr:col>
      <xdr:colOff>272142</xdr:colOff>
      <xdr:row>102</xdr:row>
      <xdr:rowOff>0</xdr:rowOff>
    </xdr:to>
    <xdr:sp macro="" textlink="">
      <xdr:nvSpPr>
        <xdr:cNvPr id="238" name="Rectangle 237"/>
        <xdr:cNvSpPr/>
      </xdr:nvSpPr>
      <xdr:spPr>
        <a:xfrm>
          <a:off x="408215" y="20043321"/>
          <a:ext cx="625927" cy="81643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258535</xdr:colOff>
      <xdr:row>94</xdr:row>
      <xdr:rowOff>176892</xdr:rowOff>
    </xdr:from>
    <xdr:to>
      <xdr:col>1</xdr:col>
      <xdr:colOff>449036</xdr:colOff>
      <xdr:row>101</xdr:row>
      <xdr:rowOff>81643</xdr:rowOff>
    </xdr:to>
    <xdr:sp macro="" textlink="">
      <xdr:nvSpPr>
        <xdr:cNvPr id="239" name="Rectangle 238"/>
        <xdr:cNvSpPr/>
      </xdr:nvSpPr>
      <xdr:spPr>
        <a:xfrm>
          <a:off x="1020535" y="18777856"/>
          <a:ext cx="190501" cy="1238251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272143</xdr:colOff>
      <xdr:row>81</xdr:row>
      <xdr:rowOff>176893</xdr:rowOff>
    </xdr:from>
    <xdr:to>
      <xdr:col>1</xdr:col>
      <xdr:colOff>449036</xdr:colOff>
      <xdr:row>87</xdr:row>
      <xdr:rowOff>149678</xdr:rowOff>
    </xdr:to>
    <xdr:sp macro="" textlink="">
      <xdr:nvSpPr>
        <xdr:cNvPr id="240" name="Rectangle 239"/>
        <xdr:cNvSpPr/>
      </xdr:nvSpPr>
      <xdr:spPr>
        <a:xfrm>
          <a:off x="1034143" y="16301357"/>
          <a:ext cx="176893" cy="1115785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653143</xdr:colOff>
      <xdr:row>84</xdr:row>
      <xdr:rowOff>176896</xdr:rowOff>
    </xdr:from>
    <xdr:to>
      <xdr:col>1</xdr:col>
      <xdr:colOff>653143</xdr:colOff>
      <xdr:row>87</xdr:row>
      <xdr:rowOff>176893</xdr:rowOff>
    </xdr:to>
    <xdr:cxnSp macro="">
      <xdr:nvCxnSpPr>
        <xdr:cNvPr id="241" name="Connecteur droit avec flèche 240"/>
        <xdr:cNvCxnSpPr/>
      </xdr:nvCxnSpPr>
      <xdr:spPr>
        <a:xfrm>
          <a:off x="1415143" y="16872860"/>
          <a:ext cx="0" cy="571497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693963</xdr:colOff>
      <xdr:row>78</xdr:row>
      <xdr:rowOff>176896</xdr:rowOff>
    </xdr:from>
    <xdr:to>
      <xdr:col>5</xdr:col>
      <xdr:colOff>693963</xdr:colOff>
      <xdr:row>104</xdr:row>
      <xdr:rowOff>13607</xdr:rowOff>
    </xdr:to>
    <xdr:cxnSp macro="">
      <xdr:nvCxnSpPr>
        <xdr:cNvPr id="243" name="Connecteur droit avec flèche 242"/>
        <xdr:cNvCxnSpPr/>
      </xdr:nvCxnSpPr>
      <xdr:spPr>
        <a:xfrm>
          <a:off x="4503963" y="15729860"/>
          <a:ext cx="0" cy="4408711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653143</xdr:colOff>
      <xdr:row>78</xdr:row>
      <xdr:rowOff>176896</xdr:rowOff>
    </xdr:from>
    <xdr:to>
      <xdr:col>1</xdr:col>
      <xdr:colOff>653143</xdr:colOff>
      <xdr:row>81</xdr:row>
      <xdr:rowOff>176893</xdr:rowOff>
    </xdr:to>
    <xdr:cxnSp macro="">
      <xdr:nvCxnSpPr>
        <xdr:cNvPr id="245" name="Connecteur droit avec flèche 244"/>
        <xdr:cNvCxnSpPr/>
      </xdr:nvCxnSpPr>
      <xdr:spPr>
        <a:xfrm>
          <a:off x="1415143" y="15729860"/>
          <a:ext cx="0" cy="571497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653143</xdr:colOff>
      <xdr:row>94</xdr:row>
      <xdr:rowOff>163289</xdr:rowOff>
    </xdr:from>
    <xdr:to>
      <xdr:col>1</xdr:col>
      <xdr:colOff>653143</xdr:colOff>
      <xdr:row>96</xdr:row>
      <xdr:rowOff>13607</xdr:rowOff>
    </xdr:to>
    <xdr:cxnSp macro="">
      <xdr:nvCxnSpPr>
        <xdr:cNvPr id="246" name="Connecteur droit avec flèche 245"/>
        <xdr:cNvCxnSpPr/>
      </xdr:nvCxnSpPr>
      <xdr:spPr>
        <a:xfrm>
          <a:off x="1415143" y="18764253"/>
          <a:ext cx="0" cy="231318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653143</xdr:colOff>
      <xdr:row>99</xdr:row>
      <xdr:rowOff>176897</xdr:rowOff>
    </xdr:from>
    <xdr:to>
      <xdr:col>1</xdr:col>
      <xdr:colOff>653143</xdr:colOff>
      <xdr:row>101</xdr:row>
      <xdr:rowOff>27215</xdr:rowOff>
    </xdr:to>
    <xdr:cxnSp macro="">
      <xdr:nvCxnSpPr>
        <xdr:cNvPr id="248" name="Connecteur droit avec flèche 247"/>
        <xdr:cNvCxnSpPr/>
      </xdr:nvCxnSpPr>
      <xdr:spPr>
        <a:xfrm>
          <a:off x="1415143" y="19730361"/>
          <a:ext cx="0" cy="231318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27215</xdr:colOff>
      <xdr:row>81</xdr:row>
      <xdr:rowOff>68035</xdr:rowOff>
    </xdr:from>
    <xdr:to>
      <xdr:col>6</xdr:col>
      <xdr:colOff>326572</xdr:colOff>
      <xdr:row>82</xdr:row>
      <xdr:rowOff>68033</xdr:rowOff>
    </xdr:to>
    <xdr:sp macro="" textlink="">
      <xdr:nvSpPr>
        <xdr:cNvPr id="249" name="Rectangle 248"/>
        <xdr:cNvSpPr/>
      </xdr:nvSpPr>
      <xdr:spPr>
        <a:xfrm>
          <a:off x="4599215" y="16192499"/>
          <a:ext cx="299357" cy="190498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312965</xdr:colOff>
      <xdr:row>80</xdr:row>
      <xdr:rowOff>68035</xdr:rowOff>
    </xdr:from>
    <xdr:to>
      <xdr:col>6</xdr:col>
      <xdr:colOff>612322</xdr:colOff>
      <xdr:row>81</xdr:row>
      <xdr:rowOff>68033</xdr:rowOff>
    </xdr:to>
    <xdr:sp macro="" textlink="">
      <xdr:nvSpPr>
        <xdr:cNvPr id="252" name="Rectangle 251"/>
        <xdr:cNvSpPr/>
      </xdr:nvSpPr>
      <xdr:spPr>
        <a:xfrm>
          <a:off x="4884965" y="16001999"/>
          <a:ext cx="299357" cy="190498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312965</xdr:colOff>
      <xdr:row>81</xdr:row>
      <xdr:rowOff>68035</xdr:rowOff>
    </xdr:from>
    <xdr:to>
      <xdr:col>6</xdr:col>
      <xdr:colOff>612322</xdr:colOff>
      <xdr:row>82</xdr:row>
      <xdr:rowOff>68033</xdr:rowOff>
    </xdr:to>
    <xdr:sp macro="" textlink="">
      <xdr:nvSpPr>
        <xdr:cNvPr id="253" name="Rectangle 252"/>
        <xdr:cNvSpPr/>
      </xdr:nvSpPr>
      <xdr:spPr>
        <a:xfrm>
          <a:off x="4884965" y="16192499"/>
          <a:ext cx="299357" cy="190498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612321</xdr:colOff>
      <xdr:row>80</xdr:row>
      <xdr:rowOff>68035</xdr:rowOff>
    </xdr:from>
    <xdr:to>
      <xdr:col>7</xdr:col>
      <xdr:colOff>149678</xdr:colOff>
      <xdr:row>81</xdr:row>
      <xdr:rowOff>68033</xdr:rowOff>
    </xdr:to>
    <xdr:sp macro="" textlink="">
      <xdr:nvSpPr>
        <xdr:cNvPr id="254" name="Rectangle 253"/>
        <xdr:cNvSpPr/>
      </xdr:nvSpPr>
      <xdr:spPr>
        <a:xfrm>
          <a:off x="5184321" y="16001999"/>
          <a:ext cx="299357" cy="190498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612321</xdr:colOff>
      <xdr:row>81</xdr:row>
      <xdr:rowOff>68035</xdr:rowOff>
    </xdr:from>
    <xdr:to>
      <xdr:col>7</xdr:col>
      <xdr:colOff>149678</xdr:colOff>
      <xdr:row>82</xdr:row>
      <xdr:rowOff>68033</xdr:rowOff>
    </xdr:to>
    <xdr:sp macro="" textlink="">
      <xdr:nvSpPr>
        <xdr:cNvPr id="255" name="Rectangle 254"/>
        <xdr:cNvSpPr/>
      </xdr:nvSpPr>
      <xdr:spPr>
        <a:xfrm>
          <a:off x="5184321" y="16192499"/>
          <a:ext cx="299357" cy="190498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612321</xdr:colOff>
      <xdr:row>79</xdr:row>
      <xdr:rowOff>68035</xdr:rowOff>
    </xdr:from>
    <xdr:to>
      <xdr:col>7</xdr:col>
      <xdr:colOff>149678</xdr:colOff>
      <xdr:row>80</xdr:row>
      <xdr:rowOff>68033</xdr:rowOff>
    </xdr:to>
    <xdr:sp macro="" textlink="">
      <xdr:nvSpPr>
        <xdr:cNvPr id="256" name="Rectangle 255"/>
        <xdr:cNvSpPr/>
      </xdr:nvSpPr>
      <xdr:spPr>
        <a:xfrm>
          <a:off x="5184321" y="15811499"/>
          <a:ext cx="299357" cy="190498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136071</xdr:colOff>
      <xdr:row>80</xdr:row>
      <xdr:rowOff>68035</xdr:rowOff>
    </xdr:from>
    <xdr:to>
      <xdr:col>7</xdr:col>
      <xdr:colOff>435428</xdr:colOff>
      <xdr:row>81</xdr:row>
      <xdr:rowOff>68033</xdr:rowOff>
    </xdr:to>
    <xdr:sp macro="" textlink="">
      <xdr:nvSpPr>
        <xdr:cNvPr id="257" name="Rectangle 256"/>
        <xdr:cNvSpPr/>
      </xdr:nvSpPr>
      <xdr:spPr>
        <a:xfrm>
          <a:off x="5470071" y="16001999"/>
          <a:ext cx="299357" cy="190498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136071</xdr:colOff>
      <xdr:row>81</xdr:row>
      <xdr:rowOff>68035</xdr:rowOff>
    </xdr:from>
    <xdr:to>
      <xdr:col>7</xdr:col>
      <xdr:colOff>435428</xdr:colOff>
      <xdr:row>82</xdr:row>
      <xdr:rowOff>68033</xdr:rowOff>
    </xdr:to>
    <xdr:sp macro="" textlink="">
      <xdr:nvSpPr>
        <xdr:cNvPr id="258" name="Rectangle 257"/>
        <xdr:cNvSpPr/>
      </xdr:nvSpPr>
      <xdr:spPr>
        <a:xfrm>
          <a:off x="5470071" y="16192499"/>
          <a:ext cx="299357" cy="190498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136071</xdr:colOff>
      <xdr:row>79</xdr:row>
      <xdr:rowOff>68035</xdr:rowOff>
    </xdr:from>
    <xdr:to>
      <xdr:col>7</xdr:col>
      <xdr:colOff>435428</xdr:colOff>
      <xdr:row>80</xdr:row>
      <xdr:rowOff>68033</xdr:rowOff>
    </xdr:to>
    <xdr:sp macro="" textlink="">
      <xdr:nvSpPr>
        <xdr:cNvPr id="259" name="Rectangle 258"/>
        <xdr:cNvSpPr/>
      </xdr:nvSpPr>
      <xdr:spPr>
        <a:xfrm>
          <a:off x="5470071" y="15811499"/>
          <a:ext cx="299357" cy="190498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136071</xdr:colOff>
      <xdr:row>78</xdr:row>
      <xdr:rowOff>68036</xdr:rowOff>
    </xdr:from>
    <xdr:to>
      <xdr:col>7</xdr:col>
      <xdr:colOff>435428</xdr:colOff>
      <xdr:row>79</xdr:row>
      <xdr:rowOff>68034</xdr:rowOff>
    </xdr:to>
    <xdr:sp macro="" textlink="">
      <xdr:nvSpPr>
        <xdr:cNvPr id="260" name="Rectangle 259"/>
        <xdr:cNvSpPr/>
      </xdr:nvSpPr>
      <xdr:spPr>
        <a:xfrm>
          <a:off x="5470071" y="15621000"/>
          <a:ext cx="299357" cy="190498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462642</xdr:colOff>
      <xdr:row>78</xdr:row>
      <xdr:rowOff>95250</xdr:rowOff>
    </xdr:from>
    <xdr:to>
      <xdr:col>8</xdr:col>
      <xdr:colOff>612321</xdr:colOff>
      <xdr:row>81</xdr:row>
      <xdr:rowOff>176894</xdr:rowOff>
    </xdr:to>
    <xdr:cxnSp macro="">
      <xdr:nvCxnSpPr>
        <xdr:cNvPr id="266" name="Connecteur droit 265"/>
        <xdr:cNvCxnSpPr/>
      </xdr:nvCxnSpPr>
      <xdr:spPr>
        <a:xfrm flipV="1">
          <a:off x="5796642" y="15648214"/>
          <a:ext cx="911679" cy="653144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462641</xdr:colOff>
      <xdr:row>82</xdr:row>
      <xdr:rowOff>1</xdr:rowOff>
    </xdr:from>
    <xdr:to>
      <xdr:col>8</xdr:col>
      <xdr:colOff>734785</xdr:colOff>
      <xdr:row>82</xdr:row>
      <xdr:rowOff>1</xdr:rowOff>
    </xdr:to>
    <xdr:cxnSp macro="">
      <xdr:nvCxnSpPr>
        <xdr:cNvPr id="269" name="Connecteur droit 268"/>
        <xdr:cNvCxnSpPr/>
      </xdr:nvCxnSpPr>
      <xdr:spPr>
        <a:xfrm>
          <a:off x="5796641" y="16314965"/>
          <a:ext cx="1034144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748395</xdr:colOff>
      <xdr:row>80</xdr:row>
      <xdr:rowOff>81643</xdr:rowOff>
    </xdr:from>
    <xdr:to>
      <xdr:col>8</xdr:col>
      <xdr:colOff>204109</xdr:colOff>
      <xdr:row>82</xdr:row>
      <xdr:rowOff>0</xdr:rowOff>
    </xdr:to>
    <xdr:sp macro="" textlink="">
      <xdr:nvSpPr>
        <xdr:cNvPr id="272" name="Arc 271"/>
        <xdr:cNvSpPr/>
      </xdr:nvSpPr>
      <xdr:spPr>
        <a:xfrm>
          <a:off x="6082395" y="16015607"/>
          <a:ext cx="217714" cy="299357"/>
        </a:xfrm>
        <a:prstGeom prst="arc">
          <a:avLst>
            <a:gd name="adj1" fmla="val 16200000"/>
            <a:gd name="adj2" fmla="val 4293916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326571</xdr:colOff>
      <xdr:row>80</xdr:row>
      <xdr:rowOff>54429</xdr:rowOff>
    </xdr:from>
    <xdr:to>
      <xdr:col>8</xdr:col>
      <xdr:colOff>408214</xdr:colOff>
      <xdr:row>80</xdr:row>
      <xdr:rowOff>149679</xdr:rowOff>
    </xdr:to>
    <xdr:sp macro="" textlink="">
      <xdr:nvSpPr>
        <xdr:cNvPr id="273" name="Ellipse 272"/>
        <xdr:cNvSpPr/>
      </xdr:nvSpPr>
      <xdr:spPr>
        <a:xfrm>
          <a:off x="6422571" y="15988393"/>
          <a:ext cx="81643" cy="95250"/>
        </a:xfrm>
        <a:prstGeom prst="ellipse">
          <a:avLst/>
        </a:prstGeom>
        <a:solidFill>
          <a:schemeClr val="bg1"/>
        </a:solidFill>
        <a:ln w="3175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13607</xdr:colOff>
      <xdr:row>32</xdr:row>
      <xdr:rowOff>81643</xdr:rowOff>
    </xdr:from>
    <xdr:to>
      <xdr:col>6</xdr:col>
      <xdr:colOff>748393</xdr:colOff>
      <xdr:row>32</xdr:row>
      <xdr:rowOff>81643</xdr:rowOff>
    </xdr:to>
    <xdr:cxnSp macro="">
      <xdr:nvCxnSpPr>
        <xdr:cNvPr id="275" name="Connecteur droit 274"/>
        <xdr:cNvCxnSpPr/>
      </xdr:nvCxnSpPr>
      <xdr:spPr>
        <a:xfrm>
          <a:off x="4585607" y="6463393"/>
          <a:ext cx="734786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13607</xdr:colOff>
      <xdr:row>33</xdr:row>
      <xdr:rowOff>108857</xdr:rowOff>
    </xdr:from>
    <xdr:to>
      <xdr:col>6</xdr:col>
      <xdr:colOff>748393</xdr:colOff>
      <xdr:row>33</xdr:row>
      <xdr:rowOff>108857</xdr:rowOff>
    </xdr:to>
    <xdr:cxnSp macro="">
      <xdr:nvCxnSpPr>
        <xdr:cNvPr id="278" name="Connecteur droit 277"/>
        <xdr:cNvCxnSpPr/>
      </xdr:nvCxnSpPr>
      <xdr:spPr>
        <a:xfrm>
          <a:off x="4585607" y="6681107"/>
          <a:ext cx="734786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27214</xdr:colOff>
      <xdr:row>31</xdr:row>
      <xdr:rowOff>95250</xdr:rowOff>
    </xdr:from>
    <xdr:to>
      <xdr:col>4</xdr:col>
      <xdr:colOff>653143</xdr:colOff>
      <xdr:row>31</xdr:row>
      <xdr:rowOff>95250</xdr:rowOff>
    </xdr:to>
    <xdr:cxnSp macro="">
      <xdr:nvCxnSpPr>
        <xdr:cNvPr id="280" name="Connecteur droit 279"/>
        <xdr:cNvCxnSpPr/>
      </xdr:nvCxnSpPr>
      <xdr:spPr>
        <a:xfrm>
          <a:off x="2313214" y="6354536"/>
          <a:ext cx="1387929" cy="0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476250</xdr:colOff>
      <xdr:row>30</xdr:row>
      <xdr:rowOff>95250</xdr:rowOff>
    </xdr:from>
    <xdr:to>
      <xdr:col>4</xdr:col>
      <xdr:colOff>639536</xdr:colOff>
      <xdr:row>31</xdr:row>
      <xdr:rowOff>95250</xdr:rowOff>
    </xdr:to>
    <xdr:cxnSp macro="">
      <xdr:nvCxnSpPr>
        <xdr:cNvPr id="281" name="Connecteur droit 280"/>
        <xdr:cNvCxnSpPr/>
      </xdr:nvCxnSpPr>
      <xdr:spPr>
        <a:xfrm>
          <a:off x="3524250" y="6164036"/>
          <a:ext cx="163286" cy="190500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40822</xdr:colOff>
      <xdr:row>30</xdr:row>
      <xdr:rowOff>108857</xdr:rowOff>
    </xdr:from>
    <xdr:to>
      <xdr:col>3</xdr:col>
      <xdr:colOff>217714</xdr:colOff>
      <xdr:row>31</xdr:row>
      <xdr:rowOff>68036</xdr:rowOff>
    </xdr:to>
    <xdr:cxnSp macro="">
      <xdr:nvCxnSpPr>
        <xdr:cNvPr id="284" name="Connecteur droit 283"/>
        <xdr:cNvCxnSpPr/>
      </xdr:nvCxnSpPr>
      <xdr:spPr>
        <a:xfrm flipH="1">
          <a:off x="2326822" y="6177643"/>
          <a:ext cx="176892" cy="149679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54429</xdr:colOff>
      <xdr:row>67</xdr:row>
      <xdr:rowOff>108857</xdr:rowOff>
    </xdr:from>
    <xdr:to>
      <xdr:col>5</xdr:col>
      <xdr:colOff>408215</xdr:colOff>
      <xdr:row>67</xdr:row>
      <xdr:rowOff>108857</xdr:rowOff>
    </xdr:to>
    <xdr:cxnSp macro="">
      <xdr:nvCxnSpPr>
        <xdr:cNvPr id="289" name="Connecteur droit 288"/>
        <xdr:cNvCxnSpPr/>
      </xdr:nvCxnSpPr>
      <xdr:spPr>
        <a:xfrm>
          <a:off x="2340429" y="13607143"/>
          <a:ext cx="1877786" cy="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244929</xdr:colOff>
      <xdr:row>66</xdr:row>
      <xdr:rowOff>136071</xdr:rowOff>
    </xdr:from>
    <xdr:to>
      <xdr:col>5</xdr:col>
      <xdr:colOff>408215</xdr:colOff>
      <xdr:row>67</xdr:row>
      <xdr:rowOff>136071</xdr:rowOff>
    </xdr:to>
    <xdr:cxnSp macro="">
      <xdr:nvCxnSpPr>
        <xdr:cNvPr id="290" name="Connecteur droit 289"/>
        <xdr:cNvCxnSpPr/>
      </xdr:nvCxnSpPr>
      <xdr:spPr>
        <a:xfrm>
          <a:off x="4054929" y="13443857"/>
          <a:ext cx="163286" cy="19050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27215</xdr:colOff>
      <xdr:row>66</xdr:row>
      <xdr:rowOff>149678</xdr:rowOff>
    </xdr:from>
    <xdr:to>
      <xdr:col>3</xdr:col>
      <xdr:colOff>204107</xdr:colOff>
      <xdr:row>67</xdr:row>
      <xdr:rowOff>108857</xdr:rowOff>
    </xdr:to>
    <xdr:cxnSp macro="">
      <xdr:nvCxnSpPr>
        <xdr:cNvPr id="291" name="Connecteur droit 290"/>
        <xdr:cNvCxnSpPr/>
      </xdr:nvCxnSpPr>
      <xdr:spPr>
        <a:xfrm flipH="1">
          <a:off x="2313215" y="13457464"/>
          <a:ext cx="176892" cy="149679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107</xdr:row>
      <xdr:rowOff>13608</xdr:rowOff>
    </xdr:from>
    <xdr:to>
      <xdr:col>7</xdr:col>
      <xdr:colOff>0</xdr:colOff>
      <xdr:row>114</xdr:row>
      <xdr:rowOff>176893</xdr:rowOff>
    </xdr:to>
    <xdr:sp macro="" textlink="">
      <xdr:nvSpPr>
        <xdr:cNvPr id="6" name="Rectangle 5"/>
        <xdr:cNvSpPr/>
      </xdr:nvSpPr>
      <xdr:spPr>
        <a:xfrm>
          <a:off x="762000" y="20723679"/>
          <a:ext cx="4572000" cy="1496785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190500</xdr:colOff>
      <xdr:row>108</xdr:row>
      <xdr:rowOff>27214</xdr:rowOff>
    </xdr:from>
    <xdr:to>
      <xdr:col>6</xdr:col>
      <xdr:colOff>544285</xdr:colOff>
      <xdr:row>113</xdr:row>
      <xdr:rowOff>163285</xdr:rowOff>
    </xdr:to>
    <xdr:sp macro="" textlink="">
      <xdr:nvSpPr>
        <xdr:cNvPr id="130" name="Rectangle 129"/>
        <xdr:cNvSpPr/>
      </xdr:nvSpPr>
      <xdr:spPr>
        <a:xfrm>
          <a:off x="952500" y="20927785"/>
          <a:ext cx="4163785" cy="108857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394607</xdr:colOff>
      <xdr:row>111</xdr:row>
      <xdr:rowOff>0</xdr:rowOff>
    </xdr:from>
    <xdr:to>
      <xdr:col>7</xdr:col>
      <xdr:colOff>367393</xdr:colOff>
      <xdr:row>111</xdr:row>
      <xdr:rowOff>0</xdr:rowOff>
    </xdr:to>
    <xdr:cxnSp macro="">
      <xdr:nvCxnSpPr>
        <xdr:cNvPr id="9" name="Connecteur droit 8"/>
        <xdr:cNvCxnSpPr/>
      </xdr:nvCxnSpPr>
      <xdr:spPr>
        <a:xfrm>
          <a:off x="394607" y="21472071"/>
          <a:ext cx="5306786" cy="0"/>
        </a:xfrm>
        <a:prstGeom prst="line">
          <a:avLst/>
        </a:prstGeom>
        <a:ln w="28575"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258536</xdr:colOff>
      <xdr:row>106</xdr:row>
      <xdr:rowOff>81642</xdr:rowOff>
    </xdr:from>
    <xdr:to>
      <xdr:col>1</xdr:col>
      <xdr:colOff>258536</xdr:colOff>
      <xdr:row>115</xdr:row>
      <xdr:rowOff>95249</xdr:rowOff>
    </xdr:to>
    <xdr:cxnSp macro="">
      <xdr:nvCxnSpPr>
        <xdr:cNvPr id="16" name="Connecteur droit 15"/>
        <xdr:cNvCxnSpPr/>
      </xdr:nvCxnSpPr>
      <xdr:spPr>
        <a:xfrm>
          <a:off x="1020536" y="20601213"/>
          <a:ext cx="0" cy="1728107"/>
        </a:xfrm>
        <a:prstGeom prst="line">
          <a:avLst/>
        </a:prstGeom>
        <a:ln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612321</xdr:colOff>
      <xdr:row>106</xdr:row>
      <xdr:rowOff>81642</xdr:rowOff>
    </xdr:from>
    <xdr:to>
      <xdr:col>1</xdr:col>
      <xdr:colOff>612321</xdr:colOff>
      <xdr:row>115</xdr:row>
      <xdr:rowOff>95249</xdr:rowOff>
    </xdr:to>
    <xdr:cxnSp macro="">
      <xdr:nvCxnSpPr>
        <xdr:cNvPr id="138" name="Connecteur droit 137"/>
        <xdr:cNvCxnSpPr/>
      </xdr:nvCxnSpPr>
      <xdr:spPr>
        <a:xfrm>
          <a:off x="1374321" y="20601213"/>
          <a:ext cx="0" cy="1728107"/>
        </a:xfrm>
        <a:prstGeom prst="line">
          <a:avLst/>
        </a:prstGeom>
        <a:ln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106</xdr:row>
      <xdr:rowOff>81642</xdr:rowOff>
    </xdr:from>
    <xdr:to>
      <xdr:col>4</xdr:col>
      <xdr:colOff>0</xdr:colOff>
      <xdr:row>115</xdr:row>
      <xdr:rowOff>95249</xdr:rowOff>
    </xdr:to>
    <xdr:cxnSp macro="">
      <xdr:nvCxnSpPr>
        <xdr:cNvPr id="145" name="Connecteur droit 144"/>
        <xdr:cNvCxnSpPr/>
      </xdr:nvCxnSpPr>
      <xdr:spPr>
        <a:xfrm>
          <a:off x="3048000" y="20601213"/>
          <a:ext cx="0" cy="1728107"/>
        </a:xfrm>
        <a:prstGeom prst="line">
          <a:avLst/>
        </a:prstGeom>
        <a:ln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449035</xdr:colOff>
      <xdr:row>106</xdr:row>
      <xdr:rowOff>81642</xdr:rowOff>
    </xdr:from>
    <xdr:to>
      <xdr:col>6</xdr:col>
      <xdr:colOff>449035</xdr:colOff>
      <xdr:row>115</xdr:row>
      <xdr:rowOff>95249</xdr:rowOff>
    </xdr:to>
    <xdr:cxnSp macro="">
      <xdr:nvCxnSpPr>
        <xdr:cNvPr id="146" name="Connecteur droit 145"/>
        <xdr:cNvCxnSpPr/>
      </xdr:nvCxnSpPr>
      <xdr:spPr>
        <a:xfrm>
          <a:off x="5021035" y="20601213"/>
          <a:ext cx="0" cy="1728107"/>
        </a:xfrm>
        <a:prstGeom prst="line">
          <a:avLst/>
        </a:prstGeom>
        <a:ln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149678</xdr:colOff>
      <xdr:row>106</xdr:row>
      <xdr:rowOff>81642</xdr:rowOff>
    </xdr:from>
    <xdr:to>
      <xdr:col>6</xdr:col>
      <xdr:colOff>149678</xdr:colOff>
      <xdr:row>115</xdr:row>
      <xdr:rowOff>95249</xdr:rowOff>
    </xdr:to>
    <xdr:cxnSp macro="">
      <xdr:nvCxnSpPr>
        <xdr:cNvPr id="149" name="Connecteur droit 148"/>
        <xdr:cNvCxnSpPr/>
      </xdr:nvCxnSpPr>
      <xdr:spPr>
        <a:xfrm>
          <a:off x="4721678" y="20601213"/>
          <a:ext cx="0" cy="1728107"/>
        </a:xfrm>
        <a:prstGeom prst="line">
          <a:avLst/>
        </a:prstGeom>
        <a:ln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149679</xdr:colOff>
      <xdr:row>115</xdr:row>
      <xdr:rowOff>68036</xdr:rowOff>
    </xdr:from>
    <xdr:to>
      <xdr:col>6</xdr:col>
      <xdr:colOff>462643</xdr:colOff>
      <xdr:row>115</xdr:row>
      <xdr:rowOff>68036</xdr:rowOff>
    </xdr:to>
    <xdr:cxnSp macro="">
      <xdr:nvCxnSpPr>
        <xdr:cNvPr id="18" name="Connecteur droit avec flèche 17"/>
        <xdr:cNvCxnSpPr/>
      </xdr:nvCxnSpPr>
      <xdr:spPr>
        <a:xfrm>
          <a:off x="4721679" y="22302107"/>
          <a:ext cx="312964" cy="0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</xdr:colOff>
      <xdr:row>123</xdr:row>
      <xdr:rowOff>176894</xdr:rowOff>
    </xdr:from>
    <xdr:to>
      <xdr:col>4</xdr:col>
      <xdr:colOff>13607</xdr:colOff>
      <xdr:row>126</xdr:row>
      <xdr:rowOff>176893</xdr:rowOff>
    </xdr:to>
    <xdr:sp macro="" textlink="">
      <xdr:nvSpPr>
        <xdr:cNvPr id="150" name="Rectangle 149"/>
        <xdr:cNvSpPr/>
      </xdr:nvSpPr>
      <xdr:spPr>
        <a:xfrm>
          <a:off x="762001" y="23934965"/>
          <a:ext cx="2299606" cy="571499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0</xdr:colOff>
      <xdr:row>120</xdr:row>
      <xdr:rowOff>27215</xdr:rowOff>
    </xdr:from>
    <xdr:to>
      <xdr:col>4</xdr:col>
      <xdr:colOff>13607</xdr:colOff>
      <xdr:row>123</xdr:row>
      <xdr:rowOff>176893</xdr:rowOff>
    </xdr:to>
    <xdr:sp macro="" textlink="">
      <xdr:nvSpPr>
        <xdr:cNvPr id="19" name="Triangle isocèle 18"/>
        <xdr:cNvSpPr/>
      </xdr:nvSpPr>
      <xdr:spPr>
        <a:xfrm>
          <a:off x="762000" y="23213786"/>
          <a:ext cx="2299607" cy="721178"/>
        </a:xfrm>
        <a:prstGeom prst="triangle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433452</xdr:colOff>
      <xdr:row>121</xdr:row>
      <xdr:rowOff>127248</xdr:rowOff>
    </xdr:from>
    <xdr:to>
      <xdr:col>2</xdr:col>
      <xdr:colOff>526237</xdr:colOff>
      <xdr:row>121</xdr:row>
      <xdr:rowOff>177297</xdr:rowOff>
    </xdr:to>
    <xdr:sp macro="" textlink="">
      <xdr:nvSpPr>
        <xdr:cNvPr id="22" name="Rectangle 21"/>
        <xdr:cNvSpPr/>
      </xdr:nvSpPr>
      <xdr:spPr>
        <a:xfrm rot="19677782">
          <a:off x="433452" y="23249186"/>
          <a:ext cx="1616785" cy="50049"/>
        </a:xfrm>
        <a:prstGeom prst="rect">
          <a:avLst/>
        </a:prstGeom>
        <a:solidFill>
          <a:srgbClr val="FFC00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756839</xdr:colOff>
      <xdr:row>123</xdr:row>
      <xdr:rowOff>111126</xdr:rowOff>
    </xdr:from>
    <xdr:to>
      <xdr:col>1</xdr:col>
      <xdr:colOff>142880</xdr:colOff>
      <xdr:row>123</xdr:row>
      <xdr:rowOff>175887</xdr:rowOff>
    </xdr:to>
    <xdr:sp macro="" textlink="">
      <xdr:nvSpPr>
        <xdr:cNvPr id="155" name="Rectangle 154"/>
        <xdr:cNvSpPr/>
      </xdr:nvSpPr>
      <xdr:spPr>
        <a:xfrm rot="16200000">
          <a:off x="798479" y="23572424"/>
          <a:ext cx="64761" cy="148041"/>
        </a:xfrm>
        <a:prstGeom prst="rect">
          <a:avLst/>
        </a:prstGeom>
        <a:solidFill>
          <a:srgbClr val="92D05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637777</xdr:colOff>
      <xdr:row>123</xdr:row>
      <xdr:rowOff>111126</xdr:rowOff>
    </xdr:from>
    <xdr:to>
      <xdr:col>4</xdr:col>
      <xdr:colOff>23818</xdr:colOff>
      <xdr:row>123</xdr:row>
      <xdr:rowOff>175887</xdr:rowOff>
    </xdr:to>
    <xdr:sp macro="" textlink="">
      <xdr:nvSpPr>
        <xdr:cNvPr id="157" name="Rectangle 156"/>
        <xdr:cNvSpPr/>
      </xdr:nvSpPr>
      <xdr:spPr>
        <a:xfrm rot="16200000">
          <a:off x="2965417" y="23572424"/>
          <a:ext cx="64761" cy="148041"/>
        </a:xfrm>
        <a:prstGeom prst="rect">
          <a:avLst/>
        </a:prstGeom>
        <a:solidFill>
          <a:srgbClr val="92D05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595253</xdr:colOff>
      <xdr:row>121</xdr:row>
      <xdr:rowOff>108078</xdr:rowOff>
    </xdr:from>
    <xdr:to>
      <xdr:col>1</xdr:col>
      <xdr:colOff>656036</xdr:colOff>
      <xdr:row>122</xdr:row>
      <xdr:rowOff>58775</xdr:rowOff>
    </xdr:to>
    <xdr:sp macro="" textlink="">
      <xdr:nvSpPr>
        <xdr:cNvPr id="158" name="Rectangle 157"/>
        <xdr:cNvSpPr/>
      </xdr:nvSpPr>
      <xdr:spPr>
        <a:xfrm rot="19551960">
          <a:off x="1357253" y="23230016"/>
          <a:ext cx="60783" cy="141197"/>
        </a:xfrm>
        <a:prstGeom prst="rect">
          <a:avLst/>
        </a:prstGeom>
        <a:solidFill>
          <a:srgbClr val="FF000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367623</xdr:colOff>
      <xdr:row>119</xdr:row>
      <xdr:rowOff>166688</xdr:rowOff>
    </xdr:from>
    <xdr:to>
      <xdr:col>2</xdr:col>
      <xdr:colOff>420687</xdr:colOff>
      <xdr:row>120</xdr:row>
      <xdr:rowOff>118256</xdr:rowOff>
    </xdr:to>
    <xdr:sp macro="" textlink="">
      <xdr:nvSpPr>
        <xdr:cNvPr id="159" name="Rectangle 158"/>
        <xdr:cNvSpPr/>
      </xdr:nvSpPr>
      <xdr:spPr>
        <a:xfrm>
          <a:off x="1891623" y="22907626"/>
          <a:ext cx="53064" cy="142068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109500</xdr:colOff>
      <xdr:row>121</xdr:row>
      <xdr:rowOff>84182</xdr:rowOff>
    </xdr:from>
    <xdr:to>
      <xdr:col>3</xdr:col>
      <xdr:colOff>165512</xdr:colOff>
      <xdr:row>122</xdr:row>
      <xdr:rowOff>29317</xdr:rowOff>
    </xdr:to>
    <xdr:sp macro="" textlink="">
      <xdr:nvSpPr>
        <xdr:cNvPr id="161" name="Rectangle 160"/>
        <xdr:cNvSpPr/>
      </xdr:nvSpPr>
      <xdr:spPr>
        <a:xfrm rot="2022390">
          <a:off x="2395500" y="23206120"/>
          <a:ext cx="56012" cy="135635"/>
        </a:xfrm>
        <a:prstGeom prst="rect">
          <a:avLst/>
        </a:prstGeom>
        <a:solidFill>
          <a:srgbClr val="FF000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250887</xdr:colOff>
      <xdr:row>121</xdr:row>
      <xdr:rowOff>135186</xdr:rowOff>
    </xdr:from>
    <xdr:to>
      <xdr:col>4</xdr:col>
      <xdr:colOff>343672</xdr:colOff>
      <xdr:row>121</xdr:row>
      <xdr:rowOff>185235</xdr:rowOff>
    </xdr:to>
    <xdr:sp macro="" textlink="">
      <xdr:nvSpPr>
        <xdr:cNvPr id="162" name="Rectangle 161"/>
        <xdr:cNvSpPr/>
      </xdr:nvSpPr>
      <xdr:spPr>
        <a:xfrm rot="12744602">
          <a:off x="1774887" y="23257124"/>
          <a:ext cx="1616785" cy="50049"/>
        </a:xfrm>
        <a:prstGeom prst="rect">
          <a:avLst/>
        </a:prstGeom>
        <a:solidFill>
          <a:srgbClr val="FFC00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6804</xdr:colOff>
      <xdr:row>124</xdr:row>
      <xdr:rowOff>91849</xdr:rowOff>
    </xdr:from>
    <xdr:to>
      <xdr:col>4</xdr:col>
      <xdr:colOff>238125</xdr:colOff>
      <xdr:row>124</xdr:row>
      <xdr:rowOff>91849</xdr:rowOff>
    </xdr:to>
    <xdr:cxnSp macro="">
      <xdr:nvCxnSpPr>
        <xdr:cNvPr id="163" name="Connecteur droit avec flèche 162"/>
        <xdr:cNvCxnSpPr/>
      </xdr:nvCxnSpPr>
      <xdr:spPr>
        <a:xfrm>
          <a:off x="3054804" y="23963880"/>
          <a:ext cx="231321" cy="0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607220</xdr:colOff>
      <xdr:row>106</xdr:row>
      <xdr:rowOff>83344</xdr:rowOff>
    </xdr:from>
    <xdr:to>
      <xdr:col>7</xdr:col>
      <xdr:colOff>154782</xdr:colOff>
      <xdr:row>115</xdr:row>
      <xdr:rowOff>119063</xdr:rowOff>
    </xdr:to>
    <xdr:sp macro="" textlink="">
      <xdr:nvSpPr>
        <xdr:cNvPr id="24" name="Rectangle 23"/>
        <xdr:cNvSpPr/>
      </xdr:nvSpPr>
      <xdr:spPr>
        <a:xfrm>
          <a:off x="607220" y="20526375"/>
          <a:ext cx="4881562" cy="1750219"/>
        </a:xfrm>
        <a:prstGeom prst="rect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590210</xdr:colOff>
      <xdr:row>115</xdr:row>
      <xdr:rowOff>32318</xdr:rowOff>
    </xdr:from>
    <xdr:to>
      <xdr:col>1</xdr:col>
      <xdr:colOff>59531</xdr:colOff>
      <xdr:row>115</xdr:row>
      <xdr:rowOff>32318</xdr:rowOff>
    </xdr:to>
    <xdr:cxnSp macro="">
      <xdr:nvCxnSpPr>
        <xdr:cNvPr id="164" name="Connecteur droit avec flèche 163"/>
        <xdr:cNvCxnSpPr/>
      </xdr:nvCxnSpPr>
      <xdr:spPr>
        <a:xfrm>
          <a:off x="590210" y="22189849"/>
          <a:ext cx="231321" cy="0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489286</xdr:colOff>
      <xdr:row>131</xdr:row>
      <xdr:rowOff>204106</xdr:rowOff>
    </xdr:from>
    <xdr:to>
      <xdr:col>8</xdr:col>
      <xdr:colOff>17189</xdr:colOff>
      <xdr:row>144</xdr:row>
      <xdr:rowOff>108858</xdr:rowOff>
    </xdr:to>
    <xdr:pic>
      <xdr:nvPicPr>
        <xdr:cNvPr id="29" name="Image 2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286" y="25227642"/>
          <a:ext cx="5623903" cy="2558144"/>
        </a:xfrm>
        <a:prstGeom prst="rect">
          <a:avLst/>
        </a:prstGeom>
      </xdr:spPr>
    </xdr:pic>
    <xdr:clientData/>
  </xdr:twoCellAnchor>
  <xdr:twoCellAnchor>
    <xdr:from>
      <xdr:col>0</xdr:col>
      <xdr:colOff>746125</xdr:colOff>
      <xdr:row>142</xdr:row>
      <xdr:rowOff>95250</xdr:rowOff>
    </xdr:from>
    <xdr:to>
      <xdr:col>1</xdr:col>
      <xdr:colOff>81643</xdr:colOff>
      <xdr:row>145</xdr:row>
      <xdr:rowOff>119062</xdr:rowOff>
    </xdr:to>
    <xdr:sp macro="" textlink="">
      <xdr:nvSpPr>
        <xdr:cNvPr id="10" name="Rectangle 9"/>
        <xdr:cNvSpPr/>
      </xdr:nvSpPr>
      <xdr:spPr>
        <a:xfrm>
          <a:off x="746125" y="27404786"/>
          <a:ext cx="97518" cy="595312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88447</xdr:colOff>
      <xdr:row>142</xdr:row>
      <xdr:rowOff>47626</xdr:rowOff>
    </xdr:from>
    <xdr:to>
      <xdr:col>1</xdr:col>
      <xdr:colOff>299357</xdr:colOff>
      <xdr:row>145</xdr:row>
      <xdr:rowOff>54429</xdr:rowOff>
    </xdr:to>
    <xdr:sp macro="" textlink="">
      <xdr:nvSpPr>
        <xdr:cNvPr id="166" name="Rectangle 165"/>
        <xdr:cNvSpPr/>
      </xdr:nvSpPr>
      <xdr:spPr>
        <a:xfrm>
          <a:off x="850447" y="26860501"/>
          <a:ext cx="210910" cy="591910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306160</xdr:colOff>
      <xdr:row>142</xdr:row>
      <xdr:rowOff>79374</xdr:rowOff>
    </xdr:from>
    <xdr:to>
      <xdr:col>6</xdr:col>
      <xdr:colOff>517070</xdr:colOff>
      <xdr:row>145</xdr:row>
      <xdr:rowOff>87311</xdr:rowOff>
    </xdr:to>
    <xdr:sp macro="" textlink="">
      <xdr:nvSpPr>
        <xdr:cNvPr id="167" name="Rectangle 166"/>
        <xdr:cNvSpPr/>
      </xdr:nvSpPr>
      <xdr:spPr>
        <a:xfrm>
          <a:off x="4878160" y="27388910"/>
          <a:ext cx="210910" cy="620258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557893</xdr:colOff>
      <xdr:row>142</xdr:row>
      <xdr:rowOff>95251</xdr:rowOff>
    </xdr:from>
    <xdr:to>
      <xdr:col>6</xdr:col>
      <xdr:colOff>635000</xdr:colOff>
      <xdr:row>145</xdr:row>
      <xdr:rowOff>95251</xdr:rowOff>
    </xdr:to>
    <xdr:sp macro="" textlink="">
      <xdr:nvSpPr>
        <xdr:cNvPr id="168" name="Rectangle 167"/>
        <xdr:cNvSpPr/>
      </xdr:nvSpPr>
      <xdr:spPr>
        <a:xfrm>
          <a:off x="5129893" y="27404787"/>
          <a:ext cx="77107" cy="571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0</xdr:colOff>
      <xdr:row>155</xdr:row>
      <xdr:rowOff>13608</xdr:rowOff>
    </xdr:from>
    <xdr:to>
      <xdr:col>7</xdr:col>
      <xdr:colOff>0</xdr:colOff>
      <xdr:row>162</xdr:row>
      <xdr:rowOff>176893</xdr:rowOff>
    </xdr:to>
    <xdr:sp macro="" textlink="">
      <xdr:nvSpPr>
        <xdr:cNvPr id="169" name="Rectangle 168"/>
        <xdr:cNvSpPr/>
      </xdr:nvSpPr>
      <xdr:spPr>
        <a:xfrm>
          <a:off x="762000" y="20737287"/>
          <a:ext cx="4572000" cy="1510392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190500</xdr:colOff>
      <xdr:row>156</xdr:row>
      <xdr:rowOff>27214</xdr:rowOff>
    </xdr:from>
    <xdr:to>
      <xdr:col>6</xdr:col>
      <xdr:colOff>544285</xdr:colOff>
      <xdr:row>161</xdr:row>
      <xdr:rowOff>163285</xdr:rowOff>
    </xdr:to>
    <xdr:sp macro="" textlink="">
      <xdr:nvSpPr>
        <xdr:cNvPr id="171" name="Rectangle 170"/>
        <xdr:cNvSpPr/>
      </xdr:nvSpPr>
      <xdr:spPr>
        <a:xfrm>
          <a:off x="952500" y="30221464"/>
          <a:ext cx="4163785" cy="112032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394607</xdr:colOff>
      <xdr:row>159</xdr:row>
      <xdr:rowOff>0</xdr:rowOff>
    </xdr:from>
    <xdr:to>
      <xdr:col>7</xdr:col>
      <xdr:colOff>367393</xdr:colOff>
      <xdr:row>159</xdr:row>
      <xdr:rowOff>0</xdr:rowOff>
    </xdr:to>
    <xdr:cxnSp macro="">
      <xdr:nvCxnSpPr>
        <xdr:cNvPr id="173" name="Connecteur droit 172"/>
        <xdr:cNvCxnSpPr/>
      </xdr:nvCxnSpPr>
      <xdr:spPr>
        <a:xfrm>
          <a:off x="394607" y="21499286"/>
          <a:ext cx="5306786" cy="0"/>
        </a:xfrm>
        <a:prstGeom prst="line">
          <a:avLst/>
        </a:prstGeom>
        <a:ln w="28575"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258536</xdr:colOff>
      <xdr:row>154</xdr:row>
      <xdr:rowOff>81642</xdr:rowOff>
    </xdr:from>
    <xdr:to>
      <xdr:col>1</xdr:col>
      <xdr:colOff>258536</xdr:colOff>
      <xdr:row>163</xdr:row>
      <xdr:rowOff>95249</xdr:rowOff>
    </xdr:to>
    <xdr:cxnSp macro="">
      <xdr:nvCxnSpPr>
        <xdr:cNvPr id="174" name="Connecteur droit 173"/>
        <xdr:cNvCxnSpPr/>
      </xdr:nvCxnSpPr>
      <xdr:spPr>
        <a:xfrm>
          <a:off x="1020536" y="20601213"/>
          <a:ext cx="0" cy="1768929"/>
        </a:xfrm>
        <a:prstGeom prst="line">
          <a:avLst/>
        </a:prstGeom>
        <a:ln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612321</xdr:colOff>
      <xdr:row>154</xdr:row>
      <xdr:rowOff>81642</xdr:rowOff>
    </xdr:from>
    <xdr:to>
      <xdr:col>1</xdr:col>
      <xdr:colOff>612321</xdr:colOff>
      <xdr:row>163</xdr:row>
      <xdr:rowOff>95249</xdr:rowOff>
    </xdr:to>
    <xdr:cxnSp macro="">
      <xdr:nvCxnSpPr>
        <xdr:cNvPr id="175" name="Connecteur droit 174"/>
        <xdr:cNvCxnSpPr/>
      </xdr:nvCxnSpPr>
      <xdr:spPr>
        <a:xfrm>
          <a:off x="1374321" y="20601213"/>
          <a:ext cx="0" cy="1768929"/>
        </a:xfrm>
        <a:prstGeom prst="line">
          <a:avLst/>
        </a:prstGeom>
        <a:ln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154</xdr:row>
      <xdr:rowOff>81642</xdr:rowOff>
    </xdr:from>
    <xdr:to>
      <xdr:col>4</xdr:col>
      <xdr:colOff>0</xdr:colOff>
      <xdr:row>163</xdr:row>
      <xdr:rowOff>95249</xdr:rowOff>
    </xdr:to>
    <xdr:cxnSp macro="">
      <xdr:nvCxnSpPr>
        <xdr:cNvPr id="176" name="Connecteur droit 175"/>
        <xdr:cNvCxnSpPr/>
      </xdr:nvCxnSpPr>
      <xdr:spPr>
        <a:xfrm>
          <a:off x="3048000" y="29879017"/>
          <a:ext cx="0" cy="1791607"/>
        </a:xfrm>
        <a:prstGeom prst="line">
          <a:avLst/>
        </a:prstGeom>
        <a:ln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449035</xdr:colOff>
      <xdr:row>154</xdr:row>
      <xdr:rowOff>81642</xdr:rowOff>
    </xdr:from>
    <xdr:to>
      <xdr:col>6</xdr:col>
      <xdr:colOff>449035</xdr:colOff>
      <xdr:row>163</xdr:row>
      <xdr:rowOff>95249</xdr:rowOff>
    </xdr:to>
    <xdr:cxnSp macro="">
      <xdr:nvCxnSpPr>
        <xdr:cNvPr id="177" name="Connecteur droit 176"/>
        <xdr:cNvCxnSpPr/>
      </xdr:nvCxnSpPr>
      <xdr:spPr>
        <a:xfrm>
          <a:off x="5021035" y="20601213"/>
          <a:ext cx="0" cy="1768929"/>
        </a:xfrm>
        <a:prstGeom prst="line">
          <a:avLst/>
        </a:prstGeom>
        <a:ln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149678</xdr:colOff>
      <xdr:row>154</xdr:row>
      <xdr:rowOff>81642</xdr:rowOff>
    </xdr:from>
    <xdr:to>
      <xdr:col>6</xdr:col>
      <xdr:colOff>149678</xdr:colOff>
      <xdr:row>163</xdr:row>
      <xdr:rowOff>95249</xdr:rowOff>
    </xdr:to>
    <xdr:cxnSp macro="">
      <xdr:nvCxnSpPr>
        <xdr:cNvPr id="178" name="Connecteur droit 177"/>
        <xdr:cNvCxnSpPr/>
      </xdr:nvCxnSpPr>
      <xdr:spPr>
        <a:xfrm>
          <a:off x="4721678" y="20601213"/>
          <a:ext cx="0" cy="1768929"/>
        </a:xfrm>
        <a:prstGeom prst="line">
          <a:avLst/>
        </a:prstGeom>
        <a:ln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149679</xdr:colOff>
      <xdr:row>163</xdr:row>
      <xdr:rowOff>68036</xdr:rowOff>
    </xdr:from>
    <xdr:to>
      <xdr:col>6</xdr:col>
      <xdr:colOff>462643</xdr:colOff>
      <xdr:row>163</xdr:row>
      <xdr:rowOff>68036</xdr:rowOff>
    </xdr:to>
    <xdr:cxnSp macro="">
      <xdr:nvCxnSpPr>
        <xdr:cNvPr id="180" name="Connecteur droit avec flèche 179"/>
        <xdr:cNvCxnSpPr/>
      </xdr:nvCxnSpPr>
      <xdr:spPr>
        <a:xfrm>
          <a:off x="4721679" y="22342929"/>
          <a:ext cx="312964" cy="0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</xdr:colOff>
      <xdr:row>171</xdr:row>
      <xdr:rowOff>176894</xdr:rowOff>
    </xdr:from>
    <xdr:to>
      <xdr:col>4</xdr:col>
      <xdr:colOff>13607</xdr:colOff>
      <xdr:row>174</xdr:row>
      <xdr:rowOff>176893</xdr:rowOff>
    </xdr:to>
    <xdr:sp macro="" textlink="">
      <xdr:nvSpPr>
        <xdr:cNvPr id="181" name="Rectangle 180"/>
        <xdr:cNvSpPr/>
      </xdr:nvSpPr>
      <xdr:spPr>
        <a:xfrm>
          <a:off x="762001" y="24003001"/>
          <a:ext cx="2299606" cy="598713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0</xdr:colOff>
      <xdr:row>168</xdr:row>
      <xdr:rowOff>27215</xdr:rowOff>
    </xdr:from>
    <xdr:to>
      <xdr:col>4</xdr:col>
      <xdr:colOff>13607</xdr:colOff>
      <xdr:row>171</xdr:row>
      <xdr:rowOff>176893</xdr:rowOff>
    </xdr:to>
    <xdr:sp macro="" textlink="">
      <xdr:nvSpPr>
        <xdr:cNvPr id="182" name="Triangle isocèle 181"/>
        <xdr:cNvSpPr/>
      </xdr:nvSpPr>
      <xdr:spPr>
        <a:xfrm>
          <a:off x="762000" y="23268215"/>
          <a:ext cx="2299607" cy="734785"/>
        </a:xfrm>
        <a:prstGeom prst="triangle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250887</xdr:colOff>
      <xdr:row>169</xdr:row>
      <xdr:rowOff>135186</xdr:rowOff>
    </xdr:from>
    <xdr:to>
      <xdr:col>4</xdr:col>
      <xdr:colOff>343672</xdr:colOff>
      <xdr:row>169</xdr:row>
      <xdr:rowOff>185235</xdr:rowOff>
    </xdr:to>
    <xdr:sp macro="" textlink="">
      <xdr:nvSpPr>
        <xdr:cNvPr id="204" name="Rectangle 203"/>
        <xdr:cNvSpPr/>
      </xdr:nvSpPr>
      <xdr:spPr>
        <a:xfrm rot="12744602">
          <a:off x="1774887" y="23566686"/>
          <a:ext cx="1616785" cy="50049"/>
        </a:xfrm>
        <a:prstGeom prst="rect">
          <a:avLst/>
        </a:prstGeom>
        <a:solidFill>
          <a:srgbClr val="FFC00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433452</xdr:colOff>
      <xdr:row>169</xdr:row>
      <xdr:rowOff>127248</xdr:rowOff>
    </xdr:from>
    <xdr:to>
      <xdr:col>2</xdr:col>
      <xdr:colOff>526237</xdr:colOff>
      <xdr:row>169</xdr:row>
      <xdr:rowOff>177297</xdr:rowOff>
    </xdr:to>
    <xdr:sp macro="" textlink="">
      <xdr:nvSpPr>
        <xdr:cNvPr id="185" name="Rectangle 184"/>
        <xdr:cNvSpPr/>
      </xdr:nvSpPr>
      <xdr:spPr>
        <a:xfrm rot="19677782">
          <a:off x="433452" y="23558748"/>
          <a:ext cx="1616785" cy="50049"/>
        </a:xfrm>
        <a:prstGeom prst="rect">
          <a:avLst/>
        </a:prstGeom>
        <a:solidFill>
          <a:srgbClr val="FFC00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6804</xdr:colOff>
      <xdr:row>172</xdr:row>
      <xdr:rowOff>91849</xdr:rowOff>
    </xdr:from>
    <xdr:to>
      <xdr:col>4</xdr:col>
      <xdr:colOff>238125</xdr:colOff>
      <xdr:row>172</xdr:row>
      <xdr:rowOff>91849</xdr:rowOff>
    </xdr:to>
    <xdr:cxnSp macro="">
      <xdr:nvCxnSpPr>
        <xdr:cNvPr id="205" name="Connecteur droit avec flèche 204"/>
        <xdr:cNvCxnSpPr/>
      </xdr:nvCxnSpPr>
      <xdr:spPr>
        <a:xfrm>
          <a:off x="3054804" y="24108456"/>
          <a:ext cx="231321" cy="0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607220</xdr:colOff>
      <xdr:row>154</xdr:row>
      <xdr:rowOff>83344</xdr:rowOff>
    </xdr:from>
    <xdr:to>
      <xdr:col>7</xdr:col>
      <xdr:colOff>154782</xdr:colOff>
      <xdr:row>163</xdr:row>
      <xdr:rowOff>119063</xdr:rowOff>
    </xdr:to>
    <xdr:sp macro="" textlink="">
      <xdr:nvSpPr>
        <xdr:cNvPr id="206" name="Rectangle 205"/>
        <xdr:cNvSpPr/>
      </xdr:nvSpPr>
      <xdr:spPr>
        <a:xfrm>
          <a:off x="607220" y="20602915"/>
          <a:ext cx="4881562" cy="1791041"/>
        </a:xfrm>
        <a:prstGeom prst="rect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107437</xdr:colOff>
      <xdr:row>167</xdr:row>
      <xdr:rowOff>64493</xdr:rowOff>
    </xdr:from>
    <xdr:to>
      <xdr:col>2</xdr:col>
      <xdr:colOff>153156</xdr:colOff>
      <xdr:row>172</xdr:row>
      <xdr:rowOff>58140</xdr:rowOff>
    </xdr:to>
    <xdr:sp macro="" textlink="">
      <xdr:nvSpPr>
        <xdr:cNvPr id="210" name="Rectangle 209"/>
        <xdr:cNvSpPr/>
      </xdr:nvSpPr>
      <xdr:spPr>
        <a:xfrm rot="18033583">
          <a:off x="1174873" y="32633007"/>
          <a:ext cx="958847" cy="45719"/>
        </a:xfrm>
        <a:prstGeom prst="rect">
          <a:avLst/>
        </a:prstGeom>
        <a:solidFill>
          <a:srgbClr val="FFC00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609091</xdr:colOff>
      <xdr:row>167</xdr:row>
      <xdr:rowOff>77194</xdr:rowOff>
    </xdr:from>
    <xdr:to>
      <xdr:col>2</xdr:col>
      <xdr:colOff>654810</xdr:colOff>
      <xdr:row>172</xdr:row>
      <xdr:rowOff>70841</xdr:rowOff>
    </xdr:to>
    <xdr:sp macro="" textlink="">
      <xdr:nvSpPr>
        <xdr:cNvPr id="211" name="Rectangle 210"/>
        <xdr:cNvSpPr/>
      </xdr:nvSpPr>
      <xdr:spPr>
        <a:xfrm rot="14487107">
          <a:off x="1676527" y="32645708"/>
          <a:ext cx="958847" cy="45719"/>
        </a:xfrm>
        <a:prstGeom prst="rect">
          <a:avLst/>
        </a:prstGeom>
        <a:solidFill>
          <a:srgbClr val="FFC00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486675</xdr:colOff>
      <xdr:row>169</xdr:row>
      <xdr:rowOff>177183</xdr:rowOff>
    </xdr:from>
    <xdr:to>
      <xdr:col>1</xdr:col>
      <xdr:colOff>538142</xdr:colOff>
      <xdr:row>172</xdr:row>
      <xdr:rowOff>35430</xdr:rowOff>
    </xdr:to>
    <xdr:sp macro="" textlink="">
      <xdr:nvSpPr>
        <xdr:cNvPr id="212" name="Rectangle 211"/>
        <xdr:cNvSpPr/>
      </xdr:nvSpPr>
      <xdr:spPr>
        <a:xfrm rot="14269035">
          <a:off x="1053185" y="32865623"/>
          <a:ext cx="442447" cy="51467"/>
        </a:xfrm>
        <a:prstGeom prst="rect">
          <a:avLst/>
        </a:prstGeom>
        <a:solidFill>
          <a:srgbClr val="FFC00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200925</xdr:colOff>
      <xdr:row>169</xdr:row>
      <xdr:rowOff>183532</xdr:rowOff>
    </xdr:from>
    <xdr:to>
      <xdr:col>3</xdr:col>
      <xdr:colOff>252392</xdr:colOff>
      <xdr:row>172</xdr:row>
      <xdr:rowOff>41779</xdr:rowOff>
    </xdr:to>
    <xdr:sp macro="" textlink="">
      <xdr:nvSpPr>
        <xdr:cNvPr id="213" name="Rectangle 212"/>
        <xdr:cNvSpPr/>
      </xdr:nvSpPr>
      <xdr:spPr>
        <a:xfrm rot="18063147">
          <a:off x="2291435" y="32871972"/>
          <a:ext cx="442447" cy="51467"/>
        </a:xfrm>
        <a:prstGeom prst="rect">
          <a:avLst/>
        </a:prstGeom>
        <a:solidFill>
          <a:srgbClr val="FFC00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555916</xdr:colOff>
      <xdr:row>171</xdr:row>
      <xdr:rowOff>163286</xdr:rowOff>
    </xdr:from>
    <xdr:to>
      <xdr:col>4</xdr:col>
      <xdr:colOff>204107</xdr:colOff>
      <xdr:row>172</xdr:row>
      <xdr:rowOff>27213</xdr:rowOff>
    </xdr:to>
    <xdr:sp macro="" textlink="">
      <xdr:nvSpPr>
        <xdr:cNvPr id="209" name="Rectangle 208"/>
        <xdr:cNvSpPr/>
      </xdr:nvSpPr>
      <xdr:spPr>
        <a:xfrm>
          <a:off x="555916" y="33119786"/>
          <a:ext cx="2696191" cy="54427"/>
        </a:xfrm>
        <a:prstGeom prst="rect">
          <a:avLst/>
        </a:prstGeom>
        <a:solidFill>
          <a:srgbClr val="FFC00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17</xdr:col>
      <xdr:colOff>63500</xdr:colOff>
      <xdr:row>160</xdr:row>
      <xdr:rowOff>13607</xdr:rowOff>
    </xdr:from>
    <xdr:to>
      <xdr:col>17</xdr:col>
      <xdr:colOff>333375</xdr:colOff>
      <xdr:row>161</xdr:row>
      <xdr:rowOff>188232</xdr:rowOff>
    </xdr:to>
    <xdr:sp macro="" textlink="">
      <xdr:nvSpPr>
        <xdr:cNvPr id="8" name="Accolade fermante 7"/>
        <xdr:cNvSpPr/>
      </xdr:nvSpPr>
      <xdr:spPr>
        <a:xfrm>
          <a:off x="12554857" y="30820178"/>
          <a:ext cx="269875" cy="36512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137928</xdr:colOff>
      <xdr:row>160</xdr:row>
      <xdr:rowOff>28367</xdr:rowOff>
    </xdr:from>
    <xdr:to>
      <xdr:col>4</xdr:col>
      <xdr:colOff>14213</xdr:colOff>
      <xdr:row>160</xdr:row>
      <xdr:rowOff>76274</xdr:rowOff>
    </xdr:to>
    <xdr:sp macro="" textlink="">
      <xdr:nvSpPr>
        <xdr:cNvPr id="214" name="Rectangle 213"/>
        <xdr:cNvSpPr/>
      </xdr:nvSpPr>
      <xdr:spPr>
        <a:xfrm rot="805687">
          <a:off x="899928" y="31016367"/>
          <a:ext cx="2162285" cy="47907"/>
        </a:xfrm>
        <a:prstGeom prst="rect">
          <a:avLst/>
        </a:prstGeom>
        <a:solidFill>
          <a:srgbClr val="FF000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709429</xdr:colOff>
      <xdr:row>160</xdr:row>
      <xdr:rowOff>44242</xdr:rowOff>
    </xdr:from>
    <xdr:to>
      <xdr:col>6</xdr:col>
      <xdr:colOff>585714</xdr:colOff>
      <xdr:row>160</xdr:row>
      <xdr:rowOff>92149</xdr:rowOff>
    </xdr:to>
    <xdr:sp macro="" textlink="">
      <xdr:nvSpPr>
        <xdr:cNvPr id="215" name="Rectangle 214"/>
        <xdr:cNvSpPr/>
      </xdr:nvSpPr>
      <xdr:spPr>
        <a:xfrm rot="20765464">
          <a:off x="2995429" y="31032242"/>
          <a:ext cx="2162285" cy="47907"/>
        </a:xfrm>
        <a:prstGeom prst="rect">
          <a:avLst/>
        </a:prstGeom>
        <a:solidFill>
          <a:srgbClr val="FF000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137928</xdr:colOff>
      <xdr:row>157</xdr:row>
      <xdr:rowOff>91867</xdr:rowOff>
    </xdr:from>
    <xdr:to>
      <xdr:col>4</xdr:col>
      <xdr:colOff>14213</xdr:colOff>
      <xdr:row>157</xdr:row>
      <xdr:rowOff>139774</xdr:rowOff>
    </xdr:to>
    <xdr:sp macro="" textlink="">
      <xdr:nvSpPr>
        <xdr:cNvPr id="216" name="Rectangle 215"/>
        <xdr:cNvSpPr/>
      </xdr:nvSpPr>
      <xdr:spPr>
        <a:xfrm rot="9917623">
          <a:off x="899928" y="30492492"/>
          <a:ext cx="2162285" cy="47907"/>
        </a:xfrm>
        <a:prstGeom prst="rect">
          <a:avLst/>
        </a:prstGeom>
        <a:solidFill>
          <a:srgbClr val="FF000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693554</xdr:colOff>
      <xdr:row>157</xdr:row>
      <xdr:rowOff>107741</xdr:rowOff>
    </xdr:from>
    <xdr:to>
      <xdr:col>6</xdr:col>
      <xdr:colOff>569839</xdr:colOff>
      <xdr:row>157</xdr:row>
      <xdr:rowOff>155648</xdr:rowOff>
    </xdr:to>
    <xdr:sp macro="" textlink="">
      <xdr:nvSpPr>
        <xdr:cNvPr id="217" name="Rectangle 216"/>
        <xdr:cNvSpPr/>
      </xdr:nvSpPr>
      <xdr:spPr>
        <a:xfrm rot="11718050">
          <a:off x="2979554" y="30508366"/>
          <a:ext cx="2162285" cy="47907"/>
        </a:xfrm>
        <a:prstGeom prst="rect">
          <a:avLst/>
        </a:prstGeom>
        <a:solidFill>
          <a:srgbClr val="FF000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156583</xdr:colOff>
      <xdr:row>159</xdr:row>
      <xdr:rowOff>179409</xdr:rowOff>
    </xdr:from>
    <xdr:to>
      <xdr:col>2</xdr:col>
      <xdr:colOff>753215</xdr:colOff>
      <xdr:row>160</xdr:row>
      <xdr:rowOff>34628</xdr:rowOff>
    </xdr:to>
    <xdr:sp macro="" textlink="">
      <xdr:nvSpPr>
        <xdr:cNvPr id="218" name="Rectangle 217"/>
        <xdr:cNvSpPr/>
      </xdr:nvSpPr>
      <xdr:spPr>
        <a:xfrm rot="499175">
          <a:off x="918583" y="31040409"/>
          <a:ext cx="1358632" cy="45719"/>
        </a:xfrm>
        <a:prstGeom prst="rect">
          <a:avLst/>
        </a:prstGeom>
        <a:solidFill>
          <a:schemeClr val="accent1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712737</xdr:colOff>
      <xdr:row>159</xdr:row>
      <xdr:rowOff>181165</xdr:rowOff>
    </xdr:from>
    <xdr:to>
      <xdr:col>4</xdr:col>
      <xdr:colOff>624348</xdr:colOff>
      <xdr:row>160</xdr:row>
      <xdr:rowOff>40989</xdr:rowOff>
    </xdr:to>
    <xdr:sp macro="" textlink="">
      <xdr:nvSpPr>
        <xdr:cNvPr id="219" name="Rectangle 218"/>
        <xdr:cNvSpPr/>
      </xdr:nvSpPr>
      <xdr:spPr>
        <a:xfrm rot="21092901">
          <a:off x="2236737" y="30978665"/>
          <a:ext cx="1435611" cy="50324"/>
        </a:xfrm>
        <a:prstGeom prst="rect">
          <a:avLst/>
        </a:prstGeom>
        <a:solidFill>
          <a:schemeClr val="accent1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616425</xdr:colOff>
      <xdr:row>159</xdr:row>
      <xdr:rowOff>186742</xdr:rowOff>
    </xdr:from>
    <xdr:to>
      <xdr:col>6</xdr:col>
      <xdr:colOff>552407</xdr:colOff>
      <xdr:row>160</xdr:row>
      <xdr:rowOff>41961</xdr:rowOff>
    </xdr:to>
    <xdr:sp macro="" textlink="">
      <xdr:nvSpPr>
        <xdr:cNvPr id="220" name="Rectangle 219"/>
        <xdr:cNvSpPr/>
      </xdr:nvSpPr>
      <xdr:spPr>
        <a:xfrm rot="499175">
          <a:off x="3664425" y="31047742"/>
          <a:ext cx="1459982" cy="45719"/>
        </a:xfrm>
        <a:prstGeom prst="rect">
          <a:avLst/>
        </a:prstGeom>
        <a:solidFill>
          <a:schemeClr val="accent1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202032</xdr:colOff>
      <xdr:row>157</xdr:row>
      <xdr:rowOff>131770</xdr:rowOff>
    </xdr:from>
    <xdr:to>
      <xdr:col>3</xdr:col>
      <xdr:colOff>36664</xdr:colOff>
      <xdr:row>157</xdr:row>
      <xdr:rowOff>177489</xdr:rowOff>
    </xdr:to>
    <xdr:sp macro="" textlink="">
      <xdr:nvSpPr>
        <xdr:cNvPr id="222" name="Rectangle 221"/>
        <xdr:cNvSpPr/>
      </xdr:nvSpPr>
      <xdr:spPr>
        <a:xfrm rot="21144150">
          <a:off x="964032" y="30611770"/>
          <a:ext cx="1358632" cy="45719"/>
        </a:xfrm>
        <a:prstGeom prst="rect">
          <a:avLst/>
        </a:prstGeom>
        <a:solidFill>
          <a:schemeClr val="accent1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760362</xdr:colOff>
      <xdr:row>157</xdr:row>
      <xdr:rowOff>165290</xdr:rowOff>
    </xdr:from>
    <xdr:to>
      <xdr:col>4</xdr:col>
      <xdr:colOff>671973</xdr:colOff>
      <xdr:row>158</xdr:row>
      <xdr:rowOff>9239</xdr:rowOff>
    </xdr:to>
    <xdr:sp macro="" textlink="">
      <xdr:nvSpPr>
        <xdr:cNvPr id="224" name="Rectangle 223"/>
        <xdr:cNvSpPr/>
      </xdr:nvSpPr>
      <xdr:spPr>
        <a:xfrm rot="662600">
          <a:off x="2284362" y="30565915"/>
          <a:ext cx="1435611" cy="50324"/>
        </a:xfrm>
        <a:prstGeom prst="rect">
          <a:avLst/>
        </a:prstGeom>
        <a:solidFill>
          <a:schemeClr val="accent1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599716</xdr:colOff>
      <xdr:row>157</xdr:row>
      <xdr:rowOff>170806</xdr:rowOff>
    </xdr:from>
    <xdr:to>
      <xdr:col>6</xdr:col>
      <xdr:colOff>535698</xdr:colOff>
      <xdr:row>158</xdr:row>
      <xdr:rowOff>21675</xdr:rowOff>
    </xdr:to>
    <xdr:sp macro="" textlink="">
      <xdr:nvSpPr>
        <xdr:cNvPr id="226" name="Rectangle 225"/>
        <xdr:cNvSpPr/>
      </xdr:nvSpPr>
      <xdr:spPr>
        <a:xfrm rot="20962308">
          <a:off x="3647716" y="30571431"/>
          <a:ext cx="1459982" cy="57244"/>
        </a:xfrm>
        <a:prstGeom prst="rect">
          <a:avLst/>
        </a:prstGeom>
        <a:solidFill>
          <a:schemeClr val="accent1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349250</xdr:colOff>
      <xdr:row>171</xdr:row>
      <xdr:rowOff>85725</xdr:rowOff>
    </xdr:from>
    <xdr:to>
      <xdr:col>1</xdr:col>
      <xdr:colOff>492125</xdr:colOff>
      <xdr:row>171</xdr:row>
      <xdr:rowOff>149225</xdr:rowOff>
    </xdr:to>
    <xdr:sp macro="" textlink="">
      <xdr:nvSpPr>
        <xdr:cNvPr id="13" name="Rectangle 12"/>
        <xdr:cNvSpPr/>
      </xdr:nvSpPr>
      <xdr:spPr>
        <a:xfrm>
          <a:off x="1111250" y="32746950"/>
          <a:ext cx="142875" cy="63500"/>
        </a:xfrm>
        <a:prstGeom prst="rect">
          <a:avLst/>
        </a:prstGeom>
        <a:solidFill>
          <a:srgbClr val="FF00FF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519023</xdr:colOff>
      <xdr:row>169</xdr:row>
      <xdr:rowOff>111428</xdr:rowOff>
    </xdr:from>
    <xdr:to>
      <xdr:col>1</xdr:col>
      <xdr:colOff>672104</xdr:colOff>
      <xdr:row>170</xdr:row>
      <xdr:rowOff>460</xdr:rowOff>
    </xdr:to>
    <xdr:sp macro="" textlink="">
      <xdr:nvSpPr>
        <xdr:cNvPr id="233" name="Rectangle 232"/>
        <xdr:cNvSpPr/>
      </xdr:nvSpPr>
      <xdr:spPr>
        <a:xfrm rot="19623501">
          <a:off x="1281023" y="32382128"/>
          <a:ext cx="153081" cy="79532"/>
        </a:xfrm>
        <a:prstGeom prst="rect">
          <a:avLst/>
        </a:prstGeom>
        <a:solidFill>
          <a:srgbClr val="FF00FF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69051</xdr:colOff>
      <xdr:row>169</xdr:row>
      <xdr:rowOff>93280</xdr:rowOff>
    </xdr:from>
    <xdr:to>
      <xdr:col>3</xdr:col>
      <xdr:colOff>220184</xdr:colOff>
      <xdr:row>169</xdr:row>
      <xdr:rowOff>171257</xdr:rowOff>
    </xdr:to>
    <xdr:sp macro="" textlink="">
      <xdr:nvSpPr>
        <xdr:cNvPr id="242" name="Rectangle 241"/>
        <xdr:cNvSpPr/>
      </xdr:nvSpPr>
      <xdr:spPr>
        <a:xfrm rot="2086033">
          <a:off x="2355051" y="32363980"/>
          <a:ext cx="151133" cy="77977"/>
        </a:xfrm>
        <a:prstGeom prst="rect">
          <a:avLst/>
        </a:prstGeom>
        <a:solidFill>
          <a:srgbClr val="FF00FF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215900</xdr:colOff>
      <xdr:row>171</xdr:row>
      <xdr:rowOff>95250</xdr:rowOff>
    </xdr:from>
    <xdr:to>
      <xdr:col>3</xdr:col>
      <xdr:colOff>358775</xdr:colOff>
      <xdr:row>171</xdr:row>
      <xdr:rowOff>158750</xdr:rowOff>
    </xdr:to>
    <xdr:sp macro="" textlink="">
      <xdr:nvSpPr>
        <xdr:cNvPr id="244" name="Rectangle 243"/>
        <xdr:cNvSpPr/>
      </xdr:nvSpPr>
      <xdr:spPr>
        <a:xfrm>
          <a:off x="2501900" y="32756475"/>
          <a:ext cx="142875" cy="63500"/>
        </a:xfrm>
        <a:prstGeom prst="rect">
          <a:avLst/>
        </a:prstGeom>
        <a:solidFill>
          <a:srgbClr val="FF00FF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347662</xdr:colOff>
      <xdr:row>167</xdr:row>
      <xdr:rowOff>182565</xdr:rowOff>
    </xdr:from>
    <xdr:to>
      <xdr:col>2</xdr:col>
      <xdr:colOff>419099</xdr:colOff>
      <xdr:row>168</xdr:row>
      <xdr:rowOff>161928</xdr:rowOff>
    </xdr:to>
    <xdr:sp macro="" textlink="">
      <xdr:nvSpPr>
        <xdr:cNvPr id="251" name="Rectangle 250"/>
        <xdr:cNvSpPr/>
      </xdr:nvSpPr>
      <xdr:spPr>
        <a:xfrm rot="5400000">
          <a:off x="1822449" y="32121478"/>
          <a:ext cx="169863" cy="71437"/>
        </a:xfrm>
        <a:prstGeom prst="rect">
          <a:avLst/>
        </a:prstGeom>
        <a:solidFill>
          <a:srgbClr val="FFFF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728572</xdr:colOff>
      <xdr:row>171</xdr:row>
      <xdr:rowOff>63803</xdr:rowOff>
    </xdr:from>
    <xdr:to>
      <xdr:col>1</xdr:col>
      <xdr:colOff>119653</xdr:colOff>
      <xdr:row>171</xdr:row>
      <xdr:rowOff>143335</xdr:rowOff>
    </xdr:to>
    <xdr:sp macro="" textlink="">
      <xdr:nvSpPr>
        <xdr:cNvPr id="261" name="Rectangle 260"/>
        <xdr:cNvSpPr/>
      </xdr:nvSpPr>
      <xdr:spPr>
        <a:xfrm rot="19623501">
          <a:off x="728572" y="32725028"/>
          <a:ext cx="153081" cy="79532"/>
        </a:xfrm>
        <a:prstGeom prst="rect">
          <a:avLst/>
        </a:prstGeom>
        <a:solidFill>
          <a:srgbClr val="FFFF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650076</xdr:colOff>
      <xdr:row>171</xdr:row>
      <xdr:rowOff>74230</xdr:rowOff>
    </xdr:from>
    <xdr:to>
      <xdr:col>4</xdr:col>
      <xdr:colOff>39209</xdr:colOff>
      <xdr:row>171</xdr:row>
      <xdr:rowOff>152207</xdr:rowOff>
    </xdr:to>
    <xdr:sp macro="" textlink="">
      <xdr:nvSpPr>
        <xdr:cNvPr id="262" name="Rectangle 261"/>
        <xdr:cNvSpPr/>
      </xdr:nvSpPr>
      <xdr:spPr>
        <a:xfrm rot="2086033">
          <a:off x="2936076" y="32735455"/>
          <a:ext cx="151133" cy="77977"/>
        </a:xfrm>
        <a:prstGeom prst="rect">
          <a:avLst/>
        </a:prstGeom>
        <a:solidFill>
          <a:srgbClr val="FFFF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</xdr:col>
      <xdr:colOff>394608</xdr:colOff>
      <xdr:row>182</xdr:row>
      <xdr:rowOff>123950</xdr:rowOff>
    </xdr:from>
    <xdr:to>
      <xdr:col>7</xdr:col>
      <xdr:colOff>585107</xdr:colOff>
      <xdr:row>200</xdr:row>
      <xdr:rowOff>90771</xdr:rowOff>
    </xdr:to>
    <xdr:pic>
      <xdr:nvPicPr>
        <xdr:cNvPr id="21" name="Image 2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6608" y="35284807"/>
          <a:ext cx="4762499" cy="3436643"/>
        </a:xfrm>
        <a:prstGeom prst="rect">
          <a:avLst/>
        </a:prstGeom>
      </xdr:spPr>
    </xdr:pic>
    <xdr:clientData/>
  </xdr:twoCellAnchor>
  <xdr:twoCellAnchor>
    <xdr:from>
      <xdr:col>15</xdr:col>
      <xdr:colOff>68035</xdr:colOff>
      <xdr:row>193</xdr:row>
      <xdr:rowOff>54428</xdr:rowOff>
    </xdr:from>
    <xdr:to>
      <xdr:col>15</xdr:col>
      <xdr:colOff>244928</xdr:colOff>
      <xdr:row>194</xdr:row>
      <xdr:rowOff>163285</xdr:rowOff>
    </xdr:to>
    <xdr:sp macro="" textlink="">
      <xdr:nvSpPr>
        <xdr:cNvPr id="23" name="Flèche vers le bas 22"/>
        <xdr:cNvSpPr/>
      </xdr:nvSpPr>
      <xdr:spPr>
        <a:xfrm>
          <a:off x="11035392" y="37147499"/>
          <a:ext cx="176893" cy="29935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40822</xdr:colOff>
      <xdr:row>202</xdr:row>
      <xdr:rowOff>109132</xdr:rowOff>
    </xdr:from>
    <xdr:to>
      <xdr:col>1</xdr:col>
      <xdr:colOff>394608</xdr:colOff>
      <xdr:row>208</xdr:row>
      <xdr:rowOff>171278</xdr:rowOff>
    </xdr:to>
    <xdr:pic>
      <xdr:nvPicPr>
        <xdr:cNvPr id="208" name="Image 20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822" y="34249453"/>
          <a:ext cx="1115786" cy="1232360"/>
        </a:xfrm>
        <a:prstGeom prst="rect">
          <a:avLst/>
        </a:prstGeom>
      </xdr:spPr>
    </xdr:pic>
    <xdr:clientData/>
  </xdr:twoCellAnchor>
  <xdr:twoCellAnchor editAs="oneCell">
    <xdr:from>
      <xdr:col>1</xdr:col>
      <xdr:colOff>394606</xdr:colOff>
      <xdr:row>202</xdr:row>
      <xdr:rowOff>164137</xdr:rowOff>
    </xdr:from>
    <xdr:to>
      <xdr:col>3</xdr:col>
      <xdr:colOff>172867</xdr:colOff>
      <xdr:row>208</xdr:row>
      <xdr:rowOff>149679</xdr:rowOff>
    </xdr:to>
    <xdr:pic>
      <xdr:nvPicPr>
        <xdr:cNvPr id="247" name="Image 24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6606" y="34304458"/>
          <a:ext cx="1302261" cy="1155756"/>
        </a:xfrm>
        <a:prstGeom prst="rect">
          <a:avLst/>
        </a:prstGeom>
      </xdr:spPr>
    </xdr:pic>
    <xdr:clientData/>
  </xdr:twoCellAnchor>
  <xdr:twoCellAnchor editAs="oneCell">
    <xdr:from>
      <xdr:col>0</xdr:col>
      <xdr:colOff>274025</xdr:colOff>
      <xdr:row>209</xdr:row>
      <xdr:rowOff>154123</xdr:rowOff>
    </xdr:from>
    <xdr:to>
      <xdr:col>8</xdr:col>
      <xdr:colOff>489857</xdr:colOff>
      <xdr:row>216</xdr:row>
      <xdr:rowOff>67931</xdr:rowOff>
    </xdr:to>
    <xdr:pic>
      <xdr:nvPicPr>
        <xdr:cNvPr id="250" name="Image 24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4025" y="40567337"/>
          <a:ext cx="6311832" cy="1288130"/>
        </a:xfrm>
        <a:prstGeom prst="rect">
          <a:avLst/>
        </a:prstGeom>
      </xdr:spPr>
    </xdr:pic>
    <xdr:clientData/>
  </xdr:twoCellAnchor>
  <xdr:twoCellAnchor>
    <xdr:from>
      <xdr:col>15</xdr:col>
      <xdr:colOff>68035</xdr:colOff>
      <xdr:row>214</xdr:row>
      <xdr:rowOff>54428</xdr:rowOff>
    </xdr:from>
    <xdr:to>
      <xdr:col>15</xdr:col>
      <xdr:colOff>244928</xdr:colOff>
      <xdr:row>215</xdr:row>
      <xdr:rowOff>163285</xdr:rowOff>
    </xdr:to>
    <xdr:sp macro="" textlink="">
      <xdr:nvSpPr>
        <xdr:cNvPr id="265" name="Flèche vers le bas 264"/>
        <xdr:cNvSpPr/>
      </xdr:nvSpPr>
      <xdr:spPr>
        <a:xfrm>
          <a:off x="11035392" y="37351607"/>
          <a:ext cx="176893" cy="29935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95250</xdr:colOff>
      <xdr:row>219</xdr:row>
      <xdr:rowOff>0</xdr:rowOff>
    </xdr:from>
    <xdr:to>
      <xdr:col>3</xdr:col>
      <xdr:colOff>666750</xdr:colOff>
      <xdr:row>224</xdr:row>
      <xdr:rowOff>40821</xdr:rowOff>
    </xdr:to>
    <xdr:sp macro="" textlink="">
      <xdr:nvSpPr>
        <xdr:cNvPr id="27" name="Rectangle 26"/>
        <xdr:cNvSpPr/>
      </xdr:nvSpPr>
      <xdr:spPr>
        <a:xfrm>
          <a:off x="95250" y="42359036"/>
          <a:ext cx="2857500" cy="993321"/>
        </a:xfrm>
        <a:prstGeom prst="rect">
          <a:avLst/>
        </a:prstGeom>
        <a:solidFill>
          <a:schemeClr val="accent6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95250</xdr:colOff>
      <xdr:row>221</xdr:row>
      <xdr:rowOff>115661</xdr:rowOff>
    </xdr:from>
    <xdr:to>
      <xdr:col>3</xdr:col>
      <xdr:colOff>666750</xdr:colOff>
      <xdr:row>221</xdr:row>
      <xdr:rowOff>115661</xdr:rowOff>
    </xdr:to>
    <xdr:cxnSp macro="">
      <xdr:nvCxnSpPr>
        <xdr:cNvPr id="31" name="Connecteur droit 30"/>
        <xdr:cNvCxnSpPr>
          <a:stCxn id="27" idx="1"/>
          <a:endCxn id="27" idx="3"/>
        </xdr:cNvCxnSpPr>
      </xdr:nvCxnSpPr>
      <xdr:spPr>
        <a:xfrm>
          <a:off x="95250" y="42855697"/>
          <a:ext cx="28575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108857</xdr:colOff>
      <xdr:row>219</xdr:row>
      <xdr:rowOff>136071</xdr:rowOff>
    </xdr:from>
    <xdr:to>
      <xdr:col>3</xdr:col>
      <xdr:colOff>285750</xdr:colOff>
      <xdr:row>221</xdr:row>
      <xdr:rowOff>68035</xdr:rowOff>
    </xdr:to>
    <xdr:sp macro="" textlink="">
      <xdr:nvSpPr>
        <xdr:cNvPr id="32" name="Rectangle 31"/>
        <xdr:cNvSpPr/>
      </xdr:nvSpPr>
      <xdr:spPr>
        <a:xfrm>
          <a:off x="2394857" y="42495107"/>
          <a:ext cx="176893" cy="312964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381000</xdr:colOff>
      <xdr:row>219</xdr:row>
      <xdr:rowOff>136070</xdr:rowOff>
    </xdr:from>
    <xdr:to>
      <xdr:col>3</xdr:col>
      <xdr:colOff>707571</xdr:colOff>
      <xdr:row>221</xdr:row>
      <xdr:rowOff>68035</xdr:rowOff>
    </xdr:to>
    <xdr:sp macro="" textlink="">
      <xdr:nvSpPr>
        <xdr:cNvPr id="34" name="ZoneTexte 33"/>
        <xdr:cNvSpPr txBox="1"/>
      </xdr:nvSpPr>
      <xdr:spPr>
        <a:xfrm>
          <a:off x="2667000" y="42495106"/>
          <a:ext cx="326571" cy="31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600"/>
            <a:t>A</a:t>
          </a:r>
        </a:p>
      </xdr:txBody>
    </xdr:sp>
    <xdr:clientData/>
  </xdr:twoCellAnchor>
  <xdr:twoCellAnchor>
    <xdr:from>
      <xdr:col>3</xdr:col>
      <xdr:colOff>54428</xdr:colOff>
      <xdr:row>217</xdr:row>
      <xdr:rowOff>68033</xdr:rowOff>
    </xdr:from>
    <xdr:to>
      <xdr:col>3</xdr:col>
      <xdr:colOff>380999</xdr:colOff>
      <xdr:row>218</xdr:row>
      <xdr:rowOff>190498</xdr:rowOff>
    </xdr:to>
    <xdr:sp macro="" textlink="">
      <xdr:nvSpPr>
        <xdr:cNvPr id="267" name="ZoneTexte 266"/>
        <xdr:cNvSpPr txBox="1"/>
      </xdr:nvSpPr>
      <xdr:spPr>
        <a:xfrm>
          <a:off x="2340428" y="42046069"/>
          <a:ext cx="326571" cy="31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600"/>
            <a:t>B</a:t>
          </a:r>
        </a:p>
      </xdr:txBody>
    </xdr:sp>
    <xdr:clientData/>
  </xdr:twoCellAnchor>
  <xdr:twoCellAnchor>
    <xdr:from>
      <xdr:col>0</xdr:col>
      <xdr:colOff>544286</xdr:colOff>
      <xdr:row>272</xdr:row>
      <xdr:rowOff>127566</xdr:rowOff>
    </xdr:from>
    <xdr:to>
      <xdr:col>4</xdr:col>
      <xdr:colOff>381000</xdr:colOff>
      <xdr:row>272</xdr:row>
      <xdr:rowOff>127566</xdr:rowOff>
    </xdr:to>
    <xdr:cxnSp macro="">
      <xdr:nvCxnSpPr>
        <xdr:cNvPr id="268" name="Connecteur droit avec flèche 267"/>
        <xdr:cNvCxnSpPr/>
      </xdr:nvCxnSpPr>
      <xdr:spPr>
        <a:xfrm>
          <a:off x="544286" y="53562816"/>
          <a:ext cx="2884714" cy="0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367396</xdr:colOff>
      <xdr:row>219</xdr:row>
      <xdr:rowOff>122467</xdr:rowOff>
    </xdr:from>
    <xdr:to>
      <xdr:col>3</xdr:col>
      <xdr:colOff>367396</xdr:colOff>
      <xdr:row>221</xdr:row>
      <xdr:rowOff>68035</xdr:rowOff>
    </xdr:to>
    <xdr:cxnSp macro="">
      <xdr:nvCxnSpPr>
        <xdr:cNvPr id="270" name="Connecteur droit avec flèche 269"/>
        <xdr:cNvCxnSpPr/>
      </xdr:nvCxnSpPr>
      <xdr:spPr>
        <a:xfrm flipV="1">
          <a:off x="2653396" y="42481503"/>
          <a:ext cx="0" cy="326568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59531</xdr:colOff>
      <xdr:row>249</xdr:row>
      <xdr:rowOff>1700</xdr:rowOff>
    </xdr:from>
    <xdr:to>
      <xdr:col>4</xdr:col>
      <xdr:colOff>312964</xdr:colOff>
      <xdr:row>263</xdr:row>
      <xdr:rowOff>0</xdr:rowOff>
    </xdr:to>
    <xdr:sp macro="" textlink="">
      <xdr:nvSpPr>
        <xdr:cNvPr id="14" name="Rectangle 13"/>
        <xdr:cNvSpPr/>
      </xdr:nvSpPr>
      <xdr:spPr>
        <a:xfrm>
          <a:off x="3107531" y="45376419"/>
          <a:ext cx="253433" cy="2784362"/>
        </a:xfrm>
        <a:prstGeom prst="rect">
          <a:avLst/>
        </a:prstGeom>
        <a:solidFill>
          <a:schemeClr val="bg1">
            <a:lumMod val="75000"/>
          </a:schemeClr>
        </a:solidFill>
        <a:ln w="19050">
          <a:solidFill>
            <a:sysClr val="windowText" lastClr="00000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54428</xdr:colOff>
      <xdr:row>259</xdr:row>
      <xdr:rowOff>176892</xdr:rowOff>
    </xdr:from>
    <xdr:to>
      <xdr:col>4</xdr:col>
      <xdr:colOff>312964</xdr:colOff>
      <xdr:row>260</xdr:row>
      <xdr:rowOff>190499</xdr:rowOff>
    </xdr:to>
    <xdr:sp macro="" textlink="">
      <xdr:nvSpPr>
        <xdr:cNvPr id="277" name="Rectangle 276"/>
        <xdr:cNvSpPr/>
      </xdr:nvSpPr>
      <xdr:spPr>
        <a:xfrm>
          <a:off x="3102428" y="47575673"/>
          <a:ext cx="258536" cy="204107"/>
        </a:xfrm>
        <a:prstGeom prst="rect">
          <a:avLst/>
        </a:prstGeom>
        <a:solidFill>
          <a:schemeClr val="bg1">
            <a:lumMod val="75000"/>
          </a:schemeClr>
        </a:solidFill>
        <a:ln w="19050">
          <a:solidFill>
            <a:sysClr val="windowText" lastClr="00000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122464</xdr:colOff>
      <xdr:row>259</xdr:row>
      <xdr:rowOff>188988</xdr:rowOff>
    </xdr:from>
    <xdr:to>
      <xdr:col>4</xdr:col>
      <xdr:colOff>244929</xdr:colOff>
      <xdr:row>260</xdr:row>
      <xdr:rowOff>107344</xdr:rowOff>
    </xdr:to>
    <xdr:sp macro="" textlink="">
      <xdr:nvSpPr>
        <xdr:cNvPr id="282" name="Rectangle 281"/>
        <xdr:cNvSpPr/>
      </xdr:nvSpPr>
      <xdr:spPr>
        <a:xfrm>
          <a:off x="3170464" y="47587769"/>
          <a:ext cx="122465" cy="108856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54428</xdr:colOff>
      <xdr:row>247</xdr:row>
      <xdr:rowOff>198058</xdr:rowOff>
    </xdr:from>
    <xdr:to>
      <xdr:col>4</xdr:col>
      <xdr:colOff>312964</xdr:colOff>
      <xdr:row>248</xdr:row>
      <xdr:rowOff>201081</xdr:rowOff>
    </xdr:to>
    <xdr:sp macro="" textlink="">
      <xdr:nvSpPr>
        <xdr:cNvPr id="283" name="Rectangle 282"/>
        <xdr:cNvSpPr/>
      </xdr:nvSpPr>
      <xdr:spPr>
        <a:xfrm>
          <a:off x="3102428" y="45039641"/>
          <a:ext cx="258536" cy="204107"/>
        </a:xfrm>
        <a:prstGeom prst="rect">
          <a:avLst/>
        </a:prstGeom>
        <a:solidFill>
          <a:schemeClr val="bg1">
            <a:lumMod val="75000"/>
          </a:schemeClr>
        </a:solidFill>
        <a:ln w="19050">
          <a:solidFill>
            <a:sysClr val="windowText" lastClr="00000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122464</xdr:colOff>
      <xdr:row>248</xdr:row>
      <xdr:rowOff>9070</xdr:rowOff>
    </xdr:from>
    <xdr:to>
      <xdr:col>4</xdr:col>
      <xdr:colOff>244929</xdr:colOff>
      <xdr:row>248</xdr:row>
      <xdr:rowOff>117926</xdr:rowOff>
    </xdr:to>
    <xdr:sp macro="" textlink="">
      <xdr:nvSpPr>
        <xdr:cNvPr id="285" name="Rectangle 284"/>
        <xdr:cNvSpPr/>
      </xdr:nvSpPr>
      <xdr:spPr>
        <a:xfrm>
          <a:off x="3170464" y="45051737"/>
          <a:ext cx="122465" cy="108856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657677</xdr:colOff>
      <xdr:row>262</xdr:row>
      <xdr:rowOff>187475</xdr:rowOff>
    </xdr:from>
    <xdr:to>
      <xdr:col>4</xdr:col>
      <xdr:colOff>497416</xdr:colOff>
      <xdr:row>264</xdr:row>
      <xdr:rowOff>84666</xdr:rowOff>
    </xdr:to>
    <xdr:sp macro="" textlink="">
      <xdr:nvSpPr>
        <xdr:cNvPr id="286" name="Rectangle 285"/>
        <xdr:cNvSpPr/>
      </xdr:nvSpPr>
      <xdr:spPr>
        <a:xfrm>
          <a:off x="2943677" y="48013558"/>
          <a:ext cx="601739" cy="278191"/>
        </a:xfrm>
        <a:prstGeom prst="rect">
          <a:avLst/>
        </a:prstGeom>
        <a:solidFill>
          <a:srgbClr val="FF0000"/>
        </a:solidFill>
        <a:ln w="19050">
          <a:solidFill>
            <a:sysClr val="windowText" lastClr="00000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657677</xdr:colOff>
      <xdr:row>264</xdr:row>
      <xdr:rowOff>71058</xdr:rowOff>
    </xdr:from>
    <xdr:to>
      <xdr:col>4</xdr:col>
      <xdr:colOff>497416</xdr:colOff>
      <xdr:row>264</xdr:row>
      <xdr:rowOff>148167</xdr:rowOff>
    </xdr:to>
    <xdr:sp macro="" textlink="">
      <xdr:nvSpPr>
        <xdr:cNvPr id="287" name="Rectangle 286"/>
        <xdr:cNvSpPr/>
      </xdr:nvSpPr>
      <xdr:spPr>
        <a:xfrm>
          <a:off x="2943677" y="48278141"/>
          <a:ext cx="601739" cy="77109"/>
        </a:xfrm>
        <a:prstGeom prst="rect">
          <a:avLst/>
        </a:prstGeom>
        <a:solidFill>
          <a:srgbClr val="00B050"/>
        </a:solidFill>
        <a:ln w="19050">
          <a:solidFill>
            <a:sysClr val="windowText" lastClr="00000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121226</xdr:colOff>
      <xdr:row>247</xdr:row>
      <xdr:rowOff>129887</xdr:rowOff>
    </xdr:from>
    <xdr:to>
      <xdr:col>4</xdr:col>
      <xdr:colOff>312963</xdr:colOff>
      <xdr:row>248</xdr:row>
      <xdr:rowOff>1924</xdr:rowOff>
    </xdr:to>
    <xdr:sp macro="" textlink="">
      <xdr:nvSpPr>
        <xdr:cNvPr id="288" name="Rectangle 287"/>
        <xdr:cNvSpPr/>
      </xdr:nvSpPr>
      <xdr:spPr>
        <a:xfrm>
          <a:off x="3169226" y="44767501"/>
          <a:ext cx="191737" cy="71196"/>
        </a:xfrm>
        <a:prstGeom prst="rect">
          <a:avLst/>
        </a:prstGeom>
        <a:solidFill>
          <a:srgbClr val="FFC000"/>
        </a:solidFill>
        <a:ln w="19050">
          <a:solidFill>
            <a:sysClr val="windowText" lastClr="00000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381001</xdr:colOff>
      <xdr:row>246</xdr:row>
      <xdr:rowOff>95251</xdr:rowOff>
    </xdr:from>
    <xdr:to>
      <xdr:col>4</xdr:col>
      <xdr:colOff>702623</xdr:colOff>
      <xdr:row>247</xdr:row>
      <xdr:rowOff>1926</xdr:rowOff>
    </xdr:to>
    <xdr:sp macro="" textlink="">
      <xdr:nvSpPr>
        <xdr:cNvPr id="292" name="Rectangle 291"/>
        <xdr:cNvSpPr/>
      </xdr:nvSpPr>
      <xdr:spPr>
        <a:xfrm rot="1923645">
          <a:off x="2667001" y="44533706"/>
          <a:ext cx="1083622" cy="105834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718089</xdr:colOff>
      <xdr:row>246</xdr:row>
      <xdr:rowOff>191739</xdr:rowOff>
    </xdr:from>
    <xdr:to>
      <xdr:col>4</xdr:col>
      <xdr:colOff>718089</xdr:colOff>
      <xdr:row>247</xdr:row>
      <xdr:rowOff>190500</xdr:rowOff>
    </xdr:to>
    <xdr:cxnSp macro="">
      <xdr:nvCxnSpPr>
        <xdr:cNvPr id="295" name="Connecteur droit avec flèche 294"/>
        <xdr:cNvCxnSpPr/>
      </xdr:nvCxnSpPr>
      <xdr:spPr>
        <a:xfrm flipV="1">
          <a:off x="3766089" y="44959239"/>
          <a:ext cx="0" cy="201167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363682</xdr:colOff>
      <xdr:row>260</xdr:row>
      <xdr:rowOff>107155</xdr:rowOff>
    </xdr:from>
    <xdr:to>
      <xdr:col>6</xdr:col>
      <xdr:colOff>0</xdr:colOff>
      <xdr:row>260</xdr:row>
      <xdr:rowOff>107155</xdr:rowOff>
    </xdr:to>
    <xdr:cxnSp macro="">
      <xdr:nvCxnSpPr>
        <xdr:cNvPr id="30" name="Connecteur droit 29"/>
        <xdr:cNvCxnSpPr/>
      </xdr:nvCxnSpPr>
      <xdr:spPr>
        <a:xfrm>
          <a:off x="3411682" y="47696436"/>
          <a:ext cx="1160318" cy="0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718089</xdr:colOff>
      <xdr:row>247</xdr:row>
      <xdr:rowOff>199161</xdr:rowOff>
    </xdr:from>
    <xdr:to>
      <xdr:col>4</xdr:col>
      <xdr:colOff>718089</xdr:colOff>
      <xdr:row>261</xdr:row>
      <xdr:rowOff>107157</xdr:rowOff>
    </xdr:to>
    <xdr:cxnSp macro="">
      <xdr:nvCxnSpPr>
        <xdr:cNvPr id="296" name="Connecteur droit avec flèche 295"/>
        <xdr:cNvCxnSpPr/>
      </xdr:nvCxnSpPr>
      <xdr:spPr>
        <a:xfrm flipV="1">
          <a:off x="3766089" y="45169067"/>
          <a:ext cx="0" cy="2717871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35719</xdr:colOff>
      <xdr:row>261</xdr:row>
      <xdr:rowOff>119061</xdr:rowOff>
    </xdr:from>
    <xdr:to>
      <xdr:col>6</xdr:col>
      <xdr:colOff>0</xdr:colOff>
      <xdr:row>261</xdr:row>
      <xdr:rowOff>119061</xdr:rowOff>
    </xdr:to>
    <xdr:cxnSp macro="">
      <xdr:nvCxnSpPr>
        <xdr:cNvPr id="297" name="Connecteur droit 296"/>
        <xdr:cNvCxnSpPr/>
      </xdr:nvCxnSpPr>
      <xdr:spPr>
        <a:xfrm>
          <a:off x="797719" y="47851217"/>
          <a:ext cx="3774281" cy="0"/>
        </a:xfrm>
        <a:prstGeom prst="line">
          <a:avLst/>
        </a:prstGeom>
        <a:ln w="28575">
          <a:solidFill>
            <a:srgbClr val="FFC000"/>
          </a:solidFill>
          <a:prstDash val="sysDot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309563</xdr:colOff>
      <xdr:row>248</xdr:row>
      <xdr:rowOff>0</xdr:rowOff>
    </xdr:from>
    <xdr:to>
      <xdr:col>4</xdr:col>
      <xdr:colOff>381000</xdr:colOff>
      <xdr:row>261</xdr:row>
      <xdr:rowOff>119063</xdr:rowOff>
    </xdr:to>
    <xdr:sp macro="" textlink="">
      <xdr:nvSpPr>
        <xdr:cNvPr id="52" name="Rectangle 51"/>
        <xdr:cNvSpPr/>
      </xdr:nvSpPr>
      <xdr:spPr>
        <a:xfrm>
          <a:off x="3357563" y="45172313"/>
          <a:ext cx="71437" cy="2726531"/>
        </a:xfrm>
        <a:prstGeom prst="rect">
          <a:avLst/>
        </a:prstGeom>
        <a:solidFill>
          <a:srgbClr val="FFC0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440531</xdr:colOff>
      <xdr:row>259</xdr:row>
      <xdr:rowOff>0</xdr:rowOff>
    </xdr:from>
    <xdr:to>
      <xdr:col>5</xdr:col>
      <xdr:colOff>750094</xdr:colOff>
      <xdr:row>260</xdr:row>
      <xdr:rowOff>83344</xdr:rowOff>
    </xdr:to>
    <xdr:cxnSp macro="">
      <xdr:nvCxnSpPr>
        <xdr:cNvPr id="57" name="Connecteur droit avec flèche 56"/>
        <xdr:cNvCxnSpPr/>
      </xdr:nvCxnSpPr>
      <xdr:spPr>
        <a:xfrm flipH="1">
          <a:off x="4250531" y="47398781"/>
          <a:ext cx="309563" cy="273844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259</xdr:row>
      <xdr:rowOff>0</xdr:rowOff>
    </xdr:from>
    <xdr:to>
      <xdr:col>7</xdr:col>
      <xdr:colOff>0</xdr:colOff>
      <xdr:row>259</xdr:row>
      <xdr:rowOff>0</xdr:rowOff>
    </xdr:to>
    <xdr:cxnSp macro="">
      <xdr:nvCxnSpPr>
        <xdr:cNvPr id="62" name="Connecteur droit 61"/>
        <xdr:cNvCxnSpPr/>
      </xdr:nvCxnSpPr>
      <xdr:spPr>
        <a:xfrm flipH="1">
          <a:off x="4572000" y="47398781"/>
          <a:ext cx="7620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49026</xdr:colOff>
      <xdr:row>235</xdr:row>
      <xdr:rowOff>59534</xdr:rowOff>
    </xdr:from>
    <xdr:to>
      <xdr:col>7</xdr:col>
      <xdr:colOff>59536</xdr:colOff>
      <xdr:row>241</xdr:row>
      <xdr:rowOff>110405</xdr:rowOff>
    </xdr:to>
    <xdr:sp macro="" textlink="">
      <xdr:nvSpPr>
        <xdr:cNvPr id="298" name="Rectangle 297"/>
        <xdr:cNvSpPr/>
      </xdr:nvSpPr>
      <xdr:spPr>
        <a:xfrm rot="16200000">
          <a:off x="2505345" y="44430496"/>
          <a:ext cx="1193871" cy="4582510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11906</xdr:colOff>
      <xdr:row>230</xdr:row>
      <xdr:rowOff>166687</xdr:rowOff>
    </xdr:from>
    <xdr:to>
      <xdr:col>7</xdr:col>
      <xdr:colOff>119063</xdr:colOff>
      <xdr:row>235</xdr:row>
      <xdr:rowOff>124163</xdr:rowOff>
    </xdr:to>
    <xdr:sp macro="" textlink="">
      <xdr:nvSpPr>
        <xdr:cNvPr id="299" name="Rectangle 298"/>
        <xdr:cNvSpPr/>
      </xdr:nvSpPr>
      <xdr:spPr>
        <a:xfrm>
          <a:off x="773906" y="45279468"/>
          <a:ext cx="4679157" cy="909976"/>
        </a:xfrm>
        <a:prstGeom prst="rect">
          <a:avLst/>
        </a:prstGeom>
        <a:solidFill>
          <a:schemeClr val="accent6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678656</xdr:colOff>
      <xdr:row>231</xdr:row>
      <xdr:rowOff>83344</xdr:rowOff>
    </xdr:from>
    <xdr:to>
      <xdr:col>3</xdr:col>
      <xdr:colOff>71438</xdr:colOff>
      <xdr:row>232</xdr:row>
      <xdr:rowOff>71438</xdr:rowOff>
    </xdr:to>
    <xdr:sp macro="" textlink="">
      <xdr:nvSpPr>
        <xdr:cNvPr id="67" name="Triangle isocèle 66"/>
        <xdr:cNvSpPr/>
      </xdr:nvSpPr>
      <xdr:spPr>
        <a:xfrm>
          <a:off x="2202656" y="45386625"/>
          <a:ext cx="154782" cy="178594"/>
        </a:xfrm>
        <a:prstGeom prst="triangle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714374</xdr:colOff>
      <xdr:row>231</xdr:row>
      <xdr:rowOff>83344</xdr:rowOff>
    </xdr:from>
    <xdr:to>
      <xdr:col>5</xdr:col>
      <xdr:colOff>107156</xdr:colOff>
      <xdr:row>232</xdr:row>
      <xdr:rowOff>71438</xdr:rowOff>
    </xdr:to>
    <xdr:sp macro="" textlink="">
      <xdr:nvSpPr>
        <xdr:cNvPr id="300" name="Triangle isocèle 299"/>
        <xdr:cNvSpPr/>
      </xdr:nvSpPr>
      <xdr:spPr>
        <a:xfrm>
          <a:off x="3762374" y="45386625"/>
          <a:ext cx="154782" cy="178594"/>
        </a:xfrm>
        <a:prstGeom prst="triangle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583405</xdr:colOff>
      <xdr:row>234</xdr:row>
      <xdr:rowOff>0</xdr:rowOff>
    </xdr:from>
    <xdr:to>
      <xdr:col>5</xdr:col>
      <xdr:colOff>738187</xdr:colOff>
      <xdr:row>234</xdr:row>
      <xdr:rowOff>178594</xdr:rowOff>
    </xdr:to>
    <xdr:sp macro="" textlink="">
      <xdr:nvSpPr>
        <xdr:cNvPr id="301" name="Triangle isocèle 300"/>
        <xdr:cNvSpPr/>
      </xdr:nvSpPr>
      <xdr:spPr>
        <a:xfrm>
          <a:off x="4393405" y="45874781"/>
          <a:ext cx="154782" cy="178594"/>
        </a:xfrm>
        <a:prstGeom prst="triangle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619124</xdr:colOff>
      <xdr:row>234</xdr:row>
      <xdr:rowOff>0</xdr:rowOff>
    </xdr:from>
    <xdr:to>
      <xdr:col>4</xdr:col>
      <xdr:colOff>11906</xdr:colOff>
      <xdr:row>234</xdr:row>
      <xdr:rowOff>178594</xdr:rowOff>
    </xdr:to>
    <xdr:sp macro="" textlink="">
      <xdr:nvSpPr>
        <xdr:cNvPr id="302" name="Triangle isocèle 301"/>
        <xdr:cNvSpPr/>
      </xdr:nvSpPr>
      <xdr:spPr>
        <a:xfrm>
          <a:off x="2905124" y="45874781"/>
          <a:ext cx="154782" cy="178594"/>
        </a:xfrm>
        <a:prstGeom prst="triangle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714374</xdr:colOff>
      <xdr:row>234</xdr:row>
      <xdr:rowOff>0</xdr:rowOff>
    </xdr:from>
    <xdr:to>
      <xdr:col>2</xdr:col>
      <xdr:colOff>107156</xdr:colOff>
      <xdr:row>234</xdr:row>
      <xdr:rowOff>178594</xdr:rowOff>
    </xdr:to>
    <xdr:sp macro="" textlink="">
      <xdr:nvSpPr>
        <xdr:cNvPr id="303" name="Triangle isocèle 302"/>
        <xdr:cNvSpPr/>
      </xdr:nvSpPr>
      <xdr:spPr>
        <a:xfrm>
          <a:off x="1476374" y="45874781"/>
          <a:ext cx="154782" cy="178594"/>
        </a:xfrm>
        <a:prstGeom prst="triangle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559594</xdr:colOff>
      <xdr:row>266</xdr:row>
      <xdr:rowOff>178594</xdr:rowOff>
    </xdr:from>
    <xdr:to>
      <xdr:col>4</xdr:col>
      <xdr:colOff>369094</xdr:colOff>
      <xdr:row>272</xdr:row>
      <xdr:rowOff>52728</xdr:rowOff>
    </xdr:to>
    <xdr:sp macro="" textlink="">
      <xdr:nvSpPr>
        <xdr:cNvPr id="321" name="Rectangle 320"/>
        <xdr:cNvSpPr/>
      </xdr:nvSpPr>
      <xdr:spPr>
        <a:xfrm>
          <a:off x="559594" y="52447032"/>
          <a:ext cx="2857500" cy="1040946"/>
        </a:xfrm>
        <a:prstGeom prst="rect">
          <a:avLst/>
        </a:prstGeom>
        <a:solidFill>
          <a:schemeClr val="accent6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559594</xdr:colOff>
      <xdr:row>269</xdr:row>
      <xdr:rowOff>115662</xdr:rowOff>
    </xdr:from>
    <xdr:to>
      <xdr:col>4</xdr:col>
      <xdr:colOff>369094</xdr:colOff>
      <xdr:row>269</xdr:row>
      <xdr:rowOff>115662</xdr:rowOff>
    </xdr:to>
    <xdr:cxnSp macro="">
      <xdr:nvCxnSpPr>
        <xdr:cNvPr id="322" name="Connecteur droit 321"/>
        <xdr:cNvCxnSpPr>
          <a:stCxn id="321" idx="1"/>
          <a:endCxn id="321" idx="3"/>
        </xdr:cNvCxnSpPr>
      </xdr:nvCxnSpPr>
      <xdr:spPr>
        <a:xfrm>
          <a:off x="559594" y="52943693"/>
          <a:ext cx="28575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718089</xdr:colOff>
      <xdr:row>266</xdr:row>
      <xdr:rowOff>177730</xdr:rowOff>
    </xdr:from>
    <xdr:to>
      <xdr:col>4</xdr:col>
      <xdr:colOff>718089</xdr:colOff>
      <xdr:row>272</xdr:row>
      <xdr:rowOff>47625</xdr:rowOff>
    </xdr:to>
    <xdr:cxnSp macro="">
      <xdr:nvCxnSpPr>
        <xdr:cNvPr id="323" name="Connecteur droit avec flèche 322"/>
        <xdr:cNvCxnSpPr/>
      </xdr:nvCxnSpPr>
      <xdr:spPr>
        <a:xfrm flipV="1">
          <a:off x="3766089" y="52446168"/>
          <a:ext cx="0" cy="1036707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297662</xdr:colOff>
      <xdr:row>278</xdr:row>
      <xdr:rowOff>142877</xdr:rowOff>
    </xdr:from>
    <xdr:to>
      <xdr:col>2</xdr:col>
      <xdr:colOff>476251</xdr:colOff>
      <xdr:row>288</xdr:row>
      <xdr:rowOff>178598</xdr:rowOff>
    </xdr:to>
    <xdr:sp macro="" textlink="">
      <xdr:nvSpPr>
        <xdr:cNvPr id="263" name="Rectangle 262"/>
        <xdr:cNvSpPr/>
      </xdr:nvSpPr>
      <xdr:spPr>
        <a:xfrm rot="16200000">
          <a:off x="892971" y="55649818"/>
          <a:ext cx="2035971" cy="178589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547688</xdr:colOff>
      <xdr:row>277</xdr:row>
      <xdr:rowOff>119063</xdr:rowOff>
    </xdr:from>
    <xdr:to>
      <xdr:col>3</xdr:col>
      <xdr:colOff>107310</xdr:colOff>
      <xdr:row>278</xdr:row>
      <xdr:rowOff>25738</xdr:rowOff>
    </xdr:to>
    <xdr:sp macro="" textlink="">
      <xdr:nvSpPr>
        <xdr:cNvPr id="264" name="Rectangle 263"/>
        <xdr:cNvSpPr/>
      </xdr:nvSpPr>
      <xdr:spPr>
        <a:xfrm rot="1923645">
          <a:off x="1309688" y="54506813"/>
          <a:ext cx="1083622" cy="97175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714378</xdr:colOff>
      <xdr:row>279</xdr:row>
      <xdr:rowOff>107157</xdr:rowOff>
    </xdr:from>
    <xdr:to>
      <xdr:col>3</xdr:col>
      <xdr:colOff>250032</xdr:colOff>
      <xdr:row>280</xdr:row>
      <xdr:rowOff>95251</xdr:rowOff>
    </xdr:to>
    <xdr:sp macro="" textlink="">
      <xdr:nvSpPr>
        <xdr:cNvPr id="59" name="Forme libre 58"/>
        <xdr:cNvSpPr/>
      </xdr:nvSpPr>
      <xdr:spPr>
        <a:xfrm>
          <a:off x="2238378" y="54875907"/>
          <a:ext cx="297654" cy="178594"/>
        </a:xfrm>
        <a:custGeom>
          <a:avLst/>
          <a:gdLst>
            <a:gd name="connsiteX0" fmla="*/ 0 w 833437"/>
            <a:gd name="connsiteY0" fmla="*/ 0 h 428839"/>
            <a:gd name="connsiteX1" fmla="*/ 71437 w 833437"/>
            <a:gd name="connsiteY1" fmla="*/ 309563 h 428839"/>
            <a:gd name="connsiteX2" fmla="*/ 416718 w 833437"/>
            <a:gd name="connsiteY2" fmla="*/ 428625 h 428839"/>
            <a:gd name="connsiteX3" fmla="*/ 726281 w 833437"/>
            <a:gd name="connsiteY3" fmla="*/ 285750 h 428839"/>
            <a:gd name="connsiteX4" fmla="*/ 773906 w 833437"/>
            <a:gd name="connsiteY4" fmla="*/ 71438 h 428839"/>
            <a:gd name="connsiteX5" fmla="*/ 833437 w 833437"/>
            <a:gd name="connsiteY5" fmla="*/ 23813 h 428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833437" h="428839">
              <a:moveTo>
                <a:pt x="0" y="0"/>
              </a:moveTo>
              <a:cubicBezTo>
                <a:pt x="992" y="119063"/>
                <a:pt x="1984" y="238126"/>
                <a:pt x="71437" y="309563"/>
              </a:cubicBezTo>
              <a:cubicBezTo>
                <a:pt x="140890" y="381000"/>
                <a:pt x="307578" y="432594"/>
                <a:pt x="416718" y="428625"/>
              </a:cubicBezTo>
              <a:cubicBezTo>
                <a:pt x="525858" y="424656"/>
                <a:pt x="666750" y="345281"/>
                <a:pt x="726281" y="285750"/>
              </a:cubicBezTo>
              <a:cubicBezTo>
                <a:pt x="785812" y="226219"/>
                <a:pt x="756047" y="115094"/>
                <a:pt x="773906" y="71438"/>
              </a:cubicBezTo>
              <a:cubicBezTo>
                <a:pt x="791765" y="27782"/>
                <a:pt x="812601" y="25797"/>
                <a:pt x="833437" y="23813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482745</xdr:colOff>
      <xdr:row>287</xdr:row>
      <xdr:rowOff>190499</xdr:rowOff>
    </xdr:from>
    <xdr:to>
      <xdr:col>4</xdr:col>
      <xdr:colOff>119063</xdr:colOff>
      <xdr:row>287</xdr:row>
      <xdr:rowOff>190499</xdr:rowOff>
    </xdr:to>
    <xdr:cxnSp macro="">
      <xdr:nvCxnSpPr>
        <xdr:cNvPr id="271" name="Connecteur droit 270"/>
        <xdr:cNvCxnSpPr/>
      </xdr:nvCxnSpPr>
      <xdr:spPr>
        <a:xfrm>
          <a:off x="2006745" y="56566593"/>
          <a:ext cx="1160318" cy="0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452437</xdr:colOff>
      <xdr:row>286</xdr:row>
      <xdr:rowOff>95250</xdr:rowOff>
    </xdr:from>
    <xdr:to>
      <xdr:col>4</xdr:col>
      <xdr:colOff>0</xdr:colOff>
      <xdr:row>287</xdr:row>
      <xdr:rowOff>178594</xdr:rowOff>
    </xdr:to>
    <xdr:cxnSp macro="">
      <xdr:nvCxnSpPr>
        <xdr:cNvPr id="274" name="Connecteur droit avec flèche 273"/>
        <xdr:cNvCxnSpPr/>
      </xdr:nvCxnSpPr>
      <xdr:spPr>
        <a:xfrm flipH="1">
          <a:off x="2738437" y="56268938"/>
          <a:ext cx="309563" cy="285750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11906</xdr:colOff>
      <xdr:row>286</xdr:row>
      <xdr:rowOff>95250</xdr:rowOff>
    </xdr:from>
    <xdr:to>
      <xdr:col>5</xdr:col>
      <xdr:colOff>11906</xdr:colOff>
      <xdr:row>286</xdr:row>
      <xdr:rowOff>95250</xdr:rowOff>
    </xdr:to>
    <xdr:cxnSp macro="">
      <xdr:nvCxnSpPr>
        <xdr:cNvPr id="276" name="Connecteur droit 275"/>
        <xdr:cNvCxnSpPr/>
      </xdr:nvCxnSpPr>
      <xdr:spPr>
        <a:xfrm flipH="1">
          <a:off x="3059906" y="56268938"/>
          <a:ext cx="7620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194213</xdr:colOff>
      <xdr:row>279</xdr:row>
      <xdr:rowOff>118198</xdr:rowOff>
    </xdr:from>
    <xdr:to>
      <xdr:col>5</xdr:col>
      <xdr:colOff>194213</xdr:colOff>
      <xdr:row>287</xdr:row>
      <xdr:rowOff>178594</xdr:rowOff>
    </xdr:to>
    <xdr:cxnSp macro="">
      <xdr:nvCxnSpPr>
        <xdr:cNvPr id="279" name="Connecteur droit avec flèche 278"/>
        <xdr:cNvCxnSpPr/>
      </xdr:nvCxnSpPr>
      <xdr:spPr>
        <a:xfrm flipV="1">
          <a:off x="4004213" y="54886948"/>
          <a:ext cx="0" cy="1667740"/>
        </a:xfrm>
        <a:prstGeom prst="straightConnector1">
          <a:avLst/>
        </a:prstGeom>
        <a:ln>
          <a:solidFill>
            <a:sysClr val="windowText" lastClr="00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464344</xdr:colOff>
      <xdr:row>279</xdr:row>
      <xdr:rowOff>107157</xdr:rowOff>
    </xdr:from>
    <xdr:to>
      <xdr:col>5</xdr:col>
      <xdr:colOff>202406</xdr:colOff>
      <xdr:row>279</xdr:row>
      <xdr:rowOff>107157</xdr:rowOff>
    </xdr:to>
    <xdr:cxnSp macro="">
      <xdr:nvCxnSpPr>
        <xdr:cNvPr id="304" name="Connecteur droit 303"/>
        <xdr:cNvCxnSpPr/>
      </xdr:nvCxnSpPr>
      <xdr:spPr>
        <a:xfrm flipH="1">
          <a:off x="1988344" y="54875907"/>
          <a:ext cx="2024062" cy="0"/>
        </a:xfrm>
        <a:prstGeom prst="line">
          <a:avLst/>
        </a:prstGeom>
        <a:ln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528063</xdr:colOff>
      <xdr:row>281</xdr:row>
      <xdr:rowOff>108580</xdr:rowOff>
    </xdr:from>
    <xdr:to>
      <xdr:col>3</xdr:col>
      <xdr:colOff>141966</xdr:colOff>
      <xdr:row>281</xdr:row>
      <xdr:rowOff>180261</xdr:rowOff>
    </xdr:to>
    <xdr:sp macro="" textlink="">
      <xdr:nvSpPr>
        <xdr:cNvPr id="309" name="Rectangle 308"/>
        <xdr:cNvSpPr/>
      </xdr:nvSpPr>
      <xdr:spPr>
        <a:xfrm rot="19128807">
          <a:off x="2052063" y="55329768"/>
          <a:ext cx="375903" cy="71681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547694</xdr:colOff>
      <xdr:row>282</xdr:row>
      <xdr:rowOff>35720</xdr:rowOff>
    </xdr:from>
    <xdr:to>
      <xdr:col>2</xdr:col>
      <xdr:colOff>619126</xdr:colOff>
      <xdr:row>287</xdr:row>
      <xdr:rowOff>166686</xdr:rowOff>
    </xdr:to>
    <xdr:sp macro="" textlink="">
      <xdr:nvSpPr>
        <xdr:cNvPr id="308" name="Rectangle 307"/>
        <xdr:cNvSpPr/>
      </xdr:nvSpPr>
      <xdr:spPr>
        <a:xfrm rot="16200000">
          <a:off x="1547817" y="55983191"/>
          <a:ext cx="1119185" cy="71432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35725</xdr:colOff>
      <xdr:row>280</xdr:row>
      <xdr:rowOff>95253</xdr:rowOff>
    </xdr:from>
    <xdr:to>
      <xdr:col>3</xdr:col>
      <xdr:colOff>119062</xdr:colOff>
      <xdr:row>281</xdr:row>
      <xdr:rowOff>47627</xdr:rowOff>
    </xdr:to>
    <xdr:sp macro="" textlink="">
      <xdr:nvSpPr>
        <xdr:cNvPr id="307" name="Rectangle 306"/>
        <xdr:cNvSpPr/>
      </xdr:nvSpPr>
      <xdr:spPr>
        <a:xfrm rot="16200000">
          <a:off x="2286003" y="55149756"/>
          <a:ext cx="154781" cy="83337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654844</xdr:colOff>
      <xdr:row>6</xdr:row>
      <xdr:rowOff>-1</xdr:rowOff>
    </xdr:from>
    <xdr:to>
      <xdr:col>17</xdr:col>
      <xdr:colOff>23812</xdr:colOff>
      <xdr:row>6</xdr:row>
      <xdr:rowOff>154779</xdr:rowOff>
    </xdr:to>
    <xdr:sp macro="" textlink="">
      <xdr:nvSpPr>
        <xdr:cNvPr id="49" name="Étoile à 8 branches 48"/>
        <xdr:cNvSpPr/>
      </xdr:nvSpPr>
      <xdr:spPr>
        <a:xfrm>
          <a:off x="12382500" y="1166812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654844</xdr:colOff>
      <xdr:row>9</xdr:row>
      <xdr:rowOff>11905</xdr:rowOff>
    </xdr:from>
    <xdr:to>
      <xdr:col>17</xdr:col>
      <xdr:colOff>23812</xdr:colOff>
      <xdr:row>9</xdr:row>
      <xdr:rowOff>166685</xdr:rowOff>
    </xdr:to>
    <xdr:sp macro="" textlink="">
      <xdr:nvSpPr>
        <xdr:cNvPr id="306" name="Étoile à 8 branches 305"/>
        <xdr:cNvSpPr/>
      </xdr:nvSpPr>
      <xdr:spPr>
        <a:xfrm>
          <a:off x="12382500" y="1762124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654844</xdr:colOff>
      <xdr:row>12</xdr:row>
      <xdr:rowOff>11906</xdr:rowOff>
    </xdr:from>
    <xdr:to>
      <xdr:col>17</xdr:col>
      <xdr:colOff>23812</xdr:colOff>
      <xdr:row>12</xdr:row>
      <xdr:rowOff>166686</xdr:rowOff>
    </xdr:to>
    <xdr:sp macro="" textlink="">
      <xdr:nvSpPr>
        <xdr:cNvPr id="310" name="Étoile à 8 branches 309"/>
        <xdr:cNvSpPr/>
      </xdr:nvSpPr>
      <xdr:spPr>
        <a:xfrm>
          <a:off x="12382500" y="2345531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654844</xdr:colOff>
      <xdr:row>27</xdr:row>
      <xdr:rowOff>190499</xdr:rowOff>
    </xdr:from>
    <xdr:to>
      <xdr:col>17</xdr:col>
      <xdr:colOff>23812</xdr:colOff>
      <xdr:row>28</xdr:row>
      <xdr:rowOff>154779</xdr:rowOff>
    </xdr:to>
    <xdr:sp macro="" textlink="">
      <xdr:nvSpPr>
        <xdr:cNvPr id="311" name="Étoile à 8 branches 310"/>
        <xdr:cNvSpPr/>
      </xdr:nvSpPr>
      <xdr:spPr>
        <a:xfrm>
          <a:off x="12382500" y="5464968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654844</xdr:colOff>
      <xdr:row>31</xdr:row>
      <xdr:rowOff>11906</xdr:rowOff>
    </xdr:from>
    <xdr:to>
      <xdr:col>17</xdr:col>
      <xdr:colOff>23812</xdr:colOff>
      <xdr:row>31</xdr:row>
      <xdr:rowOff>166686</xdr:rowOff>
    </xdr:to>
    <xdr:sp macro="" textlink="">
      <xdr:nvSpPr>
        <xdr:cNvPr id="312" name="Étoile à 8 branches 311"/>
        <xdr:cNvSpPr/>
      </xdr:nvSpPr>
      <xdr:spPr>
        <a:xfrm>
          <a:off x="12382500" y="6060281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642938</xdr:colOff>
      <xdr:row>28</xdr:row>
      <xdr:rowOff>154781</xdr:rowOff>
    </xdr:from>
    <xdr:to>
      <xdr:col>19</xdr:col>
      <xdr:colOff>71438</xdr:colOff>
      <xdr:row>29</xdr:row>
      <xdr:rowOff>178591</xdr:rowOff>
    </xdr:to>
    <xdr:sp macro="" textlink="">
      <xdr:nvSpPr>
        <xdr:cNvPr id="313" name="Étoile à 8 branches 312"/>
        <xdr:cNvSpPr/>
      </xdr:nvSpPr>
      <xdr:spPr>
        <a:xfrm>
          <a:off x="13894594" y="5619750"/>
          <a:ext cx="190500" cy="21431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642938</xdr:colOff>
      <xdr:row>65</xdr:row>
      <xdr:rowOff>178594</xdr:rowOff>
    </xdr:from>
    <xdr:to>
      <xdr:col>19</xdr:col>
      <xdr:colOff>71438</xdr:colOff>
      <xdr:row>66</xdr:row>
      <xdr:rowOff>190498</xdr:rowOff>
    </xdr:to>
    <xdr:sp macro="" textlink="">
      <xdr:nvSpPr>
        <xdr:cNvPr id="314" name="Étoile à 8 branches 313"/>
        <xdr:cNvSpPr/>
      </xdr:nvSpPr>
      <xdr:spPr>
        <a:xfrm>
          <a:off x="13894594" y="12882563"/>
          <a:ext cx="190500" cy="21431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654844</xdr:colOff>
      <xdr:row>24</xdr:row>
      <xdr:rowOff>190498</xdr:rowOff>
    </xdr:from>
    <xdr:to>
      <xdr:col>17</xdr:col>
      <xdr:colOff>23812</xdr:colOff>
      <xdr:row>25</xdr:row>
      <xdr:rowOff>154778</xdr:rowOff>
    </xdr:to>
    <xdr:sp macro="" textlink="">
      <xdr:nvSpPr>
        <xdr:cNvPr id="315" name="Étoile à 8 branches 314"/>
        <xdr:cNvSpPr/>
      </xdr:nvSpPr>
      <xdr:spPr>
        <a:xfrm>
          <a:off x="12382500" y="4881561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642938</xdr:colOff>
      <xdr:row>80</xdr:row>
      <xdr:rowOff>166688</xdr:rowOff>
    </xdr:from>
    <xdr:to>
      <xdr:col>19</xdr:col>
      <xdr:colOff>71438</xdr:colOff>
      <xdr:row>81</xdr:row>
      <xdr:rowOff>190498</xdr:rowOff>
    </xdr:to>
    <xdr:sp macro="" textlink="">
      <xdr:nvSpPr>
        <xdr:cNvPr id="316" name="Étoile à 8 branches 315"/>
        <xdr:cNvSpPr/>
      </xdr:nvSpPr>
      <xdr:spPr>
        <a:xfrm>
          <a:off x="13894594" y="15811501"/>
          <a:ext cx="190500" cy="21431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654844</xdr:colOff>
      <xdr:row>62</xdr:row>
      <xdr:rowOff>11906</xdr:rowOff>
    </xdr:from>
    <xdr:to>
      <xdr:col>17</xdr:col>
      <xdr:colOff>23812</xdr:colOff>
      <xdr:row>62</xdr:row>
      <xdr:rowOff>166686</xdr:rowOff>
    </xdr:to>
    <xdr:sp macro="" textlink="">
      <xdr:nvSpPr>
        <xdr:cNvPr id="319" name="Étoile à 8 branches 318"/>
        <xdr:cNvSpPr/>
      </xdr:nvSpPr>
      <xdr:spPr>
        <a:xfrm>
          <a:off x="12382500" y="12132469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654844</xdr:colOff>
      <xdr:row>65</xdr:row>
      <xdr:rowOff>188799</xdr:rowOff>
    </xdr:from>
    <xdr:to>
      <xdr:col>17</xdr:col>
      <xdr:colOff>23812</xdr:colOff>
      <xdr:row>66</xdr:row>
      <xdr:rowOff>139472</xdr:rowOff>
    </xdr:to>
    <xdr:sp macro="" textlink="">
      <xdr:nvSpPr>
        <xdr:cNvPr id="320" name="Étoile à 8 branches 319"/>
        <xdr:cNvSpPr/>
      </xdr:nvSpPr>
      <xdr:spPr>
        <a:xfrm>
          <a:off x="12384201" y="12938692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631031</xdr:colOff>
      <xdr:row>69</xdr:row>
      <xdr:rowOff>-1</xdr:rowOff>
    </xdr:from>
    <xdr:to>
      <xdr:col>8</xdr:col>
      <xdr:colOff>761999</xdr:colOff>
      <xdr:row>69</xdr:row>
      <xdr:rowOff>154779</xdr:rowOff>
    </xdr:to>
    <xdr:sp macro="" textlink="">
      <xdr:nvSpPr>
        <xdr:cNvPr id="326" name="Étoile à 8 branches 325"/>
        <xdr:cNvSpPr/>
      </xdr:nvSpPr>
      <xdr:spPr>
        <a:xfrm>
          <a:off x="6727031" y="13501687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642938</xdr:colOff>
      <xdr:row>45</xdr:row>
      <xdr:rowOff>166687</xdr:rowOff>
    </xdr:from>
    <xdr:to>
      <xdr:col>19</xdr:col>
      <xdr:colOff>71438</xdr:colOff>
      <xdr:row>46</xdr:row>
      <xdr:rowOff>190497</xdr:rowOff>
    </xdr:to>
    <xdr:sp macro="" textlink="">
      <xdr:nvSpPr>
        <xdr:cNvPr id="327" name="Étoile à 8 branches 326"/>
        <xdr:cNvSpPr/>
      </xdr:nvSpPr>
      <xdr:spPr>
        <a:xfrm>
          <a:off x="13894594" y="8953500"/>
          <a:ext cx="190500" cy="21431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619125</xdr:colOff>
      <xdr:row>82</xdr:row>
      <xdr:rowOff>178594</xdr:rowOff>
    </xdr:from>
    <xdr:to>
      <xdr:col>18</xdr:col>
      <xdr:colOff>750093</xdr:colOff>
      <xdr:row>83</xdr:row>
      <xdr:rowOff>130968</xdr:rowOff>
    </xdr:to>
    <xdr:sp macro="" textlink="">
      <xdr:nvSpPr>
        <xdr:cNvPr id="328" name="Étoile à 8 branches 327"/>
        <xdr:cNvSpPr/>
      </xdr:nvSpPr>
      <xdr:spPr>
        <a:xfrm>
          <a:off x="13870781" y="16216313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619125</xdr:colOff>
      <xdr:row>82</xdr:row>
      <xdr:rowOff>190500</xdr:rowOff>
    </xdr:from>
    <xdr:to>
      <xdr:col>15</xdr:col>
      <xdr:colOff>750093</xdr:colOff>
      <xdr:row>83</xdr:row>
      <xdr:rowOff>142874</xdr:rowOff>
    </xdr:to>
    <xdr:sp macro="" textlink="">
      <xdr:nvSpPr>
        <xdr:cNvPr id="329" name="Étoile à 8 branches 328"/>
        <xdr:cNvSpPr/>
      </xdr:nvSpPr>
      <xdr:spPr>
        <a:xfrm>
          <a:off x="11584781" y="16228219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619125</xdr:colOff>
      <xdr:row>82</xdr:row>
      <xdr:rowOff>190500</xdr:rowOff>
    </xdr:from>
    <xdr:to>
      <xdr:col>16</xdr:col>
      <xdr:colOff>750093</xdr:colOff>
      <xdr:row>83</xdr:row>
      <xdr:rowOff>142874</xdr:rowOff>
    </xdr:to>
    <xdr:sp macro="" textlink="">
      <xdr:nvSpPr>
        <xdr:cNvPr id="330" name="Étoile à 8 branches 329"/>
        <xdr:cNvSpPr/>
      </xdr:nvSpPr>
      <xdr:spPr>
        <a:xfrm>
          <a:off x="12346781" y="16228219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642938</xdr:colOff>
      <xdr:row>252</xdr:row>
      <xdr:rowOff>178594</xdr:rowOff>
    </xdr:from>
    <xdr:to>
      <xdr:col>19</xdr:col>
      <xdr:colOff>71438</xdr:colOff>
      <xdr:row>253</xdr:row>
      <xdr:rowOff>202404</xdr:rowOff>
    </xdr:to>
    <xdr:sp macro="" textlink="">
      <xdr:nvSpPr>
        <xdr:cNvPr id="331" name="Étoile à 8 branches 330"/>
        <xdr:cNvSpPr/>
      </xdr:nvSpPr>
      <xdr:spPr>
        <a:xfrm>
          <a:off x="13894594" y="49660969"/>
          <a:ext cx="190500" cy="21431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619125</xdr:colOff>
      <xdr:row>108</xdr:row>
      <xdr:rowOff>11907</xdr:rowOff>
    </xdr:from>
    <xdr:to>
      <xdr:col>16</xdr:col>
      <xdr:colOff>750093</xdr:colOff>
      <xdr:row>108</xdr:row>
      <xdr:rowOff>166687</xdr:rowOff>
    </xdr:to>
    <xdr:sp macro="" textlink="">
      <xdr:nvSpPr>
        <xdr:cNvPr id="332" name="Étoile à 8 branches 331"/>
        <xdr:cNvSpPr/>
      </xdr:nvSpPr>
      <xdr:spPr>
        <a:xfrm>
          <a:off x="12346781" y="21240751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642938</xdr:colOff>
      <xdr:row>115</xdr:row>
      <xdr:rowOff>154782</xdr:rowOff>
    </xdr:from>
    <xdr:to>
      <xdr:col>19</xdr:col>
      <xdr:colOff>71438</xdr:colOff>
      <xdr:row>116</xdr:row>
      <xdr:rowOff>178592</xdr:rowOff>
    </xdr:to>
    <xdr:sp macro="" textlink="">
      <xdr:nvSpPr>
        <xdr:cNvPr id="334" name="Étoile à 8 branches 333"/>
        <xdr:cNvSpPr/>
      </xdr:nvSpPr>
      <xdr:spPr>
        <a:xfrm>
          <a:off x="13894594" y="22729032"/>
          <a:ext cx="190500" cy="21431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619125</xdr:colOff>
      <xdr:row>117</xdr:row>
      <xdr:rowOff>178595</xdr:rowOff>
    </xdr:from>
    <xdr:to>
      <xdr:col>16</xdr:col>
      <xdr:colOff>750093</xdr:colOff>
      <xdr:row>118</xdr:row>
      <xdr:rowOff>130969</xdr:rowOff>
    </xdr:to>
    <xdr:sp macro="" textlink="">
      <xdr:nvSpPr>
        <xdr:cNvPr id="335" name="Étoile à 8 branches 334"/>
        <xdr:cNvSpPr/>
      </xdr:nvSpPr>
      <xdr:spPr>
        <a:xfrm>
          <a:off x="12346781" y="23133845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619125</xdr:colOff>
      <xdr:row>124</xdr:row>
      <xdr:rowOff>166688</xdr:rowOff>
    </xdr:from>
    <xdr:to>
      <xdr:col>16</xdr:col>
      <xdr:colOff>750093</xdr:colOff>
      <xdr:row>125</xdr:row>
      <xdr:rowOff>119062</xdr:rowOff>
    </xdr:to>
    <xdr:sp macro="" textlink="">
      <xdr:nvSpPr>
        <xdr:cNvPr id="336" name="Étoile à 8 branches 335"/>
        <xdr:cNvSpPr/>
      </xdr:nvSpPr>
      <xdr:spPr>
        <a:xfrm>
          <a:off x="12346781" y="24479251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619125</xdr:colOff>
      <xdr:row>163</xdr:row>
      <xdr:rowOff>190500</xdr:rowOff>
    </xdr:from>
    <xdr:to>
      <xdr:col>16</xdr:col>
      <xdr:colOff>750093</xdr:colOff>
      <xdr:row>164</xdr:row>
      <xdr:rowOff>142873</xdr:rowOff>
    </xdr:to>
    <xdr:sp macro="" textlink="">
      <xdr:nvSpPr>
        <xdr:cNvPr id="342" name="Étoile à 8 branches 341"/>
        <xdr:cNvSpPr/>
      </xdr:nvSpPr>
      <xdr:spPr>
        <a:xfrm>
          <a:off x="12346781" y="32206406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642938</xdr:colOff>
      <xdr:row>163</xdr:row>
      <xdr:rowOff>154782</xdr:rowOff>
    </xdr:from>
    <xdr:to>
      <xdr:col>19</xdr:col>
      <xdr:colOff>71438</xdr:colOff>
      <xdr:row>164</xdr:row>
      <xdr:rowOff>166685</xdr:rowOff>
    </xdr:to>
    <xdr:sp macro="" textlink="">
      <xdr:nvSpPr>
        <xdr:cNvPr id="343" name="Étoile à 8 branches 342"/>
        <xdr:cNvSpPr/>
      </xdr:nvSpPr>
      <xdr:spPr>
        <a:xfrm>
          <a:off x="13894594" y="32170688"/>
          <a:ext cx="190500" cy="21431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642938</xdr:colOff>
      <xdr:row>187</xdr:row>
      <xdr:rowOff>166687</xdr:rowOff>
    </xdr:from>
    <xdr:to>
      <xdr:col>19</xdr:col>
      <xdr:colOff>71438</xdr:colOff>
      <xdr:row>188</xdr:row>
      <xdr:rowOff>190497</xdr:rowOff>
    </xdr:to>
    <xdr:sp macro="" textlink="">
      <xdr:nvSpPr>
        <xdr:cNvPr id="344" name="Étoile à 8 branches 343"/>
        <xdr:cNvSpPr/>
      </xdr:nvSpPr>
      <xdr:spPr>
        <a:xfrm>
          <a:off x="13894594" y="36909375"/>
          <a:ext cx="190500" cy="21431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631032</xdr:colOff>
      <xdr:row>212</xdr:row>
      <xdr:rowOff>190499</xdr:rowOff>
    </xdr:from>
    <xdr:to>
      <xdr:col>19</xdr:col>
      <xdr:colOff>59532</xdr:colOff>
      <xdr:row>213</xdr:row>
      <xdr:rowOff>202403</xdr:rowOff>
    </xdr:to>
    <xdr:sp macro="" textlink="">
      <xdr:nvSpPr>
        <xdr:cNvPr id="345" name="Étoile à 8 branches 344"/>
        <xdr:cNvSpPr/>
      </xdr:nvSpPr>
      <xdr:spPr>
        <a:xfrm>
          <a:off x="13882688" y="41790937"/>
          <a:ext cx="190500" cy="21431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631032</xdr:colOff>
      <xdr:row>232</xdr:row>
      <xdr:rowOff>163284</xdr:rowOff>
    </xdr:from>
    <xdr:to>
      <xdr:col>19</xdr:col>
      <xdr:colOff>59532</xdr:colOff>
      <xdr:row>233</xdr:row>
      <xdr:rowOff>175189</xdr:rowOff>
    </xdr:to>
    <xdr:sp macro="" textlink="">
      <xdr:nvSpPr>
        <xdr:cNvPr id="346" name="Étoile à 8 branches 345"/>
        <xdr:cNvSpPr/>
      </xdr:nvSpPr>
      <xdr:spPr>
        <a:xfrm>
          <a:off x="13884389" y="45896891"/>
          <a:ext cx="190500" cy="216012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642938</xdr:colOff>
      <xdr:row>275</xdr:row>
      <xdr:rowOff>151381</xdr:rowOff>
    </xdr:from>
    <xdr:to>
      <xdr:col>19</xdr:col>
      <xdr:colOff>71438</xdr:colOff>
      <xdr:row>276</xdr:row>
      <xdr:rowOff>175191</xdr:rowOff>
    </xdr:to>
    <xdr:sp macro="" textlink="">
      <xdr:nvSpPr>
        <xdr:cNvPr id="347" name="Étoile à 8 branches 346"/>
        <xdr:cNvSpPr/>
      </xdr:nvSpPr>
      <xdr:spPr>
        <a:xfrm>
          <a:off x="13896295" y="54389452"/>
          <a:ext cx="190500" cy="21431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642938</xdr:colOff>
      <xdr:row>8</xdr:row>
      <xdr:rowOff>141175</xdr:rowOff>
    </xdr:from>
    <xdr:to>
      <xdr:col>19</xdr:col>
      <xdr:colOff>71438</xdr:colOff>
      <xdr:row>9</xdr:row>
      <xdr:rowOff>164985</xdr:rowOff>
    </xdr:to>
    <xdr:sp macro="" textlink="">
      <xdr:nvSpPr>
        <xdr:cNvPr id="305" name="Étoile à 8 branches 304"/>
        <xdr:cNvSpPr/>
      </xdr:nvSpPr>
      <xdr:spPr>
        <a:xfrm>
          <a:off x="13896295" y="1705996"/>
          <a:ext cx="190500" cy="21431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654844</xdr:colOff>
      <xdr:row>13</xdr:row>
      <xdr:rowOff>25513</xdr:rowOff>
    </xdr:from>
    <xdr:to>
      <xdr:col>17</xdr:col>
      <xdr:colOff>23812</xdr:colOff>
      <xdr:row>13</xdr:row>
      <xdr:rowOff>180293</xdr:rowOff>
    </xdr:to>
    <xdr:sp macro="" textlink="">
      <xdr:nvSpPr>
        <xdr:cNvPr id="317" name="Étoile à 8 branches 316"/>
        <xdr:cNvSpPr/>
      </xdr:nvSpPr>
      <xdr:spPr>
        <a:xfrm>
          <a:off x="12384201" y="2556442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654844</xdr:colOff>
      <xdr:row>32</xdr:row>
      <xdr:rowOff>11906</xdr:rowOff>
    </xdr:from>
    <xdr:to>
      <xdr:col>17</xdr:col>
      <xdr:colOff>23812</xdr:colOff>
      <xdr:row>32</xdr:row>
      <xdr:rowOff>166686</xdr:rowOff>
    </xdr:to>
    <xdr:sp macro="" textlink="">
      <xdr:nvSpPr>
        <xdr:cNvPr id="318" name="Étoile à 8 branches 317"/>
        <xdr:cNvSpPr/>
      </xdr:nvSpPr>
      <xdr:spPr>
        <a:xfrm>
          <a:off x="12384201" y="6284799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654844</xdr:colOff>
      <xdr:row>42</xdr:row>
      <xdr:rowOff>25514</xdr:rowOff>
    </xdr:from>
    <xdr:to>
      <xdr:col>17</xdr:col>
      <xdr:colOff>23812</xdr:colOff>
      <xdr:row>42</xdr:row>
      <xdr:rowOff>180294</xdr:rowOff>
    </xdr:to>
    <xdr:sp macro="" textlink="">
      <xdr:nvSpPr>
        <xdr:cNvPr id="348" name="Étoile à 8 branches 347"/>
        <xdr:cNvSpPr/>
      </xdr:nvSpPr>
      <xdr:spPr>
        <a:xfrm>
          <a:off x="12384201" y="8257835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654844</xdr:colOff>
      <xdr:row>44</xdr:row>
      <xdr:rowOff>175191</xdr:rowOff>
    </xdr:from>
    <xdr:to>
      <xdr:col>17</xdr:col>
      <xdr:colOff>23812</xdr:colOff>
      <xdr:row>45</xdr:row>
      <xdr:rowOff>139471</xdr:rowOff>
    </xdr:to>
    <xdr:sp macro="" textlink="">
      <xdr:nvSpPr>
        <xdr:cNvPr id="349" name="Étoile à 8 branches 348"/>
        <xdr:cNvSpPr/>
      </xdr:nvSpPr>
      <xdr:spPr>
        <a:xfrm>
          <a:off x="12384201" y="8802120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654844</xdr:colOff>
      <xdr:row>47</xdr:row>
      <xdr:rowOff>188799</xdr:rowOff>
    </xdr:from>
    <xdr:to>
      <xdr:col>17</xdr:col>
      <xdr:colOff>23812</xdr:colOff>
      <xdr:row>48</xdr:row>
      <xdr:rowOff>153079</xdr:rowOff>
    </xdr:to>
    <xdr:sp macro="" textlink="">
      <xdr:nvSpPr>
        <xdr:cNvPr id="350" name="Étoile à 8 branches 349"/>
        <xdr:cNvSpPr/>
      </xdr:nvSpPr>
      <xdr:spPr>
        <a:xfrm>
          <a:off x="12384201" y="9400835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654844</xdr:colOff>
      <xdr:row>51</xdr:row>
      <xdr:rowOff>175192</xdr:rowOff>
    </xdr:from>
    <xdr:to>
      <xdr:col>17</xdr:col>
      <xdr:colOff>23812</xdr:colOff>
      <xdr:row>52</xdr:row>
      <xdr:rowOff>139472</xdr:rowOff>
    </xdr:to>
    <xdr:sp macro="" textlink="">
      <xdr:nvSpPr>
        <xdr:cNvPr id="351" name="Étoile à 8 branches 350"/>
        <xdr:cNvSpPr/>
      </xdr:nvSpPr>
      <xdr:spPr>
        <a:xfrm>
          <a:off x="12384201" y="10176442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654844</xdr:colOff>
      <xdr:row>68</xdr:row>
      <xdr:rowOff>188799</xdr:rowOff>
    </xdr:from>
    <xdr:to>
      <xdr:col>17</xdr:col>
      <xdr:colOff>23812</xdr:colOff>
      <xdr:row>69</xdr:row>
      <xdr:rowOff>139472</xdr:rowOff>
    </xdr:to>
    <xdr:sp macro="" textlink="">
      <xdr:nvSpPr>
        <xdr:cNvPr id="352" name="Étoile à 8 branches 351"/>
        <xdr:cNvSpPr/>
      </xdr:nvSpPr>
      <xdr:spPr>
        <a:xfrm>
          <a:off x="12384201" y="13537406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654844</xdr:colOff>
      <xdr:row>70</xdr:row>
      <xdr:rowOff>25513</xdr:rowOff>
    </xdr:from>
    <xdr:to>
      <xdr:col>17</xdr:col>
      <xdr:colOff>23812</xdr:colOff>
      <xdr:row>70</xdr:row>
      <xdr:rowOff>180293</xdr:rowOff>
    </xdr:to>
    <xdr:sp macro="" textlink="">
      <xdr:nvSpPr>
        <xdr:cNvPr id="353" name="Étoile à 8 branches 352"/>
        <xdr:cNvSpPr/>
      </xdr:nvSpPr>
      <xdr:spPr>
        <a:xfrm>
          <a:off x="12384201" y="13768727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646339</xdr:colOff>
      <xdr:row>79</xdr:row>
      <xdr:rowOff>176893</xdr:rowOff>
    </xdr:from>
    <xdr:to>
      <xdr:col>17</xdr:col>
      <xdr:colOff>15307</xdr:colOff>
      <xdr:row>80</xdr:row>
      <xdr:rowOff>142874</xdr:rowOff>
    </xdr:to>
    <xdr:sp macro="" textlink="">
      <xdr:nvSpPr>
        <xdr:cNvPr id="354" name="Étoile à 8 branches 353"/>
        <xdr:cNvSpPr/>
      </xdr:nvSpPr>
      <xdr:spPr>
        <a:xfrm>
          <a:off x="12375696" y="15689036"/>
          <a:ext cx="130968" cy="156481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642938</xdr:colOff>
      <xdr:row>249</xdr:row>
      <xdr:rowOff>137773</xdr:rowOff>
    </xdr:from>
    <xdr:to>
      <xdr:col>19</xdr:col>
      <xdr:colOff>71438</xdr:colOff>
      <xdr:row>250</xdr:row>
      <xdr:rowOff>147975</xdr:rowOff>
    </xdr:to>
    <xdr:sp macro="" textlink="">
      <xdr:nvSpPr>
        <xdr:cNvPr id="355" name="Étoile à 8 branches 354"/>
        <xdr:cNvSpPr/>
      </xdr:nvSpPr>
      <xdr:spPr>
        <a:xfrm>
          <a:off x="13896295" y="49232344"/>
          <a:ext cx="190500" cy="21431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547688</xdr:colOff>
      <xdr:row>0</xdr:row>
      <xdr:rowOff>168388</xdr:rowOff>
    </xdr:from>
    <xdr:to>
      <xdr:col>12</xdr:col>
      <xdr:colOff>738188</xdr:colOff>
      <xdr:row>2</xdr:row>
      <xdr:rowOff>1698</xdr:rowOff>
    </xdr:to>
    <xdr:sp macro="" textlink="">
      <xdr:nvSpPr>
        <xdr:cNvPr id="357" name="Étoile à 8 branches 356"/>
        <xdr:cNvSpPr/>
      </xdr:nvSpPr>
      <xdr:spPr>
        <a:xfrm>
          <a:off x="9229045" y="168388"/>
          <a:ext cx="190500" cy="21431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619125</xdr:colOff>
      <xdr:row>109</xdr:row>
      <xdr:rowOff>28916</xdr:rowOff>
    </xdr:from>
    <xdr:to>
      <xdr:col>16</xdr:col>
      <xdr:colOff>750093</xdr:colOff>
      <xdr:row>109</xdr:row>
      <xdr:rowOff>183696</xdr:rowOff>
    </xdr:to>
    <xdr:sp macro="" textlink="">
      <xdr:nvSpPr>
        <xdr:cNvPr id="358" name="Étoile à 8 branches 357"/>
        <xdr:cNvSpPr/>
      </xdr:nvSpPr>
      <xdr:spPr>
        <a:xfrm>
          <a:off x="12348482" y="21528202"/>
          <a:ext cx="130968" cy="15478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619125</xdr:colOff>
      <xdr:row>127</xdr:row>
      <xdr:rowOff>3402</xdr:rowOff>
    </xdr:from>
    <xdr:to>
      <xdr:col>16</xdr:col>
      <xdr:colOff>750093</xdr:colOff>
      <xdr:row>127</xdr:row>
      <xdr:rowOff>159883</xdr:rowOff>
    </xdr:to>
    <xdr:sp macro="" textlink="">
      <xdr:nvSpPr>
        <xdr:cNvPr id="359" name="Étoile à 8 branches 358"/>
        <xdr:cNvSpPr/>
      </xdr:nvSpPr>
      <xdr:spPr>
        <a:xfrm>
          <a:off x="12348482" y="24986116"/>
          <a:ext cx="130968" cy="156481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642938</xdr:colOff>
      <xdr:row>139</xdr:row>
      <xdr:rowOff>195603</xdr:rowOff>
    </xdr:from>
    <xdr:to>
      <xdr:col>19</xdr:col>
      <xdr:colOff>71438</xdr:colOff>
      <xdr:row>141</xdr:row>
      <xdr:rowOff>1699</xdr:rowOff>
    </xdr:to>
    <xdr:sp macro="" textlink="">
      <xdr:nvSpPr>
        <xdr:cNvPr id="324" name="Étoile à 8 branches 323"/>
        <xdr:cNvSpPr/>
      </xdr:nvSpPr>
      <xdr:spPr>
        <a:xfrm>
          <a:off x="13896295" y="27600389"/>
          <a:ext cx="190500" cy="214310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619125</xdr:colOff>
      <xdr:row>115</xdr:row>
      <xdr:rowOff>164987</xdr:rowOff>
    </xdr:from>
    <xdr:to>
      <xdr:col>16</xdr:col>
      <xdr:colOff>750093</xdr:colOff>
      <xdr:row>116</xdr:row>
      <xdr:rowOff>130968</xdr:rowOff>
    </xdr:to>
    <xdr:sp macro="" textlink="">
      <xdr:nvSpPr>
        <xdr:cNvPr id="325" name="Étoile à 8 branches 324"/>
        <xdr:cNvSpPr/>
      </xdr:nvSpPr>
      <xdr:spPr>
        <a:xfrm>
          <a:off x="12348482" y="22820880"/>
          <a:ext cx="130968" cy="156481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619125</xdr:colOff>
      <xdr:row>134</xdr:row>
      <xdr:rowOff>17009</xdr:rowOff>
    </xdr:from>
    <xdr:to>
      <xdr:col>16</xdr:col>
      <xdr:colOff>750093</xdr:colOff>
      <xdr:row>134</xdr:row>
      <xdr:rowOff>173490</xdr:rowOff>
    </xdr:to>
    <xdr:sp macro="" textlink="">
      <xdr:nvSpPr>
        <xdr:cNvPr id="333" name="Étoile à 8 branches 332"/>
        <xdr:cNvSpPr/>
      </xdr:nvSpPr>
      <xdr:spPr>
        <a:xfrm>
          <a:off x="12348482" y="26401259"/>
          <a:ext cx="130968" cy="156481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619125</xdr:colOff>
      <xdr:row>170</xdr:row>
      <xdr:rowOff>0</xdr:rowOff>
    </xdr:from>
    <xdr:to>
      <xdr:col>16</xdr:col>
      <xdr:colOff>750093</xdr:colOff>
      <xdr:row>170</xdr:row>
      <xdr:rowOff>156481</xdr:rowOff>
    </xdr:to>
    <xdr:sp macro="" textlink="">
      <xdr:nvSpPr>
        <xdr:cNvPr id="337" name="Étoile à 8 branches 336"/>
        <xdr:cNvSpPr/>
      </xdr:nvSpPr>
      <xdr:spPr>
        <a:xfrm>
          <a:off x="12348482" y="33541607"/>
          <a:ext cx="130968" cy="156481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619125</xdr:colOff>
      <xdr:row>162</xdr:row>
      <xdr:rowOff>0</xdr:rowOff>
    </xdr:from>
    <xdr:to>
      <xdr:col>16</xdr:col>
      <xdr:colOff>750093</xdr:colOff>
      <xdr:row>162</xdr:row>
      <xdr:rowOff>156481</xdr:rowOff>
    </xdr:to>
    <xdr:sp macro="" textlink="">
      <xdr:nvSpPr>
        <xdr:cNvPr id="338" name="Étoile à 8 branches 337"/>
        <xdr:cNvSpPr/>
      </xdr:nvSpPr>
      <xdr:spPr>
        <a:xfrm>
          <a:off x="12348482" y="31949571"/>
          <a:ext cx="130968" cy="156481"/>
        </a:xfrm>
        <a:prstGeom prst="star8">
          <a:avLst/>
        </a:prstGeom>
        <a:solidFill>
          <a:srgbClr val="FFFF00"/>
        </a:solidFill>
        <a:ln w="6350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289"/>
  <sheetViews>
    <sheetView showGridLines="0" tabSelected="1" topLeftCell="A163" zoomScale="60" zoomScaleNormal="60" workbookViewId="0">
      <selection activeCell="N286" sqref="N286"/>
    </sheetView>
  </sheetViews>
  <sheetFormatPr baseColWidth="10" defaultRowHeight="15" x14ac:dyDescent="0.25"/>
  <cols>
    <col min="1" max="1" width="11.42578125" customWidth="1"/>
    <col min="4" max="4" width="11.42578125" customWidth="1"/>
    <col min="11" max="11" width="4.42578125" style="32" customWidth="1"/>
    <col min="19" max="19" width="11.42578125" style="32"/>
  </cols>
  <sheetData>
    <row r="1" spans="1:20" ht="15" customHeight="1" x14ac:dyDescent="0.25">
      <c r="E1" s="291" t="s">
        <v>0</v>
      </c>
      <c r="F1" s="291"/>
      <c r="G1" s="291"/>
      <c r="H1" s="291"/>
      <c r="I1" s="291"/>
      <c r="J1" s="291"/>
      <c r="K1" s="291"/>
      <c r="L1" s="291"/>
      <c r="M1" s="289"/>
    </row>
    <row r="2" spans="1:20" ht="15" customHeight="1" x14ac:dyDescent="0.25">
      <c r="E2" s="291"/>
      <c r="F2" s="291"/>
      <c r="G2" s="291"/>
      <c r="H2" s="291"/>
      <c r="I2" s="291"/>
      <c r="J2" s="291"/>
      <c r="K2" s="291"/>
      <c r="L2" s="291"/>
      <c r="M2" s="289"/>
      <c r="N2" t="s">
        <v>417</v>
      </c>
    </row>
    <row r="3" spans="1:20" ht="15.75" customHeight="1" thickBot="1" x14ac:dyDescent="0.3">
      <c r="E3" s="292"/>
      <c r="F3" s="292"/>
      <c r="G3" s="292"/>
      <c r="H3" s="292"/>
      <c r="I3" s="292"/>
      <c r="J3" s="292"/>
      <c r="K3" s="292"/>
      <c r="L3" s="292"/>
      <c r="M3" s="290"/>
    </row>
    <row r="4" spans="1:20" x14ac:dyDescent="0.25">
      <c r="A4" s="3"/>
      <c r="B4" s="4"/>
      <c r="C4" s="4"/>
      <c r="D4" s="4"/>
      <c r="E4" s="4"/>
      <c r="F4" s="4"/>
      <c r="G4" s="4"/>
      <c r="H4" s="4"/>
      <c r="I4" s="4"/>
      <c r="J4" s="326" t="s">
        <v>4</v>
      </c>
      <c r="K4" s="119"/>
      <c r="L4" s="4"/>
      <c r="M4" s="4"/>
      <c r="N4" s="4"/>
      <c r="O4" s="4"/>
      <c r="P4" s="4"/>
      <c r="Q4" s="4"/>
      <c r="R4" s="35"/>
      <c r="S4" s="5"/>
      <c r="T4" s="33"/>
    </row>
    <row r="5" spans="1:20" ht="15.75" thickBot="1" x14ac:dyDescent="0.3">
      <c r="A5" s="6"/>
      <c r="B5" s="2"/>
      <c r="C5" s="2"/>
      <c r="D5" s="2"/>
      <c r="E5" s="2"/>
      <c r="F5" s="2"/>
      <c r="G5" s="2"/>
      <c r="H5" s="2"/>
      <c r="I5" s="2"/>
      <c r="J5" s="327"/>
      <c r="K5" s="120"/>
      <c r="L5" s="2"/>
      <c r="M5" s="2"/>
      <c r="N5" s="2"/>
      <c r="O5" s="2"/>
      <c r="P5" s="2"/>
      <c r="Q5" s="2"/>
      <c r="S5" s="7"/>
      <c r="T5" s="33"/>
    </row>
    <row r="6" spans="1:20" x14ac:dyDescent="0.25">
      <c r="A6" s="6"/>
      <c r="B6" s="2"/>
      <c r="C6" s="2"/>
      <c r="D6" s="2"/>
      <c r="E6" s="2"/>
      <c r="F6" s="2"/>
      <c r="G6" s="2"/>
      <c r="H6" s="2"/>
      <c r="I6" s="2"/>
      <c r="J6" s="327"/>
      <c r="K6" s="120"/>
      <c r="L6" s="2"/>
      <c r="M6" s="459" t="s">
        <v>38</v>
      </c>
      <c r="N6" s="460"/>
      <c r="O6" s="460"/>
      <c r="P6" s="68">
        <f>((D14-2*C26/100+2*(B36/100))*2)+(2+E18)*(H8-2*C26/100-2*(G22/100)-2*(B36/100))</f>
        <v>46.34</v>
      </c>
      <c r="Q6" s="69" t="s">
        <v>48</v>
      </c>
      <c r="S6" s="7"/>
      <c r="T6" s="33"/>
    </row>
    <row r="7" spans="1:20" x14ac:dyDescent="0.25">
      <c r="A7" s="6"/>
      <c r="B7" s="2"/>
      <c r="C7" s="2"/>
      <c r="D7" s="2"/>
      <c r="E7" s="2"/>
      <c r="F7" s="2"/>
      <c r="G7" s="2"/>
      <c r="H7" s="2"/>
      <c r="I7" s="2"/>
      <c r="J7" s="327"/>
      <c r="K7" s="120"/>
      <c r="L7" s="2"/>
      <c r="M7" s="461" t="s">
        <v>39</v>
      </c>
      <c r="N7" s="462"/>
      <c r="O7" s="462"/>
      <c r="P7" s="70">
        <f>P6*B37/100</f>
        <v>18.536000000000001</v>
      </c>
      <c r="Q7" s="71" t="s">
        <v>49</v>
      </c>
      <c r="S7" s="7"/>
      <c r="T7" s="33"/>
    </row>
    <row r="8" spans="1:20" ht="15.75" thickBot="1" x14ac:dyDescent="0.3">
      <c r="A8" s="6"/>
      <c r="B8" s="2"/>
      <c r="C8" s="2"/>
      <c r="D8" s="2"/>
      <c r="E8" s="2"/>
      <c r="F8" s="2"/>
      <c r="G8" s="457" t="s">
        <v>1</v>
      </c>
      <c r="H8" s="441">
        <v>8</v>
      </c>
      <c r="I8" s="2"/>
      <c r="J8" s="327"/>
      <c r="K8" s="120"/>
      <c r="L8" s="2"/>
      <c r="M8" s="463" t="s">
        <v>40</v>
      </c>
      <c r="N8" s="464"/>
      <c r="O8" s="465"/>
      <c r="P8" s="286">
        <f>P7*G33/100</f>
        <v>0.92680000000000007</v>
      </c>
      <c r="Q8" s="287" t="s">
        <v>50</v>
      </c>
      <c r="S8" s="7"/>
      <c r="T8" s="33"/>
    </row>
    <row r="9" spans="1:20" x14ac:dyDescent="0.25">
      <c r="A9" s="6"/>
      <c r="B9" s="2"/>
      <c r="C9" s="2"/>
      <c r="D9" s="2"/>
      <c r="E9" s="2"/>
      <c r="F9" s="2"/>
      <c r="G9" s="457"/>
      <c r="H9" s="442"/>
      <c r="I9" s="2"/>
      <c r="J9" s="327"/>
      <c r="K9" s="120"/>
      <c r="L9" s="2"/>
      <c r="M9" s="348" t="s">
        <v>41</v>
      </c>
      <c r="N9" s="349"/>
      <c r="O9" s="350"/>
      <c r="P9" s="64">
        <f>((D14-2*C26/100+2*(G36/100))*2)+(2+E18)*(H8-2*C26/100-2*(G22/100)-2*(G36/100))</f>
        <v>46.34</v>
      </c>
      <c r="Q9" s="65" t="s">
        <v>48</v>
      </c>
      <c r="S9" s="7"/>
      <c r="T9" s="33"/>
    </row>
    <row r="10" spans="1:20" x14ac:dyDescent="0.25">
      <c r="A10" s="6"/>
      <c r="B10" s="2"/>
      <c r="C10" s="2"/>
      <c r="D10" s="2"/>
      <c r="E10" s="2"/>
      <c r="F10" s="2"/>
      <c r="G10" s="2"/>
      <c r="H10" s="2"/>
      <c r="I10" s="2"/>
      <c r="J10" s="327"/>
      <c r="K10" s="120"/>
      <c r="L10" s="2"/>
      <c r="M10" s="398" t="s">
        <v>42</v>
      </c>
      <c r="N10" s="399"/>
      <c r="O10" s="400"/>
      <c r="P10" s="66">
        <f>P9*G37/100</f>
        <v>18.536000000000001</v>
      </c>
      <c r="Q10" s="67" t="s">
        <v>49</v>
      </c>
      <c r="S10" s="7"/>
      <c r="T10" s="33"/>
    </row>
    <row r="11" spans="1:20" ht="15.75" thickBot="1" x14ac:dyDescent="0.3">
      <c r="A11" s="6"/>
      <c r="B11" s="2"/>
      <c r="C11" s="2"/>
      <c r="D11" s="2"/>
      <c r="E11" s="2"/>
      <c r="F11" s="2"/>
      <c r="G11" s="2"/>
      <c r="H11" s="2"/>
      <c r="I11" s="2"/>
      <c r="J11" s="327"/>
      <c r="K11" s="120"/>
      <c r="L11" s="2"/>
      <c r="M11" s="366" t="s">
        <v>43</v>
      </c>
      <c r="N11" s="367"/>
      <c r="O11" s="368"/>
      <c r="P11" s="161">
        <f>P10*G31/100</f>
        <v>5.5608000000000004</v>
      </c>
      <c r="Q11" s="162" t="s">
        <v>50</v>
      </c>
      <c r="S11" s="7"/>
      <c r="T11" s="33"/>
    </row>
    <row r="12" spans="1:20" x14ac:dyDescent="0.25">
      <c r="A12" s="6"/>
      <c r="B12" s="2"/>
      <c r="C12" s="2"/>
      <c r="D12" s="2"/>
      <c r="E12" s="2"/>
      <c r="F12" s="2"/>
      <c r="G12" s="2"/>
      <c r="H12" s="2"/>
      <c r="I12" s="2"/>
      <c r="J12" s="327"/>
      <c r="K12" s="120"/>
      <c r="L12" s="2"/>
      <c r="M12" s="466" t="s">
        <v>44</v>
      </c>
      <c r="N12" s="467"/>
      <c r="O12" s="468"/>
      <c r="P12" s="73">
        <f>(2*D14-2*C26/100)+((2+E18)*(H8-2*C26/100-(2*G22)/100))</f>
        <v>46.38</v>
      </c>
      <c r="Q12" s="74" t="s">
        <v>48</v>
      </c>
      <c r="S12" s="7"/>
      <c r="T12" s="33"/>
    </row>
    <row r="13" spans="1:20" x14ac:dyDescent="0.25">
      <c r="A13" s="6"/>
      <c r="B13" s="2"/>
      <c r="C13" s="2"/>
      <c r="D13" s="2"/>
      <c r="E13" s="2"/>
      <c r="F13" s="2"/>
      <c r="G13" s="2"/>
      <c r="H13" s="2"/>
      <c r="I13" s="2"/>
      <c r="J13" s="327"/>
      <c r="K13" s="120"/>
      <c r="L13" s="2"/>
      <c r="M13" s="354" t="s">
        <v>45</v>
      </c>
      <c r="N13" s="355"/>
      <c r="O13" s="356"/>
      <c r="P13" s="75">
        <f>P12*G28/100</f>
        <v>20.4072</v>
      </c>
      <c r="Q13" s="76" t="s">
        <v>49</v>
      </c>
      <c r="S13" s="7"/>
      <c r="T13" s="33"/>
    </row>
    <row r="14" spans="1:20" ht="15.75" thickBot="1" x14ac:dyDescent="0.3">
      <c r="A14" s="6"/>
      <c r="B14" s="2"/>
      <c r="C14" s="457" t="s">
        <v>51</v>
      </c>
      <c r="D14" s="441">
        <v>15.65</v>
      </c>
      <c r="E14" s="2"/>
      <c r="F14" s="2"/>
      <c r="G14" s="2"/>
      <c r="H14" s="2"/>
      <c r="I14" s="2"/>
      <c r="J14" s="327"/>
      <c r="K14" s="120"/>
      <c r="L14" s="2"/>
      <c r="M14" s="369" t="s">
        <v>46</v>
      </c>
      <c r="N14" s="370"/>
      <c r="O14" s="371"/>
      <c r="P14" s="77">
        <f>P13*G22/100</f>
        <v>4.0814399999999997</v>
      </c>
      <c r="Q14" s="78" t="s">
        <v>50</v>
      </c>
      <c r="S14" s="7"/>
      <c r="T14" s="33"/>
    </row>
    <row r="15" spans="1:20" x14ac:dyDescent="0.25">
      <c r="A15" s="6"/>
      <c r="B15" s="2"/>
      <c r="C15" s="457"/>
      <c r="D15" s="442"/>
      <c r="E15" s="2"/>
      <c r="F15" s="2"/>
      <c r="G15" s="2"/>
      <c r="H15" s="2"/>
      <c r="I15" s="2"/>
      <c r="J15" s="327"/>
      <c r="K15" s="120"/>
      <c r="L15" s="2"/>
      <c r="M15" s="2"/>
      <c r="N15" s="2"/>
      <c r="O15" s="2"/>
      <c r="P15" s="30"/>
      <c r="Q15" s="15"/>
      <c r="S15" s="7"/>
      <c r="T15" s="33"/>
    </row>
    <row r="16" spans="1:20" ht="15.75" thickBot="1" x14ac:dyDescent="0.3">
      <c r="A16" s="6"/>
      <c r="B16" s="2"/>
      <c r="C16" s="2"/>
      <c r="D16" s="2"/>
      <c r="E16" s="2"/>
      <c r="F16" s="2"/>
      <c r="G16" s="2"/>
      <c r="H16" s="2"/>
      <c r="I16" s="2"/>
      <c r="J16" s="327"/>
      <c r="K16" s="120"/>
      <c r="L16" s="2"/>
      <c r="M16" s="2"/>
      <c r="N16" s="2"/>
      <c r="O16" s="2"/>
      <c r="P16" s="30"/>
      <c r="Q16" s="15"/>
      <c r="S16" s="7"/>
      <c r="T16" s="33"/>
    </row>
    <row r="17" spans="1:20" ht="15.75" thickBot="1" x14ac:dyDescent="0.3">
      <c r="A17" s="6"/>
      <c r="B17" s="2" t="s">
        <v>2</v>
      </c>
      <c r="C17" s="2"/>
      <c r="D17" s="2"/>
      <c r="E17" s="142">
        <v>6</v>
      </c>
      <c r="F17" s="2"/>
      <c r="G17" s="2"/>
      <c r="H17" s="2"/>
      <c r="I17" s="2"/>
      <c r="J17" s="327"/>
      <c r="K17" s="120"/>
      <c r="L17" s="2"/>
      <c r="M17" s="316" t="s">
        <v>47</v>
      </c>
      <c r="N17" s="317"/>
      <c r="O17" s="318"/>
      <c r="P17" s="24">
        <f>(D14-2*C26/100)*(H8-2*C26/100)</f>
        <v>124.25560000000002</v>
      </c>
      <c r="Q17" s="19" t="s">
        <v>49</v>
      </c>
      <c r="S17" s="7"/>
      <c r="T17" s="33"/>
    </row>
    <row r="18" spans="1:20" x14ac:dyDescent="0.25">
      <c r="A18" s="6"/>
      <c r="B18" s="2" t="s">
        <v>3</v>
      </c>
      <c r="C18" s="2"/>
      <c r="D18" s="2"/>
      <c r="E18" s="143">
        <v>0</v>
      </c>
      <c r="F18" s="2"/>
      <c r="G18" s="2"/>
      <c r="H18" s="2"/>
      <c r="I18" s="2"/>
      <c r="J18" s="327"/>
      <c r="K18" s="120"/>
      <c r="L18" s="2"/>
      <c r="M18" s="2"/>
      <c r="N18" s="2"/>
      <c r="O18" s="2"/>
      <c r="P18" s="2"/>
      <c r="Q18" s="2"/>
      <c r="S18" s="7"/>
      <c r="T18" s="33"/>
    </row>
    <row r="19" spans="1:20" ht="15.75" thickBot="1" x14ac:dyDescent="0.3">
      <c r="A19" s="8"/>
      <c r="B19" s="9"/>
      <c r="C19" s="9"/>
      <c r="D19" s="9"/>
      <c r="E19" s="9"/>
      <c r="F19" s="9"/>
      <c r="G19" s="9"/>
      <c r="H19" s="9"/>
      <c r="I19" s="9"/>
      <c r="J19" s="328"/>
      <c r="K19" s="121"/>
      <c r="L19" s="9"/>
      <c r="M19" s="9"/>
      <c r="N19" s="9"/>
      <c r="O19" s="9"/>
      <c r="P19" s="9"/>
      <c r="Q19" s="9"/>
      <c r="R19" s="40"/>
      <c r="S19" s="10"/>
      <c r="T19" s="33"/>
    </row>
    <row r="20" spans="1:20" ht="15.75" thickBot="1" x14ac:dyDescent="0.3"/>
    <row r="21" spans="1:20" x14ac:dyDescent="0.25">
      <c r="A21" s="3"/>
      <c r="B21" s="4"/>
      <c r="C21" s="4"/>
      <c r="D21" s="4"/>
      <c r="E21" s="4"/>
      <c r="F21" s="4"/>
      <c r="G21" s="4"/>
      <c r="H21" s="4"/>
      <c r="I21" s="4"/>
      <c r="J21" s="445" t="s">
        <v>13</v>
      </c>
      <c r="K21" s="122"/>
      <c r="L21" s="4"/>
      <c r="M21" s="4"/>
      <c r="N21" s="4"/>
      <c r="O21" s="4"/>
      <c r="P21" s="4"/>
      <c r="Q21" s="4"/>
      <c r="R21" s="35"/>
      <c r="S21" s="5"/>
    </row>
    <row r="22" spans="1:20" ht="15" customHeight="1" x14ac:dyDescent="0.25">
      <c r="A22" s="6"/>
      <c r="B22" s="2"/>
      <c r="C22" s="2"/>
      <c r="D22" s="2"/>
      <c r="E22" s="2"/>
      <c r="F22" s="2"/>
      <c r="G22" s="144">
        <v>20</v>
      </c>
      <c r="H22" s="2" t="s">
        <v>5</v>
      </c>
      <c r="I22" s="16" t="s">
        <v>12</v>
      </c>
      <c r="J22" s="446"/>
      <c r="K22" s="123"/>
      <c r="L22" s="2"/>
      <c r="S22" s="7"/>
    </row>
    <row r="23" spans="1:20" x14ac:dyDescent="0.25">
      <c r="A23" s="6"/>
      <c r="B23" s="2"/>
      <c r="C23" s="2"/>
      <c r="D23" s="2"/>
      <c r="E23" s="2"/>
      <c r="F23" s="2"/>
      <c r="G23" s="2"/>
      <c r="H23" s="2"/>
      <c r="I23" s="16"/>
      <c r="J23" s="446"/>
      <c r="K23" s="123"/>
      <c r="L23" s="2"/>
      <c r="S23" s="7"/>
    </row>
    <row r="24" spans="1:20" ht="15.75" thickBot="1" x14ac:dyDescent="0.3">
      <c r="A24" s="6"/>
      <c r="B24" s="2"/>
      <c r="C24" s="2"/>
      <c r="D24" s="2"/>
      <c r="E24" s="2"/>
      <c r="F24" s="2"/>
      <c r="G24" s="2"/>
      <c r="H24" s="2"/>
      <c r="I24" s="16"/>
      <c r="J24" s="446"/>
      <c r="K24" s="123"/>
      <c r="L24" s="2"/>
      <c r="S24" s="7"/>
    </row>
    <row r="25" spans="1:20" x14ac:dyDescent="0.25">
      <c r="A25" s="6"/>
      <c r="B25" s="2"/>
      <c r="C25" s="2"/>
      <c r="D25" s="2"/>
      <c r="E25" s="2"/>
      <c r="F25" s="2"/>
      <c r="G25" s="144">
        <v>20</v>
      </c>
      <c r="H25" s="2" t="s">
        <v>6</v>
      </c>
      <c r="I25" s="16" t="s">
        <v>7</v>
      </c>
      <c r="J25" s="446"/>
      <c r="K25" s="123"/>
      <c r="L25" s="2"/>
      <c r="M25" s="484" t="s">
        <v>53</v>
      </c>
      <c r="N25" s="485"/>
      <c r="O25" s="485"/>
      <c r="P25" s="21">
        <f>P12</f>
        <v>46.38</v>
      </c>
      <c r="Q25" s="18" t="s">
        <v>48</v>
      </c>
      <c r="S25" s="7"/>
    </row>
    <row r="26" spans="1:20" x14ac:dyDescent="0.25">
      <c r="A26" s="6" t="s">
        <v>11</v>
      </c>
      <c r="B26" s="2"/>
      <c r="C26" s="150">
        <v>2</v>
      </c>
      <c r="D26" s="2"/>
      <c r="E26" s="2"/>
      <c r="F26" s="2"/>
      <c r="G26" s="2"/>
      <c r="H26" s="2"/>
      <c r="I26" s="16"/>
      <c r="J26" s="446"/>
      <c r="K26" s="123"/>
      <c r="L26" s="2"/>
      <c r="M26" s="302" t="s">
        <v>54</v>
      </c>
      <c r="N26" s="303"/>
      <c r="O26" s="303"/>
      <c r="P26" s="22">
        <f>P25*G22/100</f>
        <v>9.2759999999999998</v>
      </c>
      <c r="Q26" s="20" t="s">
        <v>49</v>
      </c>
      <c r="S26" s="7"/>
    </row>
    <row r="27" spans="1:20" ht="15.75" thickBot="1" x14ac:dyDescent="0.3">
      <c r="A27" s="6"/>
      <c r="B27" s="2"/>
      <c r="C27" s="2"/>
      <c r="D27" s="2"/>
      <c r="E27" s="2"/>
      <c r="F27" s="2"/>
      <c r="G27" s="2"/>
      <c r="H27" s="2"/>
      <c r="I27" s="16"/>
      <c r="J27" s="446"/>
      <c r="K27" s="123"/>
      <c r="L27" s="2"/>
      <c r="M27" s="469" t="s">
        <v>55</v>
      </c>
      <c r="N27" s="470"/>
      <c r="O27" s="470"/>
      <c r="P27" s="11">
        <f>P26*G25/100</f>
        <v>1.8551999999999997</v>
      </c>
      <c r="Q27" s="17" t="s">
        <v>50</v>
      </c>
      <c r="S27" s="7"/>
    </row>
    <row r="28" spans="1:20" x14ac:dyDescent="0.25">
      <c r="A28" s="6"/>
      <c r="B28" s="2"/>
      <c r="C28" s="2"/>
      <c r="D28" s="2"/>
      <c r="E28" s="2"/>
      <c r="F28" s="2"/>
      <c r="G28" s="144">
        <v>44</v>
      </c>
      <c r="H28" s="2" t="s">
        <v>6</v>
      </c>
      <c r="I28" s="16" t="s">
        <v>8</v>
      </c>
      <c r="J28" s="446"/>
      <c r="K28" s="123"/>
      <c r="L28" s="2"/>
      <c r="M28" s="313" t="s">
        <v>56</v>
      </c>
      <c r="N28" s="314"/>
      <c r="O28" s="315"/>
      <c r="P28" s="27">
        <f>G28/100*E17</f>
        <v>2.64</v>
      </c>
      <c r="Q28" s="28" t="s">
        <v>48</v>
      </c>
      <c r="S28" s="7"/>
    </row>
    <row r="29" spans="1:20" x14ac:dyDescent="0.25">
      <c r="A29" s="6"/>
      <c r="B29" s="2"/>
      <c r="C29" s="2"/>
      <c r="D29" s="2"/>
      <c r="E29" s="2"/>
      <c r="F29" s="2"/>
      <c r="G29" s="2"/>
      <c r="H29" s="2"/>
      <c r="I29" s="16"/>
      <c r="J29" s="446"/>
      <c r="K29" s="123"/>
      <c r="L29" s="2"/>
      <c r="M29" s="304" t="s">
        <v>57</v>
      </c>
      <c r="N29" s="305"/>
      <c r="O29" s="306"/>
      <c r="P29" s="22">
        <f>P28*G22/100</f>
        <v>0.52800000000000002</v>
      </c>
      <c r="Q29" s="20" t="s">
        <v>49</v>
      </c>
      <c r="S29" s="7"/>
    </row>
    <row r="30" spans="1:20" ht="15.75" thickBot="1" x14ac:dyDescent="0.3">
      <c r="A30" s="6"/>
      <c r="B30" s="2"/>
      <c r="C30" s="2"/>
      <c r="D30" s="2"/>
      <c r="E30" s="2"/>
      <c r="F30" s="2"/>
      <c r="G30" s="2"/>
      <c r="H30" s="2"/>
      <c r="I30" s="16"/>
      <c r="J30" s="446"/>
      <c r="K30" s="123"/>
      <c r="L30" s="2"/>
      <c r="M30" s="310" t="s">
        <v>58</v>
      </c>
      <c r="N30" s="311"/>
      <c r="O30" s="312"/>
      <c r="P30" s="11">
        <f>P29*G25/100</f>
        <v>0.1056</v>
      </c>
      <c r="Q30" s="17" t="s">
        <v>50</v>
      </c>
      <c r="S30" s="7"/>
    </row>
    <row r="31" spans="1:20" x14ac:dyDescent="0.25">
      <c r="A31" s="6"/>
      <c r="B31" s="2"/>
      <c r="C31" s="2"/>
      <c r="D31" s="2"/>
      <c r="E31" s="2"/>
      <c r="F31" s="2"/>
      <c r="G31" s="144">
        <v>30</v>
      </c>
      <c r="H31" s="2" t="s">
        <v>6</v>
      </c>
      <c r="I31" s="16" t="s">
        <v>9</v>
      </c>
      <c r="J31" s="446"/>
      <c r="K31" s="123"/>
      <c r="L31" s="2"/>
      <c r="M31" s="313" t="s">
        <v>61</v>
      </c>
      <c r="N31" s="314"/>
      <c r="O31" s="315"/>
      <c r="P31" s="27">
        <f>P12-Q99</f>
        <v>42.84</v>
      </c>
      <c r="Q31" s="28" t="s">
        <v>48</v>
      </c>
      <c r="S31" s="7"/>
    </row>
    <row r="32" spans="1:20" ht="15.75" thickBot="1" x14ac:dyDescent="0.3">
      <c r="A32" s="429" t="s">
        <v>75</v>
      </c>
      <c r="B32" s="430"/>
      <c r="C32" s="144">
        <v>2</v>
      </c>
      <c r="D32" s="2"/>
      <c r="E32" s="2"/>
      <c r="F32" s="2"/>
      <c r="G32" s="2"/>
      <c r="H32" s="2"/>
      <c r="I32" s="16"/>
      <c r="J32" s="446"/>
      <c r="K32" s="123"/>
      <c r="L32" s="2"/>
      <c r="M32" s="310" t="s">
        <v>59</v>
      </c>
      <c r="N32" s="311"/>
      <c r="O32" s="312"/>
      <c r="P32" s="29">
        <f>P31*G22/100</f>
        <v>8.5680000000000014</v>
      </c>
      <c r="Q32" s="26" t="s">
        <v>49</v>
      </c>
      <c r="S32" s="7"/>
    </row>
    <row r="33" spans="1:19" ht="15.75" thickBot="1" x14ac:dyDescent="0.3">
      <c r="A33" s="6"/>
      <c r="B33" s="2"/>
      <c r="C33" s="2"/>
      <c r="D33" s="2"/>
      <c r="E33" s="2"/>
      <c r="F33" s="2"/>
      <c r="G33" s="441">
        <v>5</v>
      </c>
      <c r="H33" s="443" t="s">
        <v>6</v>
      </c>
      <c r="I33" s="444" t="s">
        <v>10</v>
      </c>
      <c r="J33" s="446"/>
      <c r="K33" s="123"/>
      <c r="L33" s="2"/>
      <c r="M33" s="316" t="s">
        <v>60</v>
      </c>
      <c r="N33" s="317"/>
      <c r="O33" s="318"/>
      <c r="P33" s="24">
        <f>P31*(G48+G45+G42-G33/100-G31/100)</f>
        <v>19.706400000000002</v>
      </c>
      <c r="Q33" s="19" t="s">
        <v>49</v>
      </c>
      <c r="S33" s="7"/>
    </row>
    <row r="34" spans="1:19" x14ac:dyDescent="0.25">
      <c r="A34" s="6"/>
      <c r="B34" s="2"/>
      <c r="C34" s="2"/>
      <c r="D34" s="2"/>
      <c r="E34" s="2"/>
      <c r="F34" s="2"/>
      <c r="G34" s="442"/>
      <c r="H34" s="443"/>
      <c r="I34" s="444"/>
      <c r="J34" s="446"/>
      <c r="K34" s="123"/>
      <c r="L34" s="2"/>
      <c r="M34" s="2"/>
      <c r="N34" s="2"/>
      <c r="O34" s="2"/>
      <c r="P34" s="2"/>
      <c r="Q34" s="2"/>
      <c r="S34" s="7"/>
    </row>
    <row r="35" spans="1:19" x14ac:dyDescent="0.25">
      <c r="A35" s="6" t="s">
        <v>10</v>
      </c>
      <c r="B35" s="2"/>
      <c r="C35" s="2"/>
      <c r="D35" s="2"/>
      <c r="E35" s="2"/>
      <c r="F35" s="2"/>
      <c r="G35" s="2"/>
      <c r="H35" s="2"/>
      <c r="I35" s="2"/>
      <c r="J35" s="446"/>
      <c r="K35" s="123"/>
      <c r="L35" s="2"/>
      <c r="M35" s="336"/>
      <c r="N35" s="336"/>
      <c r="O35" s="336"/>
      <c r="P35" s="43"/>
      <c r="Q35" s="44"/>
      <c r="S35" s="7"/>
    </row>
    <row r="36" spans="1:19" x14ac:dyDescent="0.25">
      <c r="A36" s="6" t="s">
        <v>5</v>
      </c>
      <c r="B36" s="149">
        <f>(B37-G22)/2</f>
        <v>10</v>
      </c>
      <c r="C36" s="2"/>
      <c r="D36" s="2"/>
      <c r="E36" s="2"/>
      <c r="F36" s="2"/>
      <c r="G36" s="149">
        <f>(G37-G22)/2</f>
        <v>10</v>
      </c>
      <c r="H36" s="2" t="s">
        <v>5</v>
      </c>
      <c r="I36" s="2" t="s">
        <v>52</v>
      </c>
      <c r="J36" s="446"/>
      <c r="K36" s="123"/>
      <c r="L36" s="2"/>
      <c r="M36" s="2"/>
      <c r="N36" s="2"/>
      <c r="O36" s="31"/>
      <c r="P36" s="2"/>
      <c r="Q36" s="2"/>
      <c r="S36" s="7"/>
    </row>
    <row r="37" spans="1:19" x14ac:dyDescent="0.25">
      <c r="A37" s="6" t="s">
        <v>5</v>
      </c>
      <c r="B37" s="144">
        <v>40</v>
      </c>
      <c r="C37" s="2"/>
      <c r="D37" s="2"/>
      <c r="E37" s="2"/>
      <c r="F37" s="2"/>
      <c r="G37" s="144">
        <v>40</v>
      </c>
      <c r="H37" s="2" t="s">
        <v>5</v>
      </c>
      <c r="I37" s="2" t="s">
        <v>52</v>
      </c>
      <c r="J37" s="446"/>
      <c r="K37" s="123"/>
      <c r="L37" s="2"/>
      <c r="M37" s="2"/>
      <c r="N37" s="2"/>
      <c r="O37" s="2"/>
      <c r="P37" s="2"/>
      <c r="Q37" s="2"/>
      <c r="S37" s="7"/>
    </row>
    <row r="38" spans="1:19" ht="15.75" thickBot="1" x14ac:dyDescent="0.3">
      <c r="A38" s="8"/>
      <c r="B38" s="9"/>
      <c r="C38" s="9"/>
      <c r="D38" s="9"/>
      <c r="E38" s="9"/>
      <c r="F38" s="9"/>
      <c r="G38" s="9"/>
      <c r="H38" s="9"/>
      <c r="I38" s="9"/>
      <c r="J38" s="447"/>
      <c r="K38" s="124"/>
      <c r="L38" s="9"/>
      <c r="M38" s="9"/>
      <c r="N38" s="9"/>
      <c r="O38" s="9"/>
      <c r="P38" s="9"/>
      <c r="Q38" s="9"/>
      <c r="R38" s="40"/>
      <c r="S38" s="10"/>
    </row>
    <row r="39" spans="1:19" ht="15.75" thickBot="1" x14ac:dyDescent="0.3"/>
    <row r="40" spans="1:19" x14ac:dyDescent="0.25">
      <c r="A40" s="3"/>
      <c r="B40" s="4"/>
      <c r="C40" s="4"/>
      <c r="D40" s="4"/>
      <c r="E40" s="4"/>
      <c r="F40" s="4"/>
      <c r="G40" s="4"/>
      <c r="H40" s="4"/>
      <c r="I40" s="4"/>
      <c r="J40" s="445" t="s">
        <v>20</v>
      </c>
      <c r="K40" s="122"/>
      <c r="L40" s="4"/>
      <c r="M40" s="4"/>
      <c r="N40" s="4"/>
      <c r="O40" s="4"/>
      <c r="P40" s="4"/>
      <c r="Q40" s="4"/>
      <c r="R40" s="35"/>
      <c r="S40" s="5"/>
    </row>
    <row r="41" spans="1:19" ht="15.75" thickBot="1" x14ac:dyDescent="0.3">
      <c r="A41" s="6"/>
      <c r="B41" s="2"/>
      <c r="C41" s="2"/>
      <c r="D41" s="2"/>
      <c r="E41" s="2"/>
      <c r="F41" s="2"/>
      <c r="G41" s="2"/>
      <c r="H41" s="2"/>
      <c r="I41" s="2"/>
      <c r="J41" s="446"/>
      <c r="K41" s="123"/>
      <c r="L41" s="2"/>
      <c r="M41" s="2"/>
      <c r="N41" s="2"/>
      <c r="O41" s="2"/>
      <c r="P41" s="2"/>
      <c r="Q41" s="2"/>
      <c r="S41" s="7"/>
    </row>
    <row r="42" spans="1:19" x14ac:dyDescent="0.25">
      <c r="A42" s="6"/>
      <c r="B42" s="2"/>
      <c r="C42" s="2"/>
      <c r="D42" s="2"/>
      <c r="E42" s="2"/>
      <c r="F42" s="2"/>
      <c r="G42" s="144">
        <v>0.27</v>
      </c>
      <c r="H42" s="2" t="s">
        <v>16</v>
      </c>
      <c r="I42" s="2" t="s">
        <v>17</v>
      </c>
      <c r="J42" s="446"/>
      <c r="K42" s="123"/>
      <c r="L42" s="2"/>
      <c r="M42" s="413" t="s">
        <v>62</v>
      </c>
      <c r="N42" s="414"/>
      <c r="O42" s="414"/>
      <c r="P42" s="48">
        <f>(2*(D14-2*C26/100+2*C54))+(2*(H8-2*C26/100+2*C54))</f>
        <v>55.14</v>
      </c>
      <c r="Q42" s="49" t="s">
        <v>48</v>
      </c>
      <c r="S42" s="7"/>
    </row>
    <row r="43" spans="1:19" x14ac:dyDescent="0.25">
      <c r="A43" s="6"/>
      <c r="B43" s="2"/>
      <c r="C43" s="2"/>
      <c r="D43" s="2"/>
      <c r="E43" s="2"/>
      <c r="F43" s="2"/>
      <c r="G43" s="30"/>
      <c r="H43" s="2"/>
      <c r="I43" s="2"/>
      <c r="J43" s="446"/>
      <c r="K43" s="123"/>
      <c r="L43" s="2"/>
      <c r="M43" s="439" t="s">
        <v>63</v>
      </c>
      <c r="N43" s="440"/>
      <c r="O43" s="440"/>
      <c r="P43" s="58">
        <f>(D14-2*C26/100+2*C54)*(H8-2*C26/100+2*C54)</f>
        <v>175.3956</v>
      </c>
      <c r="Q43" s="59" t="s">
        <v>49</v>
      </c>
      <c r="S43" s="7"/>
    </row>
    <row r="44" spans="1:19" ht="15.75" thickBot="1" x14ac:dyDescent="0.3">
      <c r="A44" s="6"/>
      <c r="B44" s="2"/>
      <c r="C44" s="2"/>
      <c r="D44" s="2"/>
      <c r="E44" s="2"/>
      <c r="F44" s="2"/>
      <c r="G44" s="30"/>
      <c r="H44" s="2"/>
      <c r="I44" s="2"/>
      <c r="J44" s="446"/>
      <c r="K44" s="123"/>
      <c r="L44" s="2"/>
      <c r="M44" s="431" t="s">
        <v>64</v>
      </c>
      <c r="N44" s="432"/>
      <c r="O44" s="432"/>
      <c r="P44" s="79">
        <f>P43*G42</f>
        <v>47.356812000000005</v>
      </c>
      <c r="Q44" s="80" t="s">
        <v>50</v>
      </c>
      <c r="S44" s="7"/>
    </row>
    <row r="45" spans="1:19" x14ac:dyDescent="0.25">
      <c r="A45" s="6"/>
      <c r="B45" s="2"/>
      <c r="C45" s="2"/>
      <c r="D45" s="2"/>
      <c r="E45" s="2"/>
      <c r="F45" s="2"/>
      <c r="G45" s="144">
        <v>0</v>
      </c>
      <c r="H45" s="2" t="s">
        <v>16</v>
      </c>
      <c r="I45" s="2" t="s">
        <v>19</v>
      </c>
      <c r="J45" s="446"/>
      <c r="K45" s="123"/>
      <c r="L45" s="2"/>
      <c r="M45" s="433" t="s">
        <v>65</v>
      </c>
      <c r="N45" s="434"/>
      <c r="O45" s="434"/>
      <c r="P45" s="81">
        <f>(2*(D14-2*C26/100+2*C52))+(2*(H8-2*C26/100+2*C52))</f>
        <v>47.14</v>
      </c>
      <c r="Q45" s="82" t="s">
        <v>48</v>
      </c>
      <c r="S45" s="7"/>
    </row>
    <row r="46" spans="1:19" x14ac:dyDescent="0.25">
      <c r="A46" s="6"/>
      <c r="B46" s="2"/>
      <c r="C46" s="2"/>
      <c r="D46" s="2"/>
      <c r="E46" s="2"/>
      <c r="F46" s="2"/>
      <c r="G46" s="30"/>
      <c r="H46" s="2"/>
      <c r="I46" s="2"/>
      <c r="J46" s="446"/>
      <c r="K46" s="123"/>
      <c r="L46" s="2"/>
      <c r="M46" s="435" t="s">
        <v>66</v>
      </c>
      <c r="N46" s="436"/>
      <c r="O46" s="436"/>
      <c r="P46" s="83">
        <f>(D14-2*C26/100+2*C52)*(H8-2*C26/100+2*C52)</f>
        <v>124.25560000000002</v>
      </c>
      <c r="Q46" s="84" t="s">
        <v>49</v>
      </c>
      <c r="S46" s="7"/>
    </row>
    <row r="47" spans="1:19" ht="15.75" thickBot="1" x14ac:dyDescent="0.3">
      <c r="A47" s="6"/>
      <c r="B47" s="2"/>
      <c r="C47" s="2"/>
      <c r="D47" s="2"/>
      <c r="E47" s="2"/>
      <c r="F47" s="2"/>
      <c r="G47" s="30"/>
      <c r="H47" s="2"/>
      <c r="I47" s="2"/>
      <c r="J47" s="446"/>
      <c r="K47" s="123"/>
      <c r="L47" s="2"/>
      <c r="M47" s="437" t="s">
        <v>67</v>
      </c>
      <c r="N47" s="438"/>
      <c r="O47" s="438"/>
      <c r="P47" s="85">
        <f>P46*G45</f>
        <v>0</v>
      </c>
      <c r="Q47" s="86" t="s">
        <v>50</v>
      </c>
      <c r="S47" s="7"/>
    </row>
    <row r="48" spans="1:19" x14ac:dyDescent="0.25">
      <c r="A48" s="6"/>
      <c r="B48" s="2"/>
      <c r="C48" s="2"/>
      <c r="D48" s="2"/>
      <c r="E48" s="2"/>
      <c r="F48" s="2"/>
      <c r="G48" s="144">
        <v>0.54</v>
      </c>
      <c r="H48" s="2" t="s">
        <v>16</v>
      </c>
      <c r="I48" s="2" t="s">
        <v>18</v>
      </c>
      <c r="J48" s="446"/>
      <c r="K48" s="123"/>
      <c r="L48" s="2"/>
      <c r="M48" s="448" t="s">
        <v>68</v>
      </c>
      <c r="N48" s="449"/>
      <c r="O48" s="449"/>
      <c r="P48" s="60">
        <f>P6</f>
        <v>46.34</v>
      </c>
      <c r="Q48" s="61" t="s">
        <v>48</v>
      </c>
      <c r="S48" s="7"/>
    </row>
    <row r="49" spans="1:19" x14ac:dyDescent="0.25">
      <c r="A49" s="6"/>
      <c r="B49" s="2"/>
      <c r="C49" s="2"/>
      <c r="D49" s="2"/>
      <c r="E49" s="2"/>
      <c r="F49" s="2"/>
      <c r="G49" s="2"/>
      <c r="H49" s="2"/>
      <c r="I49" s="2"/>
      <c r="J49" s="446"/>
      <c r="K49" s="123"/>
      <c r="L49" s="2"/>
      <c r="M49" s="450" t="s">
        <v>69</v>
      </c>
      <c r="N49" s="451"/>
      <c r="O49" s="451"/>
      <c r="P49" s="87">
        <f>P48*B37/100</f>
        <v>18.536000000000001</v>
      </c>
      <c r="Q49" s="88" t="s">
        <v>49</v>
      </c>
      <c r="S49" s="7"/>
    </row>
    <row r="50" spans="1:19" ht="15.75" thickBot="1" x14ac:dyDescent="0.3">
      <c r="A50" s="6"/>
      <c r="B50" s="2"/>
      <c r="C50" s="2"/>
      <c r="D50" s="2"/>
      <c r="E50" s="2"/>
      <c r="F50" s="2"/>
      <c r="G50" s="2"/>
      <c r="H50" s="2"/>
      <c r="I50" s="2"/>
      <c r="J50" s="446"/>
      <c r="K50" s="123"/>
      <c r="L50" s="2"/>
      <c r="M50" s="452" t="s">
        <v>70</v>
      </c>
      <c r="N50" s="453"/>
      <c r="O50" s="454"/>
      <c r="P50" s="89">
        <f>P49*G48</f>
        <v>10.009440000000001</v>
      </c>
      <c r="Q50" s="90" t="s">
        <v>50</v>
      </c>
      <c r="S50" s="7"/>
    </row>
    <row r="51" spans="1:19" ht="15.75" thickBot="1" x14ac:dyDescent="0.3">
      <c r="A51" s="6"/>
      <c r="B51" s="2"/>
      <c r="C51" s="2"/>
      <c r="D51" s="2"/>
      <c r="E51" s="2"/>
      <c r="F51" s="2"/>
      <c r="G51" s="2"/>
      <c r="H51" s="2"/>
      <c r="I51" s="2"/>
      <c r="J51" s="446"/>
      <c r="K51" s="123"/>
      <c r="L51" s="2"/>
      <c r="M51" s="2"/>
      <c r="N51" s="2"/>
      <c r="O51" s="2"/>
      <c r="P51" s="2"/>
      <c r="Q51" s="2"/>
      <c r="S51" s="7"/>
    </row>
    <row r="52" spans="1:19" x14ac:dyDescent="0.25">
      <c r="A52" s="6"/>
      <c r="B52" s="2"/>
      <c r="C52" s="144">
        <v>0</v>
      </c>
      <c r="D52" s="2" t="s">
        <v>14</v>
      </c>
      <c r="E52" s="2"/>
      <c r="F52" s="2"/>
      <c r="G52" s="2"/>
      <c r="H52" s="2"/>
      <c r="I52" s="2"/>
      <c r="J52" s="446"/>
      <c r="K52" s="123"/>
      <c r="L52" s="2"/>
      <c r="M52" s="300" t="s">
        <v>71</v>
      </c>
      <c r="N52" s="301"/>
      <c r="O52" s="301"/>
      <c r="P52" s="12">
        <f>P50-(P11+P8+(P12*G22/100)*(G48-(G33/100+G31/100)))</f>
        <v>1.7594000000000012</v>
      </c>
      <c r="Q52" s="18" t="s">
        <v>50</v>
      </c>
      <c r="S52" s="7"/>
    </row>
    <row r="53" spans="1:19" x14ac:dyDescent="0.25">
      <c r="A53" s="6"/>
      <c r="B53" s="2"/>
      <c r="C53" s="30"/>
      <c r="D53" s="2"/>
      <c r="E53" s="2"/>
      <c r="F53" s="2"/>
      <c r="G53" s="2"/>
      <c r="H53" s="2"/>
      <c r="I53" s="2"/>
      <c r="J53" s="446"/>
      <c r="K53" s="123"/>
      <c r="L53" s="2"/>
      <c r="M53" s="455" t="s">
        <v>72</v>
      </c>
      <c r="N53" s="456"/>
      <c r="O53" s="456"/>
      <c r="P53" s="25">
        <f>(P50-P52)*I54</f>
        <v>8.2500400000000003</v>
      </c>
      <c r="Q53" s="26" t="s">
        <v>50</v>
      </c>
      <c r="S53" s="7"/>
    </row>
    <row r="54" spans="1:19" ht="15.75" thickBot="1" x14ac:dyDescent="0.3">
      <c r="A54" s="6"/>
      <c r="B54" s="2"/>
      <c r="C54" s="144">
        <v>1</v>
      </c>
      <c r="D54" s="2" t="s">
        <v>15</v>
      </c>
      <c r="E54" s="2"/>
      <c r="F54" s="2"/>
      <c r="G54" s="2" t="s">
        <v>74</v>
      </c>
      <c r="H54" s="2"/>
      <c r="I54" s="145">
        <v>1</v>
      </c>
      <c r="J54" s="446"/>
      <c r="K54" s="123"/>
      <c r="L54" s="2"/>
      <c r="M54" s="310" t="s">
        <v>73</v>
      </c>
      <c r="N54" s="311"/>
      <c r="O54" s="312"/>
      <c r="P54" s="11">
        <f>(P43-P17)*G42</f>
        <v>13.807799999999997</v>
      </c>
      <c r="Q54" s="17" t="s">
        <v>50</v>
      </c>
      <c r="S54" s="7"/>
    </row>
    <row r="55" spans="1:19" ht="15.75" thickBot="1" x14ac:dyDescent="0.3">
      <c r="A55" s="8"/>
      <c r="B55" s="9"/>
      <c r="C55" s="9"/>
      <c r="D55" s="9"/>
      <c r="E55" s="9"/>
      <c r="F55" s="9"/>
      <c r="G55" s="9"/>
      <c r="H55" s="9"/>
      <c r="I55" s="9"/>
      <c r="J55" s="447"/>
      <c r="K55" s="124"/>
      <c r="L55" s="9"/>
      <c r="M55" s="9"/>
      <c r="N55" s="9"/>
      <c r="O55" s="9"/>
      <c r="P55" s="9"/>
      <c r="Q55" s="9"/>
      <c r="R55" s="40"/>
      <c r="S55" s="10"/>
    </row>
    <row r="56" spans="1:19" ht="15.75" thickBot="1" x14ac:dyDescent="0.3"/>
    <row r="57" spans="1:19" s="32" customFormat="1" ht="15.75" customHeight="1" x14ac:dyDescent="0.25">
      <c r="A57" s="34"/>
      <c r="B57" s="35"/>
      <c r="C57" s="35"/>
      <c r="D57" s="35"/>
      <c r="E57" s="35"/>
      <c r="F57" s="35"/>
      <c r="G57" s="35"/>
      <c r="H57" s="35"/>
      <c r="I57" s="35"/>
      <c r="J57" s="296" t="s">
        <v>28</v>
      </c>
      <c r="K57" s="125"/>
      <c r="L57" s="35"/>
      <c r="M57" s="35"/>
      <c r="N57" s="35"/>
      <c r="O57" s="35"/>
      <c r="P57" s="35"/>
      <c r="Q57" s="35"/>
      <c r="R57" s="35"/>
      <c r="S57" s="36"/>
    </row>
    <row r="58" spans="1:19" ht="15" customHeight="1" x14ac:dyDescent="0.25">
      <c r="A58" s="37"/>
      <c r="B58" s="33"/>
      <c r="C58" s="33"/>
      <c r="D58" s="33"/>
      <c r="E58" s="33"/>
      <c r="F58" s="33"/>
      <c r="G58" s="144">
        <v>18</v>
      </c>
      <c r="H58" s="33" t="s">
        <v>6</v>
      </c>
      <c r="I58" s="38" t="s">
        <v>27</v>
      </c>
      <c r="J58" s="297"/>
      <c r="K58" s="37"/>
      <c r="L58" s="33"/>
      <c r="M58" s="33"/>
      <c r="N58" s="33"/>
      <c r="O58" s="33"/>
      <c r="P58" s="33"/>
      <c r="Q58" s="33"/>
      <c r="S58" s="38"/>
    </row>
    <row r="59" spans="1:19" x14ac:dyDescent="0.25">
      <c r="A59" s="37"/>
      <c r="B59" s="33"/>
      <c r="C59" s="33"/>
      <c r="D59" s="33"/>
      <c r="E59" s="33"/>
      <c r="F59" s="33"/>
      <c r="G59" s="144">
        <v>4</v>
      </c>
      <c r="H59" s="33" t="s">
        <v>26</v>
      </c>
      <c r="I59" s="33" t="s">
        <v>27</v>
      </c>
      <c r="J59" s="297"/>
      <c r="K59" s="127"/>
      <c r="L59" s="33"/>
      <c r="M59" s="33"/>
      <c r="N59" s="33"/>
      <c r="O59" s="33"/>
      <c r="P59" s="33"/>
      <c r="Q59" s="33"/>
      <c r="S59" s="38"/>
    </row>
    <row r="60" spans="1:19" x14ac:dyDescent="0.25">
      <c r="A60" s="37"/>
      <c r="B60" s="33"/>
      <c r="C60" s="33"/>
      <c r="D60" s="33"/>
      <c r="E60" s="33"/>
      <c r="F60" s="33"/>
      <c r="G60" s="33"/>
      <c r="H60" s="33"/>
      <c r="I60" s="33"/>
      <c r="J60" s="297"/>
      <c r="K60" s="127"/>
      <c r="L60" s="33"/>
      <c r="M60" s="33"/>
      <c r="N60" s="33"/>
      <c r="O60" s="33"/>
      <c r="P60" s="33"/>
      <c r="Q60" s="33"/>
      <c r="S60" s="38"/>
    </row>
    <row r="61" spans="1:19" x14ac:dyDescent="0.25">
      <c r="A61" s="37"/>
      <c r="B61" s="33"/>
      <c r="C61" s="33"/>
      <c r="D61" s="33"/>
      <c r="E61" s="33"/>
      <c r="F61" s="33"/>
      <c r="G61" s="144">
        <v>12</v>
      </c>
      <c r="H61" s="33" t="s">
        <v>6</v>
      </c>
      <c r="I61" s="33" t="s">
        <v>21</v>
      </c>
      <c r="J61" s="297"/>
      <c r="K61" s="127"/>
      <c r="L61" s="33"/>
      <c r="M61" s="33"/>
      <c r="N61" s="33"/>
      <c r="O61" s="33"/>
      <c r="P61" s="33"/>
      <c r="Q61" s="33"/>
      <c r="S61" s="38"/>
    </row>
    <row r="62" spans="1:19" ht="15.75" thickBot="1" x14ac:dyDescent="0.3">
      <c r="A62" s="37"/>
      <c r="B62" s="33"/>
      <c r="C62" s="33"/>
      <c r="D62" s="33"/>
      <c r="E62" s="33"/>
      <c r="F62" s="33"/>
      <c r="G62" s="1" t="s">
        <v>25</v>
      </c>
      <c r="H62" s="33"/>
      <c r="I62" s="33"/>
      <c r="J62" s="297"/>
      <c r="K62" s="127"/>
      <c r="L62" s="33"/>
      <c r="M62" s="33"/>
      <c r="N62" s="33"/>
      <c r="O62" s="33"/>
      <c r="P62" s="33"/>
      <c r="Q62" s="33"/>
      <c r="S62" s="38"/>
    </row>
    <row r="63" spans="1:19" x14ac:dyDescent="0.25">
      <c r="A63" s="37"/>
      <c r="B63" s="33"/>
      <c r="C63" s="33"/>
      <c r="D63" s="33"/>
      <c r="E63" s="33"/>
      <c r="F63" s="33"/>
      <c r="G63" s="144">
        <v>0</v>
      </c>
      <c r="H63" s="33" t="s">
        <v>6</v>
      </c>
      <c r="I63" s="33" t="s">
        <v>22</v>
      </c>
      <c r="J63" s="297"/>
      <c r="K63" s="127"/>
      <c r="L63" s="33"/>
      <c r="M63" s="413" t="s">
        <v>76</v>
      </c>
      <c r="N63" s="414"/>
      <c r="O63" s="414"/>
      <c r="P63" s="48">
        <f>(D14-2*C26/100-2*G22/100-E18*G22/100)*(H8-2*C26/100-2*G22/100)</f>
        <v>114.9876</v>
      </c>
      <c r="Q63" s="49" t="s">
        <v>49</v>
      </c>
      <c r="S63" s="38"/>
    </row>
    <row r="64" spans="1:19" ht="15.75" thickBot="1" x14ac:dyDescent="0.3">
      <c r="A64" s="37"/>
      <c r="B64" s="33"/>
      <c r="C64" s="33"/>
      <c r="D64" s="33"/>
      <c r="E64" s="33"/>
      <c r="F64" s="33"/>
      <c r="G64" s="33"/>
      <c r="H64" s="33"/>
      <c r="I64" s="33"/>
      <c r="J64" s="297"/>
      <c r="K64" s="127"/>
      <c r="L64" s="33"/>
      <c r="M64" s="415" t="s">
        <v>77</v>
      </c>
      <c r="N64" s="416"/>
      <c r="O64" s="416"/>
      <c r="P64" s="50">
        <f>P63*G67/100</f>
        <v>26.447148000000002</v>
      </c>
      <c r="Q64" s="51" t="s">
        <v>50</v>
      </c>
      <c r="S64" s="38"/>
    </row>
    <row r="65" spans="1:19" x14ac:dyDescent="0.25">
      <c r="A65" s="37"/>
      <c r="B65" s="33"/>
      <c r="C65" s="33"/>
      <c r="D65" s="33"/>
      <c r="E65" s="33"/>
      <c r="F65" s="33"/>
      <c r="G65" s="144">
        <v>6</v>
      </c>
      <c r="H65" s="33" t="s">
        <v>6</v>
      </c>
      <c r="I65" s="33" t="s">
        <v>23</v>
      </c>
      <c r="J65" s="297"/>
      <c r="K65" s="127"/>
      <c r="L65" s="33"/>
      <c r="M65" s="417" t="s">
        <v>78</v>
      </c>
      <c r="N65" s="418"/>
      <c r="O65" s="418"/>
      <c r="P65" s="52">
        <f>(D14-2*C26/100-2*G22/100-E18*G22/100)*(H8-2*C26/100-2*G22/100)</f>
        <v>114.9876</v>
      </c>
      <c r="Q65" s="53" t="s">
        <v>49</v>
      </c>
      <c r="S65" s="38"/>
    </row>
    <row r="66" spans="1:19" ht="15.75" thickBot="1" x14ac:dyDescent="0.3">
      <c r="A66" s="37"/>
      <c r="B66" s="33"/>
      <c r="C66" s="33"/>
      <c r="D66" s="33"/>
      <c r="E66" s="33"/>
      <c r="F66" s="33"/>
      <c r="G66" s="33"/>
      <c r="H66" s="33"/>
      <c r="I66" s="33"/>
      <c r="J66" s="297"/>
      <c r="K66" s="127"/>
      <c r="L66" s="33"/>
      <c r="M66" s="419" t="s">
        <v>79</v>
      </c>
      <c r="N66" s="420"/>
      <c r="O66" s="420"/>
      <c r="P66" s="91">
        <f>(2*((D14-2*C26/100-2*G22/100-2*G59/100-E18*G22/100-2*E18*G59/100))+(2*(H8-2*C26/100-2*G22/100)))*(G58/100)</f>
        <v>8.1684000000000001</v>
      </c>
      <c r="Q66" s="92" t="s">
        <v>49</v>
      </c>
      <c r="S66" s="38"/>
    </row>
    <row r="67" spans="1:19" x14ac:dyDescent="0.25">
      <c r="A67" s="37"/>
      <c r="B67" s="33"/>
      <c r="C67" s="33"/>
      <c r="D67" s="33"/>
      <c r="E67" s="33"/>
      <c r="F67" s="33"/>
      <c r="G67" s="144">
        <v>23</v>
      </c>
      <c r="H67" s="33" t="s">
        <v>6</v>
      </c>
      <c r="I67" s="33" t="s">
        <v>24</v>
      </c>
      <c r="J67" s="297"/>
      <c r="K67" s="127"/>
      <c r="L67" s="33"/>
      <c r="M67" s="421" t="s">
        <v>80</v>
      </c>
      <c r="N67" s="422"/>
      <c r="O67" s="422"/>
      <c r="P67" s="62">
        <f>(D14-2*C26/100-2*G22/100-E18*G22/100-2*G59/100-E18*2*G59/100)*(H8-2*C26/100-2*G22/100-2*G59/100)</f>
        <v>113.1724</v>
      </c>
      <c r="Q67" s="63" t="s">
        <v>49</v>
      </c>
      <c r="S67" s="38"/>
    </row>
    <row r="68" spans="1:19" ht="15.75" thickBot="1" x14ac:dyDescent="0.3">
      <c r="A68" s="37"/>
      <c r="B68" s="33"/>
      <c r="C68" s="33"/>
      <c r="D68" s="33"/>
      <c r="E68" s="33"/>
      <c r="F68" s="33"/>
      <c r="G68" s="33"/>
      <c r="H68" s="33"/>
      <c r="I68" s="33"/>
      <c r="J68" s="297"/>
      <c r="K68" s="127"/>
      <c r="L68" s="33"/>
      <c r="M68" s="423" t="s">
        <v>81</v>
      </c>
      <c r="N68" s="424"/>
      <c r="O68" s="424"/>
      <c r="P68" s="54">
        <f>P67*G63/100</f>
        <v>0</v>
      </c>
      <c r="Q68" s="55" t="s">
        <v>50</v>
      </c>
      <c r="S68" s="38"/>
    </row>
    <row r="69" spans="1:19" ht="15.75" thickBot="1" x14ac:dyDescent="0.3">
      <c r="A69" s="37"/>
      <c r="B69" s="33"/>
      <c r="C69" s="33"/>
      <c r="D69" s="33"/>
      <c r="E69" s="33"/>
      <c r="F69" s="33"/>
      <c r="G69" s="33"/>
      <c r="H69" s="33"/>
      <c r="I69" s="33"/>
      <c r="J69" s="297"/>
      <c r="K69" s="127"/>
      <c r="L69" s="33"/>
      <c r="M69" s="425" t="s">
        <v>85</v>
      </c>
      <c r="N69" s="426"/>
      <c r="O69" s="426"/>
      <c r="P69" s="93">
        <f>P67</f>
        <v>113.1724</v>
      </c>
      <c r="Q69" s="94" t="s">
        <v>49</v>
      </c>
      <c r="S69" s="38"/>
    </row>
    <row r="70" spans="1:19" x14ac:dyDescent="0.25">
      <c r="A70" s="37"/>
      <c r="B70" s="33"/>
      <c r="C70" s="33"/>
      <c r="D70" s="33"/>
      <c r="E70" s="144">
        <v>2</v>
      </c>
      <c r="F70" s="33" t="s">
        <v>84</v>
      </c>
      <c r="G70" s="33"/>
      <c r="H70" s="33"/>
      <c r="I70" s="33"/>
      <c r="J70" s="297"/>
      <c r="K70" s="127"/>
      <c r="L70" s="33"/>
      <c r="M70" s="427" t="s">
        <v>83</v>
      </c>
      <c r="N70" s="428"/>
      <c r="O70" s="428"/>
      <c r="P70" s="95">
        <f>P69</f>
        <v>113.1724</v>
      </c>
      <c r="Q70" s="96" t="s">
        <v>49</v>
      </c>
      <c r="S70" s="38"/>
    </row>
    <row r="71" spans="1:19" ht="15.75" thickBot="1" x14ac:dyDescent="0.3">
      <c r="A71" s="37"/>
      <c r="B71" s="33"/>
      <c r="C71" s="33"/>
      <c r="D71" s="33"/>
      <c r="E71" s="33"/>
      <c r="F71" s="33"/>
      <c r="G71" s="33"/>
      <c r="H71" s="33"/>
      <c r="I71" s="33"/>
      <c r="J71" s="297"/>
      <c r="K71" s="127"/>
      <c r="L71" s="33"/>
      <c r="M71" s="374" t="s">
        <v>82</v>
      </c>
      <c r="N71" s="375"/>
      <c r="O71" s="376"/>
      <c r="P71" s="56">
        <f>P70*G61/100</f>
        <v>13.580688</v>
      </c>
      <c r="Q71" s="57" t="s">
        <v>50</v>
      </c>
      <c r="S71" s="38"/>
    </row>
    <row r="72" spans="1:19" x14ac:dyDescent="0.25">
      <c r="A72" s="37"/>
      <c r="B72" s="33"/>
      <c r="C72" s="33"/>
      <c r="D72" s="33"/>
      <c r="E72" s="33"/>
      <c r="F72" s="33"/>
      <c r="G72" s="33"/>
      <c r="H72" s="33"/>
      <c r="I72" s="33"/>
      <c r="J72" s="297"/>
      <c r="K72" s="127"/>
      <c r="L72" s="33"/>
      <c r="M72" s="33"/>
      <c r="N72" s="33"/>
      <c r="O72" s="33"/>
      <c r="P72" s="33"/>
      <c r="Q72" s="33"/>
      <c r="S72" s="38"/>
    </row>
    <row r="73" spans="1:19" x14ac:dyDescent="0.25">
      <c r="A73" s="37"/>
      <c r="B73" s="33"/>
      <c r="C73" s="33"/>
      <c r="D73" s="33"/>
      <c r="E73" s="33"/>
      <c r="F73" s="33"/>
      <c r="G73" s="33"/>
      <c r="H73" s="33"/>
      <c r="I73" s="33"/>
      <c r="J73" s="297"/>
      <c r="K73" s="127"/>
      <c r="L73" s="33"/>
      <c r="M73" s="33"/>
      <c r="N73" s="33"/>
      <c r="O73" s="33"/>
      <c r="P73" s="33"/>
      <c r="Q73" s="33"/>
      <c r="S73" s="38"/>
    </row>
    <row r="74" spans="1:19" x14ac:dyDescent="0.25">
      <c r="A74" s="37"/>
      <c r="B74" s="33"/>
      <c r="C74" s="33"/>
      <c r="D74" s="33"/>
      <c r="E74" s="33"/>
      <c r="F74" s="33"/>
      <c r="G74" s="33"/>
      <c r="H74" s="33"/>
      <c r="I74" s="33"/>
      <c r="J74" s="297"/>
      <c r="K74" s="127"/>
      <c r="L74" s="33"/>
      <c r="M74" s="33"/>
      <c r="N74" s="33"/>
      <c r="O74" s="33"/>
      <c r="P74" s="33"/>
      <c r="Q74" s="33"/>
      <c r="S74" s="38"/>
    </row>
    <row r="75" spans="1:19" x14ac:dyDescent="0.25">
      <c r="A75" s="37"/>
      <c r="B75" s="33"/>
      <c r="C75" s="33"/>
      <c r="D75" s="33"/>
      <c r="E75" s="33"/>
      <c r="F75" s="33"/>
      <c r="G75" s="33"/>
      <c r="H75" s="33"/>
      <c r="I75" s="33"/>
      <c r="J75" s="297"/>
      <c r="K75" s="127"/>
      <c r="L75" s="33"/>
      <c r="M75" s="33"/>
      <c r="N75" s="33"/>
      <c r="O75" s="33"/>
      <c r="P75" s="33"/>
      <c r="Q75" s="33"/>
      <c r="S75" s="38"/>
    </row>
    <row r="76" spans="1:19" x14ac:dyDescent="0.25">
      <c r="A76" s="37"/>
      <c r="B76" s="33"/>
      <c r="C76" s="33"/>
      <c r="D76" s="33"/>
      <c r="E76" s="33"/>
      <c r="F76" s="33"/>
      <c r="G76" s="33"/>
      <c r="H76" s="33"/>
      <c r="I76" s="33"/>
      <c r="J76" s="297"/>
      <c r="K76" s="127"/>
      <c r="L76" s="33"/>
      <c r="M76" s="33"/>
      <c r="N76" s="33"/>
      <c r="O76" s="33"/>
      <c r="P76" s="33"/>
      <c r="Q76" s="33"/>
      <c r="S76" s="38"/>
    </row>
    <row r="77" spans="1:19" ht="15.75" thickBot="1" x14ac:dyDescent="0.3">
      <c r="A77" s="39"/>
      <c r="B77" s="40"/>
      <c r="C77" s="40"/>
      <c r="D77" s="40"/>
      <c r="E77" s="40"/>
      <c r="F77" s="40"/>
      <c r="G77" s="40"/>
      <c r="H77" s="40"/>
      <c r="I77" s="40"/>
      <c r="J77" s="299"/>
      <c r="K77" s="128"/>
      <c r="L77" s="40"/>
      <c r="M77" s="40"/>
      <c r="N77" s="40"/>
      <c r="O77" s="40"/>
      <c r="P77" s="40"/>
      <c r="Q77" s="40"/>
      <c r="R77" s="40"/>
      <c r="S77" s="41"/>
    </row>
    <row r="78" spans="1:19" ht="15.75" thickBot="1" x14ac:dyDescent="0.3"/>
    <row r="79" spans="1:19" ht="15.75" thickBot="1" x14ac:dyDescent="0.3">
      <c r="A79" s="3"/>
      <c r="B79" s="4"/>
      <c r="C79" s="4"/>
      <c r="D79" s="4"/>
      <c r="E79" s="4"/>
      <c r="F79" s="4"/>
      <c r="G79" s="4"/>
      <c r="H79" s="4"/>
      <c r="I79" s="4"/>
      <c r="J79" s="296" t="s">
        <v>33</v>
      </c>
      <c r="K79" s="125"/>
      <c r="L79" s="4"/>
      <c r="M79" s="4"/>
      <c r="N79" s="4"/>
      <c r="O79" s="4"/>
      <c r="P79" s="4"/>
      <c r="Q79" s="4"/>
      <c r="R79" s="35"/>
      <c r="S79" s="5"/>
    </row>
    <row r="80" spans="1:19" x14ac:dyDescent="0.25">
      <c r="A80" s="6"/>
      <c r="B80" s="14"/>
      <c r="C80" s="14"/>
      <c r="D80" s="14"/>
      <c r="E80" s="486" t="s">
        <v>29</v>
      </c>
      <c r="F80" s="486"/>
      <c r="G80" s="2"/>
      <c r="H80" s="2"/>
      <c r="I80" s="2"/>
      <c r="J80" s="297"/>
      <c r="K80" s="127"/>
      <c r="L80" s="2"/>
      <c r="M80" s="300" t="s">
        <v>86</v>
      </c>
      <c r="N80" s="301"/>
      <c r="O80" s="301"/>
      <c r="P80" s="21">
        <f>P12</f>
        <v>46.38</v>
      </c>
      <c r="Q80" s="47" t="s">
        <v>48</v>
      </c>
      <c r="S80" s="7"/>
    </row>
    <row r="81" spans="1:24" x14ac:dyDescent="0.25">
      <c r="A81" s="6"/>
      <c r="B81" s="2"/>
      <c r="C81" s="144">
        <v>20</v>
      </c>
      <c r="D81" s="2" t="s">
        <v>6</v>
      </c>
      <c r="E81" s="2" t="s">
        <v>30</v>
      </c>
      <c r="F81" s="2"/>
      <c r="G81" s="2"/>
      <c r="H81" s="2"/>
      <c r="I81" s="2"/>
      <c r="J81" s="297"/>
      <c r="K81" s="127"/>
      <c r="L81" s="2"/>
      <c r="M81" s="302" t="s">
        <v>87</v>
      </c>
      <c r="N81" s="303"/>
      <c r="O81" s="303"/>
      <c r="P81" s="22">
        <f>P80*G90+P102-O99-S99+P104</f>
        <v>126.64713497651418</v>
      </c>
      <c r="Q81" s="20" t="s">
        <v>49</v>
      </c>
      <c r="S81" s="7"/>
    </row>
    <row r="82" spans="1:24" ht="15.75" thickBot="1" x14ac:dyDescent="0.3">
      <c r="A82" s="6"/>
      <c r="B82" s="2"/>
      <c r="C82" s="2"/>
      <c r="D82" s="2"/>
      <c r="E82" s="2"/>
      <c r="F82" s="2"/>
      <c r="G82" s="2"/>
      <c r="H82" s="2"/>
      <c r="I82" s="2"/>
      <c r="J82" s="297"/>
      <c r="K82" s="127"/>
      <c r="L82" s="2"/>
      <c r="M82" s="469" t="s">
        <v>88</v>
      </c>
      <c r="N82" s="470"/>
      <c r="O82" s="470"/>
      <c r="P82" s="42">
        <f>P81*G22/100</f>
        <v>25.329426995302839</v>
      </c>
      <c r="Q82" s="46" t="s">
        <v>50</v>
      </c>
      <c r="S82" s="7"/>
    </row>
    <row r="83" spans="1:24" ht="15.75" thickBot="1" x14ac:dyDescent="0.3">
      <c r="A83" s="6"/>
      <c r="B83" s="2"/>
      <c r="C83" s="2"/>
      <c r="D83" s="2"/>
      <c r="E83" s="2"/>
      <c r="F83" s="2"/>
      <c r="G83" s="2"/>
      <c r="H83" s="2"/>
      <c r="I83" s="2"/>
      <c r="J83" s="297"/>
      <c r="K83" s="127"/>
      <c r="L83" s="2"/>
      <c r="M83" s="2"/>
      <c r="N83" s="2"/>
      <c r="O83" s="2"/>
      <c r="P83" s="2"/>
      <c r="Q83" s="2"/>
      <c r="S83" s="7"/>
    </row>
    <row r="84" spans="1:24" ht="18.75" customHeight="1" x14ac:dyDescent="0.25">
      <c r="A84" s="6"/>
      <c r="B84" s="2"/>
      <c r="C84" s="2"/>
      <c r="D84" s="2"/>
      <c r="E84" s="2"/>
      <c r="F84" s="2"/>
      <c r="G84" s="2" t="s">
        <v>37</v>
      </c>
      <c r="H84" s="2"/>
      <c r="I84" s="145">
        <v>35</v>
      </c>
      <c r="J84" s="297"/>
      <c r="K84" s="471" t="s">
        <v>103</v>
      </c>
      <c r="L84" s="411" t="s">
        <v>92</v>
      </c>
      <c r="M84" s="407"/>
      <c r="N84" s="407"/>
      <c r="O84" s="407"/>
      <c r="P84" s="372" t="s">
        <v>102</v>
      </c>
      <c r="Q84" s="372" t="s">
        <v>100</v>
      </c>
      <c r="R84" s="407" t="s">
        <v>89</v>
      </c>
      <c r="S84" s="408"/>
    </row>
    <row r="85" spans="1:24" ht="18.75" customHeight="1" thickBot="1" x14ac:dyDescent="0.3">
      <c r="A85" s="6"/>
      <c r="B85" s="2"/>
      <c r="C85" s="2"/>
      <c r="D85" s="2"/>
      <c r="E85" s="2"/>
      <c r="F85" s="2"/>
      <c r="G85" s="2"/>
      <c r="H85" s="2"/>
      <c r="I85" s="2"/>
      <c r="J85" s="297"/>
      <c r="K85" s="472"/>
      <c r="L85" s="412"/>
      <c r="M85" s="409"/>
      <c r="N85" s="409"/>
      <c r="O85" s="409"/>
      <c r="P85" s="373"/>
      <c r="Q85" s="373"/>
      <c r="R85" s="409"/>
      <c r="S85" s="410"/>
      <c r="T85" s="138"/>
      <c r="U85" s="138"/>
      <c r="V85" s="138"/>
      <c r="W85" s="138"/>
      <c r="X85" s="138"/>
    </row>
    <row r="86" spans="1:24" ht="15.75" thickBot="1" x14ac:dyDescent="0.3">
      <c r="A86" s="6"/>
      <c r="B86" s="2"/>
      <c r="C86" s="2"/>
      <c r="D86" s="2"/>
      <c r="E86" s="2"/>
      <c r="F86" s="2"/>
      <c r="G86" s="2"/>
      <c r="H86" s="141">
        <f>RADIANS(I84)</f>
        <v>0.6108652381980153</v>
      </c>
      <c r="I86" s="141">
        <f>((H8-2*C26/100)/2)*(TAN(H86))</f>
        <v>2.7868260020746445</v>
      </c>
      <c r="J86" s="297"/>
      <c r="K86" s="473"/>
      <c r="L86" s="105" t="s">
        <v>93</v>
      </c>
      <c r="M86" s="106" t="s">
        <v>5</v>
      </c>
      <c r="N86" s="106" t="s">
        <v>6</v>
      </c>
      <c r="O86" s="107" t="s">
        <v>94</v>
      </c>
      <c r="P86" s="108" t="s">
        <v>90</v>
      </c>
      <c r="Q86" s="108" t="s">
        <v>90</v>
      </c>
      <c r="R86" s="109" t="s">
        <v>90</v>
      </c>
      <c r="S86" s="110" t="s">
        <v>91</v>
      </c>
      <c r="T86" s="138"/>
      <c r="U86" s="138"/>
      <c r="V86" s="138"/>
      <c r="W86" s="138"/>
      <c r="X86" s="138"/>
    </row>
    <row r="87" spans="1:24" x14ac:dyDescent="0.25">
      <c r="A87" s="6"/>
      <c r="B87" s="2"/>
      <c r="C87" s="144">
        <v>20</v>
      </c>
      <c r="D87" s="2" t="s">
        <v>16</v>
      </c>
      <c r="E87" s="2" t="s">
        <v>31</v>
      </c>
      <c r="F87" s="2"/>
      <c r="G87" s="2"/>
      <c r="H87" s="2"/>
      <c r="I87" s="2"/>
      <c r="J87" s="297"/>
      <c r="K87" s="132">
        <v>1</v>
      </c>
      <c r="L87" s="129" t="s">
        <v>99</v>
      </c>
      <c r="M87" s="146">
        <v>40</v>
      </c>
      <c r="N87" s="146">
        <v>75</v>
      </c>
      <c r="O87" s="102">
        <f>IF(X87&lt;0.05,0,X87)</f>
        <v>0.38279999999999997</v>
      </c>
      <c r="P87" s="116">
        <f t="shared" ref="P87:P93" si="0">IF(T87=$U$91,0,M87/100-2*$C$26/100)*K87</f>
        <v>0.36000000000000004</v>
      </c>
      <c r="Q87" s="377"/>
      <c r="R87" s="103">
        <f>IF(M87=0,0,M87/100+V87)*K87</f>
        <v>0.8</v>
      </c>
      <c r="S87" s="104">
        <f>R87*$C$87/100</f>
        <v>0.16</v>
      </c>
      <c r="T87" s="136">
        <f t="shared" ref="T87:T98" si="1">M87/100-$U$90</f>
        <v>0.36000000000000004</v>
      </c>
      <c r="U87" s="136"/>
      <c r="V87" s="136">
        <f t="shared" ref="V87:V98" si="2">IF(M87&lt;200,0.4,2*M87/1000)</f>
        <v>0.4</v>
      </c>
      <c r="W87" s="136">
        <v>1</v>
      </c>
      <c r="X87" s="136">
        <f t="shared" ref="X87:X93" si="3">(M87/100+2*$C$26/100)*(N87/100+$C$26/100+$C$96/100)*K87</f>
        <v>0.38279999999999997</v>
      </c>
    </row>
    <row r="88" spans="1:24" x14ac:dyDescent="0.25">
      <c r="A88" s="6"/>
      <c r="B88" s="2"/>
      <c r="C88" s="2"/>
      <c r="D88" s="2"/>
      <c r="E88" s="2"/>
      <c r="F88" s="2"/>
      <c r="G88" s="2"/>
      <c r="H88" s="2"/>
      <c r="I88" s="2"/>
      <c r="J88" s="297"/>
      <c r="K88" s="133">
        <v>4</v>
      </c>
      <c r="L88" s="129" t="s">
        <v>99</v>
      </c>
      <c r="M88" s="144">
        <v>120</v>
      </c>
      <c r="N88" s="144">
        <v>135</v>
      </c>
      <c r="O88" s="102">
        <f>IF(X88&lt;0.05,0,X88)</f>
        <v>7.2912000000000008</v>
      </c>
      <c r="P88" s="116">
        <f t="shared" si="0"/>
        <v>4.6399999999999997</v>
      </c>
      <c r="Q88" s="378"/>
      <c r="R88" s="103">
        <f t="shared" ref="R88:R98" si="4">IF(M88=0,0,M88/100+V88)*K88</f>
        <v>6.4</v>
      </c>
      <c r="S88" s="104">
        <f t="shared" ref="S88:S98" si="5">R88*$C$87/100</f>
        <v>1.28</v>
      </c>
      <c r="T88" s="136">
        <f t="shared" si="1"/>
        <v>1.1599999999999999</v>
      </c>
      <c r="U88" s="136"/>
      <c r="V88" s="136">
        <f t="shared" si="2"/>
        <v>0.4</v>
      </c>
      <c r="W88" s="136">
        <v>2</v>
      </c>
      <c r="X88" s="136">
        <f>(M88/100+2*$C$26/100)*(N88/100+$C$26/100+$C$96/100)*K88</f>
        <v>7.2912000000000008</v>
      </c>
    </row>
    <row r="89" spans="1:24" x14ac:dyDescent="0.25">
      <c r="A89" s="6"/>
      <c r="B89" s="2"/>
      <c r="C89" s="2"/>
      <c r="D89" s="2"/>
      <c r="E89" s="2"/>
      <c r="F89" s="2"/>
      <c r="G89" s="2"/>
      <c r="H89" s="2"/>
      <c r="I89" s="2"/>
      <c r="J89" s="297"/>
      <c r="K89" s="133">
        <v>1</v>
      </c>
      <c r="L89" s="129" t="s">
        <v>99</v>
      </c>
      <c r="M89" s="144">
        <v>80</v>
      </c>
      <c r="N89" s="144">
        <v>95</v>
      </c>
      <c r="O89" s="102">
        <f t="shared" ref="O89:O93" si="6">IF(X89&lt;0.05,0,X89)</f>
        <v>0.89880000000000015</v>
      </c>
      <c r="P89" s="116">
        <f t="shared" si="0"/>
        <v>0.76</v>
      </c>
      <c r="Q89" s="378"/>
      <c r="R89" s="103">
        <f t="shared" si="4"/>
        <v>1.2000000000000002</v>
      </c>
      <c r="S89" s="104">
        <f t="shared" si="5"/>
        <v>0.24000000000000005</v>
      </c>
      <c r="T89" s="136">
        <f t="shared" si="1"/>
        <v>0.76</v>
      </c>
      <c r="U89" s="136"/>
      <c r="V89" s="136">
        <f t="shared" si="2"/>
        <v>0.4</v>
      </c>
      <c r="W89" s="136">
        <v>3</v>
      </c>
      <c r="X89" s="136">
        <f t="shared" si="3"/>
        <v>0.89880000000000015</v>
      </c>
    </row>
    <row r="90" spans="1:24" x14ac:dyDescent="0.25">
      <c r="A90" s="6"/>
      <c r="B90" s="2"/>
      <c r="C90" s="2"/>
      <c r="D90" s="2"/>
      <c r="E90" s="2"/>
      <c r="F90" s="2"/>
      <c r="G90" s="144">
        <v>2.59</v>
      </c>
      <c r="H90" s="2" t="s">
        <v>101</v>
      </c>
      <c r="I90" s="2"/>
      <c r="J90" s="297"/>
      <c r="K90" s="133">
        <v>1</v>
      </c>
      <c r="L90" s="129" t="s">
        <v>99</v>
      </c>
      <c r="M90" s="144"/>
      <c r="N90" s="144"/>
      <c r="O90" s="102">
        <f t="shared" si="6"/>
        <v>0</v>
      </c>
      <c r="P90" s="116">
        <f t="shared" si="0"/>
        <v>0</v>
      </c>
      <c r="Q90" s="378"/>
      <c r="R90" s="103">
        <f t="shared" si="4"/>
        <v>0</v>
      </c>
      <c r="S90" s="104">
        <f t="shared" si="5"/>
        <v>0</v>
      </c>
      <c r="T90" s="136">
        <f t="shared" si="1"/>
        <v>-0.04</v>
      </c>
      <c r="U90" s="136">
        <f>2*C26/100</f>
        <v>0.04</v>
      </c>
      <c r="V90" s="136">
        <f t="shared" si="2"/>
        <v>0.4</v>
      </c>
      <c r="W90" s="136">
        <v>4</v>
      </c>
      <c r="X90" s="136">
        <f t="shared" si="3"/>
        <v>4.8000000000000004E-3</v>
      </c>
    </row>
    <row r="91" spans="1:24" x14ac:dyDescent="0.25">
      <c r="A91" s="6"/>
      <c r="B91" s="2"/>
      <c r="C91" s="2"/>
      <c r="D91" s="2"/>
      <c r="E91" s="2"/>
      <c r="F91" s="2"/>
      <c r="G91" s="2"/>
      <c r="H91" s="2"/>
      <c r="I91" s="2"/>
      <c r="J91" s="297"/>
      <c r="K91" s="133">
        <v>1</v>
      </c>
      <c r="L91" s="129" t="s">
        <v>99</v>
      </c>
      <c r="M91" s="144"/>
      <c r="N91" s="144"/>
      <c r="O91" s="102">
        <f t="shared" si="6"/>
        <v>0</v>
      </c>
      <c r="P91" s="116">
        <f t="shared" si="0"/>
        <v>0</v>
      </c>
      <c r="Q91" s="378"/>
      <c r="R91" s="103">
        <f t="shared" si="4"/>
        <v>0</v>
      </c>
      <c r="S91" s="104">
        <f t="shared" si="5"/>
        <v>0</v>
      </c>
      <c r="T91" s="136">
        <f t="shared" si="1"/>
        <v>-0.04</v>
      </c>
      <c r="U91" s="136">
        <v>-0.04</v>
      </c>
      <c r="V91" s="136">
        <f t="shared" si="2"/>
        <v>0.4</v>
      </c>
      <c r="W91" s="136">
        <v>5</v>
      </c>
      <c r="X91" s="136">
        <f t="shared" si="3"/>
        <v>4.8000000000000004E-3</v>
      </c>
    </row>
    <row r="92" spans="1:24" x14ac:dyDescent="0.25">
      <c r="A92" s="6"/>
      <c r="B92" s="2"/>
      <c r="C92" s="2"/>
      <c r="D92" s="2"/>
      <c r="E92" s="2"/>
      <c r="F92" s="2"/>
      <c r="G92" s="2"/>
      <c r="H92" s="2"/>
      <c r="I92" s="2"/>
      <c r="J92" s="297"/>
      <c r="K92" s="133">
        <v>1</v>
      </c>
      <c r="L92" s="129" t="s">
        <v>99</v>
      </c>
      <c r="M92" s="144"/>
      <c r="N92" s="144"/>
      <c r="O92" s="102">
        <f t="shared" si="6"/>
        <v>0</v>
      </c>
      <c r="P92" s="116">
        <f t="shared" si="0"/>
        <v>0</v>
      </c>
      <c r="Q92" s="378"/>
      <c r="R92" s="103">
        <f t="shared" si="4"/>
        <v>0</v>
      </c>
      <c r="S92" s="104">
        <f t="shared" si="5"/>
        <v>0</v>
      </c>
      <c r="T92" s="136">
        <f t="shared" si="1"/>
        <v>-0.04</v>
      </c>
      <c r="U92" s="137">
        <f>IF(O99=U93,0,SUM(O87:O98))</f>
        <v>0</v>
      </c>
      <c r="V92" s="136">
        <f t="shared" si="2"/>
        <v>0.4</v>
      </c>
      <c r="W92" s="136">
        <v>6</v>
      </c>
      <c r="X92" s="136">
        <f t="shared" si="3"/>
        <v>4.8000000000000004E-3</v>
      </c>
    </row>
    <row r="93" spans="1:24" ht="15.75" thickBot="1" x14ac:dyDescent="0.3">
      <c r="A93" s="6"/>
      <c r="B93" s="2"/>
      <c r="C93" s="2"/>
      <c r="D93" s="2"/>
      <c r="E93" s="2"/>
      <c r="F93" s="2"/>
      <c r="G93" s="2"/>
      <c r="H93" s="2"/>
      <c r="I93" s="2"/>
      <c r="J93" s="297"/>
      <c r="K93" s="134">
        <v>1</v>
      </c>
      <c r="L93" s="129" t="s">
        <v>99</v>
      </c>
      <c r="M93" s="147"/>
      <c r="N93" s="147"/>
      <c r="O93" s="102">
        <f t="shared" si="6"/>
        <v>0</v>
      </c>
      <c r="P93" s="116">
        <f t="shared" si="0"/>
        <v>0</v>
      </c>
      <c r="Q93" s="379"/>
      <c r="R93" s="103">
        <f t="shared" si="4"/>
        <v>0</v>
      </c>
      <c r="S93" s="115">
        <f t="shared" si="5"/>
        <v>0</v>
      </c>
      <c r="T93" s="136">
        <f t="shared" si="1"/>
        <v>-0.04</v>
      </c>
      <c r="U93" s="137">
        <f>IF(O99=0.04,0,SUM(O87:O98))</f>
        <v>16.900200000000002</v>
      </c>
      <c r="V93" s="136">
        <f t="shared" si="2"/>
        <v>0.4</v>
      </c>
      <c r="W93" s="136"/>
      <c r="X93" s="136">
        <f t="shared" si="3"/>
        <v>4.8000000000000004E-3</v>
      </c>
    </row>
    <row r="94" spans="1:24" x14ac:dyDescent="0.25">
      <c r="A94" s="6"/>
      <c r="B94" s="2"/>
      <c r="C94" s="2"/>
      <c r="D94" s="2"/>
      <c r="E94" s="2"/>
      <c r="F94" s="2"/>
      <c r="G94" s="2"/>
      <c r="H94" s="2"/>
      <c r="I94" s="2"/>
      <c r="J94" s="297"/>
      <c r="K94" s="132">
        <v>1</v>
      </c>
      <c r="L94" s="112" t="s">
        <v>98</v>
      </c>
      <c r="M94" s="148">
        <v>120</v>
      </c>
      <c r="N94" s="148">
        <v>215</v>
      </c>
      <c r="O94" s="113">
        <f>IF(X94&lt;0.02,0,X94)</f>
        <v>2.7155999999999998</v>
      </c>
      <c r="P94" s="380"/>
      <c r="Q94" s="113">
        <f>IF(T94=$U$91,0,M94/100-2*$C$26/100)*K94</f>
        <v>1.1599999999999999</v>
      </c>
      <c r="R94" s="112">
        <f t="shared" si="4"/>
        <v>1.6</v>
      </c>
      <c r="S94" s="113">
        <f t="shared" si="5"/>
        <v>0.32</v>
      </c>
      <c r="T94" s="136">
        <f t="shared" si="1"/>
        <v>1.1599999999999999</v>
      </c>
      <c r="U94" s="139"/>
      <c r="V94" s="136">
        <f t="shared" si="2"/>
        <v>0.4</v>
      </c>
      <c r="W94" s="136"/>
      <c r="X94" s="136">
        <f>(M94/100+2*$C$26/100)*(N94/100+$C$26/100+$C$101/100)*K94</f>
        <v>2.7155999999999998</v>
      </c>
    </row>
    <row r="95" spans="1:24" x14ac:dyDescent="0.25">
      <c r="A95" s="6"/>
      <c r="B95" s="2"/>
      <c r="C95" s="2"/>
      <c r="D95" s="2"/>
      <c r="E95" s="2"/>
      <c r="F95" s="2"/>
      <c r="G95" s="2"/>
      <c r="H95" s="2"/>
      <c r="I95" s="2"/>
      <c r="J95" s="297"/>
      <c r="K95" s="133">
        <v>1</v>
      </c>
      <c r="L95" s="129" t="s">
        <v>98</v>
      </c>
      <c r="M95" s="144">
        <v>90</v>
      </c>
      <c r="N95" s="144">
        <v>215</v>
      </c>
      <c r="O95" s="45">
        <f t="shared" ref="O95:O98" si="7">IF(X95&lt;0.02,0,X95)</f>
        <v>2.0586000000000002</v>
      </c>
      <c r="P95" s="381"/>
      <c r="Q95" s="45">
        <f>IF(T95=$U$91,0,M95/100-2*$C$26/100)*K95</f>
        <v>0.86</v>
      </c>
      <c r="R95" s="130">
        <f t="shared" si="4"/>
        <v>1.3</v>
      </c>
      <c r="S95" s="104">
        <f t="shared" si="5"/>
        <v>0.26</v>
      </c>
      <c r="T95" s="136">
        <f t="shared" si="1"/>
        <v>0.86</v>
      </c>
      <c r="U95" s="136"/>
      <c r="V95" s="136">
        <f t="shared" si="2"/>
        <v>0.4</v>
      </c>
      <c r="W95" s="136"/>
      <c r="X95" s="136">
        <f>(M95/100+2*$C$26/100)*(N95/100+$C$26/100+$C$101/100)*K95</f>
        <v>2.0586000000000002</v>
      </c>
    </row>
    <row r="96" spans="1:24" x14ac:dyDescent="0.25">
      <c r="A96" s="6"/>
      <c r="B96" s="2"/>
      <c r="C96" s="144">
        <v>10</v>
      </c>
      <c r="D96" s="2" t="s">
        <v>34</v>
      </c>
      <c r="E96" s="2" t="s">
        <v>35</v>
      </c>
      <c r="F96" s="2"/>
      <c r="G96" s="2"/>
      <c r="H96" s="2"/>
      <c r="I96" s="2"/>
      <c r="J96" s="297"/>
      <c r="K96" s="133">
        <v>1</v>
      </c>
      <c r="L96" s="129" t="s">
        <v>98</v>
      </c>
      <c r="M96" s="144">
        <v>80</v>
      </c>
      <c r="N96" s="144">
        <v>215</v>
      </c>
      <c r="O96" s="45">
        <f t="shared" si="7"/>
        <v>1.8396000000000001</v>
      </c>
      <c r="P96" s="381"/>
      <c r="Q96" s="45">
        <f>IF(T96=$U$91,0,M96/100-2*$C$26/100)*K96</f>
        <v>0.76</v>
      </c>
      <c r="R96" s="130">
        <f t="shared" si="4"/>
        <v>1.2000000000000002</v>
      </c>
      <c r="S96" s="104">
        <f t="shared" si="5"/>
        <v>0.24000000000000005</v>
      </c>
      <c r="T96" s="136">
        <f t="shared" si="1"/>
        <v>0.76</v>
      </c>
      <c r="U96" s="136"/>
      <c r="V96" s="136">
        <f t="shared" si="2"/>
        <v>0.4</v>
      </c>
      <c r="W96" s="136"/>
      <c r="X96" s="136">
        <f>(M96/100+2*$C$26/100)*(N96/100+$C$26/100+$C$101/100)*K96</f>
        <v>1.8396000000000001</v>
      </c>
    </row>
    <row r="97" spans="1:24" x14ac:dyDescent="0.25">
      <c r="A97" s="6"/>
      <c r="B97" s="2"/>
      <c r="C97" s="2"/>
      <c r="D97" s="2"/>
      <c r="E97" s="2"/>
      <c r="F97" s="2"/>
      <c r="G97" s="2"/>
      <c r="H97" s="2"/>
      <c r="I97" s="2"/>
      <c r="J97" s="297"/>
      <c r="K97" s="133">
        <v>1</v>
      </c>
      <c r="L97" s="129" t="s">
        <v>98</v>
      </c>
      <c r="M97" s="144">
        <v>80</v>
      </c>
      <c r="N97" s="144">
        <v>200</v>
      </c>
      <c r="O97" s="45">
        <f t="shared" si="7"/>
        <v>1.7136000000000002</v>
      </c>
      <c r="P97" s="381"/>
      <c r="Q97" s="45">
        <f>IF(T97=$U$91,0,M97/100-2*$C$26/100)*K97</f>
        <v>0.76</v>
      </c>
      <c r="R97" s="130">
        <f t="shared" si="4"/>
        <v>1.2000000000000002</v>
      </c>
      <c r="S97" s="104">
        <f t="shared" si="5"/>
        <v>0.24000000000000005</v>
      </c>
      <c r="T97" s="136">
        <f t="shared" si="1"/>
        <v>0.76</v>
      </c>
      <c r="U97" s="136"/>
      <c r="V97" s="136">
        <f t="shared" si="2"/>
        <v>0.4</v>
      </c>
      <c r="W97" s="136"/>
      <c r="X97" s="136">
        <f>(M97/100+2*$C$26/100)*(N97/100+$C$26/100+$C$101/100)*K97</f>
        <v>1.7136000000000002</v>
      </c>
    </row>
    <row r="98" spans="1:24" ht="15.75" thickBot="1" x14ac:dyDescent="0.3">
      <c r="A98" s="6"/>
      <c r="B98" s="2"/>
      <c r="C98" s="2"/>
      <c r="D98" s="2"/>
      <c r="E98" s="2"/>
      <c r="F98" s="2"/>
      <c r="G98" s="2"/>
      <c r="H98" s="2"/>
      <c r="I98" s="2"/>
      <c r="J98" s="297"/>
      <c r="K98" s="135">
        <v>1</v>
      </c>
      <c r="L98" s="233" t="s">
        <v>233</v>
      </c>
      <c r="M98" s="147"/>
      <c r="N98" s="147"/>
      <c r="O98" s="114">
        <f t="shared" si="7"/>
        <v>0</v>
      </c>
      <c r="P98" s="382"/>
      <c r="Q98" s="114">
        <f>IF(T98=$U$91,0,M98/100-2*$C$26/100)*K98</f>
        <v>0</v>
      </c>
      <c r="R98" s="131">
        <f t="shared" si="4"/>
        <v>0</v>
      </c>
      <c r="S98" s="104">
        <f t="shared" si="5"/>
        <v>0</v>
      </c>
      <c r="T98" s="136">
        <f t="shared" si="1"/>
        <v>-0.04</v>
      </c>
      <c r="U98" s="136"/>
      <c r="V98" s="136">
        <f t="shared" si="2"/>
        <v>0.4</v>
      </c>
      <c r="W98" s="136"/>
      <c r="X98" s="136">
        <f>(M98/100+2*$C$26/100)*(N98/100+$C$26/100+$C$101/100)*K98</f>
        <v>1.6000000000000001E-3</v>
      </c>
    </row>
    <row r="99" spans="1:24" ht="16.5" thickTop="1" thickBot="1" x14ac:dyDescent="0.3">
      <c r="A99" s="6"/>
      <c r="B99" s="2"/>
      <c r="C99" s="2"/>
      <c r="D99" s="2"/>
      <c r="E99" s="2"/>
      <c r="F99" s="2"/>
      <c r="G99" s="2"/>
      <c r="H99" s="2"/>
      <c r="I99" s="2"/>
      <c r="J99" s="297"/>
      <c r="K99" s="126"/>
      <c r="L99" s="97" t="s">
        <v>95</v>
      </c>
      <c r="M99" s="98">
        <f>SUM(M87:M98)</f>
        <v>610</v>
      </c>
      <c r="N99" s="98">
        <f>SUM(N87:N98)</f>
        <v>1150</v>
      </c>
      <c r="O99" s="98">
        <f>SUM(O87:O98)</f>
        <v>16.900200000000002</v>
      </c>
      <c r="P99" s="101">
        <f>SUM(P87:P98)</f>
        <v>5.76</v>
      </c>
      <c r="Q99" s="101">
        <f>SUM(Q87:Q98)</f>
        <v>3.54</v>
      </c>
      <c r="R99" s="100">
        <f t="shared" ref="R99:S99" si="8">SUM(R87:R98)</f>
        <v>13.7</v>
      </c>
      <c r="S99" s="99">
        <f t="shared" si="8"/>
        <v>2.74</v>
      </c>
      <c r="T99" s="138"/>
      <c r="U99" s="138"/>
      <c r="V99" s="138"/>
      <c r="W99" s="138"/>
      <c r="X99" s="138"/>
    </row>
    <row r="100" spans="1:24" ht="15.75" thickBot="1" x14ac:dyDescent="0.3">
      <c r="A100" s="6"/>
      <c r="B100" s="2"/>
      <c r="C100" s="2"/>
      <c r="D100" s="2"/>
      <c r="E100" s="2"/>
      <c r="F100" s="2"/>
      <c r="G100" s="2"/>
      <c r="H100" s="2"/>
      <c r="I100" s="2"/>
      <c r="J100" s="297"/>
      <c r="K100" s="127"/>
      <c r="L100" s="2"/>
      <c r="M100" s="2"/>
      <c r="N100" s="2"/>
      <c r="O100" s="2"/>
      <c r="P100" s="2"/>
      <c r="Q100" s="2"/>
      <c r="S100" s="7"/>
      <c r="T100" s="138"/>
      <c r="U100" s="138"/>
      <c r="V100" s="138"/>
      <c r="W100" s="138"/>
      <c r="X100" s="138"/>
    </row>
    <row r="101" spans="1:24" x14ac:dyDescent="0.25">
      <c r="A101" s="6"/>
      <c r="B101" s="2"/>
      <c r="C101" s="144">
        <v>2</v>
      </c>
      <c r="D101" s="2" t="s">
        <v>34</v>
      </c>
      <c r="E101" s="2" t="s">
        <v>36</v>
      </c>
      <c r="F101" s="2"/>
      <c r="G101" s="2"/>
      <c r="H101" s="2"/>
      <c r="I101" s="2"/>
      <c r="J101" s="297"/>
      <c r="K101" s="127"/>
      <c r="L101" s="2"/>
      <c r="M101" s="300" t="s">
        <v>96</v>
      </c>
      <c r="N101" s="301"/>
      <c r="O101" s="301"/>
      <c r="P101" s="21">
        <f>I86</f>
        <v>2.7868260020746445</v>
      </c>
      <c r="Q101" s="47" t="s">
        <v>48</v>
      </c>
      <c r="S101" s="7"/>
      <c r="T101" s="138"/>
      <c r="U101" s="138"/>
      <c r="V101" s="138"/>
      <c r="W101" s="138"/>
      <c r="X101" s="138"/>
    </row>
    <row r="102" spans="1:24" ht="15.75" thickBot="1" x14ac:dyDescent="0.3">
      <c r="A102" s="6"/>
      <c r="B102" s="13"/>
      <c r="C102" s="13"/>
      <c r="D102" s="458" t="s">
        <v>32</v>
      </c>
      <c r="E102" s="458"/>
      <c r="F102" s="458"/>
      <c r="G102" s="2"/>
      <c r="H102" s="2"/>
      <c r="I102" s="2"/>
      <c r="J102" s="297"/>
      <c r="K102" s="127"/>
      <c r="L102" s="2"/>
      <c r="M102" s="310" t="s">
        <v>97</v>
      </c>
      <c r="N102" s="311"/>
      <c r="O102" s="312"/>
      <c r="P102" s="23">
        <f>((P101*(H8-2*C26/100)/2)*(2+E18))</f>
        <v>22.183134976514172</v>
      </c>
      <c r="Q102" s="46" t="s">
        <v>49</v>
      </c>
      <c r="S102" s="7"/>
      <c r="T102" s="138"/>
      <c r="U102" s="138"/>
      <c r="V102" s="138"/>
      <c r="W102" s="138"/>
      <c r="X102" s="138"/>
    </row>
    <row r="103" spans="1:24" s="32" customFormat="1" x14ac:dyDescent="0.25">
      <c r="A103" s="37"/>
      <c r="B103" s="33"/>
      <c r="C103" s="33"/>
      <c r="D103" s="232"/>
      <c r="E103" s="232"/>
      <c r="F103" s="232"/>
      <c r="G103" s="33"/>
      <c r="H103" s="33"/>
      <c r="I103" s="33"/>
      <c r="J103" s="297"/>
      <c r="K103" s="127"/>
      <c r="L103" s="33"/>
      <c r="M103" s="300" t="s">
        <v>224</v>
      </c>
      <c r="N103" s="301"/>
      <c r="O103" s="301"/>
      <c r="P103" s="21">
        <v>0.25</v>
      </c>
      <c r="Q103" s="47" t="s">
        <v>48</v>
      </c>
      <c r="S103" s="38"/>
      <c r="T103" s="138"/>
      <c r="U103" s="138"/>
      <c r="V103" s="138"/>
      <c r="W103" s="138"/>
      <c r="X103" s="138"/>
    </row>
    <row r="104" spans="1:24" s="32" customFormat="1" ht="15.75" thickBot="1" x14ac:dyDescent="0.3">
      <c r="A104" s="37"/>
      <c r="B104" s="33"/>
      <c r="C104" s="33"/>
      <c r="D104" s="232"/>
      <c r="E104" s="232"/>
      <c r="F104" s="232"/>
      <c r="G104" s="33"/>
      <c r="H104" s="33"/>
      <c r="I104" s="33"/>
      <c r="J104" s="297"/>
      <c r="K104" s="127"/>
      <c r="L104" s="33"/>
      <c r="M104" s="310" t="s">
        <v>223</v>
      </c>
      <c r="N104" s="311"/>
      <c r="O104" s="312"/>
      <c r="P104" s="23">
        <f>(2+E18)*(H8-2*C26/100)*P103</f>
        <v>3.98</v>
      </c>
      <c r="Q104" s="46" t="s">
        <v>49</v>
      </c>
      <c r="S104" s="38"/>
      <c r="T104" s="138"/>
      <c r="U104" s="138"/>
      <c r="V104" s="138"/>
      <c r="W104" s="138"/>
      <c r="X104" s="138"/>
    </row>
    <row r="105" spans="1:24" ht="15.75" thickBot="1" x14ac:dyDescent="0.3">
      <c r="A105" s="8"/>
      <c r="B105" s="9"/>
      <c r="C105" s="9"/>
      <c r="D105" s="9"/>
      <c r="E105" s="9"/>
      <c r="F105" s="9"/>
      <c r="G105" s="9"/>
      <c r="H105" s="9"/>
      <c r="I105" s="9"/>
      <c r="J105" s="299"/>
      <c r="K105" s="128"/>
      <c r="L105" s="9"/>
      <c r="M105" s="9"/>
      <c r="N105" s="9"/>
      <c r="O105" s="9"/>
      <c r="P105" s="9"/>
      <c r="Q105" s="9"/>
      <c r="R105" s="40"/>
      <c r="S105" s="10"/>
    </row>
    <row r="106" spans="1:24" ht="15.75" thickBot="1" x14ac:dyDescent="0.3"/>
    <row r="107" spans="1:24" x14ac:dyDescent="0.25">
      <c r="A107" s="34"/>
      <c r="B107" s="35"/>
      <c r="C107" s="35"/>
      <c r="D107" s="35"/>
      <c r="E107" s="35"/>
      <c r="F107" s="35"/>
      <c r="G107" s="35"/>
      <c r="H107" s="35"/>
      <c r="I107" s="35"/>
      <c r="J107" s="296" t="s">
        <v>129</v>
      </c>
      <c r="K107" s="35"/>
      <c r="L107" s="313" t="s">
        <v>251</v>
      </c>
      <c r="M107" s="314"/>
      <c r="N107" s="314"/>
      <c r="O107" s="315"/>
      <c r="P107" s="187">
        <f>(H8-2*C26/100)/2+E126/100</f>
        <v>4.13</v>
      </c>
      <c r="Q107" s="47" t="s">
        <v>48</v>
      </c>
      <c r="R107" s="35"/>
      <c r="S107" s="36"/>
    </row>
    <row r="108" spans="1:24" ht="15.75" thickBot="1" x14ac:dyDescent="0.3">
      <c r="A108" s="37"/>
      <c r="B108" s="33"/>
      <c r="C108" s="33"/>
      <c r="D108" s="33"/>
      <c r="E108" s="33"/>
      <c r="F108" s="33"/>
      <c r="G108" s="33"/>
      <c r="H108" s="33"/>
      <c r="I108" s="33"/>
      <c r="J108" s="297"/>
      <c r="K108" s="33"/>
      <c r="L108" s="310" t="s">
        <v>113</v>
      </c>
      <c r="M108" s="311"/>
      <c r="N108" s="311"/>
      <c r="O108" s="312"/>
      <c r="P108" s="23">
        <f>P107/COS(H86)</f>
        <v>5.041799051584813</v>
      </c>
      <c r="Q108" s="46" t="s">
        <v>48</v>
      </c>
      <c r="R108" s="33"/>
      <c r="S108" s="38"/>
    </row>
    <row r="109" spans="1:24" x14ac:dyDescent="0.25">
      <c r="A109" s="37"/>
      <c r="B109" s="33"/>
      <c r="C109" s="33"/>
      <c r="D109" s="33"/>
      <c r="E109" s="33"/>
      <c r="F109" s="33"/>
      <c r="G109" s="33"/>
      <c r="H109" s="33"/>
      <c r="I109" s="33"/>
      <c r="J109" s="297"/>
      <c r="K109" s="33"/>
      <c r="L109" s="475" t="s">
        <v>112</v>
      </c>
      <c r="M109" s="476"/>
      <c r="N109" s="476"/>
      <c r="O109" s="477"/>
      <c r="P109" s="118">
        <f>I119/1000*TAN(H86)+P108</f>
        <v>5.0943146169505411</v>
      </c>
      <c r="Q109" s="152" t="s">
        <v>48</v>
      </c>
      <c r="R109" s="33"/>
      <c r="S109" s="38"/>
    </row>
    <row r="110" spans="1:24" x14ac:dyDescent="0.25">
      <c r="A110" s="37"/>
      <c r="B110" s="33"/>
      <c r="C110" s="33"/>
      <c r="D110" s="33"/>
      <c r="E110" s="33"/>
      <c r="F110" s="33"/>
      <c r="G110" s="33"/>
      <c r="H110" s="33"/>
      <c r="I110" s="33"/>
      <c r="J110" s="297"/>
      <c r="K110" s="33"/>
      <c r="L110" s="392" t="s">
        <v>111</v>
      </c>
      <c r="M110" s="393"/>
      <c r="N110" s="393"/>
      <c r="O110" s="394"/>
      <c r="P110" s="117">
        <f>ROUNDUP((D14-2*G22/100-2*C26/100-H119/1000)/(G117/100),0)</f>
        <v>31</v>
      </c>
      <c r="Q110" s="153" t="s">
        <v>110</v>
      </c>
      <c r="R110" s="33"/>
      <c r="S110" s="38"/>
    </row>
    <row r="111" spans="1:24" x14ac:dyDescent="0.25">
      <c r="A111" s="37"/>
      <c r="B111" s="33"/>
      <c r="C111" s="33"/>
      <c r="D111" s="33"/>
      <c r="E111" s="33"/>
      <c r="F111" s="33"/>
      <c r="G111" s="33"/>
      <c r="H111" s="33"/>
      <c r="I111" s="33"/>
      <c r="J111" s="297"/>
      <c r="K111" s="33"/>
      <c r="L111" s="392" t="s">
        <v>116</v>
      </c>
      <c r="M111" s="393"/>
      <c r="N111" s="393"/>
      <c r="O111" s="394"/>
      <c r="P111" s="117">
        <f>IF(A117=0,P110+2,P110+4)</f>
        <v>35</v>
      </c>
      <c r="Q111" s="153" t="s">
        <v>110</v>
      </c>
      <c r="R111" s="33"/>
      <c r="S111" s="38"/>
    </row>
    <row r="112" spans="1:24" x14ac:dyDescent="0.25">
      <c r="A112" s="37"/>
      <c r="B112" s="33"/>
      <c r="C112" s="33"/>
      <c r="D112" s="33"/>
      <c r="E112" s="33"/>
      <c r="F112" s="33"/>
      <c r="G112" s="33"/>
      <c r="H112" s="33"/>
      <c r="I112" s="33"/>
      <c r="J112" s="297"/>
      <c r="K112" s="33"/>
      <c r="L112" s="392" t="s">
        <v>115</v>
      </c>
      <c r="M112" s="393"/>
      <c r="N112" s="393"/>
      <c r="O112" s="394"/>
      <c r="P112" s="117">
        <f>P111*2</f>
        <v>70</v>
      </c>
      <c r="Q112" s="153" t="s">
        <v>110</v>
      </c>
      <c r="R112" s="33"/>
      <c r="S112" s="38"/>
    </row>
    <row r="113" spans="1:19" x14ac:dyDescent="0.25">
      <c r="A113" s="37"/>
      <c r="B113" s="33"/>
      <c r="C113" s="33"/>
      <c r="D113" s="33"/>
      <c r="E113" s="33"/>
      <c r="F113" s="33"/>
      <c r="G113" s="33"/>
      <c r="H113" s="33"/>
      <c r="I113" s="33"/>
      <c r="J113" s="297"/>
      <c r="K113" s="33"/>
      <c r="L113" s="392" t="s">
        <v>114</v>
      </c>
      <c r="M113" s="393"/>
      <c r="N113" s="393"/>
      <c r="O113" s="394"/>
      <c r="P113" s="117">
        <f>P112*P109</f>
        <v>356.60202318653785</v>
      </c>
      <c r="Q113" s="153" t="s">
        <v>48</v>
      </c>
      <c r="R113" s="33"/>
      <c r="S113" s="38"/>
    </row>
    <row r="114" spans="1:19" ht="15.75" thickBot="1" x14ac:dyDescent="0.3">
      <c r="A114" s="37"/>
      <c r="B114" s="33"/>
      <c r="C114" s="33"/>
      <c r="D114" s="33"/>
      <c r="E114" s="33"/>
      <c r="F114" s="33"/>
      <c r="G114" s="33"/>
      <c r="H114" s="33"/>
      <c r="I114" s="33"/>
      <c r="J114" s="297"/>
      <c r="K114" s="33"/>
      <c r="L114" s="478" t="s">
        <v>117</v>
      </c>
      <c r="M114" s="479"/>
      <c r="N114" s="479"/>
      <c r="O114" s="480"/>
      <c r="P114" s="154">
        <f>P113*H119/1000*I119/1000</f>
        <v>1.3372575869495169</v>
      </c>
      <c r="Q114" s="155" t="s">
        <v>50</v>
      </c>
      <c r="R114" s="33"/>
      <c r="S114" s="38"/>
    </row>
    <row r="115" spans="1:19" x14ac:dyDescent="0.25">
      <c r="A115" s="37"/>
      <c r="B115" s="33"/>
      <c r="C115" s="33"/>
      <c r="D115" s="33"/>
      <c r="E115" s="33"/>
      <c r="F115" s="33"/>
      <c r="G115" s="33"/>
      <c r="H115" s="33"/>
      <c r="I115" s="33"/>
      <c r="J115" s="297"/>
      <c r="K115" s="33"/>
      <c r="L115" s="481" t="s">
        <v>118</v>
      </c>
      <c r="M115" s="482"/>
      <c r="N115" s="482"/>
      <c r="O115" s="483"/>
      <c r="P115" s="191">
        <f>(D14-2*C26/100-2*G22/100)*2</f>
        <v>30.42</v>
      </c>
      <c r="Q115" s="69" t="s">
        <v>48</v>
      </c>
      <c r="R115" s="33"/>
      <c r="S115" s="38"/>
    </row>
    <row r="116" spans="1:19" x14ac:dyDescent="0.25">
      <c r="A116" s="37"/>
      <c r="B116" s="33"/>
      <c r="C116" s="33"/>
      <c r="D116" s="33"/>
      <c r="E116" s="33"/>
      <c r="F116" s="33"/>
      <c r="G116" s="33"/>
      <c r="H116" s="33"/>
      <c r="I116" s="33"/>
      <c r="J116" s="297"/>
      <c r="K116" s="33"/>
      <c r="L116" s="395" t="s">
        <v>122</v>
      </c>
      <c r="M116" s="396"/>
      <c r="N116" s="396"/>
      <c r="O116" s="397"/>
      <c r="P116" s="184">
        <f>P115*H120/1000*I120/1000</f>
        <v>0.5133375</v>
      </c>
      <c r="Q116" s="71" t="s">
        <v>50</v>
      </c>
      <c r="R116" s="33"/>
      <c r="S116" s="38"/>
    </row>
    <row r="117" spans="1:19" x14ac:dyDescent="0.25">
      <c r="A117" s="144">
        <v>10</v>
      </c>
      <c r="B117" s="33" t="s">
        <v>109</v>
      </c>
      <c r="C117" s="33"/>
      <c r="D117" s="33"/>
      <c r="E117" s="33" t="s">
        <v>104</v>
      </c>
      <c r="F117" s="33"/>
      <c r="G117" s="144">
        <v>50</v>
      </c>
      <c r="H117" s="33"/>
      <c r="I117" s="33"/>
      <c r="J117" s="297"/>
      <c r="K117" s="33"/>
      <c r="L117" s="395" t="s">
        <v>143</v>
      </c>
      <c r="M117" s="396"/>
      <c r="N117" s="396"/>
      <c r="O117" s="397"/>
      <c r="P117" s="70">
        <f>(ROUNDUP(R120,0)+1)*2</f>
        <v>24</v>
      </c>
      <c r="Q117" s="71" t="s">
        <v>48</v>
      </c>
      <c r="R117" s="33"/>
      <c r="S117" s="38"/>
    </row>
    <row r="118" spans="1:19" ht="15.75" thickBot="1" x14ac:dyDescent="0.3">
      <c r="A118" s="37"/>
      <c r="B118" s="33"/>
      <c r="C118" s="33"/>
      <c r="D118" s="33"/>
      <c r="H118" s="140" t="s">
        <v>106</v>
      </c>
      <c r="I118" s="44" t="s">
        <v>107</v>
      </c>
      <c r="J118" s="297"/>
      <c r="K118" s="33"/>
      <c r="L118" s="389" t="s">
        <v>144</v>
      </c>
      <c r="M118" s="390"/>
      <c r="N118" s="390"/>
      <c r="O118" s="391"/>
      <c r="P118" s="183">
        <f>(D14-2*C26/100-2*G22/100)*2</f>
        <v>30.42</v>
      </c>
      <c r="Q118" s="72" t="s">
        <v>48</v>
      </c>
      <c r="R118" s="33"/>
      <c r="S118" s="38"/>
    </row>
    <row r="119" spans="1:19" x14ac:dyDescent="0.25">
      <c r="A119" s="37"/>
      <c r="B119" s="33"/>
      <c r="C119" s="33"/>
      <c r="D119" s="33"/>
      <c r="E119" s="336" t="s">
        <v>108</v>
      </c>
      <c r="F119" s="336"/>
      <c r="G119" s="341"/>
      <c r="H119" s="144">
        <v>50</v>
      </c>
      <c r="I119" s="163">
        <v>75</v>
      </c>
      <c r="J119" s="298"/>
      <c r="K119" s="33"/>
      <c r="L119" s="348" t="s">
        <v>124</v>
      </c>
      <c r="M119" s="349"/>
      <c r="N119" s="349"/>
      <c r="O119" s="350"/>
      <c r="P119" s="189">
        <f>IF(P108&lt;=2,0,IF(P108&lt;=4,1,IF(P108&lt;=6,2,IF(P108&lt;=8,3,IF(P108&lt;=10,4,IF(P108&lt;=12,5,IF(P108&lt;=14,6,IF(P108&lt;=16,7,0))))))))</f>
        <v>2</v>
      </c>
      <c r="Q119" s="65" t="s">
        <v>110</v>
      </c>
      <c r="R119" s="33"/>
      <c r="S119" s="38"/>
    </row>
    <row r="120" spans="1:19" x14ac:dyDescent="0.25">
      <c r="A120" s="37"/>
      <c r="B120" s="33"/>
      <c r="C120" s="33"/>
      <c r="D120" s="33"/>
      <c r="E120" s="474" t="s">
        <v>119</v>
      </c>
      <c r="F120" s="474"/>
      <c r="G120" s="474"/>
      <c r="H120" s="144">
        <v>75</v>
      </c>
      <c r="I120" s="163">
        <v>225</v>
      </c>
      <c r="J120" s="298"/>
      <c r="K120" s="33"/>
      <c r="L120" s="398" t="s">
        <v>123</v>
      </c>
      <c r="M120" s="399"/>
      <c r="N120" s="399"/>
      <c r="O120" s="400"/>
      <c r="P120" s="160">
        <f>P119*2</f>
        <v>4</v>
      </c>
      <c r="Q120" s="67" t="s">
        <v>110</v>
      </c>
      <c r="R120" s="141">
        <f>(D14-2*C26/100-2*G22/100)/1.5</f>
        <v>10.14</v>
      </c>
      <c r="S120" s="38"/>
    </row>
    <row r="121" spans="1:19" x14ac:dyDescent="0.25">
      <c r="A121" s="37"/>
      <c r="B121" s="33"/>
      <c r="C121" s="33"/>
      <c r="D121" s="33"/>
      <c r="E121" s="336" t="s">
        <v>120</v>
      </c>
      <c r="F121" s="336"/>
      <c r="G121" s="336"/>
      <c r="H121" s="144">
        <v>75</v>
      </c>
      <c r="I121" s="163">
        <v>225</v>
      </c>
      <c r="J121" s="298"/>
      <c r="K121" s="33"/>
      <c r="L121" s="398" t="s">
        <v>125</v>
      </c>
      <c r="M121" s="399"/>
      <c r="N121" s="399"/>
      <c r="O121" s="400"/>
      <c r="P121" s="188">
        <f>(D14-2*C26/100-2*G22/100+2*0.15)*P120</f>
        <v>62.040000000000006</v>
      </c>
      <c r="Q121" s="67" t="s">
        <v>48</v>
      </c>
      <c r="R121" s="151"/>
      <c r="S121" s="38"/>
    </row>
    <row r="122" spans="1:19" ht="15.75" thickBot="1" x14ac:dyDescent="0.3">
      <c r="A122" s="37"/>
      <c r="B122" s="33"/>
      <c r="C122" s="33"/>
      <c r="D122" s="33"/>
      <c r="E122" s="336" t="s">
        <v>121</v>
      </c>
      <c r="F122" s="336"/>
      <c r="G122" s="336"/>
      <c r="H122" s="144">
        <v>75</v>
      </c>
      <c r="I122" s="163">
        <v>225</v>
      </c>
      <c r="J122" s="298"/>
      <c r="K122" s="33"/>
      <c r="L122" s="366" t="s">
        <v>126</v>
      </c>
      <c r="M122" s="367"/>
      <c r="N122" s="367"/>
      <c r="O122" s="368"/>
      <c r="P122" s="161">
        <f>P121*H121/1000*I121/1000</f>
        <v>1.0469250000000001</v>
      </c>
      <c r="Q122" s="162" t="s">
        <v>50</v>
      </c>
      <c r="R122" s="33"/>
      <c r="S122" s="38"/>
    </row>
    <row r="123" spans="1:19" x14ac:dyDescent="0.25">
      <c r="A123" s="37"/>
      <c r="B123" s="33"/>
      <c r="C123" s="33"/>
      <c r="D123" s="33"/>
      <c r="E123" s="33"/>
      <c r="F123" s="33"/>
      <c r="G123" s="33"/>
      <c r="H123" s="33"/>
      <c r="I123" s="33"/>
      <c r="J123" s="297"/>
      <c r="K123" s="33"/>
      <c r="L123" s="387" t="s">
        <v>127</v>
      </c>
      <c r="M123" s="388"/>
      <c r="N123" s="388"/>
      <c r="O123" s="388"/>
      <c r="P123" s="156">
        <f>(D14-2*C26/100-2*G22/100+2*0.15)</f>
        <v>15.510000000000002</v>
      </c>
      <c r="Q123" s="157" t="s">
        <v>48</v>
      </c>
      <c r="R123" s="33"/>
      <c r="S123" s="38"/>
    </row>
    <row r="124" spans="1:19" x14ac:dyDescent="0.25">
      <c r="A124" s="37"/>
      <c r="B124" s="33"/>
      <c r="C124" s="33"/>
      <c r="D124" s="33"/>
      <c r="E124" s="33"/>
      <c r="F124" s="33"/>
      <c r="G124" s="33"/>
      <c r="H124" s="33"/>
      <c r="I124" s="33"/>
      <c r="J124" s="297"/>
      <c r="K124" s="33"/>
      <c r="L124" s="489" t="s">
        <v>128</v>
      </c>
      <c r="M124" s="490"/>
      <c r="N124" s="490"/>
      <c r="O124" s="490"/>
      <c r="P124" s="201">
        <f>P123*H122/1000*I122/1000</f>
        <v>0.26173125000000003</v>
      </c>
      <c r="Q124" s="200" t="s">
        <v>50</v>
      </c>
      <c r="R124" s="33"/>
      <c r="S124" s="38"/>
    </row>
    <row r="125" spans="1:19" ht="15.75" thickBot="1" x14ac:dyDescent="0.3">
      <c r="A125" s="37"/>
      <c r="B125" s="33"/>
      <c r="C125" s="33"/>
      <c r="D125" s="33"/>
      <c r="E125" s="33"/>
      <c r="F125" s="33"/>
      <c r="G125" s="33"/>
      <c r="H125" s="33"/>
      <c r="I125" s="33"/>
      <c r="J125" s="297"/>
      <c r="K125" s="33"/>
      <c r="L125" s="487" t="s">
        <v>145</v>
      </c>
      <c r="M125" s="488"/>
      <c r="N125" s="488"/>
      <c r="O125" s="488"/>
      <c r="P125" s="185">
        <f>P123*2</f>
        <v>31.020000000000003</v>
      </c>
      <c r="Q125" s="159" t="s">
        <v>48</v>
      </c>
      <c r="R125" s="33"/>
      <c r="S125" s="38"/>
    </row>
    <row r="126" spans="1:19" x14ac:dyDescent="0.25">
      <c r="A126" s="37"/>
      <c r="B126" s="33"/>
      <c r="C126" s="33"/>
      <c r="D126" s="33"/>
      <c r="E126" s="144">
        <v>15</v>
      </c>
      <c r="F126" s="33" t="s">
        <v>105</v>
      </c>
      <c r="G126" s="33"/>
      <c r="H126" s="33"/>
      <c r="I126" s="33"/>
      <c r="J126" s="297"/>
      <c r="K126" s="33"/>
      <c r="L126" s="401" t="s">
        <v>172</v>
      </c>
      <c r="M126" s="402"/>
      <c r="N126" s="402"/>
      <c r="O126" s="402"/>
      <c r="P126" s="211">
        <f>4*P109</f>
        <v>20.377258467802164</v>
      </c>
      <c r="Q126" s="209" t="s">
        <v>48</v>
      </c>
      <c r="R126" s="33"/>
      <c r="S126" s="38"/>
    </row>
    <row r="127" spans="1:19" x14ac:dyDescent="0.25">
      <c r="A127" s="37"/>
      <c r="B127" s="33"/>
      <c r="C127" s="33"/>
      <c r="D127" s="33"/>
      <c r="E127" s="33"/>
      <c r="F127" s="33"/>
      <c r="G127" s="33"/>
      <c r="H127" s="33"/>
      <c r="I127" s="33"/>
      <c r="J127" s="297"/>
      <c r="K127" s="33"/>
      <c r="L127" s="403" t="s">
        <v>173</v>
      </c>
      <c r="M127" s="404"/>
      <c r="N127" s="404"/>
      <c r="O127" s="404"/>
      <c r="P127" s="75">
        <f>P130*E126/100</f>
        <v>4.7430000000000003</v>
      </c>
      <c r="Q127" s="76" t="s">
        <v>49</v>
      </c>
      <c r="R127" s="33"/>
      <c r="S127" s="38"/>
    </row>
    <row r="128" spans="1:19" s="32" customFormat="1" x14ac:dyDescent="0.25">
      <c r="A128" s="37"/>
      <c r="B128" s="33"/>
      <c r="C128" s="33"/>
      <c r="D128" s="33"/>
      <c r="E128" s="33"/>
      <c r="F128" s="33"/>
      <c r="G128" s="33"/>
      <c r="H128" s="33"/>
      <c r="I128" s="33"/>
      <c r="J128" s="297"/>
      <c r="K128" s="33"/>
      <c r="L128" s="354" t="s">
        <v>240</v>
      </c>
      <c r="M128" s="355"/>
      <c r="N128" s="355"/>
      <c r="O128" s="356"/>
      <c r="P128" s="237">
        <f>D14-2*C26/100+A117/100</f>
        <v>15.71</v>
      </c>
      <c r="Q128" s="238" t="s">
        <v>48</v>
      </c>
      <c r="R128" s="33"/>
      <c r="S128" s="38"/>
    </row>
    <row r="129" spans="1:19" s="32" customFormat="1" x14ac:dyDescent="0.25">
      <c r="A129" s="37"/>
      <c r="B129" s="33"/>
      <c r="C129" s="33"/>
      <c r="D129" s="33"/>
      <c r="E129" s="33"/>
      <c r="F129" s="33"/>
      <c r="G129" s="33"/>
      <c r="H129" s="33"/>
      <c r="I129" s="33"/>
      <c r="J129" s="297"/>
      <c r="K129" s="33"/>
      <c r="L129" s="354" t="s">
        <v>241</v>
      </c>
      <c r="M129" s="355"/>
      <c r="N129" s="355"/>
      <c r="O129" s="356"/>
      <c r="P129" s="237">
        <v>2</v>
      </c>
      <c r="Q129" s="238" t="s">
        <v>110</v>
      </c>
      <c r="R129" s="33"/>
      <c r="S129" s="38"/>
    </row>
    <row r="130" spans="1:19" ht="15.75" thickBot="1" x14ac:dyDescent="0.3">
      <c r="A130" s="39"/>
      <c r="B130" s="40"/>
      <c r="C130" s="40"/>
      <c r="D130" s="40"/>
      <c r="E130" s="40"/>
      <c r="F130" s="40"/>
      <c r="G130" s="40"/>
      <c r="H130" s="40"/>
      <c r="I130" s="40"/>
      <c r="J130" s="299"/>
      <c r="K130" s="40"/>
      <c r="L130" s="405" t="s">
        <v>174</v>
      </c>
      <c r="M130" s="406"/>
      <c r="N130" s="406"/>
      <c r="O130" s="406"/>
      <c r="P130" s="210">
        <f>(D14-2*C26/100+2*A117/100)*2</f>
        <v>31.62</v>
      </c>
      <c r="Q130" s="78" t="s">
        <v>48</v>
      </c>
      <c r="R130" s="40"/>
      <c r="S130" s="41"/>
    </row>
    <row r="131" spans="1:19" ht="15.75" thickBot="1" x14ac:dyDescent="0.3"/>
    <row r="132" spans="1:19" ht="15.75" thickBot="1" x14ac:dyDescent="0.3">
      <c r="A132" s="34"/>
      <c r="B132" s="35"/>
      <c r="C132" s="35"/>
      <c r="D132" s="35"/>
      <c r="E132" s="35"/>
      <c r="F132" s="35"/>
      <c r="G132" s="35"/>
      <c r="H132" s="35"/>
      <c r="I132" s="35"/>
      <c r="J132" s="296" t="s">
        <v>147</v>
      </c>
      <c r="K132" s="35"/>
      <c r="L132" s="35"/>
      <c r="M132" s="35"/>
      <c r="N132" s="35"/>
      <c r="O132" s="35"/>
      <c r="P132" s="35"/>
      <c r="Q132" s="35"/>
      <c r="R132" s="35"/>
      <c r="S132" s="36"/>
    </row>
    <row r="133" spans="1:19" ht="15.75" thickBot="1" x14ac:dyDescent="0.3">
      <c r="A133" s="37"/>
      <c r="B133" s="33"/>
      <c r="C133" s="33"/>
      <c r="D133" s="33"/>
      <c r="E133" s="33"/>
      <c r="F133" s="33"/>
      <c r="G133" s="33"/>
      <c r="H133" s="33"/>
      <c r="I133" s="33"/>
      <c r="J133" s="297"/>
      <c r="K133" s="33"/>
      <c r="L133" s="329" t="s">
        <v>134</v>
      </c>
      <c r="M133" s="330"/>
      <c r="N133" s="330"/>
      <c r="O133" s="330"/>
      <c r="P133" s="170">
        <f>IF(R133&lt;=4,0,IF(R133&lt;=8,1-E18,IF(R133&lt;=12,2-E18,IF(R133&lt;=16,3-E18,IF(R133&lt;=20,4-E18,IF(R133&lt;=24,5-E18,IF(R133&lt;=28,6-E18,IF(R133&lt;=32,7-E18,0))))))))</f>
        <v>3</v>
      </c>
      <c r="Q133" s="19" t="s">
        <v>110</v>
      </c>
      <c r="R133" s="186">
        <f>D14-2*C26/100-2*G22/100</f>
        <v>15.21</v>
      </c>
      <c r="S133" s="38"/>
    </row>
    <row r="134" spans="1:19" ht="15.75" thickBot="1" x14ac:dyDescent="0.3">
      <c r="A134" s="37"/>
      <c r="B134" s="33"/>
      <c r="C134" s="33"/>
      <c r="D134" s="33"/>
      <c r="E134" s="33"/>
      <c r="F134" s="33"/>
      <c r="G134" s="33"/>
      <c r="H134" s="33"/>
      <c r="I134" s="33"/>
      <c r="J134" s="297"/>
      <c r="K134" s="33"/>
      <c r="L134" s="336"/>
      <c r="M134" s="336"/>
      <c r="N134" s="336"/>
      <c r="O134" s="336"/>
      <c r="P134" s="30"/>
      <c r="Q134" s="111"/>
      <c r="R134" s="33"/>
      <c r="S134" s="38"/>
    </row>
    <row r="135" spans="1:19" ht="15.75" thickBot="1" x14ac:dyDescent="0.3">
      <c r="A135" s="37"/>
      <c r="B135" s="33"/>
      <c r="C135" s="33"/>
      <c r="D135" s="33"/>
      <c r="E135" s="33"/>
      <c r="F135" s="33"/>
      <c r="G135" s="33"/>
      <c r="H135" s="33"/>
      <c r="I135" s="33"/>
      <c r="J135" s="297"/>
      <c r="K135" s="33"/>
      <c r="L135" s="383" t="s">
        <v>135</v>
      </c>
      <c r="M135" s="384"/>
      <c r="N135" s="384"/>
      <c r="O135" s="384"/>
      <c r="P135" s="171">
        <f>(I86+0.15)*P133</f>
        <v>8.8104780062239332</v>
      </c>
      <c r="Q135" s="172" t="s">
        <v>48</v>
      </c>
      <c r="R135" s="33"/>
      <c r="S135" s="38"/>
    </row>
    <row r="136" spans="1:19" ht="15.75" thickBot="1" x14ac:dyDescent="0.3">
      <c r="A136" s="37"/>
      <c r="B136" s="33"/>
      <c r="C136" s="33"/>
      <c r="D136" s="33"/>
      <c r="E136" s="33"/>
      <c r="F136" s="33"/>
      <c r="G136" s="33"/>
      <c r="H136" s="33"/>
      <c r="I136" s="33"/>
      <c r="J136" s="297"/>
      <c r="K136" s="33"/>
      <c r="L136" s="383" t="s">
        <v>136</v>
      </c>
      <c r="M136" s="384"/>
      <c r="N136" s="384"/>
      <c r="O136" s="384"/>
      <c r="P136" s="173">
        <f>P135*F149/1000*G149/1000</f>
        <v>0.19823575514003849</v>
      </c>
      <c r="Q136" s="172" t="s">
        <v>50</v>
      </c>
      <c r="R136" s="165"/>
      <c r="S136" s="38"/>
    </row>
    <row r="137" spans="1:19" ht="15.75" thickBot="1" x14ac:dyDescent="0.3">
      <c r="A137" s="37"/>
      <c r="B137" s="33"/>
      <c r="C137" s="33"/>
      <c r="D137" s="33"/>
      <c r="E137" s="33"/>
      <c r="F137" s="33"/>
      <c r="G137" s="33"/>
      <c r="H137" s="33"/>
      <c r="I137" s="33"/>
      <c r="J137" s="297"/>
      <c r="K137" s="33"/>
      <c r="L137" s="293"/>
      <c r="M137" s="293"/>
      <c r="N137" s="293"/>
      <c r="O137" s="293"/>
      <c r="P137" s="167"/>
      <c r="Q137" s="168"/>
      <c r="R137" s="165"/>
      <c r="S137" s="38"/>
    </row>
    <row r="138" spans="1:19" ht="15.75" thickBot="1" x14ac:dyDescent="0.3">
      <c r="A138" s="37"/>
      <c r="B138" s="33"/>
      <c r="C138" s="33"/>
      <c r="D138" s="33"/>
      <c r="E138" s="33"/>
      <c r="F138" s="33"/>
      <c r="G138" s="33"/>
      <c r="H138" s="33"/>
      <c r="I138" s="33"/>
      <c r="J138" s="297"/>
      <c r="K138" s="33"/>
      <c r="L138" s="493" t="s">
        <v>137</v>
      </c>
      <c r="M138" s="494"/>
      <c r="N138" s="494"/>
      <c r="O138" s="494"/>
      <c r="P138" s="174">
        <f>((H8-2*C26/100-2*G22/100+2*0.15)*2)*P133</f>
        <v>47.16</v>
      </c>
      <c r="Q138" s="175" t="s">
        <v>48</v>
      </c>
      <c r="R138" s="165"/>
      <c r="S138" s="38"/>
    </row>
    <row r="139" spans="1:19" ht="15.75" thickBot="1" x14ac:dyDescent="0.3">
      <c r="A139" s="37"/>
      <c r="B139" s="33"/>
      <c r="C139" s="33"/>
      <c r="D139" s="33"/>
      <c r="E139" s="33"/>
      <c r="F139" s="33"/>
      <c r="G139" s="33"/>
      <c r="H139" s="33"/>
      <c r="I139" s="33"/>
      <c r="J139" s="297"/>
      <c r="K139" s="33"/>
      <c r="L139" s="493" t="s">
        <v>138</v>
      </c>
      <c r="M139" s="494"/>
      <c r="N139" s="494"/>
      <c r="O139" s="494"/>
      <c r="P139" s="176">
        <f>P138*F150/1000*G150/1000</f>
        <v>0.55177199999999993</v>
      </c>
      <c r="Q139" s="175" t="s">
        <v>50</v>
      </c>
      <c r="R139" s="165"/>
      <c r="S139" s="38"/>
    </row>
    <row r="140" spans="1:19" ht="15.75" thickBot="1" x14ac:dyDescent="0.3">
      <c r="A140" s="37"/>
      <c r="B140" s="33"/>
      <c r="C140" s="33"/>
      <c r="D140" s="33"/>
      <c r="E140" s="33"/>
      <c r="F140" s="33"/>
      <c r="G140" s="33"/>
      <c r="H140" s="33"/>
      <c r="I140" s="33"/>
      <c r="J140" s="297"/>
      <c r="K140" s="33"/>
      <c r="L140" s="293"/>
      <c r="M140" s="293"/>
      <c r="N140" s="293"/>
      <c r="O140" s="293"/>
      <c r="P140" s="167"/>
      <c r="Q140" s="168"/>
      <c r="R140" s="165"/>
      <c r="S140" s="38"/>
    </row>
    <row r="141" spans="1:19" ht="15.75" thickBot="1" x14ac:dyDescent="0.3">
      <c r="A141" s="37"/>
      <c r="B141" s="33"/>
      <c r="C141" s="33"/>
      <c r="D141" s="33"/>
      <c r="E141" s="33"/>
      <c r="F141" s="33"/>
      <c r="G141" s="33"/>
      <c r="H141" s="33"/>
      <c r="I141" s="33"/>
      <c r="J141" s="297"/>
      <c r="K141" s="33"/>
      <c r="L141" s="385" t="s">
        <v>139</v>
      </c>
      <c r="M141" s="386"/>
      <c r="N141" s="386"/>
      <c r="O141" s="386"/>
      <c r="P141" s="177">
        <f>(2*(((H8-2*C26/100-2*G22/100)/2)/COS(H86)))*P133</f>
        <v>27.687167673109819</v>
      </c>
      <c r="Q141" s="178" t="s">
        <v>48</v>
      </c>
      <c r="R141" s="165"/>
      <c r="S141" s="38"/>
    </row>
    <row r="142" spans="1:19" ht="15.75" thickBot="1" x14ac:dyDescent="0.3">
      <c r="A142" s="164"/>
      <c r="B142" s="33" t="s">
        <v>109</v>
      </c>
      <c r="C142" s="33"/>
      <c r="D142" s="33"/>
      <c r="E142" s="33" t="s">
        <v>104</v>
      </c>
      <c r="F142" s="33"/>
      <c r="G142" s="144">
        <v>55</v>
      </c>
      <c r="H142" s="33"/>
      <c r="I142" s="33"/>
      <c r="J142" s="297"/>
      <c r="K142" s="33"/>
      <c r="L142" s="385" t="s">
        <v>140</v>
      </c>
      <c r="M142" s="386"/>
      <c r="N142" s="386"/>
      <c r="O142" s="386"/>
      <c r="P142" s="179">
        <f>P141*F151/1000*G151/1000</f>
        <v>0.32393986177538486</v>
      </c>
      <c r="Q142" s="178" t="s">
        <v>50</v>
      </c>
      <c r="R142" s="165"/>
      <c r="S142" s="38"/>
    </row>
    <row r="143" spans="1:19" ht="15.75" thickBot="1" x14ac:dyDescent="0.3">
      <c r="A143" s="37"/>
      <c r="B143" s="33"/>
      <c r="C143" s="33"/>
      <c r="D143" s="33"/>
      <c r="J143" s="297"/>
      <c r="K143" s="33"/>
      <c r="L143" s="293"/>
      <c r="M143" s="293"/>
      <c r="N143" s="293"/>
      <c r="O143" s="293"/>
      <c r="P143" s="168"/>
      <c r="Q143" s="168"/>
      <c r="R143" s="165"/>
      <c r="S143" s="38"/>
    </row>
    <row r="144" spans="1:19" ht="15.75" thickBot="1" x14ac:dyDescent="0.3">
      <c r="A144" s="37"/>
      <c r="B144" s="33"/>
      <c r="C144" s="33"/>
      <c r="D144" s="33"/>
      <c r="I144" s="38"/>
      <c r="J144" s="298"/>
      <c r="K144" s="33"/>
      <c r="L144" s="491" t="s">
        <v>141</v>
      </c>
      <c r="M144" s="492"/>
      <c r="N144" s="492"/>
      <c r="O144" s="492"/>
      <c r="P144" s="180">
        <f>(P108/2)*2*P133</f>
        <v>15.125397154754438</v>
      </c>
      <c r="Q144" s="181" t="s">
        <v>48</v>
      </c>
      <c r="R144" s="165"/>
      <c r="S144" s="38"/>
    </row>
    <row r="145" spans="1:19" ht="15.75" thickBot="1" x14ac:dyDescent="0.3">
      <c r="A145" s="37"/>
      <c r="B145" s="33"/>
      <c r="I145" s="38"/>
      <c r="J145" s="298"/>
      <c r="K145" s="33"/>
      <c r="L145" s="491" t="s">
        <v>142</v>
      </c>
      <c r="M145" s="492"/>
      <c r="N145" s="492"/>
      <c r="O145" s="492"/>
      <c r="P145" s="182">
        <f>P144*F152/1000*G152/1000</f>
        <v>0.17696714671062694</v>
      </c>
      <c r="Q145" s="181" t="s">
        <v>50</v>
      </c>
      <c r="R145" s="165"/>
      <c r="S145" s="38"/>
    </row>
    <row r="146" spans="1:19" ht="15.75" thickBot="1" x14ac:dyDescent="0.3">
      <c r="A146" s="37"/>
      <c r="B146" s="33"/>
      <c r="I146" s="38"/>
      <c r="J146" s="298"/>
      <c r="K146" s="33"/>
      <c r="L146" s="293"/>
      <c r="M146" s="293"/>
      <c r="N146" s="293"/>
      <c r="O146" s="293"/>
      <c r="P146" s="168"/>
      <c r="Q146" s="168"/>
      <c r="R146" s="166"/>
      <c r="S146" s="38"/>
    </row>
    <row r="147" spans="1:19" ht="15.75" thickBot="1" x14ac:dyDescent="0.3">
      <c r="A147" s="37"/>
      <c r="B147" s="33"/>
      <c r="I147" s="38"/>
      <c r="J147" s="298"/>
      <c r="K147" s="33"/>
      <c r="L147" s="491" t="s">
        <v>146</v>
      </c>
      <c r="M147" s="492"/>
      <c r="N147" s="492"/>
      <c r="O147" s="492"/>
      <c r="P147" s="180">
        <f>P120*P133</f>
        <v>12</v>
      </c>
      <c r="Q147" s="181" t="s">
        <v>110</v>
      </c>
      <c r="R147" s="165"/>
      <c r="S147" s="38"/>
    </row>
    <row r="148" spans="1:19" x14ac:dyDescent="0.25">
      <c r="A148" s="37"/>
      <c r="B148" s="33"/>
      <c r="C148" s="32"/>
      <c r="D148" s="32"/>
      <c r="E148" s="32"/>
      <c r="F148" s="140" t="s">
        <v>106</v>
      </c>
      <c r="G148" s="44" t="s">
        <v>107</v>
      </c>
      <c r="I148" s="38"/>
      <c r="J148" s="298"/>
      <c r="K148" s="33"/>
      <c r="L148" s="293"/>
      <c r="M148" s="293"/>
      <c r="N148" s="293"/>
      <c r="O148" s="293"/>
      <c r="P148" s="168"/>
      <c r="Q148" s="168"/>
      <c r="R148" s="165"/>
      <c r="S148" s="38"/>
    </row>
    <row r="149" spans="1:19" x14ac:dyDescent="0.25">
      <c r="A149" s="37"/>
      <c r="B149" s="33"/>
      <c r="C149" s="336" t="s">
        <v>131</v>
      </c>
      <c r="D149" s="336"/>
      <c r="E149" s="341"/>
      <c r="F149" s="144">
        <v>150</v>
      </c>
      <c r="G149" s="144">
        <v>150</v>
      </c>
      <c r="J149" s="297"/>
      <c r="K149" s="33"/>
      <c r="L149" s="293"/>
      <c r="M149" s="293"/>
      <c r="N149" s="293"/>
      <c r="O149" s="293"/>
      <c r="P149" s="169"/>
      <c r="Q149" s="168"/>
      <c r="R149" s="165"/>
      <c r="S149" s="38"/>
    </row>
    <row r="150" spans="1:19" x14ac:dyDescent="0.25">
      <c r="A150" s="37"/>
      <c r="B150" s="33"/>
      <c r="C150" s="474" t="s">
        <v>130</v>
      </c>
      <c r="D150" s="474"/>
      <c r="E150" s="341"/>
      <c r="F150" s="144">
        <v>65</v>
      </c>
      <c r="G150" s="144">
        <v>180</v>
      </c>
      <c r="H150" s="33"/>
      <c r="I150" s="33"/>
      <c r="J150" s="297"/>
      <c r="K150" s="33"/>
      <c r="L150" s="165"/>
      <c r="M150" s="165"/>
      <c r="N150" s="165"/>
      <c r="O150" s="165"/>
      <c r="P150" s="165"/>
      <c r="Q150" s="165"/>
      <c r="R150" s="165"/>
      <c r="S150" s="38"/>
    </row>
    <row r="151" spans="1:19" x14ac:dyDescent="0.25">
      <c r="A151" s="37"/>
      <c r="B151" s="33"/>
      <c r="C151" s="474" t="s">
        <v>132</v>
      </c>
      <c r="D151" s="474"/>
      <c r="E151" s="341"/>
      <c r="F151" s="144">
        <v>65</v>
      </c>
      <c r="G151" s="144">
        <v>180</v>
      </c>
      <c r="H151" s="33"/>
      <c r="I151" s="33"/>
      <c r="J151" s="297"/>
      <c r="K151" s="33"/>
      <c r="L151" s="293"/>
      <c r="M151" s="293"/>
      <c r="N151" s="293"/>
      <c r="O151" s="293"/>
      <c r="P151" s="168"/>
      <c r="Q151" s="168"/>
      <c r="R151" s="165"/>
      <c r="S151" s="38"/>
    </row>
    <row r="152" spans="1:19" x14ac:dyDescent="0.25">
      <c r="A152" s="37"/>
      <c r="B152" s="33"/>
      <c r="C152" s="474" t="s">
        <v>133</v>
      </c>
      <c r="D152" s="474"/>
      <c r="E152" s="341"/>
      <c r="F152" s="144">
        <v>65</v>
      </c>
      <c r="G152" s="144">
        <v>180</v>
      </c>
      <c r="H152" s="33"/>
      <c r="I152" s="33"/>
      <c r="J152" s="297"/>
      <c r="K152" s="33"/>
      <c r="L152" s="293"/>
      <c r="M152" s="293"/>
      <c r="N152" s="293"/>
      <c r="O152" s="293"/>
      <c r="P152" s="169"/>
      <c r="Q152" s="168"/>
      <c r="R152" s="165"/>
      <c r="S152" s="38"/>
    </row>
    <row r="153" spans="1:19" ht="15.75" thickBot="1" x14ac:dyDescent="0.3">
      <c r="A153" s="39"/>
      <c r="B153" s="40"/>
      <c r="C153" s="40"/>
      <c r="D153" s="40"/>
      <c r="E153" s="40"/>
      <c r="F153" s="40"/>
      <c r="G153" s="40"/>
      <c r="H153" s="40"/>
      <c r="I153" s="40"/>
      <c r="J153" s="299"/>
      <c r="K153" s="40"/>
      <c r="L153" s="40"/>
      <c r="M153" s="40"/>
      <c r="N153" s="40"/>
      <c r="O153" s="40"/>
      <c r="P153" s="40"/>
      <c r="Q153" s="40"/>
      <c r="R153" s="40"/>
      <c r="S153" s="41"/>
    </row>
    <row r="154" spans="1:19" ht="15.75" thickBot="1" x14ac:dyDescent="0.3"/>
    <row r="155" spans="1:19" ht="15.75" thickBot="1" x14ac:dyDescent="0.3">
      <c r="A155" s="34"/>
      <c r="B155" s="35"/>
      <c r="C155" s="35"/>
      <c r="D155" s="35"/>
      <c r="E155" s="35"/>
      <c r="F155" s="35"/>
      <c r="G155" s="35"/>
      <c r="H155" s="35"/>
      <c r="I155" s="35"/>
      <c r="J155" s="326" t="s">
        <v>149</v>
      </c>
      <c r="K155" s="34"/>
      <c r="L155" s="35"/>
      <c r="M155" s="35"/>
      <c r="N155" s="35"/>
      <c r="O155" s="35"/>
      <c r="P155" s="35"/>
      <c r="Q155" s="35"/>
      <c r="R155" s="35"/>
      <c r="S155" s="36"/>
    </row>
    <row r="156" spans="1:19" x14ac:dyDescent="0.25">
      <c r="A156" s="37"/>
      <c r="B156" s="33"/>
      <c r="C156" s="33"/>
      <c r="D156" s="33"/>
      <c r="E156" s="33"/>
      <c r="F156" s="33"/>
      <c r="G156" s="33"/>
      <c r="H156" s="33"/>
      <c r="I156" s="33"/>
      <c r="J156" s="327"/>
      <c r="K156" s="33"/>
      <c r="L156" s="313" t="s">
        <v>150</v>
      </c>
      <c r="M156" s="314"/>
      <c r="N156" s="314"/>
      <c r="O156" s="315"/>
      <c r="P156" s="187">
        <f>ROUNDUP((D14-2*C26/100-2*G22/100)/(G165/100)-(H167/1000/2),0)+1</f>
        <v>27</v>
      </c>
      <c r="Q156" s="47" t="s">
        <v>110</v>
      </c>
      <c r="R156" s="186">
        <f>D37-2*C49/100-2*G45/100</f>
        <v>0</v>
      </c>
      <c r="S156" s="38"/>
    </row>
    <row r="157" spans="1:19" x14ac:dyDescent="0.25">
      <c r="A157" s="37"/>
      <c r="B157" s="33"/>
      <c r="C157" s="33"/>
      <c r="D157" s="33"/>
      <c r="E157" s="33"/>
      <c r="F157" s="33"/>
      <c r="G157" s="33"/>
      <c r="H157" s="33"/>
      <c r="I157" s="33"/>
      <c r="J157" s="327"/>
      <c r="K157" s="33"/>
      <c r="L157" s="304" t="s">
        <v>151</v>
      </c>
      <c r="M157" s="305"/>
      <c r="N157" s="305"/>
      <c r="O157" s="306"/>
      <c r="P157" s="22" t="str">
        <f>IF(I84&lt;=35,"&lt;=35°",IF(I84&lt;=40,"&lt;=40°",0))</f>
        <v>&lt;=35°</v>
      </c>
      <c r="Q157" s="20" t="s">
        <v>152</v>
      </c>
      <c r="R157" s="33"/>
      <c r="S157" s="38"/>
    </row>
    <row r="158" spans="1:19" x14ac:dyDescent="0.25">
      <c r="A158" s="37"/>
      <c r="B158" s="33"/>
      <c r="C158" s="33"/>
      <c r="D158" s="33"/>
      <c r="E158" s="33"/>
      <c r="F158" s="33"/>
      <c r="G158" s="33"/>
      <c r="H158" s="33"/>
      <c r="I158" s="33"/>
      <c r="J158" s="327"/>
      <c r="K158" s="33"/>
      <c r="L158" s="304" t="s">
        <v>155</v>
      </c>
      <c r="M158" s="305"/>
      <c r="N158" s="305"/>
      <c r="O158" s="306"/>
      <c r="P158" s="22">
        <f>H8+2*E174/100-2*C26/100</f>
        <v>8.3600000000000012</v>
      </c>
      <c r="Q158" s="20" t="s">
        <v>48</v>
      </c>
      <c r="R158" s="33"/>
      <c r="S158" s="38"/>
    </row>
    <row r="159" spans="1:19" x14ac:dyDescent="0.25">
      <c r="A159" s="37"/>
      <c r="B159" s="33"/>
      <c r="C159" s="33"/>
      <c r="D159" s="33"/>
      <c r="E159" s="33"/>
      <c r="F159" s="33"/>
      <c r="G159" s="33"/>
      <c r="H159" s="33"/>
      <c r="I159" s="33"/>
      <c r="J159" s="327"/>
      <c r="K159" s="33"/>
      <c r="L159" s="304" t="s">
        <v>156</v>
      </c>
      <c r="M159" s="305"/>
      <c r="N159" s="305"/>
      <c r="O159" s="306"/>
      <c r="P159" s="195">
        <f>(P158/2)/COS(H86)</f>
        <v>5.1028377810228873</v>
      </c>
      <c r="Q159" s="196" t="s">
        <v>48</v>
      </c>
      <c r="R159" s="165"/>
      <c r="S159" s="38"/>
    </row>
    <row r="160" spans="1:19" x14ac:dyDescent="0.25">
      <c r="A160" s="37"/>
      <c r="B160" s="33"/>
      <c r="C160" s="33"/>
      <c r="D160" s="33"/>
      <c r="E160" s="33"/>
      <c r="F160" s="33"/>
      <c r="G160" s="33"/>
      <c r="H160" s="33"/>
      <c r="I160" s="33"/>
      <c r="J160" s="327"/>
      <c r="K160" s="33"/>
      <c r="L160" s="304" t="s">
        <v>171</v>
      </c>
      <c r="M160" s="305"/>
      <c r="N160" s="305"/>
      <c r="O160" s="306"/>
      <c r="P160" s="195">
        <f>ROUNDUP(P158/2+P159,0)*4</f>
        <v>40</v>
      </c>
      <c r="Q160" s="196" t="s">
        <v>110</v>
      </c>
      <c r="R160" s="165"/>
      <c r="S160" s="38"/>
    </row>
    <row r="161" spans="1:19" x14ac:dyDescent="0.25">
      <c r="A161" s="37"/>
      <c r="B161" s="33"/>
      <c r="C161" s="33"/>
      <c r="D161" s="33"/>
      <c r="E161" s="33"/>
      <c r="F161" s="33"/>
      <c r="G161" s="33"/>
      <c r="H161" s="33"/>
      <c r="I161" s="33"/>
      <c r="J161" s="327"/>
      <c r="K161" s="33"/>
      <c r="L161" s="304" t="s">
        <v>157</v>
      </c>
      <c r="M161" s="305"/>
      <c r="N161" s="305"/>
      <c r="O161" s="306"/>
      <c r="P161" s="195">
        <f>2*P156</f>
        <v>54</v>
      </c>
      <c r="Q161" s="196" t="s">
        <v>110</v>
      </c>
      <c r="R161" s="333" t="s">
        <v>158</v>
      </c>
      <c r="S161" s="334"/>
    </row>
    <row r="162" spans="1:19" ht="15.75" thickBot="1" x14ac:dyDescent="0.3">
      <c r="A162" s="37"/>
      <c r="B162" s="33"/>
      <c r="C162" s="33"/>
      <c r="D162" s="33"/>
      <c r="E162" s="33"/>
      <c r="F162" s="33"/>
      <c r="G162" s="33"/>
      <c r="H162" s="33"/>
      <c r="I162" s="33"/>
      <c r="J162" s="327"/>
      <c r="K162" s="33"/>
      <c r="L162" s="310" t="s">
        <v>159</v>
      </c>
      <c r="M162" s="311"/>
      <c r="N162" s="311"/>
      <c r="O162" s="312"/>
      <c r="P162" s="197">
        <f>P156</f>
        <v>27</v>
      </c>
      <c r="Q162" s="198" t="s">
        <v>110</v>
      </c>
      <c r="R162" s="333"/>
      <c r="S162" s="334"/>
    </row>
    <row r="163" spans="1:19" x14ac:dyDescent="0.25">
      <c r="A163" s="37"/>
      <c r="B163" s="33"/>
      <c r="C163" s="33"/>
      <c r="D163" s="33"/>
      <c r="E163" s="33"/>
      <c r="F163" s="33"/>
      <c r="G163" s="33"/>
      <c r="H163" s="33"/>
      <c r="I163" s="33"/>
      <c r="J163" s="327"/>
      <c r="K163" s="33"/>
      <c r="L163" s="348" t="s">
        <v>375</v>
      </c>
      <c r="M163" s="349"/>
      <c r="N163" s="349"/>
      <c r="O163" s="350"/>
      <c r="P163" s="64">
        <f>IF(I84&lt;=35,4*(D14-2*C26/100-2*G22/100),5*(D14-2*C26/100-2*G22/100))</f>
        <v>60.84</v>
      </c>
      <c r="Q163" s="65" t="s">
        <v>48</v>
      </c>
      <c r="R163" s="165"/>
      <c r="S163" s="38"/>
    </row>
    <row r="164" spans="1:19" ht="15.75" thickBot="1" x14ac:dyDescent="0.3">
      <c r="A164" s="37"/>
      <c r="B164" s="33"/>
      <c r="C164" s="33"/>
      <c r="D164" s="33"/>
      <c r="E164" s="33"/>
      <c r="F164" s="33"/>
      <c r="G164" s="33"/>
      <c r="H164" s="33"/>
      <c r="I164" s="33"/>
      <c r="J164" s="327"/>
      <c r="K164" s="33"/>
      <c r="L164" s="366" t="s">
        <v>376</v>
      </c>
      <c r="M164" s="367"/>
      <c r="N164" s="367"/>
      <c r="O164" s="368"/>
      <c r="P164" s="161">
        <f>P163*H168/1000*I168/1000</f>
        <v>0.15209999999999999</v>
      </c>
      <c r="Q164" s="162" t="s">
        <v>50</v>
      </c>
      <c r="S164" s="38"/>
    </row>
    <row r="165" spans="1:19" x14ac:dyDescent="0.25">
      <c r="A165" s="164"/>
      <c r="B165" s="33"/>
      <c r="C165" s="33"/>
      <c r="D165" s="319" t="s">
        <v>148</v>
      </c>
      <c r="E165" s="319"/>
      <c r="F165" s="430"/>
      <c r="G165" s="144">
        <v>60</v>
      </c>
      <c r="H165" s="33"/>
      <c r="I165" s="33"/>
      <c r="J165" s="327"/>
      <c r="K165" s="33"/>
      <c r="L165" s="345" t="s">
        <v>169</v>
      </c>
      <c r="M165" s="346"/>
      <c r="N165" s="346"/>
      <c r="O165" s="347"/>
      <c r="P165" s="202">
        <f>IF(I84&lt;=35,3*(D14-2*C26/100-2*G22/100),4*(D14-2*C26/100-2*G22/100))</f>
        <v>45.63</v>
      </c>
      <c r="Q165" s="157" t="s">
        <v>48</v>
      </c>
      <c r="S165" s="38"/>
    </row>
    <row r="166" spans="1:19" ht="15.75" thickBot="1" x14ac:dyDescent="0.3">
      <c r="A166" s="37"/>
      <c r="B166" s="33"/>
      <c r="C166" s="33"/>
      <c r="D166" s="33"/>
      <c r="E166" s="33"/>
      <c r="F166" s="33"/>
      <c r="G166" s="33"/>
      <c r="H166" s="190" t="s">
        <v>106</v>
      </c>
      <c r="I166" s="190" t="s">
        <v>107</v>
      </c>
      <c r="J166" s="327"/>
      <c r="K166" s="33"/>
      <c r="L166" s="360" t="s">
        <v>170</v>
      </c>
      <c r="M166" s="361"/>
      <c r="N166" s="361"/>
      <c r="O166" s="362"/>
      <c r="P166" s="158">
        <f>P165*H169/1000*I169/1000</f>
        <v>8.8704720000000015E-2</v>
      </c>
      <c r="Q166" s="159" t="s">
        <v>50</v>
      </c>
      <c r="R166" s="165"/>
      <c r="S166" s="38"/>
    </row>
    <row r="167" spans="1:19" x14ac:dyDescent="0.25">
      <c r="A167" s="37"/>
      <c r="B167" s="33"/>
      <c r="C167" s="33"/>
      <c r="D167" s="33"/>
      <c r="E167" s="336" t="s">
        <v>160</v>
      </c>
      <c r="F167" s="336"/>
      <c r="G167" s="341"/>
      <c r="H167" s="144">
        <v>36</v>
      </c>
      <c r="I167" s="194">
        <v>40</v>
      </c>
      <c r="J167" s="327"/>
      <c r="K167" s="33"/>
      <c r="L167" s="357" t="s">
        <v>167</v>
      </c>
      <c r="M167" s="358"/>
      <c r="N167" s="358"/>
      <c r="O167" s="359"/>
      <c r="P167" s="205">
        <f>4*(D14-2*C26/100-2*G22/100)</f>
        <v>60.84</v>
      </c>
      <c r="Q167" s="206" t="s">
        <v>48</v>
      </c>
      <c r="R167" s="165"/>
      <c r="S167" s="38"/>
    </row>
    <row r="168" spans="1:19" ht="15.75" thickBot="1" x14ac:dyDescent="0.3">
      <c r="A168" s="37"/>
      <c r="B168" s="33"/>
      <c r="C168" s="33"/>
      <c r="D168" s="33"/>
      <c r="E168" s="336" t="s">
        <v>162</v>
      </c>
      <c r="F168" s="336"/>
      <c r="G168" s="341"/>
      <c r="H168" s="144">
        <v>25</v>
      </c>
      <c r="I168" s="194">
        <v>100</v>
      </c>
      <c r="J168" s="327"/>
      <c r="K168" s="33"/>
      <c r="L168" s="342" t="s">
        <v>168</v>
      </c>
      <c r="M168" s="343"/>
      <c r="N168" s="343"/>
      <c r="O168" s="344"/>
      <c r="P168" s="207">
        <f>P167*H170/1000*I170/1000</f>
        <v>0.11827296000000001</v>
      </c>
      <c r="Q168" s="208" t="s">
        <v>50</v>
      </c>
      <c r="R168" s="165"/>
      <c r="S168" s="38"/>
    </row>
    <row r="169" spans="1:19" ht="15.75" thickBot="1" x14ac:dyDescent="0.3">
      <c r="A169" s="37"/>
      <c r="B169" s="33"/>
      <c r="C169" s="33"/>
      <c r="D169" s="33"/>
      <c r="E169" s="336" t="s">
        <v>161</v>
      </c>
      <c r="F169" s="336"/>
      <c r="G169" s="341"/>
      <c r="H169" s="144">
        <v>27</v>
      </c>
      <c r="I169" s="194">
        <v>72</v>
      </c>
      <c r="J169" s="327"/>
      <c r="K169" s="33"/>
      <c r="L169" s="351" t="s">
        <v>166</v>
      </c>
      <c r="M169" s="352"/>
      <c r="N169" s="352"/>
      <c r="O169" s="353"/>
      <c r="P169" s="203">
        <f>3*(D14-2*C26/100-2*G22/100)</f>
        <v>45.63</v>
      </c>
      <c r="Q169" s="204" t="s">
        <v>48</v>
      </c>
      <c r="R169" s="166"/>
      <c r="S169" s="38"/>
    </row>
    <row r="170" spans="1:19" ht="15.75" thickBot="1" x14ac:dyDescent="0.3">
      <c r="A170" s="37"/>
      <c r="B170" s="33"/>
      <c r="C170" s="33"/>
      <c r="D170" s="33"/>
      <c r="E170" s="336" t="s">
        <v>163</v>
      </c>
      <c r="F170" s="336"/>
      <c r="G170" s="341"/>
      <c r="H170" s="144">
        <v>27</v>
      </c>
      <c r="I170" s="194">
        <v>72</v>
      </c>
      <c r="J170" s="327"/>
      <c r="K170" s="33"/>
      <c r="L170" s="351" t="s">
        <v>165</v>
      </c>
      <c r="M170" s="352"/>
      <c r="N170" s="352"/>
      <c r="O170" s="353"/>
      <c r="P170" s="54">
        <f>P169*H171/1000*I171/1000</f>
        <v>0.1149876</v>
      </c>
      <c r="Q170" s="55" t="s">
        <v>50</v>
      </c>
      <c r="R170" s="165"/>
      <c r="S170" s="38"/>
    </row>
    <row r="171" spans="1:19" x14ac:dyDescent="0.25">
      <c r="A171" s="37"/>
      <c r="B171" s="33"/>
      <c r="C171" s="33"/>
      <c r="D171" s="33"/>
      <c r="E171" s="336" t="s">
        <v>164</v>
      </c>
      <c r="F171" s="336"/>
      <c r="G171" s="341"/>
      <c r="H171" s="144">
        <v>35</v>
      </c>
      <c r="I171" s="194">
        <v>72</v>
      </c>
      <c r="J171" s="327"/>
      <c r="K171" s="33"/>
      <c r="L171" s="363" t="s">
        <v>172</v>
      </c>
      <c r="M171" s="364"/>
      <c r="N171" s="364"/>
      <c r="O171" s="365"/>
      <c r="P171" s="211">
        <f>4*P159</f>
        <v>20.411351124091549</v>
      </c>
      <c r="Q171" s="209" t="s">
        <v>48</v>
      </c>
      <c r="R171" s="165"/>
      <c r="S171" s="38"/>
    </row>
    <row r="172" spans="1:19" x14ac:dyDescent="0.25">
      <c r="A172" s="37"/>
      <c r="B172" s="33"/>
      <c r="C172" s="33"/>
      <c r="D172" s="33"/>
      <c r="E172" s="33"/>
      <c r="F172" s="33"/>
      <c r="G172" s="33"/>
      <c r="H172" s="33"/>
      <c r="I172" s="33"/>
      <c r="J172" s="327"/>
      <c r="K172" s="33"/>
      <c r="L172" s="354" t="s">
        <v>173</v>
      </c>
      <c r="M172" s="355"/>
      <c r="N172" s="355"/>
      <c r="O172" s="356"/>
      <c r="P172" s="75">
        <f>P173*E174/100</f>
        <v>6.2440000000000007</v>
      </c>
      <c r="Q172" s="76" t="s">
        <v>49</v>
      </c>
      <c r="R172" s="33"/>
      <c r="S172" s="38"/>
    </row>
    <row r="173" spans="1:19" ht="15.75" thickBot="1" x14ac:dyDescent="0.3">
      <c r="A173" s="37"/>
      <c r="B173" s="33"/>
      <c r="C173" s="33"/>
      <c r="D173" s="33"/>
      <c r="E173" s="33"/>
      <c r="F173" s="33"/>
      <c r="G173" s="33"/>
      <c r="H173" s="33"/>
      <c r="I173" s="33"/>
      <c r="J173" s="327"/>
      <c r="K173" s="33"/>
      <c r="L173" s="369" t="s">
        <v>174</v>
      </c>
      <c r="M173" s="370"/>
      <c r="N173" s="370"/>
      <c r="O173" s="371"/>
      <c r="P173" s="210">
        <f>(D14-2*C26/100)*2</f>
        <v>31.220000000000002</v>
      </c>
      <c r="Q173" s="78" t="s">
        <v>48</v>
      </c>
      <c r="R173" s="33"/>
      <c r="S173" s="38"/>
    </row>
    <row r="174" spans="1:19" x14ac:dyDescent="0.25">
      <c r="A174" s="37"/>
      <c r="B174" s="33"/>
      <c r="C174" s="33"/>
      <c r="D174" s="33"/>
      <c r="E174" s="144">
        <v>20</v>
      </c>
      <c r="F174" s="33" t="s">
        <v>105</v>
      </c>
      <c r="G174" s="33"/>
      <c r="H174" s="33"/>
      <c r="I174" s="33"/>
      <c r="J174" s="327"/>
      <c r="K174" s="33"/>
      <c r="R174" s="165"/>
      <c r="S174" s="38"/>
    </row>
    <row r="175" spans="1:19" x14ac:dyDescent="0.25">
      <c r="A175" s="37"/>
      <c r="B175" s="33"/>
      <c r="C175" s="33"/>
      <c r="D175" s="33"/>
      <c r="E175" s="33"/>
      <c r="F175" s="33"/>
      <c r="G175" s="33"/>
      <c r="H175" s="33"/>
      <c r="I175" s="33"/>
      <c r="J175" s="327"/>
      <c r="K175" s="335" t="s">
        <v>153</v>
      </c>
      <c r="L175" s="336"/>
      <c r="M175" s="336"/>
      <c r="N175" s="336"/>
      <c r="O175" s="336"/>
      <c r="P175" s="336"/>
      <c r="Q175" s="336"/>
      <c r="R175" s="336"/>
      <c r="S175" s="337"/>
    </row>
    <row r="176" spans="1:19" ht="15.75" thickBot="1" x14ac:dyDescent="0.3">
      <c r="A176" s="39"/>
      <c r="B176" s="40"/>
      <c r="C176" s="40"/>
      <c r="D176" s="40"/>
      <c r="E176" s="40"/>
      <c r="F176" s="40"/>
      <c r="G176" s="40"/>
      <c r="H176" s="40"/>
      <c r="I176" s="40"/>
      <c r="J176" s="328"/>
      <c r="K176" s="338" t="s">
        <v>154</v>
      </c>
      <c r="L176" s="339"/>
      <c r="M176" s="339"/>
      <c r="N176" s="339"/>
      <c r="O176" s="339"/>
      <c r="P176" s="339"/>
      <c r="Q176" s="339"/>
      <c r="R176" s="339"/>
      <c r="S176" s="340"/>
    </row>
    <row r="177" spans="1:22" ht="15.75" thickBot="1" x14ac:dyDescent="0.3"/>
    <row r="178" spans="1:22" ht="15.75" customHeight="1" thickBot="1" x14ac:dyDescent="0.3">
      <c r="A178" s="34"/>
      <c r="B178" s="35"/>
      <c r="C178" s="35"/>
      <c r="D178" s="35"/>
      <c r="E178" s="35"/>
      <c r="F178" s="35"/>
      <c r="G178" s="35"/>
      <c r="H178" s="35"/>
      <c r="I178" s="36"/>
      <c r="J178" s="326" t="s">
        <v>208</v>
      </c>
      <c r="K178" s="35"/>
      <c r="L178" s="329" t="s">
        <v>256</v>
      </c>
      <c r="M178" s="330"/>
      <c r="N178" s="330"/>
      <c r="O178" s="330"/>
      <c r="P178" s="331" t="s">
        <v>260</v>
      </c>
      <c r="Q178" s="332"/>
      <c r="R178" s="226"/>
      <c r="S178" s="36"/>
    </row>
    <row r="179" spans="1:22" s="32" customFormat="1" ht="15.75" customHeight="1" thickBot="1" x14ac:dyDescent="0.3">
      <c r="A179" s="319" t="s">
        <v>181</v>
      </c>
      <c r="B179" s="319"/>
      <c r="C179" s="319"/>
      <c r="D179" s="194">
        <v>27.3</v>
      </c>
      <c r="E179" s="228"/>
      <c r="F179" s="319" t="s">
        <v>188</v>
      </c>
      <c r="G179" s="319"/>
      <c r="H179" s="319"/>
      <c r="I179" s="163">
        <v>7</v>
      </c>
      <c r="J179" s="327"/>
      <c r="K179" s="33"/>
      <c r="L179" s="227"/>
      <c r="M179" s="227"/>
      <c r="N179" s="227"/>
      <c r="O179" s="227"/>
      <c r="P179" s="227"/>
      <c r="Q179" s="227"/>
      <c r="R179" s="227"/>
      <c r="S179" s="38"/>
    </row>
    <row r="180" spans="1:22" ht="15.75" thickBot="1" x14ac:dyDescent="0.3">
      <c r="A180" s="319" t="s">
        <v>182</v>
      </c>
      <c r="B180" s="319"/>
      <c r="C180" s="319"/>
      <c r="D180" s="194">
        <v>24</v>
      </c>
      <c r="E180" s="228"/>
      <c r="F180" s="319" t="s">
        <v>183</v>
      </c>
      <c r="G180" s="319"/>
      <c r="H180" s="319"/>
      <c r="I180" s="163">
        <v>3</v>
      </c>
      <c r="J180" s="327"/>
      <c r="K180" s="33"/>
      <c r="L180" s="329" t="s">
        <v>175</v>
      </c>
      <c r="M180" s="330"/>
      <c r="N180" s="330"/>
      <c r="O180" s="330"/>
      <c r="P180" s="24">
        <f>IF(P178=T228,P109,P159)</f>
        <v>5.1028377810228873</v>
      </c>
      <c r="Q180" s="19" t="s">
        <v>48</v>
      </c>
      <c r="R180" s="186">
        <f>D60-2*C72/100-2*G68/100</f>
        <v>0</v>
      </c>
      <c r="S180" s="38"/>
    </row>
    <row r="181" spans="1:22" ht="15.75" thickBot="1" x14ac:dyDescent="0.3">
      <c r="A181" s="319" t="s">
        <v>187</v>
      </c>
      <c r="B181" s="319"/>
      <c r="C181" s="319"/>
      <c r="D181" s="194">
        <v>8</v>
      </c>
      <c r="E181" s="228"/>
      <c r="F181" s="336" t="s">
        <v>189</v>
      </c>
      <c r="G181" s="336"/>
      <c r="H181" s="341"/>
      <c r="I181" s="163">
        <v>7.5</v>
      </c>
      <c r="J181" s="327"/>
      <c r="K181" s="33"/>
      <c r="L181" s="329" t="s">
        <v>184</v>
      </c>
      <c r="M181" s="330"/>
      <c r="N181" s="330"/>
      <c r="O181" s="330"/>
      <c r="P181" s="24">
        <f>IF(P178=T228,P180*D14-2*C26/100+2*A117/100,P180*D14-2*C26/100)</f>
        <v>79.819411273008186</v>
      </c>
      <c r="Q181" s="19" t="s">
        <v>49</v>
      </c>
      <c r="R181" s="33"/>
      <c r="S181" s="38"/>
    </row>
    <row r="182" spans="1:22" ht="15.75" thickBot="1" x14ac:dyDescent="0.3">
      <c r="A182" s="319" t="s">
        <v>193</v>
      </c>
      <c r="B182" s="319"/>
      <c r="C182" s="319"/>
      <c r="D182" s="194">
        <v>5.5</v>
      </c>
      <c r="E182" s="228"/>
      <c r="F182" s="507" t="s">
        <v>213</v>
      </c>
      <c r="G182" s="507"/>
      <c r="H182" s="508"/>
      <c r="I182" s="163">
        <v>0.2</v>
      </c>
      <c r="J182" s="327"/>
      <c r="K182" s="33"/>
      <c r="L182" s="32"/>
      <c r="M182" s="32"/>
      <c r="N182" s="32"/>
      <c r="O182" s="32"/>
      <c r="P182" s="32"/>
      <c r="Q182" s="32"/>
      <c r="R182" s="33"/>
      <c r="S182" s="38"/>
    </row>
    <row r="183" spans="1:22" x14ac:dyDescent="0.25">
      <c r="A183" s="37"/>
      <c r="B183" s="33"/>
      <c r="C183" s="33"/>
      <c r="D183" s="33"/>
      <c r="E183" s="33"/>
      <c r="F183" s="33"/>
      <c r="G183" s="33"/>
      <c r="H183" s="33"/>
      <c r="I183" s="33"/>
      <c r="J183" s="327"/>
      <c r="K183" s="33"/>
      <c r="L183" s="320" t="s">
        <v>185</v>
      </c>
      <c r="M183" s="321"/>
      <c r="N183" s="321"/>
      <c r="O183" s="321"/>
      <c r="P183" s="321"/>
      <c r="Q183" s="322"/>
      <c r="R183" s="165"/>
      <c r="S183" s="38"/>
    </row>
    <row r="184" spans="1:22" x14ac:dyDescent="0.25">
      <c r="A184" s="37"/>
      <c r="B184" s="33"/>
      <c r="C184" s="33"/>
      <c r="D184" s="33"/>
      <c r="E184" s="33"/>
      <c r="F184" s="33"/>
      <c r="G184" s="33"/>
      <c r="H184" s="33"/>
      <c r="I184" s="33"/>
      <c r="J184" s="327"/>
      <c r="K184" s="33"/>
      <c r="L184" s="498" t="s">
        <v>186</v>
      </c>
      <c r="M184" s="499"/>
      <c r="N184" s="499"/>
      <c r="O184" s="500"/>
      <c r="P184" s="195">
        <f>P180*100</f>
        <v>510.28377810228875</v>
      </c>
      <c r="Q184" s="196" t="s">
        <v>176</v>
      </c>
      <c r="R184" s="165"/>
      <c r="S184" s="38"/>
    </row>
    <row r="185" spans="1:22" x14ac:dyDescent="0.25">
      <c r="A185" s="37"/>
      <c r="B185" s="33"/>
      <c r="C185" s="33"/>
      <c r="D185" s="33"/>
      <c r="E185" s="33"/>
      <c r="F185" s="33"/>
      <c r="G185" s="33"/>
      <c r="H185" s="33"/>
      <c r="I185" s="33"/>
      <c r="J185" s="327"/>
      <c r="K185" s="33"/>
      <c r="L185" s="498" t="s">
        <v>198</v>
      </c>
      <c r="M185" s="499"/>
      <c r="N185" s="499"/>
      <c r="O185" s="500"/>
      <c r="P185" s="195">
        <f>(P184+I179-I181)</f>
        <v>509.78377810228881</v>
      </c>
      <c r="Q185" s="196" t="s">
        <v>176</v>
      </c>
      <c r="R185" s="165"/>
      <c r="S185" s="38"/>
    </row>
    <row r="186" spans="1:22" x14ac:dyDescent="0.25">
      <c r="A186" s="37"/>
      <c r="B186" s="33"/>
      <c r="C186" s="33"/>
      <c r="D186" s="33"/>
      <c r="E186" s="33"/>
      <c r="F186" s="33"/>
      <c r="G186" s="33"/>
      <c r="H186" s="33"/>
      <c r="I186" s="33"/>
      <c r="J186" s="327"/>
      <c r="K186" s="33"/>
      <c r="L186" s="498" t="s">
        <v>190</v>
      </c>
      <c r="M186" s="499"/>
      <c r="N186" s="499"/>
      <c r="O186" s="500"/>
      <c r="P186" s="117">
        <f>ROUNDUP(P185/D179,0)</f>
        <v>19</v>
      </c>
      <c r="Q186" s="153" t="s">
        <v>110</v>
      </c>
      <c r="R186" s="165"/>
      <c r="S186" s="38"/>
    </row>
    <row r="187" spans="1:22" x14ac:dyDescent="0.25">
      <c r="A187" s="37"/>
      <c r="B187" s="33"/>
      <c r="C187" s="33"/>
      <c r="D187" s="33"/>
      <c r="E187" s="33"/>
      <c r="F187" s="165"/>
      <c r="G187" s="165"/>
      <c r="H187" s="165"/>
      <c r="I187" s="33"/>
      <c r="J187" s="327"/>
      <c r="K187" s="33"/>
      <c r="L187" s="498" t="s">
        <v>191</v>
      </c>
      <c r="M187" s="499"/>
      <c r="N187" s="499"/>
      <c r="O187" s="500"/>
      <c r="P187" s="195">
        <f>P186*D179</f>
        <v>518.70000000000005</v>
      </c>
      <c r="Q187" s="196" t="s">
        <v>176</v>
      </c>
      <c r="R187" s="165"/>
      <c r="S187" s="38"/>
    </row>
    <row r="188" spans="1:22" x14ac:dyDescent="0.25">
      <c r="A188" s="37"/>
      <c r="B188" s="33"/>
      <c r="C188" s="33"/>
      <c r="D188" s="33"/>
      <c r="E188" s="33"/>
      <c r="F188" s="165"/>
      <c r="G188" s="165"/>
      <c r="H188" s="165"/>
      <c r="I188" s="33"/>
      <c r="J188" s="327"/>
      <c r="K188" s="33"/>
      <c r="L188" s="498" t="s">
        <v>214</v>
      </c>
      <c r="M188" s="499"/>
      <c r="N188" s="499"/>
      <c r="O188" s="500"/>
      <c r="P188" s="195">
        <f>(P187-P185)</f>
        <v>8.9162218977112389</v>
      </c>
      <c r="Q188" s="196" t="s">
        <v>176</v>
      </c>
      <c r="R188" s="213" t="s">
        <v>195</v>
      </c>
      <c r="S188" s="38"/>
    </row>
    <row r="189" spans="1:22" x14ac:dyDescent="0.25">
      <c r="A189" s="164"/>
      <c r="B189" s="33"/>
      <c r="C189" s="33"/>
      <c r="D189" s="33"/>
      <c r="E189" s="33"/>
      <c r="J189" s="327"/>
      <c r="K189" s="33"/>
      <c r="L189" s="498" t="s">
        <v>192</v>
      </c>
      <c r="M189" s="499"/>
      <c r="N189" s="499"/>
      <c r="O189" s="500"/>
      <c r="P189" s="195">
        <f>(P186-1)*I182</f>
        <v>3.6</v>
      </c>
      <c r="Q189" s="196" t="s">
        <v>176</v>
      </c>
      <c r="R189" s="214"/>
      <c r="S189" s="38"/>
      <c r="U189" s="221">
        <f>(H8*100-2*C26)/2</f>
        <v>398</v>
      </c>
      <c r="V189" s="221" t="s">
        <v>203</v>
      </c>
    </row>
    <row r="190" spans="1:22" x14ac:dyDescent="0.25">
      <c r="A190" s="37"/>
      <c r="B190" s="33"/>
      <c r="C190" s="33"/>
      <c r="D190" s="33"/>
      <c r="E190" s="32"/>
      <c r="J190" s="327"/>
      <c r="K190" s="33"/>
      <c r="L190" s="498" t="s">
        <v>194</v>
      </c>
      <c r="M190" s="499"/>
      <c r="N190" s="499"/>
      <c r="O190" s="500"/>
      <c r="P190" s="195">
        <f>I181-D182+P189</f>
        <v>5.6</v>
      </c>
      <c r="Q190" s="196" t="s">
        <v>176</v>
      </c>
      <c r="R190" s="213" t="s">
        <v>196</v>
      </c>
      <c r="S190" s="38"/>
      <c r="U190" s="222">
        <f>P184+P196</f>
        <v>513.6</v>
      </c>
      <c r="V190" s="221" t="s">
        <v>202</v>
      </c>
    </row>
    <row r="191" spans="1:22" ht="15.75" thickBot="1" x14ac:dyDescent="0.3">
      <c r="A191" s="37"/>
      <c r="B191" s="33"/>
      <c r="C191" s="33"/>
      <c r="D191" s="33"/>
      <c r="E191" s="32"/>
      <c r="J191" s="327"/>
      <c r="K191" s="33"/>
      <c r="L191" s="495" t="s">
        <v>197</v>
      </c>
      <c r="M191" s="496"/>
      <c r="N191" s="496"/>
      <c r="O191" s="497"/>
      <c r="P191" s="197">
        <f>P190-P188</f>
        <v>-3.3162218977112392</v>
      </c>
      <c r="Q191" s="198" t="s">
        <v>176</v>
      </c>
      <c r="R191" s="165"/>
      <c r="S191" s="38"/>
      <c r="U191" s="222">
        <f>U189+E126</f>
        <v>413</v>
      </c>
      <c r="V191" s="221" t="s">
        <v>204</v>
      </c>
    </row>
    <row r="192" spans="1:22" ht="15.75" thickBot="1" x14ac:dyDescent="0.3">
      <c r="A192" s="37"/>
      <c r="B192" s="33"/>
      <c r="C192" s="32"/>
      <c r="D192" s="32"/>
      <c r="E192" s="32"/>
      <c r="J192" s="327"/>
      <c r="K192" s="33"/>
      <c r="L192" s="325"/>
      <c r="M192" s="325"/>
      <c r="N192" s="325"/>
      <c r="O192" s="325"/>
      <c r="P192" s="325"/>
      <c r="Q192" s="325"/>
      <c r="R192" s="165"/>
      <c r="S192" s="38"/>
      <c r="U192" s="222"/>
      <c r="V192" s="221" t="s">
        <v>205</v>
      </c>
    </row>
    <row r="193" spans="1:20" ht="15.75" thickBot="1" x14ac:dyDescent="0.3">
      <c r="A193" s="37"/>
      <c r="B193" s="33"/>
      <c r="C193" s="32"/>
      <c r="D193" s="32"/>
      <c r="E193" s="32"/>
      <c r="J193" s="327"/>
      <c r="K193" s="33"/>
      <c r="L193" s="501" t="s">
        <v>199</v>
      </c>
      <c r="M193" s="325"/>
      <c r="N193" s="325"/>
      <c r="O193" s="502"/>
      <c r="P193" s="323" t="str">
        <f>IF(P191&lt;0,"non compensable","compensable")</f>
        <v>non compensable</v>
      </c>
      <c r="Q193" s="324"/>
      <c r="R193" s="166" t="s">
        <v>200</v>
      </c>
      <c r="S193" s="38"/>
    </row>
    <row r="194" spans="1:20" x14ac:dyDescent="0.25">
      <c r="A194" s="37"/>
      <c r="B194" s="33"/>
      <c r="C194" s="165"/>
      <c r="D194" s="165"/>
      <c r="E194" s="165"/>
      <c r="J194" s="327"/>
      <c r="K194" s="33"/>
      <c r="L194" s="503"/>
      <c r="M194" s="503"/>
      <c r="N194" s="503"/>
      <c r="O194" s="503"/>
      <c r="P194" s="505" t="s">
        <v>201</v>
      </c>
      <c r="Q194" s="505"/>
      <c r="R194" s="505"/>
      <c r="S194" s="506"/>
    </row>
    <row r="195" spans="1:20" x14ac:dyDescent="0.25">
      <c r="A195" s="37"/>
      <c r="B195" s="33"/>
      <c r="C195" s="165"/>
      <c r="D195" s="165"/>
      <c r="E195" s="165"/>
      <c r="J195" s="327"/>
      <c r="K195" s="33"/>
      <c r="L195" s="293"/>
      <c r="M195" s="293"/>
      <c r="N195" s="293"/>
      <c r="O195" s="293"/>
      <c r="P195" s="505"/>
      <c r="Q195" s="505"/>
      <c r="R195" s="505"/>
      <c r="S195" s="506"/>
    </row>
    <row r="196" spans="1:20" x14ac:dyDescent="0.25">
      <c r="A196" s="37"/>
      <c r="B196" s="33"/>
      <c r="C196" s="293"/>
      <c r="D196" s="293"/>
      <c r="E196" s="293"/>
      <c r="I196" s="38"/>
      <c r="J196" s="327"/>
      <c r="K196" s="33"/>
      <c r="L196" s="293" t="s">
        <v>373</v>
      </c>
      <c r="M196" s="293"/>
      <c r="N196" s="293"/>
      <c r="O196" s="293"/>
      <c r="P196" s="216">
        <f>IF(P191&lt;0,-(P191),0)</f>
        <v>3.3162218977112392</v>
      </c>
      <c r="Q196" s="218" t="s">
        <v>176</v>
      </c>
      <c r="R196" s="165"/>
      <c r="S196" s="38"/>
    </row>
    <row r="197" spans="1:20" x14ac:dyDescent="0.25">
      <c r="A197" s="37"/>
      <c r="B197" s="33"/>
      <c r="C197" s="293"/>
      <c r="D197" s="293"/>
      <c r="E197" s="293"/>
      <c r="J197" s="327"/>
      <c r="K197" s="33"/>
      <c r="L197" s="165"/>
      <c r="M197" s="165"/>
      <c r="N197" s="504" t="s">
        <v>158</v>
      </c>
      <c r="O197" s="504"/>
      <c r="P197" s="165"/>
      <c r="Q197" s="165"/>
      <c r="R197" s="165"/>
      <c r="S197" s="38"/>
    </row>
    <row r="198" spans="1:20" x14ac:dyDescent="0.25">
      <c r="A198" s="37"/>
      <c r="B198" s="33"/>
      <c r="C198" s="293"/>
      <c r="D198" s="293"/>
      <c r="E198" s="293"/>
      <c r="F198" s="164"/>
      <c r="G198" s="164"/>
      <c r="H198" s="165"/>
      <c r="I198" s="33"/>
      <c r="J198" s="327"/>
      <c r="K198" s="33"/>
      <c r="L198" s="199" t="s">
        <v>206</v>
      </c>
      <c r="M198" s="199"/>
      <c r="N198" s="217">
        <f>ROUNDUP(P196*COS(H86),2)</f>
        <v>2.7199999999999998</v>
      </c>
      <c r="O198" s="32" t="s">
        <v>207</v>
      </c>
      <c r="P198" s="32"/>
      <c r="Q198" s="32"/>
      <c r="R198" s="32"/>
      <c r="S198" s="38"/>
    </row>
    <row r="199" spans="1:20" x14ac:dyDescent="0.25">
      <c r="A199" s="37"/>
      <c r="B199" s="33"/>
      <c r="C199" s="293"/>
      <c r="D199" s="293"/>
      <c r="E199" s="293"/>
      <c r="F199" s="164"/>
      <c r="G199" s="164"/>
      <c r="H199" s="165"/>
      <c r="I199" s="33"/>
      <c r="J199" s="327"/>
      <c r="K199" s="33"/>
      <c r="L199" s="199"/>
      <c r="M199" s="199"/>
      <c r="N199" s="199"/>
      <c r="O199" s="199"/>
      <c r="P199" s="169"/>
      <c r="Q199" s="193"/>
      <c r="R199" s="167"/>
      <c r="S199" s="38"/>
    </row>
    <row r="200" spans="1:20" s="32" customFormat="1" x14ac:dyDescent="0.25">
      <c r="A200" s="37"/>
      <c r="B200" s="33"/>
      <c r="C200" s="192"/>
      <c r="D200" s="192"/>
      <c r="E200" s="192"/>
      <c r="F200" s="164"/>
      <c r="G200" s="164"/>
      <c r="H200" s="165"/>
      <c r="I200" s="33"/>
      <c r="J200" s="327"/>
      <c r="K200" s="33"/>
      <c r="L200" s="193"/>
      <c r="M200" s="193"/>
      <c r="N200" s="193"/>
      <c r="O200" s="193"/>
      <c r="P200" s="169"/>
      <c r="Q200" s="193"/>
      <c r="R200" s="165"/>
      <c r="S200" s="38"/>
    </row>
    <row r="201" spans="1:20" ht="15.75" thickBot="1" x14ac:dyDescent="0.3">
      <c r="A201" s="39"/>
      <c r="B201" s="40"/>
      <c r="C201" s="40"/>
      <c r="D201" s="40"/>
      <c r="E201" s="40"/>
      <c r="F201" s="40"/>
      <c r="G201" s="40"/>
      <c r="H201" s="40"/>
      <c r="I201" s="40"/>
      <c r="J201" s="328"/>
      <c r="K201" s="40"/>
      <c r="L201" s="40"/>
      <c r="M201" s="40"/>
      <c r="N201" s="40"/>
      <c r="O201" s="40"/>
      <c r="P201" s="40"/>
      <c r="Q201" s="40"/>
      <c r="R201" s="40"/>
      <c r="S201" s="41"/>
    </row>
    <row r="202" spans="1:20" ht="15.75" customHeight="1" thickBot="1" x14ac:dyDescent="0.3">
      <c r="J202" s="32"/>
    </row>
    <row r="203" spans="1:20" ht="15.75" customHeight="1" thickBot="1" x14ac:dyDescent="0.3">
      <c r="A203" s="34"/>
      <c r="B203" s="35"/>
      <c r="C203" s="35"/>
      <c r="D203" s="35"/>
      <c r="E203" s="35"/>
      <c r="F203" s="35"/>
      <c r="G203" s="35"/>
      <c r="H203" s="35"/>
      <c r="I203" s="36"/>
      <c r="J203" s="326" t="s">
        <v>209</v>
      </c>
      <c r="K203" s="35"/>
      <c r="L203" s="316" t="s">
        <v>211</v>
      </c>
      <c r="M203" s="317"/>
      <c r="N203" s="317"/>
      <c r="O203" s="318"/>
      <c r="P203" s="24">
        <f>IF(P178=T229,D14-2*C26/100,D14-2*C26/100+2*A117/100)</f>
        <v>15.610000000000001</v>
      </c>
      <c r="Q203" s="19" t="s">
        <v>48</v>
      </c>
      <c r="R203" s="226"/>
      <c r="S203" s="36"/>
    </row>
    <row r="204" spans="1:20" ht="15.75" customHeight="1" thickBot="1" x14ac:dyDescent="0.3">
      <c r="A204" s="37"/>
      <c r="B204" s="33"/>
      <c r="C204" s="33"/>
      <c r="D204" s="33"/>
      <c r="E204" s="319" t="s">
        <v>177</v>
      </c>
      <c r="F204" s="319"/>
      <c r="G204" s="319"/>
      <c r="H204" s="144">
        <v>20.399999999999999</v>
      </c>
      <c r="I204" s="33"/>
      <c r="J204" s="327"/>
      <c r="K204" s="33"/>
      <c r="R204" s="165"/>
      <c r="S204" s="229"/>
      <c r="T204" s="32"/>
    </row>
    <row r="205" spans="1:20" x14ac:dyDescent="0.25">
      <c r="A205" s="37"/>
      <c r="B205" s="33"/>
      <c r="C205" s="33"/>
      <c r="D205" s="33"/>
      <c r="E205" s="319" t="s">
        <v>178</v>
      </c>
      <c r="F205" s="319"/>
      <c r="G205" s="319"/>
      <c r="H205" s="144">
        <v>7.5</v>
      </c>
      <c r="I205" s="33"/>
      <c r="J205" s="327"/>
      <c r="K205" s="33"/>
      <c r="L205" s="320" t="s">
        <v>210</v>
      </c>
      <c r="M205" s="321"/>
      <c r="N205" s="321"/>
      <c r="O205" s="321"/>
      <c r="P205" s="321"/>
      <c r="Q205" s="322"/>
      <c r="R205" s="165"/>
      <c r="S205" s="229"/>
      <c r="T205" s="32"/>
    </row>
    <row r="206" spans="1:20" x14ac:dyDescent="0.25">
      <c r="A206" s="37"/>
      <c r="B206" s="33"/>
      <c r="C206" s="33"/>
      <c r="D206" s="33"/>
      <c r="E206" s="319" t="s">
        <v>179</v>
      </c>
      <c r="F206" s="319"/>
      <c r="G206" s="319"/>
      <c r="H206" s="144">
        <v>4</v>
      </c>
      <c r="I206" s="33"/>
      <c r="J206" s="327"/>
      <c r="K206" s="33"/>
      <c r="L206" s="498" t="s">
        <v>212</v>
      </c>
      <c r="M206" s="499"/>
      <c r="N206" s="499"/>
      <c r="O206" s="500"/>
      <c r="P206" s="195">
        <f>P203*100</f>
        <v>1561.0000000000002</v>
      </c>
      <c r="Q206" s="196" t="s">
        <v>176</v>
      </c>
      <c r="R206" s="165"/>
      <c r="S206" s="229"/>
      <c r="T206" s="32"/>
    </row>
    <row r="207" spans="1:20" x14ac:dyDescent="0.25">
      <c r="A207" s="37"/>
      <c r="B207" s="33"/>
      <c r="C207" s="33"/>
      <c r="D207" s="33"/>
      <c r="E207" s="319" t="s">
        <v>180</v>
      </c>
      <c r="F207" s="319"/>
      <c r="G207" s="319"/>
      <c r="H207" s="144">
        <v>16</v>
      </c>
      <c r="I207" s="33"/>
      <c r="J207" s="327"/>
      <c r="K207" s="33"/>
      <c r="L207" s="498" t="s">
        <v>217</v>
      </c>
      <c r="M207" s="499"/>
      <c r="N207" s="499"/>
      <c r="O207" s="500"/>
      <c r="P207" s="195">
        <f>P206-H205-H206</f>
        <v>1549.5000000000002</v>
      </c>
      <c r="Q207" s="196" t="s">
        <v>176</v>
      </c>
      <c r="R207" s="165"/>
      <c r="S207" s="229"/>
      <c r="T207" s="32"/>
    </row>
    <row r="208" spans="1:20" x14ac:dyDescent="0.25">
      <c r="A208" s="37"/>
      <c r="B208" s="33"/>
      <c r="C208" s="33"/>
      <c r="D208" s="33"/>
      <c r="E208" s="507" t="s">
        <v>213</v>
      </c>
      <c r="F208" s="507"/>
      <c r="G208" s="508"/>
      <c r="H208" s="144">
        <v>0.2</v>
      </c>
      <c r="I208" s="33"/>
      <c r="J208" s="327"/>
      <c r="K208" s="33"/>
      <c r="L208" s="498" t="s">
        <v>190</v>
      </c>
      <c r="M208" s="499"/>
      <c r="N208" s="499"/>
      <c r="O208" s="500"/>
      <c r="P208" s="117">
        <f>ROUNDUP(P207/H204,0)</f>
        <v>76</v>
      </c>
      <c r="Q208" s="153" t="s">
        <v>110</v>
      </c>
      <c r="R208" s="32"/>
      <c r="S208" s="229"/>
      <c r="T208" s="32"/>
    </row>
    <row r="209" spans="1:20" x14ac:dyDescent="0.25">
      <c r="A209" s="37"/>
      <c r="B209" s="33"/>
      <c r="C209" s="33"/>
      <c r="D209" s="33"/>
      <c r="E209" s="33"/>
      <c r="F209" s="33"/>
      <c r="G209" s="33"/>
      <c r="H209" s="33"/>
      <c r="I209" s="33"/>
      <c r="J209" s="327"/>
      <c r="K209" s="33"/>
      <c r="L209" s="498" t="s">
        <v>218</v>
      </c>
      <c r="M209" s="499"/>
      <c r="N209" s="499"/>
      <c r="O209" s="500"/>
      <c r="P209" s="195">
        <f>P208*H204</f>
        <v>1550.3999999999999</v>
      </c>
      <c r="Q209" s="196" t="s">
        <v>176</v>
      </c>
      <c r="R209" s="32"/>
      <c r="S209" s="229"/>
      <c r="T209" s="32"/>
    </row>
    <row r="210" spans="1:20" x14ac:dyDescent="0.25">
      <c r="A210" s="37"/>
      <c r="B210" s="33"/>
      <c r="C210" s="33"/>
      <c r="D210" s="33"/>
      <c r="E210" s="33"/>
      <c r="F210" s="33"/>
      <c r="G210" s="33"/>
      <c r="H210" s="33"/>
      <c r="I210" s="33"/>
      <c r="J210" s="327"/>
      <c r="K210" s="33"/>
      <c r="L210" s="498" t="s">
        <v>219</v>
      </c>
      <c r="M210" s="499"/>
      <c r="N210" s="499"/>
      <c r="O210" s="500"/>
      <c r="P210" s="195">
        <f>P209-P207</f>
        <v>0.8999999999996362</v>
      </c>
      <c r="Q210" s="196" t="s">
        <v>176</v>
      </c>
      <c r="R210" s="213" t="s">
        <v>195</v>
      </c>
      <c r="S210" s="229"/>
      <c r="T210" s="32"/>
    </row>
    <row r="211" spans="1:20" x14ac:dyDescent="0.25">
      <c r="A211" s="37"/>
      <c r="B211" s="33"/>
      <c r="C211" s="33"/>
      <c r="D211" s="33"/>
      <c r="E211" s="33"/>
      <c r="F211" s="33"/>
      <c r="G211" s="33"/>
      <c r="H211" s="33"/>
      <c r="I211" s="33"/>
      <c r="J211" s="327"/>
      <c r="K211" s="33"/>
      <c r="L211" s="515" t="s">
        <v>372</v>
      </c>
      <c r="M211" s="516"/>
      <c r="N211" s="516"/>
      <c r="O211" s="517"/>
      <c r="P211" s="195">
        <f>(P208-1+2)*H208</f>
        <v>15.4</v>
      </c>
      <c r="Q211" s="196" t="s">
        <v>176</v>
      </c>
      <c r="R211" s="213" t="s">
        <v>196</v>
      </c>
      <c r="S211" s="229"/>
      <c r="T211" s="32"/>
    </row>
    <row r="212" spans="1:20" ht="15.75" thickBot="1" x14ac:dyDescent="0.3">
      <c r="A212" s="37"/>
      <c r="B212" s="33"/>
      <c r="C212" s="33"/>
      <c r="D212" s="33"/>
      <c r="E212" s="33"/>
      <c r="F212" s="165"/>
      <c r="G212" s="165"/>
      <c r="H212" s="165"/>
      <c r="I212" s="33"/>
      <c r="J212" s="327"/>
      <c r="K212" s="33"/>
      <c r="L212" s="495" t="s">
        <v>197</v>
      </c>
      <c r="M212" s="496"/>
      <c r="N212" s="496"/>
      <c r="O212" s="497"/>
      <c r="P212" s="197">
        <f>P211-P210</f>
        <v>14.500000000000364</v>
      </c>
      <c r="Q212" s="198" t="s">
        <v>176</v>
      </c>
      <c r="R212" s="32"/>
      <c r="S212" s="229"/>
      <c r="T212" s="32"/>
    </row>
    <row r="213" spans="1:20" ht="15.75" thickBot="1" x14ac:dyDescent="0.3">
      <c r="A213" s="37"/>
      <c r="B213" s="33"/>
      <c r="C213" s="33"/>
      <c r="D213" s="33"/>
      <c r="E213" s="33"/>
      <c r="F213" s="165"/>
      <c r="G213" s="165"/>
      <c r="H213" s="165"/>
      <c r="I213" s="33"/>
      <c r="J213" s="327"/>
      <c r="K213" s="33"/>
      <c r="L213" s="32"/>
      <c r="M213" s="32"/>
      <c r="N213" s="32"/>
      <c r="O213" s="32"/>
      <c r="P213" s="32"/>
      <c r="Q213" s="32"/>
      <c r="R213" s="32"/>
      <c r="S213" s="229"/>
      <c r="T213" s="32"/>
    </row>
    <row r="214" spans="1:20" ht="15.75" thickBot="1" x14ac:dyDescent="0.3">
      <c r="A214" s="212"/>
      <c r="B214" s="33"/>
      <c r="C214" s="33"/>
      <c r="D214" s="33"/>
      <c r="E214" s="33"/>
      <c r="F214" s="510"/>
      <c r="G214" s="510"/>
      <c r="H214" s="510"/>
      <c r="I214" s="38"/>
      <c r="J214" s="509"/>
      <c r="K214" s="33"/>
      <c r="L214" s="501" t="s">
        <v>199</v>
      </c>
      <c r="M214" s="325"/>
      <c r="N214" s="325"/>
      <c r="O214" s="502"/>
      <c r="P214" s="323" t="str">
        <f>IF(P212&lt;0,"non compensable","compensable")</f>
        <v>compensable</v>
      </c>
      <c r="Q214" s="324"/>
      <c r="R214" s="166" t="s">
        <v>200</v>
      </c>
      <c r="S214" s="229"/>
      <c r="T214" s="32"/>
    </row>
    <row r="215" spans="1:20" x14ac:dyDescent="0.25">
      <c r="A215" s="37"/>
      <c r="B215" s="33"/>
      <c r="C215" s="33"/>
      <c r="D215" s="33"/>
      <c r="E215" s="32"/>
      <c r="F215" s="510"/>
      <c r="G215" s="510"/>
      <c r="H215" s="510"/>
      <c r="I215" s="38"/>
      <c r="J215" s="509"/>
      <c r="K215" s="33"/>
      <c r="L215" s="230"/>
      <c r="M215" s="230"/>
      <c r="N215" s="230"/>
      <c r="O215" s="230"/>
      <c r="P215" s="219" t="s">
        <v>201</v>
      </c>
      <c r="Q215" s="219"/>
      <c r="R215" s="219"/>
      <c r="S215" s="229"/>
      <c r="T215" s="32"/>
    </row>
    <row r="216" spans="1:20" x14ac:dyDescent="0.25">
      <c r="A216" s="37"/>
      <c r="B216" s="33"/>
      <c r="C216" s="33"/>
      <c r="D216" s="33"/>
      <c r="E216" s="32"/>
      <c r="F216" s="510"/>
      <c r="G216" s="510"/>
      <c r="H216" s="510"/>
      <c r="I216" s="38"/>
      <c r="J216" s="509"/>
      <c r="K216" s="33"/>
      <c r="L216" s="193"/>
      <c r="M216" s="193"/>
      <c r="N216" s="193"/>
      <c r="O216" s="193"/>
      <c r="P216" s="219"/>
      <c r="Q216" s="219"/>
      <c r="R216" s="219"/>
      <c r="S216" s="38"/>
      <c r="T216" s="32"/>
    </row>
    <row r="217" spans="1:20" x14ac:dyDescent="0.25">
      <c r="A217" s="37"/>
      <c r="B217" s="33"/>
      <c r="C217" s="32"/>
      <c r="D217" s="32"/>
      <c r="E217" s="32"/>
      <c r="F217" s="510"/>
      <c r="G217" s="510"/>
      <c r="H217" s="510"/>
      <c r="I217" s="38"/>
      <c r="J217" s="509"/>
      <c r="K217" s="33"/>
      <c r="L217" s="199" t="s">
        <v>374</v>
      </c>
      <c r="M217" s="199"/>
      <c r="N217" s="199"/>
      <c r="O217" s="199"/>
      <c r="P217" s="32"/>
      <c r="Q217" s="216">
        <f>IF(P212&lt;0,-(P212),0)</f>
        <v>0</v>
      </c>
      <c r="R217" s="218" t="s">
        <v>176</v>
      </c>
      <c r="S217" s="220"/>
      <c r="T217" s="32"/>
    </row>
    <row r="218" spans="1:20" x14ac:dyDescent="0.25">
      <c r="A218" s="37"/>
      <c r="B218" s="33"/>
      <c r="C218" s="32"/>
      <c r="D218" s="32"/>
      <c r="E218" s="32"/>
      <c r="F218" s="199"/>
      <c r="G218" s="199"/>
      <c r="H218" s="199"/>
      <c r="I218" s="38"/>
      <c r="J218" s="509"/>
      <c r="K218" s="33"/>
      <c r="L218" s="165"/>
      <c r="M218" s="165"/>
      <c r="N218" s="215" t="s">
        <v>215</v>
      </c>
      <c r="O218" s="215"/>
      <c r="P218" s="165"/>
      <c r="Q218" s="165"/>
      <c r="R218" s="165"/>
      <c r="S218" s="220"/>
      <c r="T218" s="32"/>
    </row>
    <row r="219" spans="1:20" x14ac:dyDescent="0.25">
      <c r="A219" s="37"/>
      <c r="B219" s="33"/>
      <c r="C219" s="165"/>
      <c r="D219" s="165"/>
      <c r="E219" s="165"/>
      <c r="F219" s="199"/>
      <c r="G219" s="199"/>
      <c r="H219" s="199"/>
      <c r="I219" s="38"/>
      <c r="J219" s="509"/>
      <c r="K219" s="33"/>
      <c r="L219" s="199" t="s">
        <v>216</v>
      </c>
      <c r="M219" s="199"/>
      <c r="N219" s="217"/>
      <c r="O219" s="32"/>
      <c r="P219" s="32"/>
      <c r="Q219" s="32"/>
      <c r="R219" s="32"/>
      <c r="S219" s="38"/>
      <c r="T219" s="32"/>
    </row>
    <row r="220" spans="1:20" ht="15.75" thickBot="1" x14ac:dyDescent="0.3">
      <c r="A220" s="37"/>
      <c r="B220" s="33"/>
      <c r="C220" s="165"/>
      <c r="D220" s="165"/>
      <c r="E220" s="165"/>
      <c r="F220" s="199"/>
      <c r="G220" s="199"/>
      <c r="H220" s="199"/>
      <c r="I220" s="38"/>
      <c r="J220" s="509"/>
      <c r="K220" s="33"/>
      <c r="L220" s="32"/>
      <c r="M220" s="32"/>
      <c r="N220" s="32"/>
      <c r="O220" s="32"/>
      <c r="P220" s="32"/>
      <c r="Q220" s="32"/>
      <c r="R220" s="32"/>
      <c r="S220" s="38"/>
      <c r="T220" s="32"/>
    </row>
    <row r="221" spans="1:20" ht="15.75" thickBot="1" x14ac:dyDescent="0.3">
      <c r="A221" s="37"/>
      <c r="B221" s="33"/>
      <c r="E221" s="199"/>
      <c r="F221" s="199"/>
      <c r="G221" s="199"/>
      <c r="H221" s="193" t="s">
        <v>221</v>
      </c>
      <c r="I221" s="231" t="s">
        <v>222</v>
      </c>
      <c r="J221" s="509"/>
      <c r="K221" s="33"/>
      <c r="L221" s="329" t="s">
        <v>378</v>
      </c>
      <c r="M221" s="330"/>
      <c r="N221" s="330"/>
      <c r="O221" s="330"/>
      <c r="P221" s="24">
        <f>H222/COS(H86)</f>
        <v>0.85454221213301917</v>
      </c>
      <c r="Q221" s="19" t="s">
        <v>48</v>
      </c>
      <c r="S221" s="38"/>
      <c r="T221" s="32"/>
    </row>
    <row r="222" spans="1:20" ht="15.75" thickBot="1" x14ac:dyDescent="0.3">
      <c r="A222" s="37"/>
      <c r="E222" s="319" t="s">
        <v>220</v>
      </c>
      <c r="F222" s="319"/>
      <c r="G222" s="430"/>
      <c r="H222" s="144">
        <v>0.7</v>
      </c>
      <c r="I222" s="163">
        <v>0.5</v>
      </c>
      <c r="J222" s="509"/>
      <c r="K222" s="33"/>
      <c r="L222" s="329" t="s">
        <v>379</v>
      </c>
      <c r="M222" s="330"/>
      <c r="N222" s="330"/>
      <c r="O222" s="330"/>
      <c r="P222" s="24">
        <f>P221*I222</f>
        <v>0.42727110606650959</v>
      </c>
      <c r="Q222" s="19" t="s">
        <v>49</v>
      </c>
      <c r="R222" s="199"/>
      <c r="S222" s="38"/>
      <c r="T222" s="32"/>
    </row>
    <row r="223" spans="1:20" x14ac:dyDescent="0.25">
      <c r="A223" s="37"/>
      <c r="B223" s="33"/>
      <c r="C223" s="199"/>
      <c r="D223" s="199"/>
      <c r="E223" s="199"/>
      <c r="F223" s="212"/>
      <c r="G223" s="212"/>
      <c r="H223" s="165"/>
      <c r="I223" s="38"/>
      <c r="J223" s="509"/>
      <c r="K223" s="33"/>
      <c r="S223" s="38"/>
      <c r="T223" s="32"/>
    </row>
    <row r="224" spans="1:20" ht="15.75" thickBot="1" x14ac:dyDescent="0.3">
      <c r="A224" s="37"/>
      <c r="B224" s="33"/>
      <c r="C224" s="199"/>
      <c r="D224" s="199"/>
      <c r="E224" s="199"/>
      <c r="F224" s="212"/>
      <c r="G224" s="212"/>
      <c r="H224" s="165"/>
      <c r="I224" s="33"/>
      <c r="J224" s="327"/>
      <c r="K224" s="33"/>
      <c r="S224" s="38"/>
      <c r="T224" s="32"/>
    </row>
    <row r="225" spans="1:20" ht="15.75" thickBot="1" x14ac:dyDescent="0.3">
      <c r="A225" s="37"/>
      <c r="B225" s="33"/>
      <c r="C225" s="193"/>
      <c r="D225" s="193"/>
      <c r="E225" s="193"/>
      <c r="F225" s="212"/>
      <c r="G225" s="212"/>
      <c r="H225" s="165"/>
      <c r="I225" s="33"/>
      <c r="J225" s="327"/>
      <c r="K225" s="33"/>
      <c r="L225" s="511" t="s">
        <v>377</v>
      </c>
      <c r="M225" s="512"/>
      <c r="N225" s="512"/>
      <c r="O225" s="512"/>
      <c r="P225" s="234">
        <f>P208*P186</f>
        <v>1444</v>
      </c>
      <c r="Q225" s="235" t="s">
        <v>110</v>
      </c>
      <c r="R225" s="165"/>
      <c r="S225" s="38"/>
    </row>
    <row r="226" spans="1:20" ht="15.75" thickBot="1" x14ac:dyDescent="0.3">
      <c r="A226" s="39"/>
      <c r="B226" s="40"/>
      <c r="C226" s="40"/>
      <c r="D226" s="40"/>
      <c r="E226" s="40"/>
      <c r="F226" s="40"/>
      <c r="G226" s="40"/>
      <c r="H226" s="40"/>
      <c r="I226" s="40"/>
      <c r="J226" s="328"/>
      <c r="K226" s="40"/>
      <c r="L226" s="40"/>
      <c r="M226" s="40"/>
      <c r="N226" s="40"/>
      <c r="O226" s="40"/>
      <c r="P226" s="40"/>
      <c r="Q226" s="40"/>
      <c r="R226" s="40"/>
      <c r="S226" s="41"/>
    </row>
    <row r="227" spans="1:20" s="32" customFormat="1" ht="15.75" thickBot="1" x14ac:dyDescent="0.3">
      <c r="A227" s="33"/>
      <c r="B227" s="33"/>
      <c r="C227" s="33"/>
      <c r="D227" s="33"/>
      <c r="E227" s="33"/>
      <c r="F227" s="33"/>
      <c r="G227" s="33"/>
      <c r="H227" s="33"/>
      <c r="I227" s="33"/>
      <c r="J227" s="120"/>
      <c r="K227" s="33"/>
      <c r="L227" s="33"/>
      <c r="M227" s="33"/>
      <c r="N227" s="33"/>
      <c r="O227" s="33"/>
      <c r="P227" s="33"/>
      <c r="Q227" s="33"/>
      <c r="R227" s="33"/>
      <c r="S227" s="33"/>
    </row>
    <row r="228" spans="1:20" s="32" customFormat="1" ht="15.75" thickBot="1" x14ac:dyDescent="0.3">
      <c r="A228" s="34"/>
      <c r="B228" s="35"/>
      <c r="C228" s="35"/>
      <c r="D228" s="35"/>
      <c r="E228" s="35"/>
      <c r="F228" s="35"/>
      <c r="G228" s="35"/>
      <c r="H228" s="35"/>
      <c r="I228" s="35"/>
      <c r="J228" s="296" t="s">
        <v>242</v>
      </c>
      <c r="K228" s="35"/>
      <c r="L228" s="35"/>
      <c r="M228" s="35"/>
      <c r="N228" s="35"/>
      <c r="O228" s="35"/>
      <c r="P228" s="35"/>
      <c r="Q228" s="35"/>
      <c r="R228" s="35"/>
      <c r="S228" s="36"/>
      <c r="T228" s="221" t="s">
        <v>261</v>
      </c>
    </row>
    <row r="229" spans="1:20" s="32" customFormat="1" ht="15.75" thickBot="1" x14ac:dyDescent="0.3">
      <c r="A229" s="37"/>
      <c r="B229" s="33"/>
      <c r="C229" s="33" t="s">
        <v>243</v>
      </c>
      <c r="D229" s="33"/>
      <c r="E229" s="33"/>
      <c r="F229" s="33"/>
      <c r="G229" s="144">
        <v>35</v>
      </c>
      <c r="H229" s="33"/>
      <c r="I229" s="33"/>
      <c r="J229" s="297"/>
      <c r="K229" s="33"/>
      <c r="L229" s="329" t="s">
        <v>256</v>
      </c>
      <c r="M229" s="330"/>
      <c r="N229" s="330"/>
      <c r="O229" s="330"/>
      <c r="P229" s="331" t="s">
        <v>260</v>
      </c>
      <c r="Q229" s="332"/>
      <c r="R229" s="33"/>
      <c r="S229" s="38"/>
      <c r="T229" s="221" t="s">
        <v>260</v>
      </c>
    </row>
    <row r="230" spans="1:20" s="32" customFormat="1" ht="15.75" thickBot="1" x14ac:dyDescent="0.3">
      <c r="A230" s="37"/>
      <c r="B230" s="33"/>
      <c r="C230" s="33" t="s">
        <v>244</v>
      </c>
      <c r="D230" s="33"/>
      <c r="E230" s="33"/>
      <c r="F230" s="33"/>
      <c r="G230" s="144" t="s">
        <v>245</v>
      </c>
      <c r="H230" s="33"/>
      <c r="I230" s="33"/>
      <c r="J230" s="297"/>
      <c r="K230" s="33"/>
      <c r="L230" s="33"/>
      <c r="M230" s="33"/>
      <c r="N230" s="33"/>
      <c r="O230" s="33"/>
      <c r="P230" s="33"/>
      <c r="Q230" s="33"/>
      <c r="R230" s="33"/>
      <c r="S230" s="38"/>
    </row>
    <row r="231" spans="1:20" s="32" customFormat="1" ht="15.75" thickBot="1" x14ac:dyDescent="0.3">
      <c r="A231" s="37"/>
      <c r="B231" s="33"/>
      <c r="C231" s="33"/>
      <c r="D231" s="33"/>
      <c r="E231" s="33"/>
      <c r="F231" s="33"/>
      <c r="G231" s="33"/>
      <c r="H231" s="33"/>
      <c r="I231" s="33"/>
      <c r="J231" s="297"/>
      <c r="K231" s="33"/>
      <c r="L231" s="329" t="s">
        <v>257</v>
      </c>
      <c r="M231" s="330"/>
      <c r="N231" s="330"/>
      <c r="O231" s="330"/>
      <c r="P231" s="21">
        <f>IF(P229=T228,((D14+2*A117/100)*(H8+2*E126/100)/2),(D14*(H8+2*E174/100)/2))</f>
        <v>65.73</v>
      </c>
      <c r="Q231" s="47" t="s">
        <v>49</v>
      </c>
      <c r="R231" s="33"/>
      <c r="S231" s="38"/>
      <c r="T231" s="221" t="s">
        <v>245</v>
      </c>
    </row>
    <row r="232" spans="1:20" s="32" customFormat="1" ht="15.75" thickBot="1" x14ac:dyDescent="0.3">
      <c r="A232" s="37"/>
      <c r="B232" s="33"/>
      <c r="C232" s="33"/>
      <c r="D232" s="33"/>
      <c r="E232" s="33"/>
      <c r="F232" s="33"/>
      <c r="G232" s="33"/>
      <c r="H232" s="33"/>
      <c r="I232" s="33"/>
      <c r="J232" s="297"/>
      <c r="K232" s="33"/>
      <c r="L232" s="239"/>
      <c r="M232" s="239"/>
      <c r="N232" s="239"/>
      <c r="O232" s="239"/>
      <c r="P232" s="241">
        <f>P231*10000</f>
        <v>657300</v>
      </c>
      <c r="Q232" s="46" t="s">
        <v>247</v>
      </c>
      <c r="R232" s="33"/>
      <c r="S232" s="38"/>
      <c r="T232" s="221" t="s">
        <v>246</v>
      </c>
    </row>
    <row r="233" spans="1:20" s="32" customFormat="1" ht="15.75" thickBot="1" x14ac:dyDescent="0.3">
      <c r="A233" s="37"/>
      <c r="B233" s="33"/>
      <c r="C233" s="33"/>
      <c r="D233" s="33"/>
      <c r="E233" s="33"/>
      <c r="F233" s="33"/>
      <c r="G233" s="33"/>
      <c r="H233" s="33"/>
      <c r="I233" s="33"/>
      <c r="J233" s="297"/>
      <c r="K233" s="33"/>
      <c r="L233" s="33"/>
      <c r="M233" s="33"/>
      <c r="N233" s="33"/>
      <c r="O233" s="33"/>
      <c r="P233" s="33"/>
      <c r="Q233" s="33"/>
      <c r="R233" s="33"/>
      <c r="S233" s="38"/>
    </row>
    <row r="234" spans="1:20" s="32" customFormat="1" ht="15.75" thickBot="1" x14ac:dyDescent="0.3">
      <c r="A234" s="37"/>
      <c r="B234" s="33"/>
      <c r="C234" s="33"/>
      <c r="D234" s="33"/>
      <c r="E234" s="33"/>
      <c r="F234" s="33"/>
      <c r="G234" s="33"/>
      <c r="H234" s="33"/>
      <c r="I234" s="33"/>
      <c r="J234" s="297"/>
      <c r="K234" s="33"/>
      <c r="L234" s="329" t="s">
        <v>258</v>
      </c>
      <c r="M234" s="330"/>
      <c r="N234" s="330"/>
      <c r="O234" s="330"/>
      <c r="P234" s="24">
        <f>IF(G230=T231,P232/3000,P232/5000)</f>
        <v>219.1</v>
      </c>
      <c r="Q234" s="19" t="s">
        <v>247</v>
      </c>
      <c r="R234" s="33"/>
      <c r="S234" s="38"/>
    </row>
    <row r="235" spans="1:20" s="32" customFormat="1" ht="15.75" thickBot="1" x14ac:dyDescent="0.3">
      <c r="A235" s="37"/>
      <c r="B235" s="33"/>
      <c r="C235" s="33"/>
      <c r="D235" s="33"/>
      <c r="E235" s="33"/>
      <c r="F235" s="33"/>
      <c r="G235" s="33"/>
      <c r="H235" s="33"/>
      <c r="I235" s="33"/>
      <c r="J235" s="297"/>
      <c r="K235" s="33"/>
      <c r="L235" s="33"/>
      <c r="M235" s="33"/>
      <c r="N235" s="33"/>
      <c r="O235" s="33"/>
      <c r="P235" s="33"/>
      <c r="Q235" s="33"/>
      <c r="R235" s="33"/>
      <c r="S235" s="38"/>
    </row>
    <row r="236" spans="1:20" s="32" customFormat="1" ht="15.75" thickBot="1" x14ac:dyDescent="0.3">
      <c r="A236" s="37"/>
      <c r="B236" s="33"/>
      <c r="C236" s="33"/>
      <c r="D236" s="33"/>
      <c r="E236" s="33"/>
      <c r="F236" s="33"/>
      <c r="G236" s="33"/>
      <c r="H236" s="33"/>
      <c r="I236" s="33"/>
      <c r="J236" s="297"/>
      <c r="K236" s="33"/>
      <c r="L236" s="329" t="s">
        <v>259</v>
      </c>
      <c r="M236" s="330"/>
      <c r="N236" s="330"/>
      <c r="O236" s="330"/>
      <c r="P236" s="234">
        <f>ROUNDUP(P234/G229,0)</f>
        <v>7</v>
      </c>
      <c r="Q236" s="235" t="s">
        <v>110</v>
      </c>
      <c r="R236" s="33"/>
      <c r="S236" s="38"/>
    </row>
    <row r="237" spans="1:20" s="32" customFormat="1" x14ac:dyDescent="0.25">
      <c r="A237" s="37"/>
      <c r="B237" s="33"/>
      <c r="C237" s="33"/>
      <c r="D237" s="33"/>
      <c r="E237" s="33"/>
      <c r="F237" s="33"/>
      <c r="G237" s="33"/>
      <c r="H237" s="33"/>
      <c r="I237" s="33"/>
      <c r="J237" s="297"/>
      <c r="K237" s="33"/>
      <c r="L237" s="33"/>
      <c r="M237" s="33"/>
      <c r="N237" s="33"/>
      <c r="O237" s="33"/>
      <c r="P237" s="33"/>
      <c r="Q237" s="33"/>
      <c r="R237" s="33"/>
      <c r="S237" s="38"/>
    </row>
    <row r="238" spans="1:20" s="32" customFormat="1" x14ac:dyDescent="0.25">
      <c r="A238" s="37"/>
      <c r="B238" s="33"/>
      <c r="C238" s="33"/>
      <c r="D238" s="33"/>
      <c r="E238" s="33"/>
      <c r="F238" s="33"/>
      <c r="G238" s="33"/>
      <c r="H238" s="33"/>
      <c r="I238" s="33"/>
      <c r="J238" s="297"/>
      <c r="K238" s="33"/>
      <c r="M238" s="319" t="s">
        <v>250</v>
      </c>
      <c r="N238" s="319"/>
      <c r="O238" s="319"/>
      <c r="P238" s="240">
        <f>ROUNDDOWN(P236/2,0)</f>
        <v>3</v>
      </c>
      <c r="Q238" s="33" t="s">
        <v>248</v>
      </c>
      <c r="R238" s="33"/>
      <c r="S238" s="38"/>
    </row>
    <row r="239" spans="1:20" s="32" customFormat="1" x14ac:dyDescent="0.25">
      <c r="A239" s="37"/>
      <c r="B239" s="33"/>
      <c r="C239" s="33"/>
      <c r="D239" s="33"/>
      <c r="E239" s="33"/>
      <c r="F239" s="33"/>
      <c r="G239" s="33"/>
      <c r="H239" s="33"/>
      <c r="I239" s="33"/>
      <c r="J239" s="297"/>
      <c r="K239" s="33"/>
      <c r="L239" s="33"/>
      <c r="M239" s="33"/>
      <c r="N239" s="33"/>
      <c r="O239" s="33"/>
      <c r="P239" s="240">
        <f>ROUNDUP(P236/2,0)</f>
        <v>4</v>
      </c>
      <c r="Q239" s="165" t="s">
        <v>249</v>
      </c>
      <c r="R239" s="33"/>
      <c r="S239" s="38"/>
    </row>
    <row r="240" spans="1:20" s="32" customFormat="1" x14ac:dyDescent="0.25">
      <c r="A240" s="37"/>
      <c r="B240" s="33"/>
      <c r="C240" s="33"/>
      <c r="D240" s="33"/>
      <c r="E240" s="33"/>
      <c r="F240" s="33"/>
      <c r="G240" s="33"/>
      <c r="H240" s="33"/>
      <c r="I240" s="33"/>
      <c r="J240" s="297"/>
      <c r="K240" s="33"/>
      <c r="L240" s="33"/>
      <c r="M240" s="33"/>
      <c r="N240" s="33"/>
      <c r="O240" s="33"/>
      <c r="P240" s="33"/>
      <c r="Q240" s="33"/>
      <c r="R240" s="33"/>
      <c r="S240" s="38"/>
    </row>
    <row r="241" spans="1:19" s="32" customFormat="1" x14ac:dyDescent="0.25">
      <c r="A241" s="37"/>
      <c r="B241" s="33"/>
      <c r="C241" s="33"/>
      <c r="D241" s="33"/>
      <c r="E241" s="33"/>
      <c r="F241" s="33"/>
      <c r="G241" s="33"/>
      <c r="H241" s="33"/>
      <c r="I241" s="33"/>
      <c r="J241" s="297"/>
      <c r="K241" s="33"/>
      <c r="L241" s="33"/>
      <c r="M241" s="33"/>
      <c r="N241" s="33"/>
      <c r="O241" s="33"/>
      <c r="P241" s="33"/>
      <c r="Q241" s="33"/>
      <c r="R241" s="33"/>
      <c r="S241" s="38"/>
    </row>
    <row r="242" spans="1:19" s="32" customFormat="1" ht="15.75" thickBot="1" x14ac:dyDescent="0.3">
      <c r="A242" s="39"/>
      <c r="B242" s="40"/>
      <c r="C242" s="40"/>
      <c r="D242" s="40"/>
      <c r="E242" s="40"/>
      <c r="F242" s="40"/>
      <c r="G242" s="40"/>
      <c r="H242" s="40"/>
      <c r="I242" s="40"/>
      <c r="J242" s="299"/>
      <c r="K242" s="40"/>
      <c r="L242" s="40"/>
      <c r="M242" s="40"/>
      <c r="N242" s="40"/>
      <c r="O242" s="40"/>
      <c r="P242" s="40"/>
      <c r="Q242" s="40"/>
      <c r="R242" s="40"/>
      <c r="S242" s="41"/>
    </row>
    <row r="243" spans="1:19" ht="15.75" thickBot="1" x14ac:dyDescent="0.3"/>
    <row r="244" spans="1:19" x14ac:dyDescent="0.25">
      <c r="A244" s="34"/>
      <c r="B244" s="35"/>
      <c r="C244" s="35"/>
      <c r="D244" s="35"/>
      <c r="E244" s="35"/>
      <c r="F244" s="35"/>
      <c r="G244" s="35"/>
      <c r="H244" s="35"/>
      <c r="I244" s="35"/>
      <c r="J244" s="296" t="s">
        <v>289</v>
      </c>
      <c r="K244" s="35"/>
      <c r="L244" s="35"/>
      <c r="M244" s="35"/>
      <c r="N244" s="35"/>
      <c r="O244" s="35"/>
      <c r="P244" s="35"/>
      <c r="Q244" s="35"/>
      <c r="R244" s="35"/>
      <c r="S244" s="36"/>
    </row>
    <row r="245" spans="1:19" x14ac:dyDescent="0.25">
      <c r="A245" s="37"/>
      <c r="B245" s="33"/>
      <c r="C245" s="33"/>
      <c r="D245" s="33"/>
      <c r="E245" s="33"/>
      <c r="F245" s="33"/>
      <c r="G245" s="33"/>
      <c r="H245" s="33"/>
      <c r="I245" s="33"/>
      <c r="J245" s="297"/>
      <c r="K245" s="33"/>
      <c r="R245" s="186"/>
      <c r="S245" s="38"/>
    </row>
    <row r="246" spans="1:19" ht="15.75" thickBot="1" x14ac:dyDescent="0.3">
      <c r="A246" s="37"/>
      <c r="B246" s="33"/>
      <c r="C246" s="33"/>
      <c r="D246" s="33"/>
      <c r="E246" s="33"/>
      <c r="F246" s="33"/>
      <c r="G246" s="33"/>
      <c r="H246" s="33"/>
      <c r="I246" s="33"/>
      <c r="J246" s="297"/>
      <c r="K246" s="33"/>
      <c r="R246" s="33"/>
      <c r="S246" s="38"/>
    </row>
    <row r="247" spans="1:19" x14ac:dyDescent="0.25">
      <c r="A247" s="37"/>
      <c r="B247" s="33"/>
      <c r="C247" s="33"/>
      <c r="D247" s="33"/>
      <c r="E247" s="33"/>
      <c r="F247" s="33"/>
      <c r="G247" s="33"/>
      <c r="H247" s="33"/>
      <c r="I247" s="33"/>
      <c r="J247" s="297"/>
      <c r="K247" s="33"/>
      <c r="L247" s="300" t="s">
        <v>228</v>
      </c>
      <c r="M247" s="301"/>
      <c r="N247" s="301"/>
      <c r="O247" s="301"/>
      <c r="P247" s="21">
        <f>2*D14+2*H8</f>
        <v>47.3</v>
      </c>
      <c r="Q247" s="47" t="s">
        <v>48</v>
      </c>
      <c r="R247" s="33"/>
      <c r="S247" s="38"/>
    </row>
    <row r="248" spans="1:19" x14ac:dyDescent="0.25">
      <c r="A248" s="37"/>
      <c r="B248" s="33"/>
      <c r="C248" s="33"/>
      <c r="D248" s="33"/>
      <c r="E248" s="33"/>
      <c r="F248" s="195">
        <f>P103</f>
        <v>0.25</v>
      </c>
      <c r="G248" s="33" t="s">
        <v>225</v>
      </c>
      <c r="H248" s="33"/>
      <c r="I248" s="33"/>
      <c r="J248" s="297"/>
      <c r="K248" s="33"/>
      <c r="L248" s="302" t="s">
        <v>229</v>
      </c>
      <c r="M248" s="303"/>
      <c r="N248" s="303"/>
      <c r="O248" s="303"/>
      <c r="P248" s="22">
        <f>P247*F255-O99-S99</f>
        <v>116.11080000000001</v>
      </c>
      <c r="Q248" s="20" t="s">
        <v>49</v>
      </c>
      <c r="R248" s="165"/>
      <c r="S248" s="38"/>
    </row>
    <row r="249" spans="1:19" x14ac:dyDescent="0.25">
      <c r="A249" s="37"/>
      <c r="B249" s="33"/>
      <c r="C249" s="33"/>
      <c r="D249" s="33"/>
      <c r="E249" s="33"/>
      <c r="F249" s="33"/>
      <c r="G249" s="33"/>
      <c r="H249" s="33"/>
      <c r="I249" s="33"/>
      <c r="J249" s="297"/>
      <c r="K249" s="33"/>
      <c r="L249" s="304" t="s">
        <v>230</v>
      </c>
      <c r="M249" s="305"/>
      <c r="N249" s="305"/>
      <c r="O249" s="306"/>
      <c r="P249" s="22">
        <f>H8*F248*2</f>
        <v>4</v>
      </c>
      <c r="Q249" s="20" t="s">
        <v>49</v>
      </c>
      <c r="R249" s="165"/>
      <c r="S249" s="38"/>
    </row>
    <row r="250" spans="1:19" ht="15.75" thickBot="1" x14ac:dyDescent="0.3">
      <c r="A250" s="37"/>
      <c r="B250" s="33"/>
      <c r="C250" s="33"/>
      <c r="D250" s="33"/>
      <c r="E250" s="33"/>
      <c r="F250" s="33"/>
      <c r="G250" s="33"/>
      <c r="H250" s="33"/>
      <c r="I250" s="33"/>
      <c r="J250" s="297"/>
      <c r="K250" s="33"/>
      <c r="L250" s="310" t="s">
        <v>231</v>
      </c>
      <c r="M250" s="311"/>
      <c r="N250" s="311"/>
      <c r="O250" s="312"/>
      <c r="P250" s="23">
        <f>H8*I86</f>
        <v>22.294608016597156</v>
      </c>
      <c r="Q250" s="46" t="s">
        <v>49</v>
      </c>
      <c r="R250" s="165"/>
      <c r="S250" s="38"/>
    </row>
    <row r="251" spans="1:19" ht="15.75" thickBot="1" x14ac:dyDescent="0.3">
      <c r="A251" s="37"/>
      <c r="B251" s="33"/>
      <c r="C251" s="33"/>
      <c r="D251" s="33"/>
      <c r="E251" s="33"/>
      <c r="F251" s="33"/>
      <c r="G251" s="33"/>
      <c r="H251" s="33"/>
      <c r="I251" s="33"/>
      <c r="J251" s="297"/>
      <c r="K251" s="33"/>
      <c r="L251" s="307" t="s">
        <v>232</v>
      </c>
      <c r="M251" s="308"/>
      <c r="N251" s="308"/>
      <c r="O251" s="309"/>
      <c r="P251" s="234">
        <f>P250+P249+P248</f>
        <v>142.40540801659716</v>
      </c>
      <c r="Q251" s="235" t="s">
        <v>49</v>
      </c>
      <c r="R251" s="165"/>
      <c r="S251" s="38"/>
    </row>
    <row r="252" spans="1:19" ht="15.75" thickBot="1" x14ac:dyDescent="0.3">
      <c r="A252" s="37"/>
      <c r="B252" s="33"/>
      <c r="C252" s="165"/>
      <c r="D252" s="165"/>
      <c r="E252" s="165"/>
      <c r="F252" s="165"/>
      <c r="G252" s="165"/>
      <c r="H252" s="165"/>
      <c r="I252" s="33"/>
      <c r="J252" s="297"/>
      <c r="K252" s="33"/>
      <c r="L252" s="32"/>
      <c r="M252" s="32"/>
      <c r="N252" s="32"/>
      <c r="O252" s="32"/>
      <c r="P252" s="32"/>
      <c r="Q252" s="32"/>
      <c r="R252" s="165"/>
      <c r="S252" s="38"/>
    </row>
    <row r="253" spans="1:19" x14ac:dyDescent="0.25">
      <c r="A253" s="37"/>
      <c r="B253" s="33"/>
      <c r="C253" s="165"/>
      <c r="D253" s="165"/>
      <c r="E253" s="165"/>
      <c r="F253" s="165"/>
      <c r="G253" s="165"/>
      <c r="H253" s="165"/>
      <c r="I253" s="33"/>
      <c r="J253" s="297"/>
      <c r="K253" s="33"/>
      <c r="L253" s="313" t="s">
        <v>234</v>
      </c>
      <c r="M253" s="314"/>
      <c r="N253" s="314"/>
      <c r="O253" s="315"/>
      <c r="P253" s="21">
        <f>SUM(M87:M97)/100</f>
        <v>6.1</v>
      </c>
      <c r="Q253" s="47" t="s">
        <v>48</v>
      </c>
      <c r="R253" s="165"/>
      <c r="S253" s="38"/>
    </row>
    <row r="254" spans="1:19" ht="15.75" thickBot="1" x14ac:dyDescent="0.3">
      <c r="A254" s="225"/>
      <c r="B254" s="33"/>
      <c r="C254" s="165"/>
      <c r="D254" s="165"/>
      <c r="E254" s="165"/>
      <c r="F254" s="165"/>
      <c r="G254" s="294" t="s">
        <v>226</v>
      </c>
      <c r="H254" s="294"/>
      <c r="I254" s="295"/>
      <c r="J254" s="297"/>
      <c r="K254" s="33"/>
      <c r="L254" s="310" t="s">
        <v>235</v>
      </c>
      <c r="M254" s="311"/>
      <c r="N254" s="311"/>
      <c r="O254" s="312"/>
      <c r="P254" s="23">
        <f>2*SUM(N87:N97)/100</f>
        <v>23</v>
      </c>
      <c r="Q254" s="46" t="s">
        <v>48</v>
      </c>
      <c r="R254" s="165"/>
      <c r="S254" s="38"/>
    </row>
    <row r="255" spans="1:19" ht="15.75" thickBot="1" x14ac:dyDescent="0.3">
      <c r="A255" s="37"/>
      <c r="B255" s="33"/>
      <c r="C255" s="165"/>
      <c r="D255" s="165"/>
      <c r="E255" s="165"/>
      <c r="F255" s="144">
        <v>2.87</v>
      </c>
      <c r="G255" s="294"/>
      <c r="H255" s="294"/>
      <c r="I255" s="295"/>
      <c r="J255" s="297"/>
      <c r="K255" s="33"/>
      <c r="L255" s="307" t="s">
        <v>236</v>
      </c>
      <c r="M255" s="308"/>
      <c r="N255" s="308"/>
      <c r="O255" s="309"/>
      <c r="P255" s="234">
        <f>P253+P254</f>
        <v>29.1</v>
      </c>
      <c r="Q255" s="235" t="s">
        <v>48</v>
      </c>
      <c r="R255" s="165"/>
      <c r="S255" s="38"/>
    </row>
    <row r="256" spans="1:19" ht="15.75" thickBot="1" x14ac:dyDescent="0.3">
      <c r="A256" s="37"/>
      <c r="B256" s="33"/>
      <c r="C256" s="165"/>
      <c r="D256" s="165"/>
      <c r="E256" s="165"/>
      <c r="F256" s="165"/>
      <c r="G256" s="294"/>
      <c r="H256" s="294"/>
      <c r="I256" s="295"/>
      <c r="J256" s="298"/>
      <c r="K256" s="33"/>
      <c r="L256" s="224"/>
      <c r="M256" s="224"/>
      <c r="N256" s="224"/>
      <c r="O256" s="224"/>
      <c r="P256" s="169"/>
      <c r="Q256" s="224"/>
      <c r="R256" s="165"/>
      <c r="S256" s="38"/>
    </row>
    <row r="257" spans="1:19" ht="15.75" thickBot="1" x14ac:dyDescent="0.3">
      <c r="A257" s="37"/>
      <c r="B257" s="33"/>
      <c r="C257" s="165"/>
      <c r="D257" s="165"/>
      <c r="E257" s="165"/>
      <c r="F257" s="165"/>
      <c r="G257" s="165"/>
      <c r="H257" s="165"/>
      <c r="I257" s="38"/>
      <c r="J257" s="298"/>
      <c r="K257" s="33"/>
      <c r="L257" s="316" t="s">
        <v>237</v>
      </c>
      <c r="M257" s="317"/>
      <c r="N257" s="317"/>
      <c r="O257" s="318"/>
      <c r="P257" s="24">
        <f>P255+4*F255</f>
        <v>40.58</v>
      </c>
      <c r="Q257" s="19" t="s">
        <v>48</v>
      </c>
      <c r="R257" s="165"/>
      <c r="S257" s="38"/>
    </row>
    <row r="258" spans="1:19" ht="15.75" thickBot="1" x14ac:dyDescent="0.3">
      <c r="A258" s="37"/>
      <c r="B258" s="33"/>
      <c r="C258" s="165"/>
      <c r="D258" s="165"/>
      <c r="E258" s="165"/>
      <c r="F258" s="165"/>
      <c r="G258" s="165"/>
      <c r="H258" s="165"/>
      <c r="I258" s="38"/>
      <c r="J258" s="298"/>
      <c r="K258" s="33"/>
      <c r="L258" s="236"/>
      <c r="M258" s="236"/>
      <c r="N258" s="236"/>
      <c r="O258" s="236"/>
      <c r="P258" s="167"/>
      <c r="Q258" s="224"/>
      <c r="R258" s="166"/>
      <c r="S258" s="38"/>
    </row>
    <row r="259" spans="1:19" ht="15.75" thickBot="1" x14ac:dyDescent="0.3">
      <c r="A259" s="37"/>
      <c r="B259" s="33"/>
      <c r="C259" s="165"/>
      <c r="D259" s="165"/>
      <c r="E259" s="165"/>
      <c r="F259" s="165"/>
      <c r="G259" s="223" t="s">
        <v>227</v>
      </c>
      <c r="H259" s="165"/>
      <c r="I259" s="38"/>
      <c r="J259" s="298"/>
      <c r="K259" s="33"/>
      <c r="L259" s="316" t="s">
        <v>238</v>
      </c>
      <c r="M259" s="317"/>
      <c r="N259" s="317"/>
      <c r="O259" s="318"/>
      <c r="P259" s="24">
        <f>2*(H222+I222)*0.65</f>
        <v>1.56</v>
      </c>
      <c r="Q259" s="19" t="s">
        <v>49</v>
      </c>
      <c r="R259" s="165"/>
      <c r="S259" s="38"/>
    </row>
    <row r="260" spans="1:19" ht="15.75" thickBot="1" x14ac:dyDescent="0.3">
      <c r="A260" s="37"/>
      <c r="B260" s="33"/>
      <c r="C260" s="165"/>
      <c r="D260" s="165"/>
      <c r="E260" s="165"/>
      <c r="F260" s="224"/>
      <c r="G260" s="224"/>
      <c r="H260" s="165"/>
      <c r="I260" s="38"/>
      <c r="J260" s="298"/>
      <c r="K260" s="33"/>
      <c r="L260" s="316" t="s">
        <v>239</v>
      </c>
      <c r="M260" s="317"/>
      <c r="N260" s="317"/>
      <c r="O260" s="318"/>
      <c r="P260" s="24">
        <f>P259</f>
        <v>1.56</v>
      </c>
      <c r="Q260" s="19" t="s">
        <v>49</v>
      </c>
      <c r="R260" s="165"/>
      <c r="S260" s="38"/>
    </row>
    <row r="261" spans="1:19" ht="15.75" thickBot="1" x14ac:dyDescent="0.3">
      <c r="A261" s="37"/>
      <c r="B261" s="33"/>
      <c r="C261" s="293"/>
      <c r="D261" s="293"/>
      <c r="E261" s="293"/>
      <c r="F261" s="225"/>
      <c r="G261" s="225"/>
      <c r="H261" s="165"/>
      <c r="I261" s="32"/>
      <c r="J261" s="297"/>
      <c r="K261" s="33"/>
      <c r="L261" s="316" t="s">
        <v>237</v>
      </c>
      <c r="M261" s="317"/>
      <c r="N261" s="317"/>
      <c r="O261" s="318"/>
      <c r="P261" s="24">
        <f>4*0.65</f>
        <v>2.6</v>
      </c>
      <c r="Q261" s="19" t="s">
        <v>48</v>
      </c>
      <c r="R261" s="165"/>
      <c r="S261" s="38"/>
    </row>
    <row r="262" spans="1:19" x14ac:dyDescent="0.25">
      <c r="A262" s="37"/>
      <c r="B262" s="33"/>
      <c r="C262" s="293"/>
      <c r="D262" s="293"/>
      <c r="E262" s="293"/>
      <c r="F262" s="225"/>
      <c r="G262" s="225"/>
      <c r="H262" s="165"/>
      <c r="I262" s="33"/>
      <c r="J262" s="297"/>
      <c r="K262" s="33"/>
      <c r="L262" s="165"/>
      <c r="M262" s="165"/>
      <c r="N262" s="165"/>
      <c r="O262" s="165"/>
      <c r="P262" s="165"/>
      <c r="Q262" s="165"/>
      <c r="R262" s="165"/>
      <c r="S262" s="38"/>
    </row>
    <row r="263" spans="1:19" x14ac:dyDescent="0.25">
      <c r="A263" s="37"/>
      <c r="B263" s="33"/>
      <c r="C263" s="293"/>
      <c r="D263" s="293"/>
      <c r="E263" s="293"/>
      <c r="F263" s="225"/>
      <c r="G263" s="225"/>
      <c r="H263" s="165"/>
      <c r="I263" s="33"/>
      <c r="J263" s="297"/>
      <c r="K263" s="33"/>
      <c r="L263" s="199"/>
      <c r="M263" s="199"/>
      <c r="N263" s="199"/>
      <c r="O263" s="199"/>
      <c r="P263" s="224"/>
      <c r="Q263" s="224"/>
      <c r="R263" s="165"/>
      <c r="S263" s="38"/>
    </row>
    <row r="264" spans="1:19" x14ac:dyDescent="0.25">
      <c r="A264" s="37"/>
      <c r="B264" s="33"/>
      <c r="C264" s="293"/>
      <c r="D264" s="293"/>
      <c r="E264" s="293"/>
      <c r="F264" s="225"/>
      <c r="G264" s="225"/>
      <c r="H264" s="165"/>
      <c r="I264" s="33"/>
      <c r="J264" s="297"/>
      <c r="K264" s="33"/>
      <c r="L264" s="199"/>
      <c r="M264" s="199"/>
      <c r="N264" s="199"/>
      <c r="O264" s="199"/>
      <c r="P264" s="169"/>
      <c r="Q264" s="224"/>
      <c r="R264" s="165"/>
      <c r="S264" s="38"/>
    </row>
    <row r="265" spans="1:19" ht="15.75" thickBot="1" x14ac:dyDescent="0.3">
      <c r="A265" s="39"/>
      <c r="B265" s="40"/>
      <c r="C265" s="40"/>
      <c r="D265" s="40"/>
      <c r="E265" s="40"/>
      <c r="F265" s="40"/>
      <c r="G265" s="40"/>
      <c r="H265" s="40"/>
      <c r="I265" s="40"/>
      <c r="J265" s="299"/>
      <c r="K265" s="40"/>
      <c r="L265" s="40"/>
      <c r="M265" s="40"/>
      <c r="N265" s="40"/>
      <c r="O265" s="40"/>
      <c r="P265" s="40"/>
      <c r="Q265" s="40"/>
      <c r="R265" s="40"/>
      <c r="S265" s="41"/>
    </row>
    <row r="266" spans="1:19" ht="15.75" thickBot="1" x14ac:dyDescent="0.3">
      <c r="L266" s="32"/>
      <c r="M266" s="32"/>
      <c r="N266" s="32"/>
      <c r="O266" s="32"/>
      <c r="P266" s="32"/>
      <c r="Q266" s="32"/>
    </row>
    <row r="267" spans="1:19" x14ac:dyDescent="0.25">
      <c r="A267" s="34"/>
      <c r="B267" s="35"/>
      <c r="C267" s="35"/>
      <c r="D267" s="35"/>
      <c r="E267" s="35"/>
      <c r="F267" s="35"/>
      <c r="G267" s="35"/>
      <c r="H267" s="35"/>
      <c r="I267" s="35"/>
      <c r="J267" s="326" t="s">
        <v>288</v>
      </c>
      <c r="K267" s="35"/>
      <c r="L267" s="35"/>
      <c r="M267" s="35"/>
      <c r="N267" s="35"/>
      <c r="O267" s="35"/>
      <c r="P267" s="35"/>
      <c r="Q267" s="35"/>
      <c r="R267" s="35"/>
      <c r="S267" s="36"/>
    </row>
    <row r="268" spans="1:19" ht="15.75" thickBot="1" x14ac:dyDescent="0.3">
      <c r="A268" s="37"/>
      <c r="B268" s="33"/>
      <c r="C268" s="33"/>
      <c r="D268" s="33"/>
      <c r="E268" s="33"/>
      <c r="F268" s="33"/>
      <c r="G268" s="33"/>
      <c r="H268" s="33"/>
      <c r="I268" s="33"/>
      <c r="J268" s="327"/>
      <c r="K268" s="33"/>
      <c r="R268" s="186"/>
      <c r="S268" s="38"/>
    </row>
    <row r="269" spans="1:19" ht="15.75" thickBot="1" x14ac:dyDescent="0.3">
      <c r="A269" s="37"/>
      <c r="B269" s="33"/>
      <c r="C269" s="33"/>
      <c r="D269" s="33"/>
      <c r="E269" s="33"/>
      <c r="F269" s="33"/>
      <c r="G269" s="33"/>
      <c r="H269" s="33"/>
      <c r="I269" s="33"/>
      <c r="J269" s="327"/>
      <c r="K269" s="33"/>
      <c r="L269" s="316" t="s">
        <v>256</v>
      </c>
      <c r="M269" s="317"/>
      <c r="N269" s="317"/>
      <c r="O269" s="318"/>
      <c r="P269" s="513" t="s">
        <v>260</v>
      </c>
      <c r="Q269" s="514"/>
      <c r="R269" s="33"/>
      <c r="S269" s="38"/>
    </row>
    <row r="270" spans="1:19" ht="15.75" thickBot="1" x14ac:dyDescent="0.3">
      <c r="A270" s="37"/>
      <c r="B270" s="33"/>
      <c r="C270" s="33"/>
      <c r="D270" s="33"/>
      <c r="E270" s="33"/>
      <c r="F270" s="245">
        <f>IF(P269=T228,(H8-2*C26/100+2*E126/100),(H8-2*C26/100+2*E174/100))</f>
        <v>8.36</v>
      </c>
      <c r="G270" s="33" t="s">
        <v>253</v>
      </c>
      <c r="H270" s="33"/>
      <c r="I270" s="33"/>
      <c r="J270" s="327"/>
      <c r="K270" s="33"/>
      <c r="L270" s="33"/>
      <c r="M270" s="33"/>
      <c r="N270" s="33"/>
      <c r="O270" s="33"/>
      <c r="P270" s="33"/>
      <c r="Q270" s="33"/>
      <c r="R270" s="33"/>
      <c r="S270" s="38"/>
    </row>
    <row r="271" spans="1:19" x14ac:dyDescent="0.25">
      <c r="A271" s="37"/>
      <c r="B271" s="33"/>
      <c r="C271" s="33"/>
      <c r="D271" s="33"/>
      <c r="E271" s="33"/>
      <c r="F271" s="167"/>
      <c r="G271" s="33"/>
      <c r="H271" s="33"/>
      <c r="I271" s="33"/>
      <c r="J271" s="327"/>
      <c r="K271" s="33"/>
      <c r="L271" s="313" t="s">
        <v>254</v>
      </c>
      <c r="M271" s="314"/>
      <c r="N271" s="314"/>
      <c r="O271" s="315"/>
      <c r="P271" s="21">
        <f>IF(C274&lt;=10,0,IF(C274&lt;=20,1,IF(C274&lt;=30,2,IF(C274&lt;=40,3,0))))</f>
        <v>1</v>
      </c>
      <c r="Q271" s="47" t="s">
        <v>110</v>
      </c>
      <c r="R271" s="165"/>
      <c r="S271" s="38"/>
    </row>
    <row r="272" spans="1:19" x14ac:dyDescent="0.25">
      <c r="A272" s="37"/>
      <c r="B272" s="33"/>
      <c r="C272" s="33"/>
      <c r="D272" s="33"/>
      <c r="E272" s="33"/>
      <c r="F272" s="33"/>
      <c r="G272" s="33"/>
      <c r="H272" s="33"/>
      <c r="I272" s="33"/>
      <c r="J272" s="327"/>
      <c r="K272" s="33"/>
      <c r="L272" s="304" t="s">
        <v>255</v>
      </c>
      <c r="M272" s="305"/>
      <c r="N272" s="305"/>
      <c r="O272" s="306"/>
      <c r="P272" s="22">
        <f>IF(P269=T228,P112,P156*2)</f>
        <v>54</v>
      </c>
      <c r="Q272" s="20" t="s">
        <v>110</v>
      </c>
      <c r="R272" s="165"/>
      <c r="S272" s="38"/>
    </row>
    <row r="273" spans="1:22" x14ac:dyDescent="0.25">
      <c r="A273" s="37"/>
      <c r="B273" s="33"/>
      <c r="C273" s="33"/>
      <c r="D273" s="33"/>
      <c r="E273" s="33"/>
      <c r="F273" s="33"/>
      <c r="G273" s="33"/>
      <c r="H273" s="33"/>
      <c r="I273" s="33"/>
      <c r="J273" s="327"/>
      <c r="K273" s="33"/>
      <c r="L273" s="304" t="s">
        <v>262</v>
      </c>
      <c r="M273" s="305"/>
      <c r="N273" s="305"/>
      <c r="O273" s="306"/>
      <c r="P273" s="22">
        <v>4</v>
      </c>
      <c r="Q273" s="20" t="s">
        <v>110</v>
      </c>
      <c r="R273" s="165"/>
      <c r="S273" s="38"/>
    </row>
    <row r="274" spans="1:22" x14ac:dyDescent="0.25">
      <c r="A274" s="37"/>
      <c r="B274" s="33"/>
      <c r="C274" s="244">
        <f>IF(P269=T228,(D14-2*C26/100+2*A117/100),(D14-2*C26/100))</f>
        <v>15.610000000000001</v>
      </c>
      <c r="D274" s="33" t="s">
        <v>252</v>
      </c>
      <c r="E274" s="33"/>
      <c r="F274" s="33"/>
      <c r="G274" s="33"/>
      <c r="H274" s="33"/>
      <c r="I274" s="33"/>
      <c r="J274" s="327"/>
      <c r="K274" s="33"/>
      <c r="L274" s="304" t="s">
        <v>263</v>
      </c>
      <c r="M274" s="305"/>
      <c r="N274" s="305"/>
      <c r="O274" s="306"/>
      <c r="P274" s="22">
        <f>IF(C274&lt;=10,2,IF(C274&lt;=20,2,IF(C274&lt;=30,4,IF(C274&lt;=40,4,0))))</f>
        <v>2</v>
      </c>
      <c r="Q274" s="20" t="s">
        <v>110</v>
      </c>
      <c r="R274" s="165"/>
      <c r="S274" s="38"/>
    </row>
    <row r="275" spans="1:22" x14ac:dyDescent="0.25">
      <c r="A275" s="37"/>
      <c r="B275" s="33"/>
      <c r="C275" s="165"/>
      <c r="D275" s="165"/>
      <c r="E275" s="165"/>
      <c r="F275" s="165"/>
      <c r="G275" s="165"/>
      <c r="H275" s="165"/>
      <c r="I275" s="33"/>
      <c r="J275" s="327"/>
      <c r="K275" s="33"/>
      <c r="L275" s="304" t="s">
        <v>264</v>
      </c>
      <c r="M275" s="305"/>
      <c r="N275" s="305"/>
      <c r="O275" s="306"/>
      <c r="P275" s="22">
        <f>P274</f>
        <v>2</v>
      </c>
      <c r="Q275" s="20" t="s">
        <v>110</v>
      </c>
      <c r="R275" s="165"/>
      <c r="S275" s="38"/>
    </row>
    <row r="276" spans="1:22" x14ac:dyDescent="0.25">
      <c r="A276" s="37"/>
      <c r="B276" s="33"/>
      <c r="C276" s="144">
        <v>2</v>
      </c>
      <c r="D276" s="165" t="s">
        <v>279</v>
      </c>
      <c r="E276" s="165"/>
      <c r="F276" s="165"/>
      <c r="G276" s="165"/>
      <c r="H276" s="165"/>
      <c r="I276" s="33"/>
      <c r="J276" s="327"/>
      <c r="K276" s="33"/>
      <c r="L276" s="304" t="s">
        <v>265</v>
      </c>
      <c r="M276" s="305"/>
      <c r="N276" s="305"/>
      <c r="O276" s="306"/>
      <c r="P276" s="22">
        <f>P275*2</f>
        <v>4</v>
      </c>
      <c r="Q276" s="20" t="s">
        <v>110</v>
      </c>
      <c r="R276" s="165"/>
      <c r="S276" s="38"/>
    </row>
    <row r="277" spans="1:22" ht="15.75" thickBot="1" x14ac:dyDescent="0.3">
      <c r="A277" s="257"/>
      <c r="B277" s="33"/>
      <c r="C277" s="165"/>
      <c r="D277" s="165"/>
      <c r="E277" s="165"/>
      <c r="F277" s="165"/>
      <c r="G277" s="242"/>
      <c r="H277" s="242"/>
      <c r="I277" s="243"/>
      <c r="J277" s="327"/>
      <c r="K277" s="33"/>
      <c r="L277" s="310" t="s">
        <v>266</v>
      </c>
      <c r="M277" s="311"/>
      <c r="N277" s="311"/>
      <c r="O277" s="312"/>
      <c r="P277" s="23">
        <f>IF(B286=T278,G284,G284-1)</f>
        <v>1.77</v>
      </c>
      <c r="Q277" s="46" t="s">
        <v>48</v>
      </c>
      <c r="R277" s="165"/>
      <c r="S277" s="38"/>
      <c r="T277" s="221" t="s">
        <v>245</v>
      </c>
    </row>
    <row r="278" spans="1:22" ht="15.75" thickBot="1" x14ac:dyDescent="0.3">
      <c r="A278" s="37"/>
      <c r="B278" s="33"/>
      <c r="C278" s="165"/>
      <c r="D278" s="165"/>
      <c r="E278" s="165"/>
      <c r="F278" s="247"/>
      <c r="G278" s="242"/>
      <c r="H278" s="242"/>
      <c r="I278" s="243"/>
      <c r="J278" s="327"/>
      <c r="K278" s="33"/>
      <c r="L278" s="199"/>
      <c r="M278" s="199"/>
      <c r="N278" s="199"/>
      <c r="O278" s="199"/>
      <c r="P278" s="167"/>
      <c r="Q278" s="252"/>
      <c r="R278" s="165"/>
      <c r="S278" s="38"/>
      <c r="T278" s="221" t="s">
        <v>246</v>
      </c>
    </row>
    <row r="279" spans="1:22" ht="15.75" thickBot="1" x14ac:dyDescent="0.3">
      <c r="A279" s="37"/>
      <c r="B279" s="33"/>
      <c r="C279" s="165"/>
      <c r="D279" s="165"/>
      <c r="E279" s="165"/>
      <c r="F279" s="165"/>
      <c r="G279" s="242"/>
      <c r="H279" s="242"/>
      <c r="I279" s="243"/>
      <c r="J279" s="509"/>
      <c r="K279" s="33"/>
      <c r="L279" s="316" t="s">
        <v>271</v>
      </c>
      <c r="M279" s="317"/>
      <c r="N279" s="317"/>
      <c r="O279" s="318"/>
      <c r="P279" s="513" t="s">
        <v>272</v>
      </c>
      <c r="Q279" s="514"/>
      <c r="R279" s="165"/>
      <c r="S279" s="38"/>
    </row>
    <row r="280" spans="1:22" ht="15.75" thickBot="1" x14ac:dyDescent="0.3">
      <c r="A280" s="37"/>
      <c r="B280" s="33"/>
      <c r="C280" s="165"/>
      <c r="D280" s="165"/>
      <c r="E280" s="165"/>
      <c r="F280" s="165"/>
      <c r="G280" s="165"/>
      <c r="H280" s="165"/>
      <c r="I280" s="38"/>
      <c r="J280" s="509"/>
      <c r="K280" s="33"/>
      <c r="L280" s="249"/>
      <c r="M280" s="249"/>
      <c r="N280" s="249"/>
      <c r="O280" s="249"/>
      <c r="P280" s="30"/>
      <c r="Q280" s="251"/>
      <c r="R280" s="165"/>
      <c r="S280" s="38"/>
    </row>
    <row r="281" spans="1:22" ht="15.75" thickBot="1" x14ac:dyDescent="0.3">
      <c r="A281" s="37"/>
      <c r="B281" s="33"/>
      <c r="C281" s="165"/>
      <c r="D281" s="165"/>
      <c r="E281" s="165"/>
      <c r="F281" s="165"/>
      <c r="G281" s="165"/>
      <c r="H281" s="165"/>
      <c r="I281" s="38"/>
      <c r="J281" s="509"/>
      <c r="K281" s="33"/>
      <c r="L281" s="316" t="s">
        <v>282</v>
      </c>
      <c r="M281" s="317"/>
      <c r="N281" s="317"/>
      <c r="O281" s="318"/>
      <c r="P281" s="21">
        <f>T285</f>
        <v>65.249800000000008</v>
      </c>
      <c r="Q281" s="47" t="s">
        <v>49</v>
      </c>
      <c r="R281" s="166"/>
      <c r="S281" s="38"/>
    </row>
    <row r="282" spans="1:22" ht="15.75" thickBot="1" x14ac:dyDescent="0.3">
      <c r="A282" s="37"/>
      <c r="B282" s="33"/>
      <c r="C282" s="165"/>
      <c r="D282" s="165"/>
      <c r="E282" s="165"/>
      <c r="F282" s="165"/>
      <c r="G282" s="248"/>
      <c r="H282" s="165"/>
      <c r="I282" s="38"/>
      <c r="J282" s="509"/>
      <c r="K282" s="33"/>
      <c r="L282" s="313" t="s">
        <v>283</v>
      </c>
      <c r="M282" s="314"/>
      <c r="N282" s="314"/>
      <c r="O282" s="315"/>
      <c r="P282" s="21">
        <f>ROUNDUP(V286,0)*10</f>
        <v>40</v>
      </c>
      <c r="Q282" s="47" t="s">
        <v>49</v>
      </c>
      <c r="R282" s="165"/>
      <c r="S282" s="38"/>
    </row>
    <row r="283" spans="1:22" ht="15.75" thickBot="1" x14ac:dyDescent="0.3">
      <c r="A283" s="37"/>
      <c r="B283" s="33"/>
      <c r="C283" s="165"/>
      <c r="D283" s="165"/>
      <c r="E283" s="165"/>
      <c r="F283" s="246"/>
      <c r="G283" s="246"/>
      <c r="H283" s="294" t="s">
        <v>287</v>
      </c>
      <c r="I283" s="295"/>
      <c r="J283" s="509"/>
      <c r="K283" s="33"/>
      <c r="L283" s="313" t="s">
        <v>280</v>
      </c>
      <c r="M283" s="314"/>
      <c r="N283" s="314"/>
      <c r="O283" s="315"/>
      <c r="P283" s="21">
        <f>IF(P279=Données!N18,Données!L18,IF(P279=Données!N21,Données!L18*Données!P21,Données!L18*Données!P20))</f>
        <v>72.624899999999997</v>
      </c>
      <c r="Q283" s="47" t="s">
        <v>247</v>
      </c>
      <c r="R283" s="165"/>
      <c r="S283" s="38"/>
      <c r="T283" s="221">
        <f>ROUNDDOWN(V286,0)*10</f>
        <v>30</v>
      </c>
      <c r="U283" s="221"/>
      <c r="V283" s="221">
        <f>ROUNDUP(V286,0)*10</f>
        <v>40</v>
      </c>
    </row>
    <row r="284" spans="1:22" ht="15.75" thickBot="1" x14ac:dyDescent="0.3">
      <c r="A284" s="37"/>
      <c r="B284" s="33"/>
      <c r="C284" s="199"/>
      <c r="D284" s="199"/>
      <c r="E284" s="199"/>
      <c r="F284" s="247"/>
      <c r="G284" s="144">
        <v>2.77</v>
      </c>
      <c r="H284" s="294"/>
      <c r="I284" s="295"/>
      <c r="J284" s="327"/>
      <c r="K284" s="33"/>
      <c r="L284" s="313" t="s">
        <v>284</v>
      </c>
      <c r="M284" s="314"/>
      <c r="N284" s="314"/>
      <c r="O284" s="315"/>
      <c r="P284" s="21">
        <f>IF(P283&lt;57,250,330)</f>
        <v>330</v>
      </c>
      <c r="Q284" s="47" t="s">
        <v>285</v>
      </c>
      <c r="R284" s="165"/>
      <c r="S284" s="38"/>
      <c r="T284" s="221"/>
      <c r="U284" s="221"/>
      <c r="V284" s="221"/>
    </row>
    <row r="285" spans="1:22" ht="15.75" thickBot="1" x14ac:dyDescent="0.3">
      <c r="A285" s="37"/>
      <c r="B285" s="33"/>
      <c r="C285" s="199"/>
      <c r="D285" s="199"/>
      <c r="E285" s="199"/>
      <c r="F285" s="247"/>
      <c r="G285" s="247"/>
      <c r="H285" s="294"/>
      <c r="I285" s="295"/>
      <c r="J285" s="327"/>
      <c r="K285" s="33"/>
      <c r="L285" s="316" t="s">
        <v>286</v>
      </c>
      <c r="M285" s="317"/>
      <c r="N285" s="317"/>
      <c r="O285" s="318"/>
      <c r="P285" s="24">
        <f>IF(P284=330,100,80)</f>
        <v>100</v>
      </c>
      <c r="Q285" s="19" t="s">
        <v>285</v>
      </c>
      <c r="R285" s="165"/>
      <c r="S285" s="38"/>
      <c r="T285" s="221">
        <f>IF(P269=T228,(D14-2*C26/100+2*A117/100)*(H8-2*C26/100+2*E126/100),(D14-2*C26/100)*(H8-2*C26/100+2*E174/100))/2</f>
        <v>65.249800000000008</v>
      </c>
      <c r="U285" s="221">
        <f>P281/U286</f>
        <v>32.624900000000004</v>
      </c>
      <c r="V285" s="221"/>
    </row>
    <row r="286" spans="1:22" x14ac:dyDescent="0.25">
      <c r="A286" s="247" t="s">
        <v>267</v>
      </c>
      <c r="B286" s="270" t="s">
        <v>245</v>
      </c>
      <c r="C286" s="199"/>
      <c r="D286" s="199"/>
      <c r="E286" s="253" t="s">
        <v>227</v>
      </c>
      <c r="F286" s="247"/>
      <c r="G286" s="247"/>
      <c r="H286" s="165"/>
      <c r="I286" s="33"/>
      <c r="J286" s="327"/>
      <c r="K286" s="33"/>
      <c r="R286" s="165"/>
      <c r="S286" s="38"/>
      <c r="T286" s="221">
        <f>Données!L6</f>
        <v>80</v>
      </c>
      <c r="U286" s="221">
        <f>IF(C274&lt;=10,1,IF(C274&lt;=20,2,IF(C274&lt;=30,3,IF(C274&lt;=40,4,0))))</f>
        <v>2</v>
      </c>
      <c r="V286" s="221">
        <f>U285/10</f>
        <v>3.2624900000000006</v>
      </c>
    </row>
    <row r="287" spans="1:22" x14ac:dyDescent="0.25">
      <c r="C287" s="199"/>
      <c r="D287" s="199"/>
      <c r="E287" s="199"/>
      <c r="F287" s="247"/>
      <c r="G287" s="247"/>
      <c r="H287" s="165"/>
      <c r="I287" s="33"/>
      <c r="J287" s="327"/>
      <c r="K287" s="33"/>
      <c r="R287" s="165"/>
      <c r="S287" s="38"/>
      <c r="T287" s="221"/>
      <c r="U287" s="221">
        <f>U285-T283</f>
        <v>2.6249000000000038</v>
      </c>
      <c r="V287" s="221"/>
    </row>
    <row r="288" spans="1:22" s="32" customFormat="1" x14ac:dyDescent="0.25">
      <c r="A288" s="37"/>
      <c r="B288" s="33"/>
      <c r="C288" s="199"/>
      <c r="D288" s="199"/>
      <c r="E288" s="199"/>
      <c r="F288" s="247"/>
      <c r="I288" s="33"/>
      <c r="J288" s="327"/>
      <c r="K288" s="33"/>
      <c r="R288" s="165"/>
      <c r="S288" s="38"/>
    </row>
    <row r="289" spans="1:19" ht="15.75" thickBot="1" x14ac:dyDescent="0.3">
      <c r="A289" s="39"/>
      <c r="B289" s="40"/>
      <c r="C289" s="40"/>
      <c r="D289" s="40"/>
      <c r="E289" s="40"/>
      <c r="F289" s="40"/>
      <c r="G289" s="40"/>
      <c r="H289" s="40"/>
      <c r="I289" s="40"/>
      <c r="J289" s="328"/>
      <c r="K289" s="40"/>
      <c r="L289" s="40"/>
      <c r="M289" s="40"/>
      <c r="N289" s="40"/>
      <c r="O289" s="40"/>
      <c r="P289" s="40"/>
      <c r="Q289" s="40"/>
      <c r="R289" s="40"/>
      <c r="S289" s="41"/>
    </row>
  </sheetData>
  <sheetProtection password="CA85" sheet="1" objects="1" scenarios="1"/>
  <mergeCells count="254">
    <mergeCell ref="P229:Q229"/>
    <mergeCell ref="L203:O203"/>
    <mergeCell ref="P279:Q279"/>
    <mergeCell ref="L276:O276"/>
    <mergeCell ref="H283:I285"/>
    <mergeCell ref="P269:Q269"/>
    <mergeCell ref="L214:O214"/>
    <mergeCell ref="L212:O212"/>
    <mergeCell ref="L211:O211"/>
    <mergeCell ref="L210:O210"/>
    <mergeCell ref="L209:O209"/>
    <mergeCell ref="J228:J242"/>
    <mergeCell ref="L231:O231"/>
    <mergeCell ref="L234:O234"/>
    <mergeCell ref="L236:O236"/>
    <mergeCell ref="M238:O238"/>
    <mergeCell ref="J267:J289"/>
    <mergeCell ref="L271:O271"/>
    <mergeCell ref="L272:O272"/>
    <mergeCell ref="L273:O273"/>
    <mergeCell ref="L274:O274"/>
    <mergeCell ref="L275:O275"/>
    <mergeCell ref="L277:O277"/>
    <mergeCell ref="L281:O281"/>
    <mergeCell ref="F215:H215"/>
    <mergeCell ref="F216:H216"/>
    <mergeCell ref="F217:H217"/>
    <mergeCell ref="L283:O283"/>
    <mergeCell ref="L282:O282"/>
    <mergeCell ref="L284:O284"/>
    <mergeCell ref="L285:O285"/>
    <mergeCell ref="L225:O225"/>
    <mergeCell ref="L208:O208"/>
    <mergeCell ref="L229:O229"/>
    <mergeCell ref="L279:O279"/>
    <mergeCell ref="L269:O269"/>
    <mergeCell ref="L193:O193"/>
    <mergeCell ref="L194:O194"/>
    <mergeCell ref="L195:O195"/>
    <mergeCell ref="N197:O197"/>
    <mergeCell ref="L221:O221"/>
    <mergeCell ref="L222:O222"/>
    <mergeCell ref="E222:G222"/>
    <mergeCell ref="L205:Q205"/>
    <mergeCell ref="L207:O207"/>
    <mergeCell ref="L206:O206"/>
    <mergeCell ref="P214:Q214"/>
    <mergeCell ref="P194:S195"/>
    <mergeCell ref="C196:E196"/>
    <mergeCell ref="L196:O196"/>
    <mergeCell ref="C197:E197"/>
    <mergeCell ref="C198:E198"/>
    <mergeCell ref="C199:E199"/>
    <mergeCell ref="E208:G208"/>
    <mergeCell ref="J203:J226"/>
    <mergeCell ref="E204:G204"/>
    <mergeCell ref="E205:G205"/>
    <mergeCell ref="E206:G206"/>
    <mergeCell ref="E207:G207"/>
    <mergeCell ref="F214:H214"/>
    <mergeCell ref="E169:G169"/>
    <mergeCell ref="E170:G170"/>
    <mergeCell ref="D165:F165"/>
    <mergeCell ref="L191:O191"/>
    <mergeCell ref="L190:O190"/>
    <mergeCell ref="L189:O189"/>
    <mergeCell ref="L188:O188"/>
    <mergeCell ref="L187:O187"/>
    <mergeCell ref="L186:O186"/>
    <mergeCell ref="L184:O184"/>
    <mergeCell ref="L185:O185"/>
    <mergeCell ref="L181:O181"/>
    <mergeCell ref="E167:G167"/>
    <mergeCell ref="E168:G168"/>
    <mergeCell ref="F181:H181"/>
    <mergeCell ref="F182:H182"/>
    <mergeCell ref="C149:E149"/>
    <mergeCell ref="J132:J153"/>
    <mergeCell ref="L133:O133"/>
    <mergeCell ref="L134:O134"/>
    <mergeCell ref="L136:O136"/>
    <mergeCell ref="L137:O137"/>
    <mergeCell ref="L138:O138"/>
    <mergeCell ref="L139:O139"/>
    <mergeCell ref="L140:O140"/>
    <mergeCell ref="L141:O141"/>
    <mergeCell ref="L143:O143"/>
    <mergeCell ref="L152:O152"/>
    <mergeCell ref="L145:O145"/>
    <mergeCell ref="C152:E152"/>
    <mergeCell ref="L147:O147"/>
    <mergeCell ref="L148:O148"/>
    <mergeCell ref="L149:O149"/>
    <mergeCell ref="L151:O151"/>
    <mergeCell ref="C150:E150"/>
    <mergeCell ref="C151:E151"/>
    <mergeCell ref="M13:O13"/>
    <mergeCell ref="M14:O14"/>
    <mergeCell ref="M17:O17"/>
    <mergeCell ref="M25:O25"/>
    <mergeCell ref="M26:O26"/>
    <mergeCell ref="E80:F80"/>
    <mergeCell ref="L122:O122"/>
    <mergeCell ref="L125:O125"/>
    <mergeCell ref="L124:O124"/>
    <mergeCell ref="E119:G119"/>
    <mergeCell ref="E120:G120"/>
    <mergeCell ref="E121:G121"/>
    <mergeCell ref="E122:G122"/>
    <mergeCell ref="L119:O119"/>
    <mergeCell ref="J107:J130"/>
    <mergeCell ref="L108:O108"/>
    <mergeCell ref="L109:O109"/>
    <mergeCell ref="L111:O111"/>
    <mergeCell ref="L112:O112"/>
    <mergeCell ref="L113:O113"/>
    <mergeCell ref="L114:O114"/>
    <mergeCell ref="L115:O115"/>
    <mergeCell ref="L116:O116"/>
    <mergeCell ref="J79:J105"/>
    <mergeCell ref="G8:G9"/>
    <mergeCell ref="C14:C15"/>
    <mergeCell ref="D14:D15"/>
    <mergeCell ref="J4:J19"/>
    <mergeCell ref="H8:H9"/>
    <mergeCell ref="D102:F102"/>
    <mergeCell ref="M6:O6"/>
    <mergeCell ref="M7:O7"/>
    <mergeCell ref="M8:O8"/>
    <mergeCell ref="M9:O9"/>
    <mergeCell ref="M10:O10"/>
    <mergeCell ref="M11:O11"/>
    <mergeCell ref="M12:O12"/>
    <mergeCell ref="M27:O27"/>
    <mergeCell ref="M28:O28"/>
    <mergeCell ref="M29:O29"/>
    <mergeCell ref="M30:O30"/>
    <mergeCell ref="M42:O42"/>
    <mergeCell ref="J57:J77"/>
    <mergeCell ref="M80:O80"/>
    <mergeCell ref="M81:O81"/>
    <mergeCell ref="M82:O82"/>
    <mergeCell ref="K84:K86"/>
    <mergeCell ref="A32:B32"/>
    <mergeCell ref="M44:O44"/>
    <mergeCell ref="M45:O45"/>
    <mergeCell ref="M46:O46"/>
    <mergeCell ref="M47:O47"/>
    <mergeCell ref="M43:O43"/>
    <mergeCell ref="G33:G34"/>
    <mergeCell ref="H33:H34"/>
    <mergeCell ref="I33:I34"/>
    <mergeCell ref="J40:J55"/>
    <mergeCell ref="J21:J38"/>
    <mergeCell ref="M54:O54"/>
    <mergeCell ref="M31:O31"/>
    <mergeCell ref="M32:O32"/>
    <mergeCell ref="M33:O33"/>
    <mergeCell ref="M35:O35"/>
    <mergeCell ref="M48:O48"/>
    <mergeCell ref="M49:O49"/>
    <mergeCell ref="M50:O50"/>
    <mergeCell ref="M52:O52"/>
    <mergeCell ref="M53:O53"/>
    <mergeCell ref="R84:S85"/>
    <mergeCell ref="L84:O85"/>
    <mergeCell ref="M63:O63"/>
    <mergeCell ref="M64:O64"/>
    <mergeCell ref="M65:O65"/>
    <mergeCell ref="M66:O66"/>
    <mergeCell ref="M67:O67"/>
    <mergeCell ref="M68:O68"/>
    <mergeCell ref="M69:O69"/>
    <mergeCell ref="M70:O70"/>
    <mergeCell ref="P84:P85"/>
    <mergeCell ref="Q84:Q85"/>
    <mergeCell ref="M71:O71"/>
    <mergeCell ref="Q87:Q93"/>
    <mergeCell ref="P94:P98"/>
    <mergeCell ref="L135:O135"/>
    <mergeCell ref="L142:O142"/>
    <mergeCell ref="L123:O123"/>
    <mergeCell ref="L118:O118"/>
    <mergeCell ref="L110:O110"/>
    <mergeCell ref="L117:O117"/>
    <mergeCell ref="L121:O121"/>
    <mergeCell ref="L120:O120"/>
    <mergeCell ref="M103:O103"/>
    <mergeCell ref="M104:O104"/>
    <mergeCell ref="L107:O107"/>
    <mergeCell ref="L126:O126"/>
    <mergeCell ref="L127:O127"/>
    <mergeCell ref="L130:O130"/>
    <mergeCell ref="L128:O128"/>
    <mergeCell ref="L129:O129"/>
    <mergeCell ref="L166:O166"/>
    <mergeCell ref="L171:O171"/>
    <mergeCell ref="L157:O157"/>
    <mergeCell ref="L158:O158"/>
    <mergeCell ref="L164:O164"/>
    <mergeCell ref="L156:O156"/>
    <mergeCell ref="L173:O173"/>
    <mergeCell ref="M101:O101"/>
    <mergeCell ref="M102:O102"/>
    <mergeCell ref="L144:O144"/>
    <mergeCell ref="L146:O146"/>
    <mergeCell ref="A182:C182"/>
    <mergeCell ref="L183:Q183"/>
    <mergeCell ref="P193:Q193"/>
    <mergeCell ref="L192:Q192"/>
    <mergeCell ref="J178:J201"/>
    <mergeCell ref="L180:O180"/>
    <mergeCell ref="L178:O178"/>
    <mergeCell ref="P178:Q178"/>
    <mergeCell ref="R161:S162"/>
    <mergeCell ref="K175:S175"/>
    <mergeCell ref="K176:S176"/>
    <mergeCell ref="E171:G171"/>
    <mergeCell ref="L168:O168"/>
    <mergeCell ref="L165:O165"/>
    <mergeCell ref="L163:O163"/>
    <mergeCell ref="L170:O170"/>
    <mergeCell ref="L172:O172"/>
    <mergeCell ref="L169:O169"/>
    <mergeCell ref="J155:J176"/>
    <mergeCell ref="L159:O159"/>
    <mergeCell ref="L160:O160"/>
    <mergeCell ref="L161:O161"/>
    <mergeCell ref="L162:O162"/>
    <mergeCell ref="L167:O167"/>
    <mergeCell ref="E1:L3"/>
    <mergeCell ref="C261:E261"/>
    <mergeCell ref="C262:E262"/>
    <mergeCell ref="C263:E263"/>
    <mergeCell ref="C264:E264"/>
    <mergeCell ref="G254:I256"/>
    <mergeCell ref="J244:J265"/>
    <mergeCell ref="L247:O247"/>
    <mergeCell ref="L248:O248"/>
    <mergeCell ref="L249:O249"/>
    <mergeCell ref="L251:O251"/>
    <mergeCell ref="L254:O254"/>
    <mergeCell ref="L253:O253"/>
    <mergeCell ref="L255:O255"/>
    <mergeCell ref="L259:O259"/>
    <mergeCell ref="L261:O261"/>
    <mergeCell ref="L260:O260"/>
    <mergeCell ref="L257:O257"/>
    <mergeCell ref="L250:O250"/>
    <mergeCell ref="A179:C179"/>
    <mergeCell ref="A180:C180"/>
    <mergeCell ref="F179:H179"/>
    <mergeCell ref="F180:H180"/>
    <mergeCell ref="A181:C181"/>
  </mergeCells>
  <conditionalFormatting sqref="P193:Q193">
    <cfRule type="cellIs" dxfId="3" priority="6" operator="equal">
      <formula>$R$193</formula>
    </cfRule>
  </conditionalFormatting>
  <conditionalFormatting sqref="P196:Q196">
    <cfRule type="cellIs" dxfId="2" priority="5" operator="equal">
      <formula>$R$193</formula>
    </cfRule>
  </conditionalFormatting>
  <conditionalFormatting sqref="P214">
    <cfRule type="cellIs" dxfId="1" priority="2" operator="equal">
      <formula>$R$193</formula>
    </cfRule>
  </conditionalFormatting>
  <conditionalFormatting sqref="Q217:R217">
    <cfRule type="cellIs" dxfId="0" priority="1" operator="equal">
      <formula>$R$193</formula>
    </cfRule>
  </conditionalFormatting>
  <dataValidations count="4">
    <dataValidation type="list" allowBlank="1" showInputMessage="1" showErrorMessage="1" sqref="K87:K98">
      <formula1>$W$87:$W$92</formula1>
    </dataValidation>
    <dataValidation type="list" allowBlank="1" showInputMessage="1" showErrorMessage="1" sqref="G230">
      <formula1>$T$231:$T$232</formula1>
    </dataValidation>
    <dataValidation type="list" allowBlank="1" showInputMessage="1" showErrorMessage="1" sqref="P229 P269:Q269 P178">
      <formula1>$T$228:$T$229</formula1>
    </dataValidation>
    <dataValidation type="list" allowBlank="1" showInputMessage="1" showErrorMessage="1" sqref="B286">
      <formula1>$T$277:$T$278</formula1>
    </dataValidation>
  </dataValidations>
  <pageMargins left="0.7" right="0.7" top="0.75" bottom="0.75" header="0.3" footer="0.3"/>
  <pageSetup paperSize="9" orientation="portrait" horizontalDpi="4294967293" verticalDpi="4294967293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Données!$N$18:$N$21</xm:f>
          </x14:formula1>
          <xm:sqref>P279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"/>
  <sheetViews>
    <sheetView view="pageLayout" topLeftCell="A12" zoomScaleNormal="100" workbookViewId="0">
      <selection activeCell="E23" activeCellId="3" sqref="E3:E9 E11:E14 E16:E21 E23:E45"/>
    </sheetView>
  </sheetViews>
  <sheetFormatPr baseColWidth="10" defaultRowHeight="15" x14ac:dyDescent="0.25"/>
  <cols>
    <col min="1" max="1" width="6.42578125" style="271" bestFit="1" customWidth="1"/>
    <col min="2" max="2" width="57.140625" style="32" customWidth="1"/>
    <col min="3" max="3" width="6" style="254" customWidth="1"/>
    <col min="4" max="4" width="10" style="32" bestFit="1" customWidth="1"/>
    <col min="5" max="5" width="9.28515625" style="32" customWidth="1"/>
    <col min="6" max="6" width="9.5703125" style="32" customWidth="1"/>
    <col min="7" max="16384" width="11.42578125" style="32"/>
  </cols>
  <sheetData>
    <row r="1" spans="1:6" x14ac:dyDescent="0.25">
      <c r="A1" s="284" t="s">
        <v>346</v>
      </c>
      <c r="B1" s="285" t="s">
        <v>345</v>
      </c>
      <c r="C1" s="284" t="s">
        <v>344</v>
      </c>
      <c r="D1" s="285" t="s">
        <v>343</v>
      </c>
      <c r="E1" s="284" t="s">
        <v>342</v>
      </c>
      <c r="F1" s="283" t="s">
        <v>341</v>
      </c>
    </row>
    <row r="2" spans="1:6" x14ac:dyDescent="0.25">
      <c r="A2" s="282">
        <v>1</v>
      </c>
      <c r="B2" s="522" t="s">
        <v>340</v>
      </c>
      <c r="C2" s="523"/>
      <c r="D2" s="523"/>
      <c r="E2" s="523"/>
      <c r="F2" s="524"/>
    </row>
    <row r="3" spans="1:6" x14ac:dyDescent="0.25">
      <c r="A3" s="279" t="s">
        <v>339</v>
      </c>
      <c r="B3" s="277" t="s">
        <v>338</v>
      </c>
      <c r="C3" s="278" t="s">
        <v>50</v>
      </c>
      <c r="D3" s="280">
        <f>Calculs!P44</f>
        <v>47.356812000000005</v>
      </c>
      <c r="E3" s="533">
        <v>7.05</v>
      </c>
      <c r="F3" s="276">
        <f t="shared" ref="F3:F8" si="0">D3*E3</f>
        <v>333.86552460000001</v>
      </c>
    </row>
    <row r="4" spans="1:6" x14ac:dyDescent="0.25">
      <c r="A4" s="279" t="s">
        <v>337</v>
      </c>
      <c r="B4" s="277" t="s">
        <v>336</v>
      </c>
      <c r="C4" s="278" t="s">
        <v>50</v>
      </c>
      <c r="D4" s="280">
        <f>Calculs!P47</f>
        <v>0</v>
      </c>
      <c r="E4" s="533">
        <v>4.9800000000000004</v>
      </c>
      <c r="F4" s="276">
        <f t="shared" si="0"/>
        <v>0</v>
      </c>
    </row>
    <row r="5" spans="1:6" x14ac:dyDescent="0.25">
      <c r="A5" s="279" t="s">
        <v>335</v>
      </c>
      <c r="B5" s="277" t="s">
        <v>334</v>
      </c>
      <c r="C5" s="278" t="s">
        <v>50</v>
      </c>
      <c r="D5" s="280">
        <f>Calculs!P50</f>
        <v>10.009440000000001</v>
      </c>
      <c r="E5" s="533">
        <v>23.45</v>
      </c>
      <c r="F5" s="276">
        <f t="shared" si="0"/>
        <v>234.72136800000004</v>
      </c>
    </row>
    <row r="6" spans="1:6" x14ac:dyDescent="0.25">
      <c r="A6" s="279" t="s">
        <v>333</v>
      </c>
      <c r="B6" s="277" t="s">
        <v>332</v>
      </c>
      <c r="C6" s="278" t="s">
        <v>50</v>
      </c>
      <c r="D6" s="280">
        <f>Calculs!P52</f>
        <v>1.7594000000000012</v>
      </c>
      <c r="E6" s="533">
        <v>12.6</v>
      </c>
      <c r="F6" s="276">
        <f t="shared" si="0"/>
        <v>22.168440000000015</v>
      </c>
    </row>
    <row r="7" spans="1:6" x14ac:dyDescent="0.25">
      <c r="A7" s="279" t="s">
        <v>331</v>
      </c>
      <c r="B7" s="277" t="s">
        <v>330</v>
      </c>
      <c r="C7" s="278" t="s">
        <v>50</v>
      </c>
      <c r="D7" s="280">
        <f>Calculs!P54</f>
        <v>13.807799999999997</v>
      </c>
      <c r="E7" s="533">
        <v>11.75</v>
      </c>
      <c r="F7" s="276">
        <f t="shared" si="0"/>
        <v>162.24164999999996</v>
      </c>
    </row>
    <row r="8" spans="1:6" x14ac:dyDescent="0.25">
      <c r="A8" s="279" t="s">
        <v>329</v>
      </c>
      <c r="B8" s="277" t="s">
        <v>328</v>
      </c>
      <c r="C8" s="278" t="s">
        <v>50</v>
      </c>
      <c r="D8" s="280">
        <f>Calculs!P53</f>
        <v>8.2500400000000003</v>
      </c>
      <c r="E8" s="533">
        <v>12.45</v>
      </c>
      <c r="F8" s="276">
        <f t="shared" si="0"/>
        <v>102.712998</v>
      </c>
    </row>
    <row r="9" spans="1:6" x14ac:dyDescent="0.25">
      <c r="A9" s="279"/>
      <c r="B9" s="277"/>
      <c r="C9" s="278"/>
      <c r="D9" s="277"/>
      <c r="E9" s="533"/>
      <c r="F9" s="276"/>
    </row>
    <row r="10" spans="1:6" x14ac:dyDescent="0.25">
      <c r="A10" s="282">
        <v>2</v>
      </c>
      <c r="B10" s="522" t="s">
        <v>327</v>
      </c>
      <c r="C10" s="523"/>
      <c r="D10" s="523"/>
      <c r="E10" s="523"/>
      <c r="F10" s="524"/>
    </row>
    <row r="11" spans="1:6" x14ac:dyDescent="0.25">
      <c r="A11" s="279" t="s">
        <v>326</v>
      </c>
      <c r="B11" s="277" t="s">
        <v>325</v>
      </c>
      <c r="C11" s="278" t="s">
        <v>50</v>
      </c>
      <c r="D11" s="280">
        <f>Calculs!P8</f>
        <v>0.92680000000000007</v>
      </c>
      <c r="E11" s="533">
        <v>256.5</v>
      </c>
      <c r="F11" s="276">
        <f>D11*E11</f>
        <v>237.72420000000002</v>
      </c>
    </row>
    <row r="12" spans="1:6" x14ac:dyDescent="0.25">
      <c r="A12" s="279" t="s">
        <v>324</v>
      </c>
      <c r="B12" s="277" t="s">
        <v>323</v>
      </c>
      <c r="C12" s="278" t="s">
        <v>50</v>
      </c>
      <c r="D12" s="280">
        <f>Calculs!P11</f>
        <v>5.5608000000000004</v>
      </c>
      <c r="E12" s="533">
        <v>195.5</v>
      </c>
      <c r="F12" s="276">
        <f>D12*E12</f>
        <v>1087.1364000000001</v>
      </c>
    </row>
    <row r="13" spans="1:6" x14ac:dyDescent="0.25">
      <c r="A13" s="279" t="s">
        <v>322</v>
      </c>
      <c r="B13" s="277" t="s">
        <v>321</v>
      </c>
      <c r="C13" s="278" t="s">
        <v>293</v>
      </c>
      <c r="D13" s="277">
        <f>Calculs!C32*Calculs!P10</f>
        <v>37.072000000000003</v>
      </c>
      <c r="E13" s="533">
        <v>3.05</v>
      </c>
      <c r="F13" s="276">
        <f>D13*E13</f>
        <v>113.06960000000001</v>
      </c>
    </row>
    <row r="14" spans="1:6" x14ac:dyDescent="0.25">
      <c r="A14" s="279"/>
      <c r="B14" s="277"/>
      <c r="C14" s="278"/>
      <c r="D14" s="277"/>
      <c r="E14" s="533"/>
      <c r="F14" s="276"/>
    </row>
    <row r="15" spans="1:6" x14ac:dyDescent="0.25">
      <c r="A15" s="282">
        <v>3</v>
      </c>
      <c r="B15" s="522" t="s">
        <v>320</v>
      </c>
      <c r="C15" s="523"/>
      <c r="D15" s="523"/>
      <c r="E15" s="523"/>
      <c r="F15" s="524"/>
    </row>
    <row r="16" spans="1:6" x14ac:dyDescent="0.25">
      <c r="A16" s="279" t="s">
        <v>319</v>
      </c>
      <c r="B16" s="277" t="s">
        <v>318</v>
      </c>
      <c r="C16" s="278" t="s">
        <v>49</v>
      </c>
      <c r="D16" s="281">
        <f>Calculs!P13</f>
        <v>20.4072</v>
      </c>
      <c r="E16" s="533">
        <v>55.9</v>
      </c>
      <c r="F16" s="276">
        <f>D16*E16</f>
        <v>1140.7624799999999</v>
      </c>
    </row>
    <row r="17" spans="1:6" x14ac:dyDescent="0.25">
      <c r="A17" s="279" t="s">
        <v>317</v>
      </c>
      <c r="B17" s="277" t="s">
        <v>316</v>
      </c>
      <c r="C17" s="278" t="s">
        <v>49</v>
      </c>
      <c r="D17" s="281">
        <f>Calculs!P26</f>
        <v>9.2759999999999998</v>
      </c>
      <c r="E17" s="533">
        <v>26</v>
      </c>
      <c r="F17" s="276">
        <f>D17*E17</f>
        <v>241.17599999999999</v>
      </c>
    </row>
    <row r="18" spans="1:6" x14ac:dyDescent="0.25">
      <c r="A18" s="279" t="s">
        <v>315</v>
      </c>
      <c r="B18" s="277" t="s">
        <v>314</v>
      </c>
      <c r="C18" s="278" t="s">
        <v>49</v>
      </c>
      <c r="D18" s="281">
        <f>Calculs!P29</f>
        <v>0.52800000000000002</v>
      </c>
      <c r="E18" s="533">
        <v>18.3</v>
      </c>
      <c r="F18" s="276">
        <f>D18*E18</f>
        <v>9.6624000000000017</v>
      </c>
    </row>
    <row r="19" spans="1:6" x14ac:dyDescent="0.25">
      <c r="A19" s="279" t="s">
        <v>313</v>
      </c>
      <c r="B19" s="277" t="s">
        <v>312</v>
      </c>
      <c r="C19" s="278" t="s">
        <v>311</v>
      </c>
      <c r="D19" s="281">
        <f>Calculs!P31</f>
        <v>42.84</v>
      </c>
      <c r="E19" s="533">
        <v>17.350000000000001</v>
      </c>
      <c r="F19" s="276">
        <f>D19*E19</f>
        <v>743.27400000000011</v>
      </c>
    </row>
    <row r="20" spans="1:6" x14ac:dyDescent="0.25">
      <c r="A20" s="279" t="s">
        <v>310</v>
      </c>
      <c r="B20" s="277" t="s">
        <v>309</v>
      </c>
      <c r="C20" s="278" t="s">
        <v>49</v>
      </c>
      <c r="D20" s="281">
        <f>Calculs!P33</f>
        <v>19.706400000000002</v>
      </c>
      <c r="E20" s="533">
        <v>12</v>
      </c>
      <c r="F20" s="276">
        <f>D20*E20</f>
        <v>236.47680000000003</v>
      </c>
    </row>
    <row r="21" spans="1:6" x14ac:dyDescent="0.25">
      <c r="A21" s="279"/>
      <c r="B21" s="277"/>
      <c r="C21" s="278"/>
      <c r="D21" s="277"/>
      <c r="E21" s="533"/>
      <c r="F21" s="276"/>
    </row>
    <row r="22" spans="1:6" x14ac:dyDescent="0.25">
      <c r="A22" s="282">
        <v>4</v>
      </c>
      <c r="B22" s="522" t="s">
        <v>308</v>
      </c>
      <c r="C22" s="523"/>
      <c r="D22" s="523"/>
      <c r="E22" s="523"/>
      <c r="F22" s="524"/>
    </row>
    <row r="23" spans="1:6" x14ac:dyDescent="0.25">
      <c r="A23" s="279" t="s">
        <v>307</v>
      </c>
      <c r="B23" s="277" t="s">
        <v>306</v>
      </c>
      <c r="C23" s="278" t="s">
        <v>50</v>
      </c>
      <c r="D23" s="280">
        <f>Calculs!P64</f>
        <v>26.447148000000002</v>
      </c>
      <c r="E23" s="533">
        <v>82.6</v>
      </c>
      <c r="F23" s="276">
        <f t="shared" ref="F23:F29" si="1">D23*E23</f>
        <v>2184.5344248000001</v>
      </c>
    </row>
    <row r="24" spans="1:6" x14ac:dyDescent="0.25">
      <c r="A24" s="279" t="s">
        <v>305</v>
      </c>
      <c r="B24" s="277" t="s">
        <v>304</v>
      </c>
      <c r="C24" s="278" t="s">
        <v>50</v>
      </c>
      <c r="D24" s="280">
        <f>Calculs!P65</f>
        <v>114.9876</v>
      </c>
      <c r="E24" s="533">
        <v>12.25</v>
      </c>
      <c r="F24" s="276">
        <f t="shared" si="1"/>
        <v>1408.5980999999999</v>
      </c>
    </row>
    <row r="25" spans="1:6" x14ac:dyDescent="0.25">
      <c r="A25" s="279" t="s">
        <v>303</v>
      </c>
      <c r="B25" s="277" t="s">
        <v>302</v>
      </c>
      <c r="C25" s="278" t="s">
        <v>49</v>
      </c>
      <c r="D25" s="281">
        <f>Calculs!P66</f>
        <v>8.1684000000000001</v>
      </c>
      <c r="E25" s="533">
        <v>9.6199999999999992</v>
      </c>
      <c r="F25" s="276">
        <f t="shared" si="1"/>
        <v>78.580007999999992</v>
      </c>
    </row>
    <row r="26" spans="1:6" x14ac:dyDescent="0.25">
      <c r="A26" s="279" t="s">
        <v>301</v>
      </c>
      <c r="B26" s="277" t="s">
        <v>300</v>
      </c>
      <c r="C26" s="278" t="s">
        <v>50</v>
      </c>
      <c r="D26" s="280">
        <f>Calculs!P68</f>
        <v>0</v>
      </c>
      <c r="E26" s="533">
        <v>122</v>
      </c>
      <c r="F26" s="276">
        <f t="shared" si="1"/>
        <v>0</v>
      </c>
    </row>
    <row r="27" spans="1:6" x14ac:dyDescent="0.25">
      <c r="A27" s="279" t="s">
        <v>299</v>
      </c>
      <c r="B27" s="277" t="s">
        <v>298</v>
      </c>
      <c r="C27" s="278" t="s">
        <v>49</v>
      </c>
      <c r="D27" s="281">
        <f>Calculs!P69</f>
        <v>113.1724</v>
      </c>
      <c r="E27" s="533">
        <v>7.98</v>
      </c>
      <c r="F27" s="276">
        <f t="shared" si="1"/>
        <v>903.11575200000004</v>
      </c>
    </row>
    <row r="28" spans="1:6" x14ac:dyDescent="0.25">
      <c r="A28" s="279" t="s">
        <v>297</v>
      </c>
      <c r="B28" s="277" t="s">
        <v>296</v>
      </c>
      <c r="C28" s="278" t="s">
        <v>50</v>
      </c>
      <c r="D28" s="280">
        <f>Calculs!P71</f>
        <v>13.580688</v>
      </c>
      <c r="E28" s="533">
        <v>190</v>
      </c>
      <c r="F28" s="276">
        <f t="shared" si="1"/>
        <v>2580.3307199999999</v>
      </c>
    </row>
    <row r="29" spans="1:6" x14ac:dyDescent="0.25">
      <c r="A29" s="279" t="s">
        <v>295</v>
      </c>
      <c r="B29" s="277" t="s">
        <v>294</v>
      </c>
      <c r="C29" s="278" t="s">
        <v>293</v>
      </c>
      <c r="D29" s="280">
        <f>Calculs!E70*Calculs!P70</f>
        <v>226.34479999999999</v>
      </c>
      <c r="E29" s="533">
        <v>2.52</v>
      </c>
      <c r="F29" s="276">
        <f t="shared" si="1"/>
        <v>570.38889599999993</v>
      </c>
    </row>
    <row r="30" spans="1:6" x14ac:dyDescent="0.25">
      <c r="A30" s="279"/>
      <c r="B30" s="277"/>
      <c r="C30" s="278"/>
      <c r="D30" s="277"/>
      <c r="E30" s="533"/>
      <c r="F30" s="276"/>
    </row>
    <row r="31" spans="1:6" x14ac:dyDescent="0.25">
      <c r="A31" s="279"/>
      <c r="B31" s="277"/>
      <c r="C31" s="278"/>
      <c r="D31" s="277"/>
      <c r="E31" s="533"/>
      <c r="F31" s="276"/>
    </row>
    <row r="32" spans="1:6" x14ac:dyDescent="0.25">
      <c r="A32" s="279"/>
      <c r="B32" s="277"/>
      <c r="C32" s="278"/>
      <c r="D32" s="277"/>
      <c r="E32" s="533"/>
      <c r="F32" s="276"/>
    </row>
    <row r="33" spans="1:6" x14ac:dyDescent="0.25">
      <c r="A33" s="279"/>
      <c r="B33" s="277"/>
      <c r="C33" s="278"/>
      <c r="D33" s="277"/>
      <c r="E33" s="533"/>
      <c r="F33" s="276"/>
    </row>
    <row r="34" spans="1:6" x14ac:dyDescent="0.25">
      <c r="A34" s="279"/>
      <c r="B34" s="277"/>
      <c r="C34" s="278"/>
      <c r="D34" s="277"/>
      <c r="E34" s="533"/>
      <c r="F34" s="276"/>
    </row>
    <row r="35" spans="1:6" x14ac:dyDescent="0.25">
      <c r="A35" s="279"/>
      <c r="B35" s="277"/>
      <c r="C35" s="278"/>
      <c r="D35" s="277"/>
      <c r="E35" s="533"/>
      <c r="F35" s="276"/>
    </row>
    <row r="36" spans="1:6" x14ac:dyDescent="0.25">
      <c r="A36" s="279"/>
      <c r="B36" s="277"/>
      <c r="C36" s="278"/>
      <c r="D36" s="277"/>
      <c r="E36" s="533"/>
      <c r="F36" s="276"/>
    </row>
    <row r="37" spans="1:6" x14ac:dyDescent="0.25">
      <c r="A37" s="279"/>
      <c r="B37" s="277"/>
      <c r="C37" s="278"/>
      <c r="D37" s="277"/>
      <c r="E37" s="533"/>
      <c r="F37" s="276"/>
    </row>
    <row r="38" spans="1:6" x14ac:dyDescent="0.25">
      <c r="A38" s="279"/>
      <c r="B38" s="277"/>
      <c r="C38" s="278"/>
      <c r="D38" s="277"/>
      <c r="E38" s="533"/>
      <c r="F38" s="276"/>
    </row>
    <row r="39" spans="1:6" x14ac:dyDescent="0.25">
      <c r="A39" s="279"/>
      <c r="B39" s="277"/>
      <c r="C39" s="278"/>
      <c r="D39" s="277"/>
      <c r="E39" s="533"/>
      <c r="F39" s="276"/>
    </row>
    <row r="40" spans="1:6" x14ac:dyDescent="0.25">
      <c r="A40" s="279"/>
      <c r="B40" s="277"/>
      <c r="C40" s="278"/>
      <c r="D40" s="277"/>
      <c r="E40" s="533"/>
      <c r="F40" s="276"/>
    </row>
    <row r="41" spans="1:6" x14ac:dyDescent="0.25">
      <c r="A41" s="279"/>
      <c r="B41" s="277"/>
      <c r="C41" s="278"/>
      <c r="D41" s="277"/>
      <c r="E41" s="533"/>
      <c r="F41" s="276"/>
    </row>
    <row r="42" spans="1:6" x14ac:dyDescent="0.25">
      <c r="A42" s="279"/>
      <c r="B42" s="277"/>
      <c r="C42" s="278"/>
      <c r="D42" s="277"/>
      <c r="E42" s="533"/>
      <c r="F42" s="276"/>
    </row>
    <row r="43" spans="1:6" x14ac:dyDescent="0.25">
      <c r="A43" s="279"/>
      <c r="B43" s="277"/>
      <c r="C43" s="278"/>
      <c r="D43" s="277"/>
      <c r="E43" s="533"/>
      <c r="F43" s="276"/>
    </row>
    <row r="44" spans="1:6" x14ac:dyDescent="0.25">
      <c r="A44" s="279"/>
      <c r="B44" s="277"/>
      <c r="C44" s="278"/>
      <c r="D44" s="277"/>
      <c r="E44" s="533"/>
      <c r="F44" s="276"/>
    </row>
    <row r="45" spans="1:6" ht="15.75" thickBot="1" x14ac:dyDescent="0.3">
      <c r="A45" s="275"/>
      <c r="B45" s="273"/>
      <c r="C45" s="274"/>
      <c r="D45" s="273"/>
      <c r="E45" s="534"/>
      <c r="F45" s="272"/>
    </row>
    <row r="46" spans="1:6" ht="15.75" thickBot="1" x14ac:dyDescent="0.3"/>
    <row r="47" spans="1:6" x14ac:dyDescent="0.25">
      <c r="C47" s="300" t="s">
        <v>292</v>
      </c>
      <c r="D47" s="301"/>
      <c r="E47" s="525">
        <f>SUM(F2:F45)</f>
        <v>12390.539761400001</v>
      </c>
      <c r="F47" s="526"/>
    </row>
    <row r="48" spans="1:6" x14ac:dyDescent="0.25">
      <c r="C48" s="302" t="s">
        <v>291</v>
      </c>
      <c r="D48" s="303"/>
      <c r="E48" s="518">
        <f>E49-E47</f>
        <v>2478.1079522799992</v>
      </c>
      <c r="F48" s="519"/>
    </row>
    <row r="49" spans="3:6" ht="15.75" thickBot="1" x14ac:dyDescent="0.3">
      <c r="C49" s="469" t="s">
        <v>290</v>
      </c>
      <c r="D49" s="470"/>
      <c r="E49" s="520">
        <f>E47*1.2</f>
        <v>14868.64771368</v>
      </c>
      <c r="F49" s="521"/>
    </row>
  </sheetData>
  <sheetProtection password="CA85" sheet="1" objects="1" scenarios="1"/>
  <mergeCells count="10">
    <mergeCell ref="C48:D48"/>
    <mergeCell ref="E48:F48"/>
    <mergeCell ref="C49:D49"/>
    <mergeCell ref="E49:F49"/>
    <mergeCell ref="B2:F2"/>
    <mergeCell ref="B10:F10"/>
    <mergeCell ref="B15:F15"/>
    <mergeCell ref="B22:F22"/>
    <mergeCell ref="C47:D47"/>
    <mergeCell ref="E47:F47"/>
  </mergeCells>
  <pageMargins left="0.25" right="0.25" top="0.75" bottom="0.75" header="0.3" footer="0.3"/>
  <pageSetup paperSize="9" orientation="portrait" horizontalDpi="4294967293" verticalDpi="4294967293" r:id="rId1"/>
  <headerFooter>
    <oddHeader xml:space="preserve">&amp;C&amp;18DEVIS QUANTITATIF ESTIMATIF - SOUBASSEMENT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"/>
  <sheetViews>
    <sheetView view="pageLayout" topLeftCell="A12" zoomScaleNormal="100" workbookViewId="0">
      <selection activeCell="B48" sqref="B48"/>
    </sheetView>
  </sheetViews>
  <sheetFormatPr baseColWidth="10" defaultRowHeight="15" x14ac:dyDescent="0.25"/>
  <cols>
    <col min="1" max="1" width="6.42578125" style="271" bestFit="1" customWidth="1"/>
    <col min="2" max="2" width="57.140625" style="32" customWidth="1"/>
    <col min="3" max="3" width="6" style="254" customWidth="1"/>
    <col min="4" max="4" width="10" style="32" bestFit="1" customWidth="1"/>
    <col min="5" max="5" width="9.28515625" style="32" customWidth="1"/>
    <col min="6" max="6" width="9.5703125" style="32" customWidth="1"/>
    <col min="7" max="16384" width="11.42578125" style="32"/>
  </cols>
  <sheetData>
    <row r="1" spans="1:6" x14ac:dyDescent="0.25">
      <c r="A1" s="284" t="s">
        <v>346</v>
      </c>
      <c r="B1" s="285" t="s">
        <v>345</v>
      </c>
      <c r="C1" s="284" t="s">
        <v>344</v>
      </c>
      <c r="D1" s="285" t="s">
        <v>343</v>
      </c>
      <c r="E1" s="284" t="s">
        <v>342</v>
      </c>
      <c r="F1" s="283" t="s">
        <v>341</v>
      </c>
    </row>
    <row r="2" spans="1:6" x14ac:dyDescent="0.25">
      <c r="A2" s="282">
        <v>5</v>
      </c>
      <c r="B2" s="522" t="s">
        <v>33</v>
      </c>
      <c r="C2" s="523"/>
      <c r="D2" s="523"/>
      <c r="E2" s="523"/>
      <c r="F2" s="524"/>
    </row>
    <row r="3" spans="1:6" x14ac:dyDescent="0.25">
      <c r="A3" s="279" t="s">
        <v>347</v>
      </c>
      <c r="B3" s="277" t="s">
        <v>353</v>
      </c>
      <c r="C3" s="278" t="s">
        <v>49</v>
      </c>
      <c r="D3" s="280">
        <f>Calculs!P81</f>
        <v>126.64713497651418</v>
      </c>
      <c r="E3" s="533">
        <v>55.9</v>
      </c>
      <c r="F3" s="276">
        <f t="shared" ref="F3:F8" si="0">D3*E3</f>
        <v>7079.5748451871423</v>
      </c>
    </row>
    <row r="4" spans="1:6" x14ac:dyDescent="0.25">
      <c r="A4" s="279" t="s">
        <v>348</v>
      </c>
      <c r="B4" s="277" t="s">
        <v>354</v>
      </c>
      <c r="C4" s="278" t="s">
        <v>48</v>
      </c>
      <c r="D4" s="280">
        <f>Calculs!P25</f>
        <v>46.38</v>
      </c>
      <c r="E4" s="533">
        <v>26</v>
      </c>
      <c r="F4" s="276">
        <f t="shared" si="0"/>
        <v>1205.8800000000001</v>
      </c>
    </row>
    <row r="5" spans="1:6" x14ac:dyDescent="0.25">
      <c r="A5" s="279" t="s">
        <v>349</v>
      </c>
      <c r="B5" s="277" t="s">
        <v>355</v>
      </c>
      <c r="C5" s="278" t="s">
        <v>48</v>
      </c>
      <c r="D5" s="280">
        <f>Calculs!R99</f>
        <v>13.7</v>
      </c>
      <c r="E5" s="533">
        <v>31.75</v>
      </c>
      <c r="F5" s="276">
        <f t="shared" si="0"/>
        <v>434.97499999999997</v>
      </c>
    </row>
    <row r="6" spans="1:6" x14ac:dyDescent="0.25">
      <c r="A6" s="279" t="s">
        <v>350</v>
      </c>
      <c r="B6" s="277" t="s">
        <v>356</v>
      </c>
      <c r="C6" s="278" t="s">
        <v>48</v>
      </c>
      <c r="D6" s="280">
        <f>Calculs!P28</f>
        <v>2.64</v>
      </c>
      <c r="E6" s="533">
        <v>18.3</v>
      </c>
      <c r="F6" s="276">
        <f t="shared" si="0"/>
        <v>48.312000000000005</v>
      </c>
    </row>
    <row r="7" spans="1:6" x14ac:dyDescent="0.25">
      <c r="A7" s="279" t="s">
        <v>351</v>
      </c>
      <c r="B7" s="277" t="s">
        <v>357</v>
      </c>
      <c r="C7" s="278" t="s">
        <v>48</v>
      </c>
      <c r="D7" s="280">
        <f>Calculs!Q99</f>
        <v>3.54</v>
      </c>
      <c r="E7" s="533">
        <v>64.599999999999994</v>
      </c>
      <c r="F7" s="276">
        <f t="shared" si="0"/>
        <v>228.68399999999997</v>
      </c>
    </row>
    <row r="8" spans="1:6" x14ac:dyDescent="0.25">
      <c r="A8" s="279" t="s">
        <v>352</v>
      </c>
      <c r="B8" s="277" t="s">
        <v>358</v>
      </c>
      <c r="C8" s="278" t="s">
        <v>49</v>
      </c>
      <c r="D8" s="280">
        <f>Calculs!P32</f>
        <v>8.5680000000000014</v>
      </c>
      <c r="E8" s="533">
        <v>79.5</v>
      </c>
      <c r="F8" s="276">
        <f t="shared" si="0"/>
        <v>681.15600000000006</v>
      </c>
    </row>
    <row r="9" spans="1:6" x14ac:dyDescent="0.25">
      <c r="A9" s="279"/>
      <c r="B9" s="277"/>
      <c r="C9" s="278"/>
      <c r="D9" s="277"/>
      <c r="E9" s="533"/>
      <c r="F9" s="276"/>
    </row>
    <row r="10" spans="1:6" x14ac:dyDescent="0.25">
      <c r="A10" s="282">
        <v>6</v>
      </c>
      <c r="B10" s="522" t="s">
        <v>359</v>
      </c>
      <c r="C10" s="523"/>
      <c r="D10" s="523"/>
      <c r="E10" s="523"/>
      <c r="F10" s="524"/>
    </row>
    <row r="11" spans="1:6" x14ac:dyDescent="0.25">
      <c r="A11" s="279" t="s">
        <v>360</v>
      </c>
      <c r="B11" s="277" t="s">
        <v>361</v>
      </c>
      <c r="C11" s="278" t="s">
        <v>49</v>
      </c>
      <c r="D11" s="280">
        <f>Calculs!P251</f>
        <v>142.40540801659716</v>
      </c>
      <c r="E11" s="533">
        <v>37.6</v>
      </c>
      <c r="F11" s="276">
        <f>D11*E11</f>
        <v>5354.4433414240539</v>
      </c>
    </row>
    <row r="12" spans="1:6" x14ac:dyDescent="0.25">
      <c r="A12" s="279" t="s">
        <v>362</v>
      </c>
      <c r="B12" s="277" t="s">
        <v>364</v>
      </c>
      <c r="C12" s="278" t="s">
        <v>48</v>
      </c>
      <c r="D12" s="280">
        <f>Calculs!P255</f>
        <v>29.1</v>
      </c>
      <c r="E12" s="533">
        <v>15.2</v>
      </c>
      <c r="F12" s="276">
        <f>D12*E12</f>
        <v>442.32</v>
      </c>
    </row>
    <row r="13" spans="1:6" x14ac:dyDescent="0.25">
      <c r="A13" s="279" t="s">
        <v>363</v>
      </c>
      <c r="B13" s="277" t="s">
        <v>365</v>
      </c>
      <c r="C13" s="278" t="s">
        <v>48</v>
      </c>
      <c r="D13" s="281">
        <f>Calculs!P257</f>
        <v>40.58</v>
      </c>
      <c r="E13" s="533">
        <v>4.93</v>
      </c>
      <c r="F13" s="276">
        <f>D13*E13</f>
        <v>200.05939999999998</v>
      </c>
    </row>
    <row r="14" spans="1:6" x14ac:dyDescent="0.25">
      <c r="A14" s="279"/>
      <c r="B14" s="277"/>
      <c r="C14" s="278"/>
      <c r="D14" s="277"/>
      <c r="E14" s="533"/>
      <c r="F14" s="276"/>
    </row>
    <row r="15" spans="1:6" x14ac:dyDescent="0.25">
      <c r="A15" s="282">
        <v>7</v>
      </c>
      <c r="B15" s="522" t="s">
        <v>366</v>
      </c>
      <c r="C15" s="523"/>
      <c r="D15" s="523"/>
      <c r="E15" s="523"/>
      <c r="F15" s="524"/>
    </row>
    <row r="16" spans="1:6" x14ac:dyDescent="0.25">
      <c r="A16" s="279" t="s">
        <v>367</v>
      </c>
      <c r="B16" s="277" t="s">
        <v>368</v>
      </c>
      <c r="C16" s="278" t="s">
        <v>49</v>
      </c>
      <c r="D16" s="281">
        <f>Calculs!P259</f>
        <v>1.56</v>
      </c>
      <c r="E16" s="533">
        <v>62.2</v>
      </c>
      <c r="F16" s="276">
        <f>D16*E16</f>
        <v>97.032000000000011</v>
      </c>
    </row>
    <row r="17" spans="1:6" x14ac:dyDescent="0.25">
      <c r="A17" s="279" t="s">
        <v>369</v>
      </c>
      <c r="B17" s="277" t="s">
        <v>371</v>
      </c>
      <c r="C17" s="278" t="s">
        <v>49</v>
      </c>
      <c r="D17" s="281">
        <f>Calculs!P260</f>
        <v>1.56</v>
      </c>
      <c r="E17" s="533">
        <v>8.11</v>
      </c>
      <c r="F17" s="276">
        <f>D17*E17</f>
        <v>12.6516</v>
      </c>
    </row>
    <row r="18" spans="1:6" x14ac:dyDescent="0.25">
      <c r="A18" s="279" t="s">
        <v>370</v>
      </c>
      <c r="B18" s="277" t="s">
        <v>365</v>
      </c>
      <c r="C18" s="278" t="s">
        <v>48</v>
      </c>
      <c r="D18" s="281">
        <f>Calculs!P261</f>
        <v>2.6</v>
      </c>
      <c r="E18" s="533">
        <v>4.93</v>
      </c>
      <c r="F18" s="276">
        <f>D18*E18</f>
        <v>12.818</v>
      </c>
    </row>
    <row r="19" spans="1:6" x14ac:dyDescent="0.25">
      <c r="A19" s="279"/>
      <c r="B19" s="277"/>
      <c r="C19" s="278"/>
      <c r="D19" s="281"/>
      <c r="E19" s="533"/>
      <c r="F19" s="276"/>
    </row>
    <row r="20" spans="1:6" x14ac:dyDescent="0.25">
      <c r="A20" s="279"/>
      <c r="B20" s="277"/>
      <c r="C20" s="278"/>
      <c r="D20" s="281"/>
      <c r="E20" s="533"/>
      <c r="F20" s="276"/>
    </row>
    <row r="21" spans="1:6" x14ac:dyDescent="0.25">
      <c r="A21" s="279"/>
      <c r="B21" s="277"/>
      <c r="C21" s="278"/>
      <c r="D21" s="277"/>
      <c r="E21" s="533"/>
      <c r="F21" s="276"/>
    </row>
    <row r="22" spans="1:6" x14ac:dyDescent="0.25">
      <c r="A22" s="288"/>
      <c r="B22" s="277"/>
      <c r="C22" s="278"/>
      <c r="D22" s="277"/>
      <c r="E22" s="533"/>
      <c r="F22" s="276"/>
    </row>
    <row r="23" spans="1:6" x14ac:dyDescent="0.25">
      <c r="A23" s="279"/>
      <c r="B23" s="277"/>
      <c r="C23" s="278"/>
      <c r="D23" s="277"/>
      <c r="E23" s="533"/>
      <c r="F23" s="276"/>
    </row>
    <row r="24" spans="1:6" x14ac:dyDescent="0.25">
      <c r="A24" s="279"/>
      <c r="B24" s="277"/>
      <c r="C24" s="278"/>
      <c r="D24" s="277"/>
      <c r="E24" s="533"/>
      <c r="F24" s="276"/>
    </row>
    <row r="25" spans="1:6" x14ac:dyDescent="0.25">
      <c r="A25" s="279"/>
      <c r="B25" s="277"/>
      <c r="C25" s="278"/>
      <c r="D25" s="281"/>
      <c r="E25" s="533"/>
      <c r="F25" s="276"/>
    </row>
    <row r="26" spans="1:6" x14ac:dyDescent="0.25">
      <c r="A26" s="279"/>
      <c r="B26" s="277"/>
      <c r="C26" s="278"/>
      <c r="D26" s="280"/>
      <c r="E26" s="533"/>
      <c r="F26" s="276"/>
    </row>
    <row r="27" spans="1:6" x14ac:dyDescent="0.25">
      <c r="A27" s="279"/>
      <c r="B27" s="277"/>
      <c r="C27" s="278"/>
      <c r="D27" s="281"/>
      <c r="E27" s="533"/>
      <c r="F27" s="276"/>
    </row>
    <row r="28" spans="1:6" x14ac:dyDescent="0.25">
      <c r="A28" s="279"/>
      <c r="B28" s="277"/>
      <c r="C28" s="278"/>
      <c r="D28" s="280"/>
      <c r="E28" s="533"/>
      <c r="F28" s="276"/>
    </row>
    <row r="29" spans="1:6" x14ac:dyDescent="0.25">
      <c r="A29" s="279"/>
      <c r="B29" s="277"/>
      <c r="C29" s="278"/>
      <c r="D29" s="280"/>
      <c r="E29" s="533"/>
      <c r="F29" s="276"/>
    </row>
    <row r="30" spans="1:6" x14ac:dyDescent="0.25">
      <c r="A30" s="279"/>
      <c r="B30" s="277"/>
      <c r="C30" s="278"/>
      <c r="D30" s="277"/>
      <c r="E30" s="533"/>
      <c r="F30" s="276"/>
    </row>
    <row r="31" spans="1:6" x14ac:dyDescent="0.25">
      <c r="A31" s="279"/>
      <c r="B31" s="277"/>
      <c r="C31" s="278"/>
      <c r="D31" s="277"/>
      <c r="E31" s="533"/>
      <c r="F31" s="276"/>
    </row>
    <row r="32" spans="1:6" x14ac:dyDescent="0.25">
      <c r="A32" s="279"/>
      <c r="B32" s="277"/>
      <c r="C32" s="278"/>
      <c r="D32" s="277"/>
      <c r="E32" s="533"/>
      <c r="F32" s="276"/>
    </row>
    <row r="33" spans="1:6" x14ac:dyDescent="0.25">
      <c r="A33" s="279"/>
      <c r="B33" s="277"/>
      <c r="C33" s="278"/>
      <c r="D33" s="277"/>
      <c r="E33" s="533"/>
      <c r="F33" s="276"/>
    </row>
    <row r="34" spans="1:6" x14ac:dyDescent="0.25">
      <c r="A34" s="279"/>
      <c r="B34" s="277"/>
      <c r="C34" s="278"/>
      <c r="D34" s="277"/>
      <c r="E34" s="533"/>
      <c r="F34" s="276"/>
    </row>
    <row r="35" spans="1:6" x14ac:dyDescent="0.25">
      <c r="A35" s="279"/>
      <c r="B35" s="277"/>
      <c r="C35" s="278"/>
      <c r="D35" s="277"/>
      <c r="E35" s="533"/>
      <c r="F35" s="276"/>
    </row>
    <row r="36" spans="1:6" x14ac:dyDescent="0.25">
      <c r="A36" s="279"/>
      <c r="B36" s="277"/>
      <c r="C36" s="278"/>
      <c r="D36" s="277"/>
      <c r="E36" s="533"/>
      <c r="F36" s="276"/>
    </row>
    <row r="37" spans="1:6" x14ac:dyDescent="0.25">
      <c r="A37" s="279"/>
      <c r="B37" s="277"/>
      <c r="C37" s="278"/>
      <c r="D37" s="277"/>
      <c r="E37" s="533"/>
      <c r="F37" s="276"/>
    </row>
    <row r="38" spans="1:6" x14ac:dyDescent="0.25">
      <c r="A38" s="279"/>
      <c r="B38" s="277"/>
      <c r="C38" s="278"/>
      <c r="D38" s="277"/>
      <c r="E38" s="533"/>
      <c r="F38" s="276"/>
    </row>
    <row r="39" spans="1:6" x14ac:dyDescent="0.25">
      <c r="A39" s="279"/>
      <c r="B39" s="277"/>
      <c r="C39" s="278"/>
      <c r="D39" s="277"/>
      <c r="E39" s="533"/>
      <c r="F39" s="276"/>
    </row>
    <row r="40" spans="1:6" x14ac:dyDescent="0.25">
      <c r="A40" s="279"/>
      <c r="B40" s="277"/>
      <c r="C40" s="278"/>
      <c r="D40" s="277"/>
      <c r="E40" s="533"/>
      <c r="F40" s="276"/>
    </row>
    <row r="41" spans="1:6" x14ac:dyDescent="0.25">
      <c r="A41" s="279"/>
      <c r="B41" s="277"/>
      <c r="C41" s="278"/>
      <c r="D41" s="277"/>
      <c r="E41" s="533"/>
      <c r="F41" s="276"/>
    </row>
    <row r="42" spans="1:6" x14ac:dyDescent="0.25">
      <c r="A42" s="279"/>
      <c r="B42" s="277"/>
      <c r="C42" s="278"/>
      <c r="D42" s="277"/>
      <c r="E42" s="533"/>
      <c r="F42" s="276"/>
    </row>
    <row r="43" spans="1:6" x14ac:dyDescent="0.25">
      <c r="A43" s="279"/>
      <c r="B43" s="277"/>
      <c r="C43" s="278"/>
      <c r="D43" s="277"/>
      <c r="E43" s="533"/>
      <c r="F43" s="276"/>
    </row>
    <row r="44" spans="1:6" x14ac:dyDescent="0.25">
      <c r="A44" s="279"/>
      <c r="B44" s="277"/>
      <c r="C44" s="278"/>
      <c r="D44" s="277"/>
      <c r="E44" s="533"/>
      <c r="F44" s="276"/>
    </row>
    <row r="45" spans="1:6" ht="15.75" thickBot="1" x14ac:dyDescent="0.3">
      <c r="A45" s="275"/>
      <c r="B45" s="273"/>
      <c r="C45" s="274"/>
      <c r="D45" s="273"/>
      <c r="E45" s="534"/>
      <c r="F45" s="272"/>
    </row>
    <row r="46" spans="1:6" ht="15.75" thickBot="1" x14ac:dyDescent="0.3"/>
    <row r="47" spans="1:6" x14ac:dyDescent="0.25">
      <c r="C47" s="300" t="s">
        <v>292</v>
      </c>
      <c r="D47" s="301"/>
      <c r="E47" s="525">
        <f>SUM(F2:F45)</f>
        <v>15797.906186611193</v>
      </c>
      <c r="F47" s="526"/>
    </row>
    <row r="48" spans="1:6" x14ac:dyDescent="0.25">
      <c r="C48" s="302" t="s">
        <v>291</v>
      </c>
      <c r="D48" s="303"/>
      <c r="E48" s="518">
        <f>E49-E47</f>
        <v>3159.5812373222379</v>
      </c>
      <c r="F48" s="519"/>
    </row>
    <row r="49" spans="3:6" ht="15.75" thickBot="1" x14ac:dyDescent="0.3">
      <c r="C49" s="469" t="s">
        <v>290</v>
      </c>
      <c r="D49" s="470"/>
      <c r="E49" s="520">
        <f>E47*1.2</f>
        <v>18957.487423933431</v>
      </c>
      <c r="F49" s="521"/>
    </row>
  </sheetData>
  <sheetProtection password="CA85" sheet="1" objects="1" scenarios="1"/>
  <mergeCells count="9">
    <mergeCell ref="C48:D48"/>
    <mergeCell ref="E48:F48"/>
    <mergeCell ref="C49:D49"/>
    <mergeCell ref="E49:F49"/>
    <mergeCell ref="B2:F2"/>
    <mergeCell ref="B10:F10"/>
    <mergeCell ref="B15:F15"/>
    <mergeCell ref="C47:D47"/>
    <mergeCell ref="E47:F47"/>
  </mergeCells>
  <pageMargins left="0.25" right="0.25" top="0.75" bottom="0.75" header="0.3" footer="0.3"/>
  <pageSetup paperSize="9" orientation="portrait" horizontalDpi="4294967293" verticalDpi="4294967293" r:id="rId1"/>
  <headerFooter>
    <oddHeader xml:space="preserve">&amp;C&amp;18DEVIS QUANTITATIF ESTIMATIF - ELEVATION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"/>
  <sheetViews>
    <sheetView view="pageLayout" topLeftCell="A14" zoomScaleNormal="100" workbookViewId="0">
      <selection activeCell="B26" sqref="B26"/>
    </sheetView>
  </sheetViews>
  <sheetFormatPr baseColWidth="10" defaultRowHeight="15" x14ac:dyDescent="0.25"/>
  <cols>
    <col min="1" max="1" width="6.42578125" style="271" bestFit="1" customWidth="1"/>
    <col min="2" max="2" width="57.140625" style="32" customWidth="1"/>
    <col min="3" max="3" width="6" style="258" customWidth="1"/>
    <col min="4" max="4" width="10" style="32" bestFit="1" customWidth="1"/>
    <col min="5" max="5" width="9.28515625" style="32" customWidth="1"/>
    <col min="6" max="6" width="9.5703125" style="32" customWidth="1"/>
    <col min="7" max="16384" width="11.42578125" style="32"/>
  </cols>
  <sheetData>
    <row r="1" spans="1:6" x14ac:dyDescent="0.25">
      <c r="A1" s="284" t="s">
        <v>346</v>
      </c>
      <c r="B1" s="285" t="s">
        <v>345</v>
      </c>
      <c r="C1" s="284" t="s">
        <v>344</v>
      </c>
      <c r="D1" s="285" t="s">
        <v>343</v>
      </c>
      <c r="E1" s="284" t="s">
        <v>342</v>
      </c>
      <c r="F1" s="283" t="s">
        <v>341</v>
      </c>
    </row>
    <row r="2" spans="1:6" x14ac:dyDescent="0.25">
      <c r="A2" s="282">
        <v>8</v>
      </c>
      <c r="B2" s="522" t="s">
        <v>380</v>
      </c>
      <c r="C2" s="523"/>
      <c r="D2" s="523"/>
      <c r="E2" s="523"/>
      <c r="F2" s="524"/>
    </row>
    <row r="3" spans="1:6" x14ac:dyDescent="0.25">
      <c r="A3" s="279" t="s">
        <v>381</v>
      </c>
      <c r="B3" s="277" t="s">
        <v>382</v>
      </c>
      <c r="C3" s="278" t="s">
        <v>50</v>
      </c>
      <c r="D3" s="280">
        <f>Calculs!P116</f>
        <v>0.5133375</v>
      </c>
      <c r="E3" s="533"/>
      <c r="F3" s="276">
        <f t="shared" ref="F3:F8" si="0">D3*E3</f>
        <v>0</v>
      </c>
    </row>
    <row r="4" spans="1:6" x14ac:dyDescent="0.25">
      <c r="A4" s="279" t="s">
        <v>383</v>
      </c>
      <c r="B4" s="277" t="s">
        <v>388</v>
      </c>
      <c r="C4" s="278" t="s">
        <v>50</v>
      </c>
      <c r="D4" s="280">
        <f>Calculs!P122+Calculs!P124</f>
        <v>1.3086562500000001</v>
      </c>
      <c r="E4" s="533"/>
      <c r="F4" s="276">
        <f t="shared" si="0"/>
        <v>0</v>
      </c>
    </row>
    <row r="5" spans="1:6" x14ac:dyDescent="0.25">
      <c r="A5" s="279" t="s">
        <v>384</v>
      </c>
      <c r="B5" s="277" t="s">
        <v>389</v>
      </c>
      <c r="C5" s="278" t="s">
        <v>110</v>
      </c>
      <c r="D5" s="281">
        <f>ROUNDUP(Calculs!P117/1.5,0)</f>
        <v>16</v>
      </c>
      <c r="E5" s="533"/>
      <c r="F5" s="276">
        <f t="shared" si="0"/>
        <v>0</v>
      </c>
    </row>
    <row r="6" spans="1:6" x14ac:dyDescent="0.25">
      <c r="A6" s="279" t="s">
        <v>385</v>
      </c>
      <c r="B6" s="277" t="s">
        <v>390</v>
      </c>
      <c r="C6" s="278" t="s">
        <v>50</v>
      </c>
      <c r="D6" s="280">
        <f>Calculs!P114</f>
        <v>1.3372575869495169</v>
      </c>
      <c r="E6" s="533"/>
      <c r="F6" s="276">
        <f t="shared" si="0"/>
        <v>0</v>
      </c>
    </row>
    <row r="7" spans="1:6" x14ac:dyDescent="0.25">
      <c r="A7" s="279" t="s">
        <v>386</v>
      </c>
      <c r="B7" s="277" t="s">
        <v>391</v>
      </c>
      <c r="C7" s="278" t="s">
        <v>50</v>
      </c>
      <c r="D7" s="280">
        <f>Calculs!P114+Calculs!P116+Calculs!P122+Calculs!P124</f>
        <v>3.159251336949517</v>
      </c>
      <c r="E7" s="533"/>
      <c r="F7" s="276">
        <f t="shared" si="0"/>
        <v>0</v>
      </c>
    </row>
    <row r="8" spans="1:6" x14ac:dyDescent="0.25">
      <c r="A8" s="279" t="s">
        <v>387</v>
      </c>
      <c r="B8" s="277" t="s">
        <v>392</v>
      </c>
      <c r="C8" s="278" t="s">
        <v>48</v>
      </c>
      <c r="D8" s="281">
        <f>Calculs!P125</f>
        <v>31.020000000000003</v>
      </c>
      <c r="E8" s="533"/>
      <c r="F8" s="276">
        <f t="shared" si="0"/>
        <v>0</v>
      </c>
    </row>
    <row r="9" spans="1:6" x14ac:dyDescent="0.25">
      <c r="A9" s="279"/>
      <c r="B9" s="277"/>
      <c r="C9" s="278"/>
      <c r="D9" s="277"/>
      <c r="E9" s="533"/>
      <c r="F9" s="276"/>
    </row>
    <row r="10" spans="1:6" x14ac:dyDescent="0.25">
      <c r="A10" s="282">
        <v>9</v>
      </c>
      <c r="B10" s="522" t="s">
        <v>393</v>
      </c>
      <c r="C10" s="523"/>
      <c r="D10" s="523"/>
      <c r="E10" s="523"/>
      <c r="F10" s="524"/>
    </row>
    <row r="11" spans="1:6" x14ac:dyDescent="0.25">
      <c r="A11" s="279" t="s">
        <v>394</v>
      </c>
      <c r="B11" s="277" t="s">
        <v>395</v>
      </c>
      <c r="C11" s="278" t="s">
        <v>110</v>
      </c>
      <c r="D11" s="281">
        <f>Calculs!P156</f>
        <v>27</v>
      </c>
      <c r="E11" s="533"/>
      <c r="F11" s="276">
        <f>D11*E11</f>
        <v>0</v>
      </c>
    </row>
    <row r="12" spans="1:6" x14ac:dyDescent="0.25">
      <c r="A12" s="279" t="s">
        <v>396</v>
      </c>
      <c r="B12" s="277" t="s">
        <v>401</v>
      </c>
      <c r="C12" s="278" t="s">
        <v>110</v>
      </c>
      <c r="D12" s="281">
        <f>Calculs!P160</f>
        <v>40</v>
      </c>
      <c r="E12" s="533"/>
      <c r="F12" s="276">
        <f>D12*E12</f>
        <v>0</v>
      </c>
    </row>
    <row r="13" spans="1:6" x14ac:dyDescent="0.25">
      <c r="A13" s="279" t="s">
        <v>397</v>
      </c>
      <c r="B13" s="277" t="s">
        <v>402</v>
      </c>
      <c r="C13" s="278" t="s">
        <v>110</v>
      </c>
      <c r="D13" s="281">
        <f>Calculs!P162</f>
        <v>27</v>
      </c>
      <c r="E13" s="533"/>
      <c r="F13" s="276">
        <f>D13*E13</f>
        <v>0</v>
      </c>
    </row>
    <row r="14" spans="1:6" x14ac:dyDescent="0.25">
      <c r="A14" s="279" t="s">
        <v>398</v>
      </c>
      <c r="B14" s="277" t="s">
        <v>403</v>
      </c>
      <c r="C14" s="278" t="s">
        <v>48</v>
      </c>
      <c r="D14" s="281">
        <f>Calculs!P163</f>
        <v>60.84</v>
      </c>
      <c r="E14" s="533"/>
      <c r="F14" s="276">
        <f t="shared" ref="F14:F17" si="1">D14*E14</f>
        <v>0</v>
      </c>
    </row>
    <row r="15" spans="1:6" x14ac:dyDescent="0.25">
      <c r="A15" s="279" t="s">
        <v>399</v>
      </c>
      <c r="B15" s="277" t="s">
        <v>404</v>
      </c>
      <c r="C15" s="278" t="s">
        <v>48</v>
      </c>
      <c r="D15" s="281">
        <f>Calculs!P165</f>
        <v>45.63</v>
      </c>
      <c r="E15" s="533"/>
      <c r="F15" s="276">
        <f t="shared" si="1"/>
        <v>0</v>
      </c>
    </row>
    <row r="16" spans="1:6" x14ac:dyDescent="0.25">
      <c r="A16" s="279" t="s">
        <v>400</v>
      </c>
      <c r="B16" s="277" t="s">
        <v>405</v>
      </c>
      <c r="C16" s="278" t="s">
        <v>48</v>
      </c>
      <c r="D16" s="281">
        <f>Calculs!P167</f>
        <v>60.84</v>
      </c>
      <c r="E16" s="533"/>
      <c r="F16" s="276">
        <f t="shared" si="1"/>
        <v>0</v>
      </c>
    </row>
    <row r="17" spans="1:6" x14ac:dyDescent="0.25">
      <c r="A17" s="279" t="s">
        <v>406</v>
      </c>
      <c r="B17" s="277" t="s">
        <v>407</v>
      </c>
      <c r="C17" s="278" t="s">
        <v>48</v>
      </c>
      <c r="D17" s="281">
        <f>Calculs!P169</f>
        <v>45.63</v>
      </c>
      <c r="E17" s="533"/>
      <c r="F17" s="276">
        <f t="shared" si="1"/>
        <v>0</v>
      </c>
    </row>
    <row r="18" spans="1:6" x14ac:dyDescent="0.25">
      <c r="A18" s="279"/>
      <c r="B18" s="277"/>
      <c r="C18" s="278"/>
      <c r="D18" s="277"/>
      <c r="E18" s="533"/>
      <c r="F18" s="276"/>
    </row>
    <row r="19" spans="1:6" x14ac:dyDescent="0.25">
      <c r="A19" s="282">
        <v>10</v>
      </c>
      <c r="B19" s="522" t="s">
        <v>408</v>
      </c>
      <c r="C19" s="523"/>
      <c r="D19" s="523"/>
      <c r="E19" s="523"/>
      <c r="F19" s="524"/>
    </row>
    <row r="20" spans="1:6" x14ac:dyDescent="0.25">
      <c r="A20" s="279" t="s">
        <v>409</v>
      </c>
      <c r="B20" s="277" t="s">
        <v>413</v>
      </c>
      <c r="C20" s="278" t="s">
        <v>48</v>
      </c>
      <c r="D20" s="281">
        <f>Calculs!P173</f>
        <v>31.220000000000002</v>
      </c>
      <c r="E20" s="533"/>
      <c r="F20" s="276">
        <f>D20*E20</f>
        <v>0</v>
      </c>
    </row>
    <row r="21" spans="1:6" x14ac:dyDescent="0.25">
      <c r="A21" s="279" t="s">
        <v>410</v>
      </c>
      <c r="B21" s="277" t="s">
        <v>414</v>
      </c>
      <c r="C21" s="278" t="s">
        <v>48</v>
      </c>
      <c r="D21" s="281">
        <f>D20</f>
        <v>31.220000000000002</v>
      </c>
      <c r="E21" s="533"/>
      <c r="F21" s="276">
        <f>D21*E21</f>
        <v>0</v>
      </c>
    </row>
    <row r="22" spans="1:6" x14ac:dyDescent="0.25">
      <c r="A22" s="279" t="s">
        <v>411</v>
      </c>
      <c r="B22" s="277" t="s">
        <v>415</v>
      </c>
      <c r="C22" s="278" t="s">
        <v>49</v>
      </c>
      <c r="D22" s="281">
        <f>Calculs!P172</f>
        <v>6.2440000000000007</v>
      </c>
      <c r="E22" s="533"/>
      <c r="F22" s="276">
        <f>D22*E22</f>
        <v>0</v>
      </c>
    </row>
    <row r="23" spans="1:6" x14ac:dyDescent="0.25">
      <c r="A23" s="279" t="s">
        <v>412</v>
      </c>
      <c r="B23" s="277" t="s">
        <v>416</v>
      </c>
      <c r="C23" s="278" t="s">
        <v>110</v>
      </c>
      <c r="D23" s="281">
        <f>4</f>
        <v>4</v>
      </c>
      <c r="E23" s="533"/>
      <c r="F23" s="276">
        <f>D23*E23</f>
        <v>0</v>
      </c>
    </row>
    <row r="24" spans="1:6" x14ac:dyDescent="0.25">
      <c r="A24" s="279"/>
      <c r="B24" s="277"/>
      <c r="C24" s="278"/>
      <c r="D24" s="281"/>
      <c r="E24" s="533"/>
      <c r="F24" s="276"/>
    </row>
    <row r="25" spans="1:6" x14ac:dyDescent="0.25">
      <c r="A25" s="279"/>
      <c r="B25" s="277"/>
      <c r="C25" s="278"/>
      <c r="D25" s="281"/>
      <c r="E25" s="533"/>
      <c r="F25" s="276"/>
    </row>
    <row r="26" spans="1:6" x14ac:dyDescent="0.25">
      <c r="A26" s="279"/>
      <c r="B26" s="277"/>
      <c r="C26" s="278"/>
      <c r="D26" s="281"/>
      <c r="E26" s="533"/>
      <c r="F26" s="276"/>
    </row>
    <row r="27" spans="1:6" x14ac:dyDescent="0.25">
      <c r="A27" s="279"/>
      <c r="B27" s="277"/>
      <c r="C27" s="278"/>
      <c r="D27" s="281"/>
      <c r="E27" s="533"/>
      <c r="F27" s="276"/>
    </row>
    <row r="28" spans="1:6" x14ac:dyDescent="0.25">
      <c r="A28" s="279"/>
      <c r="B28" s="277"/>
      <c r="C28" s="278"/>
      <c r="D28" s="280"/>
      <c r="E28" s="533"/>
      <c r="F28" s="276"/>
    </row>
    <row r="29" spans="1:6" x14ac:dyDescent="0.25">
      <c r="A29" s="279"/>
      <c r="B29" s="277"/>
      <c r="C29" s="278"/>
      <c r="D29" s="280"/>
      <c r="E29" s="533"/>
      <c r="F29" s="276"/>
    </row>
    <row r="30" spans="1:6" x14ac:dyDescent="0.25">
      <c r="A30" s="279"/>
      <c r="B30" s="277"/>
      <c r="C30" s="278"/>
      <c r="D30" s="277"/>
      <c r="E30" s="533"/>
      <c r="F30" s="276"/>
    </row>
    <row r="31" spans="1:6" x14ac:dyDescent="0.25">
      <c r="A31" s="279"/>
      <c r="B31" s="277"/>
      <c r="C31" s="278"/>
      <c r="D31" s="277"/>
      <c r="E31" s="533"/>
      <c r="F31" s="276"/>
    </row>
    <row r="32" spans="1:6" x14ac:dyDescent="0.25">
      <c r="A32" s="279"/>
      <c r="B32" s="277"/>
      <c r="C32" s="278"/>
      <c r="D32" s="277"/>
      <c r="E32" s="533"/>
      <c r="F32" s="276"/>
    </row>
    <row r="33" spans="1:6" x14ac:dyDescent="0.25">
      <c r="A33" s="279"/>
      <c r="B33" s="277"/>
      <c r="C33" s="278"/>
      <c r="D33" s="277"/>
      <c r="E33" s="533"/>
      <c r="F33" s="276"/>
    </row>
    <row r="34" spans="1:6" x14ac:dyDescent="0.25">
      <c r="A34" s="279"/>
      <c r="B34" s="277"/>
      <c r="C34" s="278"/>
      <c r="D34" s="277"/>
      <c r="E34" s="533"/>
      <c r="F34" s="276"/>
    </row>
    <row r="35" spans="1:6" x14ac:dyDescent="0.25">
      <c r="A35" s="279"/>
      <c r="B35" s="277"/>
      <c r="C35" s="278"/>
      <c r="D35" s="277"/>
      <c r="E35" s="533"/>
      <c r="F35" s="276"/>
    </row>
    <row r="36" spans="1:6" x14ac:dyDescent="0.25">
      <c r="A36" s="279"/>
      <c r="B36" s="277"/>
      <c r="C36" s="278"/>
      <c r="D36" s="277"/>
      <c r="E36" s="533"/>
      <c r="F36" s="276"/>
    </row>
    <row r="37" spans="1:6" x14ac:dyDescent="0.25">
      <c r="A37" s="279"/>
      <c r="B37" s="277"/>
      <c r="C37" s="278"/>
      <c r="D37" s="277"/>
      <c r="E37" s="533"/>
      <c r="F37" s="276"/>
    </row>
    <row r="38" spans="1:6" x14ac:dyDescent="0.25">
      <c r="A38" s="279"/>
      <c r="B38" s="277"/>
      <c r="C38" s="278"/>
      <c r="D38" s="277"/>
      <c r="E38" s="533"/>
      <c r="F38" s="276"/>
    </row>
    <row r="39" spans="1:6" x14ac:dyDescent="0.25">
      <c r="A39" s="279"/>
      <c r="B39" s="277"/>
      <c r="C39" s="278"/>
      <c r="D39" s="277"/>
      <c r="E39" s="533"/>
      <c r="F39" s="276"/>
    </row>
    <row r="40" spans="1:6" x14ac:dyDescent="0.25">
      <c r="A40" s="279"/>
      <c r="B40" s="277"/>
      <c r="C40" s="278"/>
      <c r="D40" s="277"/>
      <c r="E40" s="533"/>
      <c r="F40" s="276"/>
    </row>
    <row r="41" spans="1:6" x14ac:dyDescent="0.25">
      <c r="A41" s="279"/>
      <c r="B41" s="277"/>
      <c r="C41" s="278"/>
      <c r="D41" s="277"/>
      <c r="E41" s="533"/>
      <c r="F41" s="276"/>
    </row>
    <row r="42" spans="1:6" x14ac:dyDescent="0.25">
      <c r="A42" s="279"/>
      <c r="B42" s="277"/>
      <c r="C42" s="278"/>
      <c r="D42" s="277"/>
      <c r="E42" s="533"/>
      <c r="F42" s="276"/>
    </row>
    <row r="43" spans="1:6" x14ac:dyDescent="0.25">
      <c r="A43" s="279"/>
      <c r="B43" s="277"/>
      <c r="C43" s="278"/>
      <c r="D43" s="277"/>
      <c r="E43" s="533"/>
      <c r="F43" s="276"/>
    </row>
    <row r="44" spans="1:6" x14ac:dyDescent="0.25">
      <c r="A44" s="279"/>
      <c r="B44" s="277"/>
      <c r="C44" s="278"/>
      <c r="D44" s="277"/>
      <c r="E44" s="533"/>
      <c r="F44" s="276"/>
    </row>
    <row r="45" spans="1:6" ht="15.75" thickBot="1" x14ac:dyDescent="0.3">
      <c r="A45" s="275"/>
      <c r="B45" s="273"/>
      <c r="C45" s="274"/>
      <c r="D45" s="273"/>
      <c r="E45" s="534"/>
      <c r="F45" s="272"/>
    </row>
    <row r="46" spans="1:6" ht="15.75" thickBot="1" x14ac:dyDescent="0.3"/>
    <row r="47" spans="1:6" x14ac:dyDescent="0.25">
      <c r="C47" s="300" t="s">
        <v>292</v>
      </c>
      <c r="D47" s="301"/>
      <c r="E47" s="525">
        <f>SUM(F2:F45)</f>
        <v>0</v>
      </c>
      <c r="F47" s="526"/>
    </row>
    <row r="48" spans="1:6" x14ac:dyDescent="0.25">
      <c r="C48" s="302" t="s">
        <v>291</v>
      </c>
      <c r="D48" s="303"/>
      <c r="E48" s="518">
        <f>E49-E47</f>
        <v>0</v>
      </c>
      <c r="F48" s="519"/>
    </row>
    <row r="49" spans="3:6" ht="15.75" thickBot="1" x14ac:dyDescent="0.3">
      <c r="C49" s="469" t="s">
        <v>290</v>
      </c>
      <c r="D49" s="470"/>
      <c r="E49" s="520">
        <f>E47*1.2</f>
        <v>0</v>
      </c>
      <c r="F49" s="521"/>
    </row>
  </sheetData>
  <sheetProtection password="CA85" sheet="1" objects="1" scenarios="1"/>
  <mergeCells count="9">
    <mergeCell ref="C49:D49"/>
    <mergeCell ref="E49:F49"/>
    <mergeCell ref="B2:F2"/>
    <mergeCell ref="B10:F10"/>
    <mergeCell ref="C47:D47"/>
    <mergeCell ref="E47:F47"/>
    <mergeCell ref="C48:D48"/>
    <mergeCell ref="E48:F48"/>
    <mergeCell ref="B19:F19"/>
  </mergeCells>
  <pageMargins left="0.25" right="0.25" top="0.75" bottom="0.75" header="0.3" footer="0.3"/>
  <pageSetup paperSize="9" orientation="portrait" horizontalDpi="4294967293" verticalDpi="4294967293" r:id="rId1"/>
  <headerFooter>
    <oddHeader xml:space="preserve">&amp;C&amp;18DEVIS QUANTITATIF ESTIMATIF - CHARPENTE
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workbookViewId="0">
      <selection activeCell="G26" sqref="G26"/>
    </sheetView>
  </sheetViews>
  <sheetFormatPr baseColWidth="10" defaultRowHeight="15" x14ac:dyDescent="0.25"/>
  <cols>
    <col min="1" max="1" width="15.42578125" customWidth="1"/>
  </cols>
  <sheetData>
    <row r="1" spans="1:13" ht="16.5" thickBot="1" x14ac:dyDescent="0.3">
      <c r="A1" s="265"/>
      <c r="B1" s="530" t="s">
        <v>269</v>
      </c>
      <c r="C1" s="531"/>
      <c r="D1" s="531"/>
      <c r="E1" s="531"/>
      <c r="F1" s="531"/>
      <c r="G1" s="531"/>
      <c r="H1" s="531"/>
      <c r="I1" s="532"/>
    </row>
    <row r="2" spans="1:13" ht="15.75" thickBot="1" x14ac:dyDescent="0.3">
      <c r="A2" s="266"/>
      <c r="B2" s="527" t="s">
        <v>270</v>
      </c>
      <c r="C2" s="528"/>
      <c r="D2" s="528"/>
      <c r="E2" s="528"/>
      <c r="F2" s="528"/>
      <c r="G2" s="528"/>
      <c r="H2" s="528"/>
      <c r="I2" s="529"/>
      <c r="K2" t="s">
        <v>276</v>
      </c>
      <c r="M2" t="s">
        <v>277</v>
      </c>
    </row>
    <row r="3" spans="1:13" ht="15.75" thickBot="1" x14ac:dyDescent="0.3">
      <c r="A3" s="267" t="s">
        <v>268</v>
      </c>
      <c r="B3" s="268">
        <v>1</v>
      </c>
      <c r="C3" s="268">
        <v>2</v>
      </c>
      <c r="D3" s="268">
        <v>3</v>
      </c>
      <c r="E3" s="268">
        <v>6</v>
      </c>
      <c r="F3" s="268">
        <v>7</v>
      </c>
      <c r="G3" s="268">
        <v>10</v>
      </c>
      <c r="H3" s="268">
        <v>15</v>
      </c>
      <c r="I3" s="269">
        <v>20</v>
      </c>
      <c r="K3" s="255">
        <f>Calculs!C276</f>
        <v>2</v>
      </c>
      <c r="M3" s="255">
        <f>Calculs!P282</f>
        <v>40</v>
      </c>
    </row>
    <row r="4" spans="1:13" x14ac:dyDescent="0.25">
      <c r="A4" s="263">
        <v>20</v>
      </c>
      <c r="B4" s="259">
        <v>65</v>
      </c>
      <c r="C4" s="259">
        <v>50</v>
      </c>
      <c r="D4" s="259">
        <v>45</v>
      </c>
      <c r="E4" s="259">
        <v>40</v>
      </c>
      <c r="F4" s="259">
        <v>35</v>
      </c>
      <c r="G4" s="259">
        <v>30</v>
      </c>
      <c r="H4" s="259">
        <v>25</v>
      </c>
      <c r="I4" s="260">
        <v>22</v>
      </c>
      <c r="K4">
        <f>MATCH(K3,A3:I3,0)</f>
        <v>3</v>
      </c>
      <c r="M4">
        <f>MATCH(M3,A3:A28,0)</f>
        <v>4</v>
      </c>
    </row>
    <row r="5" spans="1:13" x14ac:dyDescent="0.25">
      <c r="A5" s="263">
        <v>30</v>
      </c>
      <c r="B5" s="259">
        <v>85</v>
      </c>
      <c r="C5" s="259">
        <v>70</v>
      </c>
      <c r="D5" s="259">
        <v>60</v>
      </c>
      <c r="E5" s="259">
        <v>50</v>
      </c>
      <c r="F5" s="259">
        <v>45</v>
      </c>
      <c r="G5" s="259">
        <v>40</v>
      </c>
      <c r="H5" s="259">
        <v>35</v>
      </c>
      <c r="I5" s="260">
        <v>30</v>
      </c>
    </row>
    <row r="6" spans="1:13" x14ac:dyDescent="0.25">
      <c r="A6" s="263">
        <v>40</v>
      </c>
      <c r="B6" s="259">
        <v>105</v>
      </c>
      <c r="C6" s="259">
        <v>80</v>
      </c>
      <c r="D6" s="259">
        <v>70</v>
      </c>
      <c r="E6" s="259">
        <v>60</v>
      </c>
      <c r="F6" s="259">
        <v>55</v>
      </c>
      <c r="G6" s="259">
        <v>50</v>
      </c>
      <c r="H6" s="259">
        <v>40</v>
      </c>
      <c r="I6" s="260">
        <v>35</v>
      </c>
      <c r="K6" t="s">
        <v>278</v>
      </c>
      <c r="L6" s="256">
        <f>INDEX(A3:I28,M4,K4)</f>
        <v>80</v>
      </c>
      <c r="M6" t="s">
        <v>281</v>
      </c>
    </row>
    <row r="7" spans="1:13" x14ac:dyDescent="0.25">
      <c r="A7" s="263">
        <v>50</v>
      </c>
      <c r="B7" s="259">
        <v>120</v>
      </c>
      <c r="C7" s="259">
        <v>95</v>
      </c>
      <c r="D7" s="259">
        <v>85</v>
      </c>
      <c r="E7" s="259">
        <v>70</v>
      </c>
      <c r="F7" s="259">
        <v>65</v>
      </c>
      <c r="G7" s="259">
        <v>55</v>
      </c>
      <c r="H7" s="259">
        <v>50</v>
      </c>
      <c r="I7" s="260">
        <v>45</v>
      </c>
    </row>
    <row r="8" spans="1:13" x14ac:dyDescent="0.25">
      <c r="A8" s="263">
        <v>60</v>
      </c>
      <c r="B8" s="259">
        <v>140</v>
      </c>
      <c r="C8" s="259">
        <v>110</v>
      </c>
      <c r="D8" s="259">
        <v>95</v>
      </c>
      <c r="E8" s="259">
        <v>80</v>
      </c>
      <c r="F8" s="259">
        <v>70</v>
      </c>
      <c r="G8" s="259">
        <v>60</v>
      </c>
      <c r="H8" s="259">
        <v>55</v>
      </c>
      <c r="I8" s="260">
        <v>50</v>
      </c>
    </row>
    <row r="9" spans="1:13" x14ac:dyDescent="0.25">
      <c r="A9" s="263">
        <v>70</v>
      </c>
      <c r="B9" s="259">
        <v>155</v>
      </c>
      <c r="C9" s="259">
        <v>120</v>
      </c>
      <c r="D9" s="259">
        <v>105</v>
      </c>
      <c r="E9" s="259">
        <v>90</v>
      </c>
      <c r="F9" s="259">
        <v>80</v>
      </c>
      <c r="G9" s="259">
        <v>70</v>
      </c>
      <c r="H9" s="259">
        <v>60</v>
      </c>
      <c r="I9" s="260">
        <v>55</v>
      </c>
      <c r="K9" s="32" t="s">
        <v>276</v>
      </c>
      <c r="L9" s="32"/>
      <c r="M9" s="32" t="s">
        <v>277</v>
      </c>
    </row>
    <row r="10" spans="1:13" x14ac:dyDescent="0.25">
      <c r="A10" s="263">
        <v>80</v>
      </c>
      <c r="B10" s="259">
        <v>170</v>
      </c>
      <c r="C10" s="259">
        <v>135</v>
      </c>
      <c r="D10" s="259">
        <v>115</v>
      </c>
      <c r="E10" s="259">
        <v>100</v>
      </c>
      <c r="F10" s="259">
        <v>85</v>
      </c>
      <c r="G10" s="259">
        <v>75</v>
      </c>
      <c r="H10" s="259">
        <v>35</v>
      </c>
      <c r="I10" s="260">
        <v>60</v>
      </c>
      <c r="K10" s="255">
        <f>Calculs!C276</f>
        <v>2</v>
      </c>
      <c r="L10" s="32"/>
      <c r="M10" s="255">
        <f>Calculs!T283</f>
        <v>30</v>
      </c>
    </row>
    <row r="11" spans="1:13" x14ac:dyDescent="0.25">
      <c r="A11" s="263">
        <v>90</v>
      </c>
      <c r="B11" s="259">
        <v>185</v>
      </c>
      <c r="C11" s="259">
        <v>145</v>
      </c>
      <c r="D11" s="259">
        <v>125</v>
      </c>
      <c r="E11" s="259">
        <v>105</v>
      </c>
      <c r="F11" s="259">
        <v>95</v>
      </c>
      <c r="G11" s="259">
        <v>85</v>
      </c>
      <c r="H11" s="259">
        <v>70</v>
      </c>
      <c r="I11" s="260">
        <v>65</v>
      </c>
      <c r="K11" s="32">
        <f>MATCH(K10,A3:I3,0)</f>
        <v>3</v>
      </c>
      <c r="L11" s="32"/>
      <c r="M11" s="32">
        <f>MATCH(M10,A3:A28,0)</f>
        <v>3</v>
      </c>
    </row>
    <row r="12" spans="1:13" x14ac:dyDescent="0.25">
      <c r="A12" s="263">
        <v>100</v>
      </c>
      <c r="B12" s="259">
        <v>200</v>
      </c>
      <c r="C12" s="259">
        <v>155</v>
      </c>
      <c r="D12" s="259">
        <v>135</v>
      </c>
      <c r="E12" s="259">
        <v>115</v>
      </c>
      <c r="F12" s="259">
        <v>100</v>
      </c>
      <c r="G12" s="259">
        <v>90</v>
      </c>
      <c r="H12" s="259">
        <v>80</v>
      </c>
      <c r="I12" s="260">
        <v>70</v>
      </c>
      <c r="K12" s="32"/>
      <c r="L12" s="32"/>
      <c r="M12" s="32"/>
    </row>
    <row r="13" spans="1:13" x14ac:dyDescent="0.25">
      <c r="A13" s="263">
        <v>110</v>
      </c>
      <c r="B13" s="259">
        <v>215</v>
      </c>
      <c r="C13" s="259">
        <v>170</v>
      </c>
      <c r="D13" s="259">
        <v>145</v>
      </c>
      <c r="E13" s="259">
        <v>120</v>
      </c>
      <c r="F13" s="259">
        <v>110</v>
      </c>
      <c r="G13" s="259">
        <v>95</v>
      </c>
      <c r="H13" s="259">
        <v>85</v>
      </c>
      <c r="I13" s="260">
        <v>75</v>
      </c>
      <c r="K13" s="32" t="s">
        <v>278</v>
      </c>
      <c r="L13" s="256">
        <f>INDEX(A3:I28,M11,K11)</f>
        <v>70</v>
      </c>
      <c r="M13" s="32" t="s">
        <v>281</v>
      </c>
    </row>
    <row r="14" spans="1:13" x14ac:dyDescent="0.25">
      <c r="A14" s="263">
        <v>120</v>
      </c>
      <c r="B14" s="259">
        <v>230</v>
      </c>
      <c r="C14" s="259">
        <v>180</v>
      </c>
      <c r="D14" s="259">
        <v>155</v>
      </c>
      <c r="E14" s="259">
        <v>130</v>
      </c>
      <c r="F14" s="259">
        <v>115</v>
      </c>
      <c r="G14" s="259">
        <v>100</v>
      </c>
      <c r="H14" s="259">
        <v>90</v>
      </c>
      <c r="I14" s="260">
        <v>80</v>
      </c>
    </row>
    <row r="15" spans="1:13" x14ac:dyDescent="0.25">
      <c r="A15" s="263">
        <v>130</v>
      </c>
      <c r="B15" s="259">
        <v>240</v>
      </c>
      <c r="C15" s="259">
        <v>190</v>
      </c>
      <c r="D15" s="259">
        <v>165</v>
      </c>
      <c r="E15" s="259">
        <v>135</v>
      </c>
      <c r="F15" s="259">
        <v>120</v>
      </c>
      <c r="G15" s="259">
        <v>105</v>
      </c>
      <c r="H15" s="259">
        <v>95</v>
      </c>
      <c r="I15" s="260">
        <v>85</v>
      </c>
    </row>
    <row r="16" spans="1:13" x14ac:dyDescent="0.25">
      <c r="A16" s="263">
        <v>140</v>
      </c>
      <c r="B16" s="259">
        <v>255</v>
      </c>
      <c r="C16" s="259">
        <v>200</v>
      </c>
      <c r="D16" s="259">
        <v>170</v>
      </c>
      <c r="E16" s="259">
        <v>145</v>
      </c>
      <c r="F16" s="259">
        <v>130</v>
      </c>
      <c r="G16" s="259">
        <v>115</v>
      </c>
      <c r="H16" s="259">
        <v>100</v>
      </c>
      <c r="I16" s="260">
        <v>90</v>
      </c>
    </row>
    <row r="17" spans="1:16" x14ac:dyDescent="0.25">
      <c r="A17" s="263">
        <v>150</v>
      </c>
      <c r="B17" s="259">
        <v>265</v>
      </c>
      <c r="C17" s="259">
        <v>210</v>
      </c>
      <c r="D17" s="259">
        <v>180</v>
      </c>
      <c r="E17" s="259">
        <v>150</v>
      </c>
      <c r="F17" s="259">
        <v>135</v>
      </c>
      <c r="G17" s="259">
        <v>120</v>
      </c>
      <c r="H17" s="259">
        <v>105</v>
      </c>
      <c r="I17" s="260">
        <v>96</v>
      </c>
    </row>
    <row r="18" spans="1:16" x14ac:dyDescent="0.25">
      <c r="A18" s="263">
        <v>160</v>
      </c>
      <c r="B18" s="259">
        <v>280</v>
      </c>
      <c r="C18" s="259">
        <v>220</v>
      </c>
      <c r="D18" s="259">
        <v>190</v>
      </c>
      <c r="E18" s="259">
        <v>160</v>
      </c>
      <c r="F18" s="259">
        <v>140</v>
      </c>
      <c r="G18" s="259">
        <v>125</v>
      </c>
      <c r="H18" s="259">
        <v>110</v>
      </c>
      <c r="I18" s="260">
        <v>100</v>
      </c>
      <c r="L18" s="255">
        <f>L13+((L6-L13)/10)*Calculs!U287</f>
        <v>72.624899999999997</v>
      </c>
      <c r="N18" t="s">
        <v>272</v>
      </c>
      <c r="P18">
        <v>1</v>
      </c>
    </row>
    <row r="19" spans="1:16" x14ac:dyDescent="0.25">
      <c r="A19" s="263">
        <v>170</v>
      </c>
      <c r="B19" s="259">
        <v>290</v>
      </c>
      <c r="C19" s="259">
        <v>230</v>
      </c>
      <c r="D19" s="259">
        <v>200</v>
      </c>
      <c r="E19" s="259">
        <v>165</v>
      </c>
      <c r="F19" s="259">
        <v>145</v>
      </c>
      <c r="G19" s="259">
        <v>130</v>
      </c>
      <c r="H19" s="259">
        <v>115</v>
      </c>
      <c r="I19" s="260">
        <v>100</v>
      </c>
      <c r="N19" t="s">
        <v>273</v>
      </c>
      <c r="P19">
        <v>1.1000000000000001</v>
      </c>
    </row>
    <row r="20" spans="1:16" x14ac:dyDescent="0.25">
      <c r="A20" s="263">
        <v>180</v>
      </c>
      <c r="B20" s="259">
        <v>305</v>
      </c>
      <c r="C20" s="259">
        <v>240</v>
      </c>
      <c r="D20" s="259">
        <v>205</v>
      </c>
      <c r="E20" s="259">
        <v>170</v>
      </c>
      <c r="F20" s="259">
        <v>150</v>
      </c>
      <c r="G20" s="259">
        <v>135</v>
      </c>
      <c r="H20" s="259">
        <v>120</v>
      </c>
      <c r="I20" s="260">
        <v>105</v>
      </c>
      <c r="N20" t="s">
        <v>274</v>
      </c>
      <c r="P20">
        <v>1.1000000000000001</v>
      </c>
    </row>
    <row r="21" spans="1:16" x14ac:dyDescent="0.25">
      <c r="A21" s="263">
        <v>200</v>
      </c>
      <c r="B21" s="259">
        <v>350</v>
      </c>
      <c r="C21" s="259">
        <v>255</v>
      </c>
      <c r="D21" s="259">
        <v>220</v>
      </c>
      <c r="E21" s="259">
        <v>185</v>
      </c>
      <c r="F21" s="259">
        <v>165</v>
      </c>
      <c r="G21" s="259">
        <v>145</v>
      </c>
      <c r="H21" s="259">
        <v>125</v>
      </c>
      <c r="I21" s="260">
        <v>115</v>
      </c>
      <c r="N21" t="s">
        <v>275</v>
      </c>
      <c r="P21">
        <v>1.2</v>
      </c>
    </row>
    <row r="22" spans="1:16" x14ac:dyDescent="0.25">
      <c r="A22" s="263">
        <v>250</v>
      </c>
      <c r="B22" s="259">
        <v>385</v>
      </c>
      <c r="C22" s="259">
        <v>300</v>
      </c>
      <c r="D22" s="259">
        <v>260</v>
      </c>
      <c r="E22" s="259">
        <v>215</v>
      </c>
      <c r="F22" s="259">
        <v>190</v>
      </c>
      <c r="G22" s="259">
        <v>170</v>
      </c>
      <c r="H22" s="259">
        <v>145</v>
      </c>
      <c r="I22" s="260">
        <v>135</v>
      </c>
    </row>
    <row r="23" spans="1:16" x14ac:dyDescent="0.25">
      <c r="A23" s="263">
        <v>300</v>
      </c>
      <c r="B23" s="259">
        <v>440</v>
      </c>
      <c r="C23" s="259">
        <v>340</v>
      </c>
      <c r="D23" s="259">
        <v>295</v>
      </c>
      <c r="E23" s="259">
        <v>245</v>
      </c>
      <c r="F23" s="259">
        <v>220</v>
      </c>
      <c r="G23" s="259">
        <v>195</v>
      </c>
      <c r="H23" s="259">
        <v>165</v>
      </c>
      <c r="I23" s="260">
        <v>150</v>
      </c>
    </row>
    <row r="24" spans="1:16" x14ac:dyDescent="0.25">
      <c r="A24" s="263">
        <v>350</v>
      </c>
      <c r="B24" s="259">
        <v>495</v>
      </c>
      <c r="C24" s="259">
        <v>380</v>
      </c>
      <c r="D24" s="259">
        <v>330</v>
      </c>
      <c r="E24" s="259">
        <v>275</v>
      </c>
      <c r="F24" s="259">
        <v>245</v>
      </c>
      <c r="G24" s="259">
        <v>215</v>
      </c>
      <c r="H24" s="259">
        <v>185</v>
      </c>
      <c r="I24" s="260">
        <v>170</v>
      </c>
    </row>
    <row r="25" spans="1:16" x14ac:dyDescent="0.25">
      <c r="A25" s="263">
        <v>400</v>
      </c>
      <c r="B25" s="259">
        <v>540</v>
      </c>
      <c r="C25" s="259">
        <v>420</v>
      </c>
      <c r="D25" s="259">
        <v>365</v>
      </c>
      <c r="E25" s="259">
        <v>305</v>
      </c>
      <c r="F25" s="259">
        <v>270</v>
      </c>
      <c r="G25" s="259">
        <v>235</v>
      </c>
      <c r="H25" s="259">
        <v>205</v>
      </c>
      <c r="I25" s="260">
        <v>185</v>
      </c>
    </row>
    <row r="26" spans="1:16" x14ac:dyDescent="0.25">
      <c r="A26" s="263">
        <v>450</v>
      </c>
      <c r="B26" s="259">
        <v>585</v>
      </c>
      <c r="C26" s="259">
        <v>460</v>
      </c>
      <c r="D26" s="259">
        <v>395</v>
      </c>
      <c r="E26" s="259">
        <v>330</v>
      </c>
      <c r="F26" s="259">
        <v>290</v>
      </c>
      <c r="G26" s="259">
        <v>255</v>
      </c>
      <c r="H26" s="259">
        <v>225</v>
      </c>
      <c r="I26" s="260">
        <v>200</v>
      </c>
    </row>
    <row r="27" spans="1:16" x14ac:dyDescent="0.25">
      <c r="A27" s="263">
        <v>500</v>
      </c>
      <c r="B27" s="259">
        <v>635</v>
      </c>
      <c r="C27" s="259">
        <v>490</v>
      </c>
      <c r="D27" s="259">
        <v>425</v>
      </c>
      <c r="E27" s="259">
        <v>355</v>
      </c>
      <c r="F27" s="259">
        <v>315</v>
      </c>
      <c r="G27" s="259">
        <v>290</v>
      </c>
      <c r="H27" s="259">
        <v>240</v>
      </c>
      <c r="I27" s="260">
        <v>215</v>
      </c>
    </row>
    <row r="28" spans="1:16" ht="15.75" thickBot="1" x14ac:dyDescent="0.3">
      <c r="A28" s="264">
        <v>600</v>
      </c>
      <c r="B28" s="261">
        <v>720</v>
      </c>
      <c r="C28" s="261">
        <v>560</v>
      </c>
      <c r="D28" s="261">
        <v>485</v>
      </c>
      <c r="E28" s="261">
        <v>405</v>
      </c>
      <c r="F28" s="261">
        <v>360</v>
      </c>
      <c r="G28" s="261">
        <v>315</v>
      </c>
      <c r="H28" s="261">
        <v>275</v>
      </c>
      <c r="I28" s="262">
        <v>245</v>
      </c>
    </row>
    <row r="29" spans="1:16" x14ac:dyDescent="0.25">
      <c r="B29" s="250"/>
    </row>
    <row r="31" spans="1:16" x14ac:dyDescent="0.25">
      <c r="A31" s="254"/>
      <c r="B31" s="254"/>
      <c r="C31" s="254"/>
    </row>
    <row r="34" spans="1:1" x14ac:dyDescent="0.25">
      <c r="A34" s="32"/>
    </row>
    <row r="35" spans="1:1" x14ac:dyDescent="0.25">
      <c r="A35" s="32"/>
    </row>
    <row r="36" spans="1:1" x14ac:dyDescent="0.25">
      <c r="A36" s="32"/>
    </row>
    <row r="37" spans="1:1" x14ac:dyDescent="0.25">
      <c r="A37" s="32"/>
    </row>
  </sheetData>
  <sheetProtection password="CA85" sheet="1" objects="1" scenarios="1"/>
  <mergeCells count="2">
    <mergeCell ref="B2:I2"/>
    <mergeCell ref="B1:I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Calculs</vt:lpstr>
      <vt:lpstr>DQE SOUBASSEMENT</vt:lpstr>
      <vt:lpstr>DQE ELEVATION</vt:lpstr>
      <vt:lpstr>DQE CHARPENTE-COUVERTURE</vt:lpstr>
      <vt:lpstr>Données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LECUREUR_MATHIEU_(15022244)</dc:creator>
  <cp:lastModifiedBy>LECUREUR_MATHIEU_(15022244)</cp:lastModifiedBy>
  <cp:lastPrinted>2015-06-17T15:29:27Z</cp:lastPrinted>
  <dcterms:created xsi:type="dcterms:W3CDTF">2015-06-15T09:20:35Z</dcterms:created>
  <dcterms:modified xsi:type="dcterms:W3CDTF">2015-06-26T07:47:50Z</dcterms:modified>
</cp:coreProperties>
</file>